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3" codeName="{00000000-0000-0000-0000-000000000000}"/>
  <workbookPr codeName="ThisWorkbook"/>
  <mc:AlternateContent xmlns:mc="http://schemas.openxmlformats.org/markup-compatibility/2006">
    <mc:Choice Requires="x15">
      <x15ac:absPath xmlns:x15ac="http://schemas.microsoft.com/office/spreadsheetml/2010/11/ac" url="P:\SkyDrive\Public\BBHoFTracker\"/>
    </mc:Choice>
  </mc:AlternateContent>
  <xr:revisionPtr revIDLastSave="4193" documentId="4_{57B72745-3674-4037-BF7C-106D90B45BE1}" xr6:coauthVersionLast="41" xr6:coauthVersionMax="41" xr10:uidLastSave="{ECA9E730-73AB-4EC2-BEBD-52F77E664171}"/>
  <bookViews>
    <workbookView xWindow="0" yWindow="0" windowWidth="20475" windowHeight="15360" xr2:uid="{00000000-000D-0000-FFFF-FFFF00000000}"/>
  </bookViews>
  <sheets>
    <sheet name="2018" sheetId="14" r:id="rId1"/>
    <sheet name="2017" sheetId="13" r:id="rId2"/>
    <sheet name="2016" sheetId="9" r:id="rId3"/>
    <sheet name="2015" sheetId="1" r:id="rId4"/>
    <sheet name="2014" sheetId="3" r:id="rId5"/>
    <sheet name="2013 (all prior via @leokitty)" sheetId="4" r:id="rId6"/>
    <sheet name="2012" sheetId="5" r:id="rId7"/>
    <sheet name="2011" sheetId="6" r:id="rId8"/>
    <sheet name="2010" sheetId="7" r:id="rId9"/>
    <sheet name="2009" sheetId="8" r:id="rId10"/>
    <sheet name="Non-Public Voters 2015" sheetId="2" state="hidden" r:id="rId11"/>
    <sheet name="Legend" sheetId="10" state="hidden" r:id="rId12"/>
  </sheets>
  <calcPr calcId="191028" concurrentCalc="0"/>
  <fileRecoveryPr autoRecover="0"/>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calcFeatures>
    </ext>
    <ext xmlns:mx="http://schemas.microsoft.com/office/mac/excel/2008/main" uri="{7523E5D3-25F3-A5E0-1632-64F254C22452}">
      <mx:ArchID Flags="2"/>
    </ext>
  </extLst>
</workbook>
</file>

<file path=xl/calcChain.xml><?xml version="1.0" encoding="utf-8"?>
<calcChain xmlns="http://schemas.openxmlformats.org/spreadsheetml/2006/main">
  <c r="V5" i="14" l="1"/>
  <c r="V18" i="14"/>
  <c r="I1" i="14"/>
  <c r="E1" i="14"/>
  <c r="V19" i="14"/>
  <c r="V16" i="14"/>
  <c r="V4" i="14"/>
  <c r="U5" i="14"/>
  <c r="U18" i="14"/>
  <c r="U19" i="14"/>
  <c r="U16" i="14"/>
  <c r="U4" i="14"/>
  <c r="T5" i="14"/>
  <c r="T18" i="14"/>
  <c r="T19" i="14"/>
  <c r="T16" i="14"/>
  <c r="T4" i="14"/>
  <c r="R5" i="14"/>
  <c r="R18" i="14"/>
  <c r="R19" i="14"/>
  <c r="R16" i="14"/>
  <c r="R4" i="14"/>
  <c r="Q5" i="14"/>
  <c r="Q18" i="14"/>
  <c r="Q19" i="14"/>
  <c r="Q16" i="14"/>
  <c r="Q4" i="14"/>
  <c r="P5" i="14"/>
  <c r="P18" i="14"/>
  <c r="P19" i="14"/>
  <c r="P16" i="14"/>
  <c r="P4" i="14"/>
  <c r="N5" i="14"/>
  <c r="N18" i="14"/>
  <c r="N19" i="14"/>
  <c r="N16" i="14"/>
  <c r="N4" i="14"/>
  <c r="M5" i="14"/>
  <c r="M18" i="14"/>
  <c r="M19" i="14"/>
  <c r="M16" i="14"/>
  <c r="M4" i="14"/>
  <c r="L5" i="14"/>
  <c r="L18" i="14"/>
  <c r="L19" i="14"/>
  <c r="L16" i="14"/>
  <c r="L4" i="14"/>
  <c r="K5" i="14"/>
  <c r="K18" i="14"/>
  <c r="K19" i="14"/>
  <c r="K16" i="14"/>
  <c r="K4" i="14"/>
  <c r="J5" i="14"/>
  <c r="J18" i="14"/>
  <c r="J19" i="14"/>
  <c r="J16" i="14"/>
  <c r="J4" i="14"/>
  <c r="AI276" i="14"/>
  <c r="AI277" i="14"/>
  <c r="AI278" i="14"/>
  <c r="AI279" i="14"/>
  <c r="AI280" i="14"/>
  <c r="AI281" i="14"/>
  <c r="AI282" i="14"/>
  <c r="AI283" i="14"/>
  <c r="AI284" i="14"/>
  <c r="AI285" i="14"/>
  <c r="AI286" i="14"/>
  <c r="AI287" i="14"/>
  <c r="AI288" i="14"/>
  <c r="AI289" i="14"/>
  <c r="AI290" i="14"/>
  <c r="AI291" i="14"/>
  <c r="AI292" i="14"/>
  <c r="AI293" i="14"/>
  <c r="AI294" i="14"/>
  <c r="AI295" i="14"/>
  <c r="AI296" i="14"/>
  <c r="AI297" i="14"/>
  <c r="AI298" i="14"/>
  <c r="AI299" i="14"/>
  <c r="AI300" i="14"/>
  <c r="AI301" i="14"/>
  <c r="AI302" i="14"/>
  <c r="AI303" i="14"/>
  <c r="AI304" i="14"/>
  <c r="AI305" i="14"/>
  <c r="AI306" i="14"/>
  <c r="AI307" i="14"/>
  <c r="AI308" i="14"/>
  <c r="AI309" i="14"/>
  <c r="AI310" i="14"/>
  <c r="AI311" i="14"/>
  <c r="AI312" i="14"/>
  <c r="AI313" i="14"/>
  <c r="AI314" i="14"/>
  <c r="AI315" i="14"/>
  <c r="AI316" i="14"/>
  <c r="AI317" i="14"/>
  <c r="AI318" i="14"/>
  <c r="AI319" i="14"/>
  <c r="AI320" i="14"/>
  <c r="AI321" i="14"/>
  <c r="AI322" i="14"/>
  <c r="AI323" i="14"/>
  <c r="AI324" i="14"/>
  <c r="AI325" i="14"/>
  <c r="AI326" i="14"/>
  <c r="AI327" i="14"/>
  <c r="AI328" i="14"/>
  <c r="AI329" i="14"/>
  <c r="AI330" i="14"/>
  <c r="AI331" i="14"/>
  <c r="AI332" i="14"/>
  <c r="AI333" i="14"/>
  <c r="AI334" i="14"/>
  <c r="AI335" i="14"/>
  <c r="AI336" i="14"/>
  <c r="AI337" i="14"/>
  <c r="AI338" i="14"/>
  <c r="AI339" i="14"/>
  <c r="AI340" i="14"/>
  <c r="AI341" i="14"/>
  <c r="AI342" i="14"/>
  <c r="AI343" i="14"/>
  <c r="AI344" i="14"/>
  <c r="AI345" i="14"/>
  <c r="I275" i="14"/>
  <c r="AI347" i="14"/>
  <c r="AI348" i="14"/>
  <c r="AI349" i="14"/>
  <c r="AI350" i="14"/>
  <c r="I346" i="14"/>
  <c r="I5" i="14"/>
  <c r="I18" i="14"/>
  <c r="I19" i="14"/>
  <c r="I16" i="14"/>
  <c r="I4" i="14"/>
  <c r="G5" i="14"/>
  <c r="G18" i="14"/>
  <c r="G19" i="14"/>
  <c r="G16" i="14"/>
  <c r="G4" i="14"/>
  <c r="C5" i="14"/>
  <c r="C18" i="14"/>
  <c r="C19" i="14"/>
  <c r="C16" i="14"/>
  <c r="C4" i="14"/>
  <c r="B5" i="14"/>
  <c r="B18" i="14"/>
  <c r="B19" i="14"/>
  <c r="B16" i="14"/>
  <c r="B4" i="14"/>
  <c r="T5" i="13"/>
  <c r="T18" i="13"/>
  <c r="I1" i="13"/>
  <c r="E1" i="13"/>
  <c r="T19" i="13"/>
  <c r="T16" i="13"/>
  <c r="T4" i="13"/>
  <c r="S5" i="13"/>
  <c r="S18" i="13"/>
  <c r="S19" i="13"/>
  <c r="S16" i="13"/>
  <c r="S4" i="13"/>
  <c r="R5" i="13"/>
  <c r="R18" i="13"/>
  <c r="R19" i="13"/>
  <c r="R16" i="13"/>
  <c r="R4" i="13"/>
  <c r="P5" i="13"/>
  <c r="P18" i="13"/>
  <c r="P19" i="13"/>
  <c r="P16" i="13"/>
  <c r="P4" i="13"/>
  <c r="O5" i="13"/>
  <c r="O18" i="13"/>
  <c r="O19" i="13"/>
  <c r="O16" i="13"/>
  <c r="O4" i="13"/>
  <c r="M5" i="13"/>
  <c r="M18" i="13"/>
  <c r="M19" i="13"/>
  <c r="M16" i="13"/>
  <c r="M4" i="13"/>
  <c r="J5" i="13"/>
  <c r="J18" i="13"/>
  <c r="J19" i="13"/>
  <c r="J16" i="13"/>
  <c r="J4" i="13"/>
  <c r="I5" i="13"/>
  <c r="I18" i="13"/>
  <c r="I19" i="13"/>
  <c r="I16" i="13"/>
  <c r="I4" i="13"/>
  <c r="H5" i="13"/>
  <c r="H18" i="13"/>
  <c r="H19" i="13"/>
  <c r="H16" i="13"/>
  <c r="H4" i="13"/>
  <c r="G5" i="13"/>
  <c r="G18" i="13"/>
  <c r="G19" i="13"/>
  <c r="G16" i="13"/>
  <c r="G4" i="13"/>
  <c r="F5" i="13"/>
  <c r="F18" i="13"/>
  <c r="F19" i="13"/>
  <c r="F16" i="13"/>
  <c r="F4" i="13"/>
  <c r="E277" i="13"/>
  <c r="E342" i="13"/>
  <c r="E5" i="13"/>
  <c r="E18" i="13"/>
  <c r="E19" i="13"/>
  <c r="E16" i="13"/>
  <c r="E4" i="13"/>
  <c r="D5" i="13"/>
  <c r="D18" i="13"/>
  <c r="D19" i="13"/>
  <c r="D16" i="13"/>
  <c r="D4" i="13"/>
  <c r="C5" i="13"/>
  <c r="C18" i="13"/>
  <c r="C19" i="13"/>
  <c r="C16" i="13"/>
  <c r="C4" i="13"/>
  <c r="AI5" i="14"/>
  <c r="AJ300" i="14"/>
  <c r="AJ337" i="14"/>
  <c r="AJ286" i="14"/>
  <c r="AJ342" i="14"/>
  <c r="AJ341" i="14"/>
  <c r="AJ340" i="14"/>
  <c r="AJ339" i="14"/>
  <c r="AJ338" i="14"/>
  <c r="AJ336" i="14"/>
  <c r="AJ335" i="14"/>
  <c r="AJ333" i="14"/>
  <c r="AJ331" i="14"/>
  <c r="AJ329" i="14"/>
  <c r="AJ326" i="14"/>
  <c r="AJ324" i="14"/>
  <c r="T27" i="14"/>
  <c r="S27" i="14"/>
  <c r="M27" i="14"/>
  <c r="L27" i="14"/>
  <c r="J27" i="14"/>
  <c r="H27" i="14"/>
  <c r="F27" i="14"/>
  <c r="E27" i="14"/>
  <c r="C27" i="14"/>
  <c r="B27" i="14"/>
  <c r="AJ322" i="14"/>
  <c r="AJ320" i="14"/>
  <c r="AJ319" i="14"/>
  <c r="AJ317" i="14"/>
  <c r="AJ315" i="14"/>
  <c r="AJ313" i="14"/>
  <c r="AJ312" i="14"/>
  <c r="AJ311" i="14"/>
  <c r="AJ310" i="14"/>
  <c r="AJ308" i="14"/>
  <c r="AJ307" i="14"/>
  <c r="AJ306" i="14"/>
  <c r="AJ305" i="14"/>
  <c r="AJ304" i="14"/>
  <c r="AJ303" i="14"/>
  <c r="AJ302" i="14"/>
  <c r="AJ301" i="14"/>
  <c r="AJ299" i="14"/>
  <c r="P27" i="14"/>
  <c r="AJ297" i="14"/>
  <c r="AJ296" i="14"/>
  <c r="AJ295" i="14"/>
  <c r="AJ294" i="14"/>
  <c r="AJ293" i="14"/>
  <c r="AJ292" i="14"/>
  <c r="AJ291" i="14"/>
  <c r="AJ288" i="14"/>
  <c r="AJ287" i="14"/>
  <c r="AJ285" i="14"/>
  <c r="AJ284" i="14"/>
  <c r="AJ282" i="14"/>
  <c r="AJ281" i="14"/>
  <c r="AJ280" i="14"/>
  <c r="AJ279" i="14"/>
  <c r="AJ277" i="14"/>
  <c r="AJ309" i="14"/>
  <c r="AJ298" i="14"/>
  <c r="AJ344" i="14"/>
  <c r="AJ290" i="14"/>
  <c r="AJ321" i="14"/>
  <c r="AI230" i="14"/>
  <c r="AI32" i="14"/>
  <c r="AI33" i="14"/>
  <c r="AI34" i="14"/>
  <c r="AI35" i="14"/>
  <c r="AI36" i="14"/>
  <c r="AI37" i="14"/>
  <c r="AI38" i="14"/>
  <c r="AI39" i="14"/>
  <c r="AI40" i="14"/>
  <c r="AI41" i="14"/>
  <c r="AI42" i="14"/>
  <c r="AI43" i="14"/>
  <c r="AI44" i="14"/>
  <c r="AI45" i="14"/>
  <c r="AI46" i="14"/>
  <c r="AI47" i="14"/>
  <c r="AI48" i="14"/>
  <c r="AI49" i="14"/>
  <c r="AI50" i="14"/>
  <c r="AI51" i="14"/>
  <c r="AI52" i="14"/>
  <c r="AI53" i="14"/>
  <c r="AI54" i="14"/>
  <c r="AI55" i="14"/>
  <c r="AI56" i="14"/>
  <c r="AI57" i="14"/>
  <c r="AI58" i="14"/>
  <c r="AI59" i="14"/>
  <c r="AI60" i="14"/>
  <c r="AI61" i="14"/>
  <c r="AI62" i="14"/>
  <c r="AI63" i="14"/>
  <c r="AI64" i="14"/>
  <c r="AI65" i="14"/>
  <c r="AI66" i="14"/>
  <c r="AI67" i="14"/>
  <c r="AI68" i="14"/>
  <c r="AI69" i="14"/>
  <c r="AI70" i="14"/>
  <c r="AI71" i="14"/>
  <c r="AI72" i="14"/>
  <c r="AI73" i="14"/>
  <c r="AI74" i="14"/>
  <c r="AI75" i="14"/>
  <c r="AI76" i="14"/>
  <c r="AI77" i="14"/>
  <c r="AI78" i="14"/>
  <c r="AI79" i="14"/>
  <c r="AI80" i="14"/>
  <c r="AI81" i="14"/>
  <c r="AI82" i="14"/>
  <c r="AI83" i="14"/>
  <c r="AI84" i="14"/>
  <c r="AI85" i="14"/>
  <c r="AI86" i="14"/>
  <c r="AI87" i="14"/>
  <c r="AI88" i="14"/>
  <c r="AI89" i="14"/>
  <c r="AI90" i="14"/>
  <c r="AI91" i="14"/>
  <c r="AI92" i="14"/>
  <c r="AI93" i="14"/>
  <c r="AI94" i="14"/>
  <c r="AI95" i="14"/>
  <c r="AI96" i="14"/>
  <c r="AI97" i="14"/>
  <c r="AI98" i="14"/>
  <c r="AI99" i="14"/>
  <c r="AI100" i="14"/>
  <c r="AI101" i="14"/>
  <c r="AI102" i="14"/>
  <c r="AI103" i="14"/>
  <c r="AI104" i="14"/>
  <c r="AI105" i="14"/>
  <c r="AI106" i="14"/>
  <c r="AI107" i="14"/>
  <c r="AI108" i="14"/>
  <c r="AI109" i="14"/>
  <c r="AI110" i="14"/>
  <c r="AI111" i="14"/>
  <c r="AI112" i="14"/>
  <c r="AI113" i="14"/>
  <c r="AI114" i="14"/>
  <c r="AI115" i="14"/>
  <c r="AI116" i="14"/>
  <c r="AI117" i="14"/>
  <c r="AI118" i="14"/>
  <c r="AI119" i="14"/>
  <c r="AI120" i="14"/>
  <c r="AI121" i="14"/>
  <c r="AI122" i="14"/>
  <c r="AI123" i="14"/>
  <c r="AI124" i="14"/>
  <c r="AI125" i="14"/>
  <c r="AI126" i="14"/>
  <c r="AI127" i="14"/>
  <c r="AI128" i="14"/>
  <c r="AI129" i="14"/>
  <c r="AI130" i="14"/>
  <c r="AI131" i="14"/>
  <c r="AI132" i="14"/>
  <c r="AI133" i="14"/>
  <c r="AI134" i="14"/>
  <c r="AI135" i="14"/>
  <c r="AI136" i="14"/>
  <c r="AI137" i="14"/>
  <c r="AI138" i="14"/>
  <c r="AI139" i="14"/>
  <c r="AI140" i="14"/>
  <c r="AI141" i="14"/>
  <c r="AI142" i="14"/>
  <c r="AI143" i="14"/>
  <c r="AI144" i="14"/>
  <c r="AI145" i="14"/>
  <c r="AI146" i="14"/>
  <c r="AI147" i="14"/>
  <c r="AI148" i="14"/>
  <c r="AI149" i="14"/>
  <c r="AI150" i="14"/>
  <c r="AI151" i="14"/>
  <c r="AI152" i="14"/>
  <c r="AI153" i="14"/>
  <c r="AI154" i="14"/>
  <c r="AI155" i="14"/>
  <c r="AI156" i="14"/>
  <c r="AI157" i="14"/>
  <c r="AI158" i="14"/>
  <c r="AI159" i="14"/>
  <c r="AI160" i="14"/>
  <c r="AI161" i="14"/>
  <c r="AI162" i="14"/>
  <c r="AI163" i="14"/>
  <c r="AI164" i="14"/>
  <c r="AI165" i="14"/>
  <c r="AI166" i="14"/>
  <c r="AI167" i="14"/>
  <c r="AI168" i="14"/>
  <c r="AI169" i="14"/>
  <c r="AI170" i="14"/>
  <c r="AI171" i="14"/>
  <c r="AI172" i="14"/>
  <c r="AI173" i="14"/>
  <c r="AI174" i="14"/>
  <c r="AI175" i="14"/>
  <c r="AI176" i="14"/>
  <c r="AI177" i="14"/>
  <c r="AI178" i="14"/>
  <c r="AI179" i="14"/>
  <c r="AI180" i="14"/>
  <c r="AI181" i="14"/>
  <c r="AI182" i="14"/>
  <c r="AI183" i="14"/>
  <c r="AI184" i="14"/>
  <c r="AI185" i="14"/>
  <c r="AI186" i="14"/>
  <c r="AI187" i="14"/>
  <c r="AI188" i="14"/>
  <c r="AI189" i="14"/>
  <c r="AI190" i="14"/>
  <c r="AI191" i="14"/>
  <c r="AI192" i="14"/>
  <c r="AI193" i="14"/>
  <c r="AI194" i="14"/>
  <c r="AI195" i="14"/>
  <c r="AI196" i="14"/>
  <c r="AI197" i="14"/>
  <c r="AI198" i="14"/>
  <c r="AI199" i="14"/>
  <c r="AI200" i="14"/>
  <c r="AI201" i="14"/>
  <c r="AI202" i="14"/>
  <c r="AI203" i="14"/>
  <c r="AI204" i="14"/>
  <c r="AI205" i="14"/>
  <c r="AI206" i="14"/>
  <c r="AI207" i="14"/>
  <c r="AI208" i="14"/>
  <c r="AI209" i="14"/>
  <c r="AI210" i="14"/>
  <c r="AI211" i="14"/>
  <c r="AI212" i="14"/>
  <c r="AI213" i="14"/>
  <c r="AI214" i="14"/>
  <c r="AI215" i="14"/>
  <c r="AI216" i="14"/>
  <c r="AI217" i="14"/>
  <c r="AI218" i="14"/>
  <c r="AI219" i="14"/>
  <c r="AI220" i="14"/>
  <c r="AI221" i="14"/>
  <c r="AI222" i="14"/>
  <c r="AI223" i="14"/>
  <c r="AI224" i="14"/>
  <c r="AI225" i="14"/>
  <c r="AI226" i="14"/>
  <c r="AI227" i="14"/>
  <c r="AI228" i="14"/>
  <c r="AI229" i="14"/>
  <c r="AI231" i="14"/>
  <c r="AI232" i="14"/>
  <c r="AI233" i="14"/>
  <c r="AI234" i="14"/>
  <c r="AI235" i="14"/>
  <c r="AI236" i="14"/>
  <c r="AI237" i="14"/>
  <c r="AI238" i="14"/>
  <c r="AI239" i="14"/>
  <c r="AI240" i="14"/>
  <c r="AI241" i="14"/>
  <c r="AI242" i="14"/>
  <c r="AI243" i="14"/>
  <c r="AI244" i="14"/>
  <c r="AI245" i="14"/>
  <c r="AI246" i="14"/>
  <c r="AI247" i="14"/>
  <c r="AI248" i="14"/>
  <c r="AI249" i="14"/>
  <c r="AI250" i="14"/>
  <c r="AI251" i="14"/>
  <c r="AI252" i="14"/>
  <c r="AI253" i="14"/>
  <c r="AI254" i="14"/>
  <c r="AI255" i="14"/>
  <c r="AI256" i="14"/>
  <c r="AI257" i="14"/>
  <c r="AI258" i="14"/>
  <c r="AI259" i="14"/>
  <c r="AI260" i="14"/>
  <c r="AI261" i="14"/>
  <c r="AI262" i="14"/>
  <c r="AI263" i="14"/>
  <c r="AI264" i="14"/>
  <c r="AI265" i="14"/>
  <c r="AI266" i="14"/>
  <c r="AI267" i="14"/>
  <c r="AI268" i="14"/>
  <c r="AI269" i="14"/>
  <c r="AI270" i="14"/>
  <c r="AI271" i="14"/>
  <c r="AI272" i="14"/>
  <c r="AI273" i="14"/>
  <c r="AI274" i="14"/>
  <c r="I31" i="14"/>
  <c r="AJ158" i="14"/>
  <c r="AJ156" i="14"/>
  <c r="AJ113" i="14"/>
  <c r="AJ76" i="14"/>
  <c r="V25" i="14"/>
  <c r="U25" i="14"/>
  <c r="T25" i="14"/>
  <c r="R25" i="14"/>
  <c r="Q25" i="14"/>
  <c r="P25" i="14"/>
  <c r="O25" i="14"/>
  <c r="N25" i="14"/>
  <c r="M25" i="14"/>
  <c r="L25" i="14"/>
  <c r="K25" i="14"/>
  <c r="J25" i="14"/>
  <c r="I25" i="14"/>
  <c r="G25" i="14"/>
  <c r="D25" i="14"/>
  <c r="C25" i="14"/>
  <c r="B25" i="14"/>
  <c r="AJ314" i="14"/>
  <c r="AJ328" i="14"/>
  <c r="AJ283" i="14"/>
  <c r="AJ330" i="14"/>
  <c r="AJ323" i="14"/>
  <c r="AM289" i="14"/>
  <c r="AN289" i="14"/>
  <c r="BK289" i="14"/>
  <c r="BL289" i="14"/>
  <c r="BJ289" i="14"/>
  <c r="BI289" i="14"/>
  <c r="BH289" i="14"/>
  <c r="BG289" i="14"/>
  <c r="BF289" i="14"/>
  <c r="BE289" i="14"/>
  <c r="BD289" i="14"/>
  <c r="BC289" i="14"/>
  <c r="BB289" i="14"/>
  <c r="BA289" i="14"/>
  <c r="AZ289" i="14"/>
  <c r="AY289" i="14"/>
  <c r="AX289" i="14"/>
  <c r="AW289" i="14"/>
  <c r="AV289" i="14"/>
  <c r="AU289" i="14"/>
  <c r="AT289" i="14"/>
  <c r="AS289" i="14"/>
  <c r="AR289" i="14"/>
  <c r="AQ289" i="14"/>
  <c r="AP289" i="14"/>
  <c r="AO289" i="14"/>
  <c r="CK16" i="14"/>
  <c r="CK15" i="14"/>
  <c r="CK14" i="14"/>
  <c r="AK17" i="14"/>
  <c r="AK16" i="14"/>
  <c r="AK15" i="14"/>
  <c r="AK14" i="14"/>
  <c r="AK13" i="14"/>
  <c r="AJ318" i="14"/>
  <c r="M1" i="14"/>
  <c r="AH19" i="14"/>
  <c r="AG19" i="14"/>
  <c r="AF19" i="14"/>
  <c r="AE19" i="14"/>
  <c r="AD19" i="14"/>
  <c r="AC19" i="14"/>
  <c r="AB19" i="14"/>
  <c r="AA19" i="14"/>
  <c r="Z19" i="14"/>
  <c r="Y19" i="14"/>
  <c r="X19" i="14"/>
  <c r="W19" i="14"/>
  <c r="S19" i="14"/>
  <c r="O19" i="14"/>
  <c r="H19" i="14"/>
  <c r="F19" i="14"/>
  <c r="E19" i="14"/>
  <c r="D19" i="14"/>
  <c r="AH15" i="14"/>
  <c r="AG15" i="14"/>
  <c r="AF15" i="14"/>
  <c r="AE15" i="14"/>
  <c r="AD15" i="14"/>
  <c r="AC15" i="14"/>
  <c r="AB15" i="14"/>
  <c r="AA15" i="14"/>
  <c r="Z15" i="14"/>
  <c r="Y15" i="14"/>
  <c r="X15" i="14"/>
  <c r="W15" i="14"/>
  <c r="V15" i="14"/>
  <c r="U15" i="14"/>
  <c r="T15" i="14"/>
  <c r="S15" i="14"/>
  <c r="R15" i="14"/>
  <c r="Q15" i="14"/>
  <c r="P15" i="14"/>
  <c r="O15" i="14"/>
  <c r="N15" i="14"/>
  <c r="M15" i="14"/>
  <c r="L15" i="14"/>
  <c r="K15" i="14"/>
  <c r="J15" i="14"/>
  <c r="I15" i="14"/>
  <c r="H15" i="14"/>
  <c r="G15" i="14"/>
  <c r="F15" i="14"/>
  <c r="E15" i="14"/>
  <c r="D15" i="14"/>
  <c r="C15" i="14"/>
  <c r="B15" i="14"/>
  <c r="AJ185" i="14"/>
  <c r="AJ120" i="14"/>
  <c r="AJ169" i="14"/>
  <c r="AJ34" i="14"/>
  <c r="AJ261" i="14"/>
  <c r="AJ233" i="14"/>
  <c r="AJ132" i="14"/>
  <c r="AJ221" i="14"/>
  <c r="AJ211" i="14"/>
  <c r="AJ193" i="14"/>
  <c r="AJ122" i="14"/>
  <c r="AJ242" i="14"/>
  <c r="AJ152" i="14"/>
  <c r="AJ270" i="14"/>
  <c r="AJ259" i="14"/>
  <c r="AJ199" i="14"/>
  <c r="AJ201" i="14"/>
  <c r="AJ198" i="14"/>
  <c r="AJ159" i="14"/>
  <c r="AJ136" i="14"/>
  <c r="AJ114" i="14"/>
  <c r="AJ110" i="14"/>
  <c r="AJ101" i="14"/>
  <c r="AJ248" i="14"/>
  <c r="AJ264" i="14"/>
  <c r="AJ246" i="14"/>
  <c r="AJ151" i="14"/>
  <c r="AJ144" i="14"/>
  <c r="N27" i="14"/>
  <c r="K27" i="14"/>
  <c r="AJ252" i="14"/>
  <c r="AJ124" i="14"/>
  <c r="AJ118" i="14"/>
  <c r="AJ81" i="14"/>
  <c r="AJ192" i="14"/>
  <c r="AJ127" i="14"/>
  <c r="AJ126" i="14"/>
  <c r="AJ102" i="14"/>
  <c r="AJ515" i="14"/>
  <c r="AJ219" i="14"/>
  <c r="AJ230" i="14"/>
  <c r="AJ65" i="14"/>
  <c r="AJ109" i="14"/>
  <c r="AJ86" i="14"/>
  <c r="AJ130" i="14"/>
  <c r="AJ150" i="14"/>
  <c r="AJ177" i="14"/>
  <c r="AJ48" i="14"/>
  <c r="AJ205" i="14"/>
  <c r="AJ85" i="14"/>
  <c r="AJ170" i="14"/>
  <c r="AI428" i="14"/>
  <c r="AJ195" i="14"/>
  <c r="AJ46" i="14"/>
  <c r="AJ268" i="14"/>
  <c r="AJ115" i="14"/>
  <c r="AJ241" i="14"/>
  <c r="AJ36" i="14"/>
  <c r="AJ254" i="14"/>
  <c r="AJ240" i="14"/>
  <c r="AJ234" i="14"/>
  <c r="AJ140" i="14"/>
  <c r="AJ64" i="14"/>
  <c r="AJ32" i="14"/>
  <c r="AJ33" i="14"/>
  <c r="AJ39" i="14"/>
  <c r="AJ258" i="14"/>
  <c r="AJ243" i="14"/>
  <c r="AJ180" i="14"/>
  <c r="AJ194" i="14"/>
  <c r="CK25" i="14"/>
  <c r="AJ38" i="14"/>
  <c r="AJ175" i="14"/>
  <c r="AJ137" i="14"/>
  <c r="AJ237" i="14"/>
  <c r="AJ88" i="14"/>
  <c r="AJ255" i="14"/>
  <c r="AJ49" i="14"/>
  <c r="AJ45" i="14"/>
  <c r="AJ225" i="14"/>
  <c r="AJ167" i="14"/>
  <c r="AJ63" i="14"/>
  <c r="AJ73" i="14"/>
  <c r="AJ244" i="14"/>
  <c r="AJ70" i="14"/>
  <c r="AJ90" i="14"/>
  <c r="AJ57" i="14"/>
  <c r="AJ231" i="14"/>
  <c r="AJ142" i="14"/>
  <c r="AJ121" i="14"/>
  <c r="AJ245" i="14"/>
  <c r="AJ223" i="14"/>
  <c r="AJ206" i="14"/>
  <c r="AJ168" i="14"/>
  <c r="I24" i="14"/>
  <c r="AJ253" i="14"/>
  <c r="AH5" i="14"/>
  <c r="AH8" i="14"/>
  <c r="AG5" i="14"/>
  <c r="AG8" i="14"/>
  <c r="AF5" i="14"/>
  <c r="AF8" i="14"/>
  <c r="AE5" i="14"/>
  <c r="AE8" i="14"/>
  <c r="AD5" i="14"/>
  <c r="AD8" i="14"/>
  <c r="AC5" i="14"/>
  <c r="AC8" i="14"/>
  <c r="AB5" i="14"/>
  <c r="AB8" i="14"/>
  <c r="AA5" i="14"/>
  <c r="AA8" i="14"/>
  <c r="Z5" i="14"/>
  <c r="Z8" i="14"/>
  <c r="Y5" i="14"/>
  <c r="Y8" i="14"/>
  <c r="X5" i="14"/>
  <c r="X8" i="14"/>
  <c r="W5" i="14"/>
  <c r="W8" i="14"/>
  <c r="V8" i="14"/>
  <c r="U8" i="14"/>
  <c r="T8" i="14"/>
  <c r="S5" i="14"/>
  <c r="S8" i="14"/>
  <c r="R8" i="14"/>
  <c r="Q8" i="14"/>
  <c r="P8" i="14"/>
  <c r="O5" i="14"/>
  <c r="O8" i="14"/>
  <c r="N8" i="14"/>
  <c r="M8" i="14"/>
  <c r="L8" i="14"/>
  <c r="K8" i="14"/>
  <c r="J8" i="14"/>
  <c r="I8" i="14"/>
  <c r="H5" i="14"/>
  <c r="H8" i="14"/>
  <c r="G8" i="14"/>
  <c r="F5" i="14"/>
  <c r="F8" i="14"/>
  <c r="E275" i="14"/>
  <c r="E346" i="14"/>
  <c r="E5" i="14"/>
  <c r="E8" i="14"/>
  <c r="D5" i="14"/>
  <c r="D8" i="14"/>
  <c r="C8" i="14"/>
  <c r="B8" i="14"/>
  <c r="AH7" i="14"/>
  <c r="AG7" i="14"/>
  <c r="AF7" i="14"/>
  <c r="AE7" i="14"/>
  <c r="AD7" i="14"/>
  <c r="AC7" i="14"/>
  <c r="AB7" i="14"/>
  <c r="AA7" i="14"/>
  <c r="Z7" i="14"/>
  <c r="Y7" i="14"/>
  <c r="X7" i="14"/>
  <c r="W7" i="14"/>
  <c r="V7" i="14"/>
  <c r="U7" i="14"/>
  <c r="T7" i="14"/>
  <c r="S7" i="14"/>
  <c r="R7" i="14"/>
  <c r="Q7" i="14"/>
  <c r="P7" i="14"/>
  <c r="O7" i="14"/>
  <c r="N7" i="14"/>
  <c r="M7" i="14"/>
  <c r="L7" i="14"/>
  <c r="K7" i="14"/>
  <c r="J7" i="14"/>
  <c r="I7" i="14"/>
  <c r="H7" i="14"/>
  <c r="G7" i="14"/>
  <c r="F7" i="14"/>
  <c r="E7" i="14"/>
  <c r="D7" i="14"/>
  <c r="C7" i="14"/>
  <c r="B7" i="14"/>
  <c r="AH6" i="14"/>
  <c r="AG6" i="14"/>
  <c r="AF6" i="14"/>
  <c r="AE6" i="14"/>
  <c r="AD6" i="14"/>
  <c r="AC6" i="14"/>
  <c r="AB6" i="14"/>
  <c r="AA6" i="14"/>
  <c r="Z6" i="14"/>
  <c r="Y6" i="14"/>
  <c r="X6" i="14"/>
  <c r="W6" i="14"/>
  <c r="V6" i="14"/>
  <c r="U6" i="14"/>
  <c r="T6" i="14"/>
  <c r="S6" i="14"/>
  <c r="R6" i="14"/>
  <c r="Q6" i="14"/>
  <c r="P6" i="14"/>
  <c r="O6" i="14"/>
  <c r="N6" i="14"/>
  <c r="M6" i="14"/>
  <c r="L6" i="14"/>
  <c r="K6" i="14"/>
  <c r="J6" i="14"/>
  <c r="I6" i="14"/>
  <c r="H6" i="14"/>
  <c r="G6" i="14"/>
  <c r="F6" i="14"/>
  <c r="E6" i="14"/>
  <c r="D6" i="14"/>
  <c r="C6" i="14"/>
  <c r="B6" i="14"/>
  <c r="AJ161" i="14"/>
  <c r="AJ217" i="14"/>
  <c r="AJ98" i="14"/>
  <c r="AJ273" i="14"/>
  <c r="AJ106" i="14"/>
  <c r="AJ247" i="14"/>
  <c r="AJ214" i="14"/>
  <c r="AJ203" i="14"/>
  <c r="AJ89" i="14"/>
  <c r="AJ62" i="14"/>
  <c r="AJ179" i="14"/>
  <c r="AJ272" i="14"/>
  <c r="AJ188" i="14"/>
  <c r="AJ208" i="14"/>
  <c r="AJ226" i="14"/>
  <c r="AJ190" i="14"/>
  <c r="AJ107" i="14"/>
  <c r="AJ60" i="14"/>
  <c r="AJ181" i="14"/>
  <c r="AJ35" i="14"/>
  <c r="CK22" i="14"/>
  <c r="AJ71" i="14"/>
  <c r="AJ79" i="14"/>
  <c r="R27" i="14"/>
  <c r="AJ228" i="14"/>
  <c r="AJ216" i="14"/>
  <c r="AJ42" i="14"/>
  <c r="AJ232" i="14"/>
  <c r="Q27" i="14"/>
  <c r="O27" i="14"/>
  <c r="AJ256" i="14"/>
  <c r="AJ44" i="14"/>
  <c r="AJ131" i="14"/>
  <c r="AJ82" i="14"/>
  <c r="AJ69" i="14"/>
  <c r="AJ184" i="14"/>
  <c r="AJ262" i="14"/>
  <c r="D27" i="14"/>
  <c r="D26" i="14"/>
  <c r="D18" i="14"/>
  <c r="D16" i="14"/>
  <c r="D4" i="14"/>
  <c r="D17" i="14"/>
  <c r="D14" i="14"/>
  <c r="V27" i="14"/>
  <c r="AJ92" i="14"/>
  <c r="AJ163" i="14"/>
  <c r="AJ213" i="14"/>
  <c r="AJ155" i="14"/>
  <c r="AJ138" i="14"/>
  <c r="AJ53" i="14"/>
  <c r="AJ160" i="14"/>
  <c r="AJ172" i="14"/>
  <c r="U27" i="14"/>
  <c r="AJ116" i="14"/>
  <c r="AJ257" i="14"/>
  <c r="AJ133" i="14"/>
  <c r="AM37" i="14"/>
  <c r="AN37" i="14"/>
  <c r="BK37" i="14"/>
  <c r="BL37" i="14"/>
  <c r="BJ37" i="14"/>
  <c r="BI37" i="14"/>
  <c r="BH37" i="14"/>
  <c r="BG37" i="14"/>
  <c r="BF37" i="14"/>
  <c r="BE37" i="14"/>
  <c r="BD37" i="14"/>
  <c r="BC37" i="14"/>
  <c r="BB37" i="14"/>
  <c r="BA37" i="14"/>
  <c r="AZ37" i="14"/>
  <c r="AY37" i="14"/>
  <c r="AX37" i="14"/>
  <c r="AW37" i="14"/>
  <c r="AV37" i="14"/>
  <c r="AU37" i="14"/>
  <c r="AT37" i="14"/>
  <c r="AS37" i="14"/>
  <c r="AR37" i="14"/>
  <c r="AQ37" i="14"/>
  <c r="AP37" i="14"/>
  <c r="AO37" i="14"/>
  <c r="AJ37" i="14"/>
  <c r="AJ117" i="14"/>
  <c r="AJ215" i="14"/>
  <c r="AJ149" i="14"/>
  <c r="AJ200" i="14"/>
  <c r="AJ125" i="14"/>
  <c r="AJ153" i="14"/>
  <c r="AJ103" i="14"/>
  <c r="AJ236" i="14"/>
  <c r="AJ229" i="14"/>
  <c r="AJ191" i="14"/>
  <c r="AJ100" i="14"/>
  <c r="AJ56" i="14"/>
  <c r="AJ97" i="14"/>
  <c r="AJ265" i="14"/>
  <c r="AJ87" i="14"/>
  <c r="AJ143" i="14"/>
  <c r="AJ74" i="14"/>
  <c r="AJ164" i="14"/>
  <c r="AJ128" i="14"/>
  <c r="AJ83" i="14"/>
  <c r="AJ165" i="14"/>
  <c r="AJ235" i="14"/>
  <c r="AM41" i="14"/>
  <c r="AN41" i="14"/>
  <c r="AO41" i="14"/>
  <c r="AP41" i="14"/>
  <c r="AQ41" i="14"/>
  <c r="AR41" i="14"/>
  <c r="AS41" i="14"/>
  <c r="AT41" i="14"/>
  <c r="AU41" i="14"/>
  <c r="AV41" i="14"/>
  <c r="AW41" i="14"/>
  <c r="AX41" i="14"/>
  <c r="AY41" i="14"/>
  <c r="AZ41" i="14"/>
  <c r="BA41" i="14"/>
  <c r="BB41" i="14"/>
  <c r="BC41" i="14"/>
  <c r="BD41" i="14"/>
  <c r="BE41" i="14"/>
  <c r="BF41" i="14"/>
  <c r="BG41" i="14"/>
  <c r="BH41" i="14"/>
  <c r="BI41" i="14"/>
  <c r="BJ41" i="14"/>
  <c r="BK41" i="14"/>
  <c r="BL41" i="14"/>
  <c r="AJ43" i="14"/>
  <c r="AJ75" i="14"/>
  <c r="AJ55" i="14"/>
  <c r="N26" i="14"/>
  <c r="AJ266" i="14"/>
  <c r="AJ119" i="14"/>
  <c r="AJ47" i="14"/>
  <c r="AJ94" i="14"/>
  <c r="AJ166" i="14"/>
  <c r="AJ77" i="14"/>
  <c r="AJ139" i="14"/>
  <c r="AJ220" i="14"/>
  <c r="AJ95" i="14"/>
  <c r="AJ212" i="14"/>
  <c r="AM51" i="14"/>
  <c r="AN51" i="14"/>
  <c r="AO51" i="14"/>
  <c r="AP51" i="14"/>
  <c r="AQ51" i="14"/>
  <c r="AR51" i="14"/>
  <c r="AS51" i="14"/>
  <c r="AT51" i="14"/>
  <c r="AU51" i="14"/>
  <c r="AV51" i="14"/>
  <c r="AW51" i="14"/>
  <c r="AX51" i="14"/>
  <c r="AY51" i="14"/>
  <c r="AZ51" i="14"/>
  <c r="BA51" i="14"/>
  <c r="BB51" i="14"/>
  <c r="BC51" i="14"/>
  <c r="BD51" i="14"/>
  <c r="BE51" i="14"/>
  <c r="BF51" i="14"/>
  <c r="BG51" i="14"/>
  <c r="BH51" i="14"/>
  <c r="BI51" i="14"/>
  <c r="BJ51" i="14"/>
  <c r="BK51" i="14"/>
  <c r="BL51" i="14"/>
  <c r="AJ51" i="14"/>
  <c r="AJ249" i="14"/>
  <c r="AJ58" i="14"/>
  <c r="AJ263" i="14"/>
  <c r="AJ147" i="14"/>
  <c r="AJ197" i="14"/>
  <c r="AJ260" i="14"/>
  <c r="AJ189" i="14"/>
  <c r="AJ135" i="14"/>
  <c r="AJ176" i="14"/>
  <c r="AJ202" i="14"/>
  <c r="I27" i="14"/>
  <c r="G27" i="14"/>
  <c r="AJ162" i="14"/>
  <c r="CK10" i="14"/>
  <c r="CK9" i="14"/>
  <c r="CK8" i="14"/>
  <c r="AJ224" i="14"/>
  <c r="AH4" i="14"/>
  <c r="AG4" i="14"/>
  <c r="AF4" i="14"/>
  <c r="AE4" i="14"/>
  <c r="AD4" i="14"/>
  <c r="AC4" i="14"/>
  <c r="AB4" i="14"/>
  <c r="AA4" i="14"/>
  <c r="Z4" i="14"/>
  <c r="Y4" i="14"/>
  <c r="X4" i="14"/>
  <c r="W4" i="14"/>
  <c r="S4" i="14"/>
  <c r="O4" i="14"/>
  <c r="H4" i="14"/>
  <c r="F4" i="14"/>
  <c r="E4" i="14"/>
  <c r="AK282" i="13"/>
  <c r="AJ282" i="13"/>
  <c r="AK317" i="13"/>
  <c r="AJ317" i="13"/>
  <c r="AK316" i="13"/>
  <c r="AJ316" i="13"/>
  <c r="AJ325" i="13"/>
  <c r="AH27" i="14"/>
  <c r="AG27" i="14"/>
  <c r="AF27" i="14"/>
  <c r="AE27" i="14"/>
  <c r="AD27" i="14"/>
  <c r="AC27" i="14"/>
  <c r="AB27" i="14"/>
  <c r="AA27" i="14"/>
  <c r="Z27" i="14"/>
  <c r="Y27" i="14"/>
  <c r="X27" i="14"/>
  <c r="W27" i="14"/>
  <c r="AH26" i="14"/>
  <c r="AG26" i="14"/>
  <c r="AF26" i="14"/>
  <c r="AE26" i="14"/>
  <c r="AD26" i="14"/>
  <c r="AC26" i="14"/>
  <c r="AB26" i="14"/>
  <c r="AA26" i="14"/>
  <c r="Z26" i="14"/>
  <c r="Y26" i="14"/>
  <c r="X26" i="14"/>
  <c r="W26" i="14"/>
  <c r="V26" i="14"/>
  <c r="U26" i="14"/>
  <c r="AJ310" i="13"/>
  <c r="AK285" i="13"/>
  <c r="AJ285" i="13"/>
  <c r="B27" i="13"/>
  <c r="E27" i="13"/>
  <c r="F27" i="13"/>
  <c r="H27" i="13"/>
  <c r="J27" i="13"/>
  <c r="L27" i="13"/>
  <c r="O27" i="13"/>
  <c r="T27" i="13"/>
  <c r="AJ336" i="13"/>
  <c r="AK323" i="13"/>
  <c r="AJ323" i="13"/>
  <c r="AK309" i="13"/>
  <c r="AJ309" i="13"/>
  <c r="V11" i="14"/>
  <c r="U11" i="14"/>
  <c r="R11" i="14"/>
  <c r="Q11" i="14"/>
  <c r="P11" i="14"/>
  <c r="M11" i="14"/>
  <c r="L11" i="14"/>
  <c r="K11" i="14"/>
  <c r="J11" i="14"/>
  <c r="I11" i="14"/>
  <c r="F11" i="14"/>
  <c r="E11" i="14"/>
  <c r="C11" i="14"/>
  <c r="B11" i="14"/>
  <c r="V10" i="14"/>
  <c r="U10" i="14"/>
  <c r="M10" i="14"/>
  <c r="K10" i="14"/>
  <c r="E10" i="14"/>
  <c r="B10" i="14"/>
  <c r="C10" i="14"/>
  <c r="V24" i="14"/>
  <c r="U24" i="14"/>
  <c r="M24" i="14"/>
  <c r="K24" i="14"/>
  <c r="E24" i="14"/>
  <c r="AK312" i="13"/>
  <c r="AJ312" i="13"/>
  <c r="T14" i="13"/>
  <c r="S14" i="13"/>
  <c r="R14" i="13"/>
  <c r="Q14" i="13"/>
  <c r="P14" i="13"/>
  <c r="O14" i="13"/>
  <c r="N14" i="13"/>
  <c r="M14" i="13"/>
  <c r="L14" i="13"/>
  <c r="K14" i="13"/>
  <c r="J14" i="13"/>
  <c r="I14" i="13"/>
  <c r="H14" i="13"/>
  <c r="G14" i="13"/>
  <c r="F14" i="13"/>
  <c r="E14" i="13"/>
  <c r="D14" i="13"/>
  <c r="C14" i="13"/>
  <c r="B14" i="13"/>
  <c r="AJ346" i="13"/>
  <c r="AK297" i="13"/>
  <c r="AC18" i="14"/>
  <c r="AC16" i="14"/>
  <c r="AC17" i="14"/>
  <c r="AC14" i="14"/>
  <c r="AA18" i="14"/>
  <c r="AA16" i="14"/>
  <c r="AA17" i="14"/>
  <c r="AA14" i="14"/>
  <c r="W18" i="14"/>
  <c r="W16" i="14"/>
  <c r="W17" i="14"/>
  <c r="W14" i="14"/>
  <c r="AM276" i="14"/>
  <c r="AN276" i="14"/>
  <c r="AO276" i="14"/>
  <c r="AP276" i="14"/>
  <c r="AQ276" i="14"/>
  <c r="AR276" i="14"/>
  <c r="AS276" i="14"/>
  <c r="AT276" i="14"/>
  <c r="AU276" i="14"/>
  <c r="AV276" i="14"/>
  <c r="AW276" i="14"/>
  <c r="AX276" i="14"/>
  <c r="AY276" i="14"/>
  <c r="AZ276" i="14"/>
  <c r="BA276" i="14"/>
  <c r="BB276" i="14"/>
  <c r="BC276" i="14"/>
  <c r="BD276" i="14"/>
  <c r="BE276" i="14"/>
  <c r="BF276" i="14"/>
  <c r="BG276" i="14"/>
  <c r="BH276" i="14"/>
  <c r="BI276" i="14"/>
  <c r="BJ276" i="14"/>
  <c r="BK276" i="14"/>
  <c r="BL276" i="14"/>
  <c r="AM275" i="14"/>
  <c r="AN275" i="14"/>
  <c r="AO275" i="14"/>
  <c r="AP275" i="14"/>
  <c r="AQ275" i="14"/>
  <c r="AR275" i="14"/>
  <c r="AS275" i="14"/>
  <c r="AT275" i="14"/>
  <c r="AU275" i="14"/>
  <c r="AV275" i="14"/>
  <c r="AW275" i="14"/>
  <c r="AX275" i="14"/>
  <c r="AY275" i="14"/>
  <c r="AZ275" i="14"/>
  <c r="BA275" i="14"/>
  <c r="BB275" i="14"/>
  <c r="BC275" i="14"/>
  <c r="BD275" i="14"/>
  <c r="BE275" i="14"/>
  <c r="BF275" i="14"/>
  <c r="BG275" i="14"/>
  <c r="BH275" i="14"/>
  <c r="BI275" i="14"/>
  <c r="BJ275" i="14"/>
  <c r="BK275" i="14"/>
  <c r="BL31" i="14"/>
  <c r="E31" i="14"/>
  <c r="AD30" i="14"/>
  <c r="AB30" i="14"/>
  <c r="Y30" i="14"/>
  <c r="C30" i="14"/>
  <c r="B30" i="14"/>
  <c r="AD29" i="14"/>
  <c r="AB29" i="14"/>
  <c r="Y29" i="14"/>
  <c r="G29" i="14"/>
  <c r="C29" i="14"/>
  <c r="B29" i="14"/>
  <c r="AK27" i="14"/>
  <c r="T26" i="14"/>
  <c r="S26" i="14"/>
  <c r="R26" i="14"/>
  <c r="Q26" i="14"/>
  <c r="P26" i="14"/>
  <c r="O26" i="14"/>
  <c r="M26" i="14"/>
  <c r="L26" i="14"/>
  <c r="K26" i="14"/>
  <c r="J26" i="14"/>
  <c r="I26" i="14"/>
  <c r="H26" i="14"/>
  <c r="G26" i="14"/>
  <c r="F26" i="14"/>
  <c r="E26" i="14"/>
  <c r="C26" i="14"/>
  <c r="B26" i="14"/>
  <c r="AK26" i="14"/>
  <c r="AK25" i="14"/>
  <c r="R24" i="14"/>
  <c r="Q24" i="14"/>
  <c r="P24" i="14"/>
  <c r="L24" i="14"/>
  <c r="J24" i="14"/>
  <c r="F24" i="14"/>
  <c r="C24" i="14"/>
  <c r="B24" i="14"/>
  <c r="AK24" i="14"/>
  <c r="AK23" i="14"/>
  <c r="B20" i="14"/>
  <c r="AH18" i="14"/>
  <c r="AG18" i="14"/>
  <c r="AF18" i="14"/>
  <c r="AE18" i="14"/>
  <c r="AD18" i="14"/>
  <c r="AB18" i="14"/>
  <c r="Z18" i="14"/>
  <c r="Y18" i="14"/>
  <c r="X18" i="14"/>
  <c r="S18" i="14"/>
  <c r="O18" i="14"/>
  <c r="H18" i="14"/>
  <c r="F18" i="14"/>
  <c r="E18" i="14"/>
  <c r="AK22" i="14"/>
  <c r="AH16" i="14"/>
  <c r="AH17" i="14"/>
  <c r="AG16" i="14"/>
  <c r="AG17" i="14"/>
  <c r="AF16" i="14"/>
  <c r="AF17" i="14"/>
  <c r="AE16" i="14"/>
  <c r="AE17" i="14"/>
  <c r="AD16" i="14"/>
  <c r="AD17" i="14"/>
  <c r="AB16" i="14"/>
  <c r="AB17" i="14"/>
  <c r="Z16" i="14"/>
  <c r="Z17" i="14"/>
  <c r="Y16" i="14"/>
  <c r="Y17" i="14"/>
  <c r="X16" i="14"/>
  <c r="X17" i="14"/>
  <c r="V17" i="14"/>
  <c r="U17" i="14"/>
  <c r="T17" i="14"/>
  <c r="S16" i="14"/>
  <c r="S17" i="14"/>
  <c r="R17" i="14"/>
  <c r="Q17" i="14"/>
  <c r="P17" i="14"/>
  <c r="O16" i="14"/>
  <c r="O17" i="14"/>
  <c r="N17" i="14"/>
  <c r="M17" i="14"/>
  <c r="L17" i="14"/>
  <c r="K17" i="14"/>
  <c r="J17" i="14"/>
  <c r="I17" i="14"/>
  <c r="H16" i="14"/>
  <c r="H17" i="14"/>
  <c r="G17" i="14"/>
  <c r="F16" i="14"/>
  <c r="F17" i="14"/>
  <c r="E16" i="14"/>
  <c r="E17" i="14"/>
  <c r="C17" i="14"/>
  <c r="B17" i="14"/>
  <c r="AK11" i="14"/>
  <c r="AK10" i="14"/>
  <c r="BM14" i="14"/>
  <c r="AK9" i="14"/>
  <c r="AH14" i="14"/>
  <c r="AG14" i="14"/>
  <c r="AF14" i="14"/>
  <c r="AE14" i="14"/>
  <c r="AD14" i="14"/>
  <c r="AB14" i="14"/>
  <c r="Z14" i="14"/>
  <c r="Y14" i="14"/>
  <c r="X14" i="14"/>
  <c r="V14" i="14"/>
  <c r="U14" i="14"/>
  <c r="T14" i="14"/>
  <c r="S14" i="14"/>
  <c r="R14" i="14"/>
  <c r="Q14" i="14"/>
  <c r="P14" i="14"/>
  <c r="O14" i="14"/>
  <c r="N14" i="14"/>
  <c r="M14" i="14"/>
  <c r="L14" i="14"/>
  <c r="K14" i="14"/>
  <c r="J14" i="14"/>
  <c r="I14" i="14"/>
  <c r="H14" i="14"/>
  <c r="G14" i="14"/>
  <c r="F14" i="14"/>
  <c r="E14" i="14"/>
  <c r="C14" i="14"/>
  <c r="B14" i="14"/>
  <c r="AK8" i="14"/>
  <c r="AI13" i="14"/>
  <c r="AK7" i="14"/>
  <c r="R10" i="14"/>
  <c r="Q10" i="14"/>
  <c r="P10" i="14"/>
  <c r="L10" i="14"/>
  <c r="J10" i="14"/>
  <c r="I10" i="14"/>
  <c r="F10" i="14"/>
  <c r="T1" i="14"/>
  <c r="T2" i="14"/>
  <c r="S2" i="14"/>
  <c r="S1" i="14"/>
  <c r="A1" i="14"/>
  <c r="AK319" i="13"/>
  <c r="AK334" i="13"/>
  <c r="AK337" i="13"/>
  <c r="AK324" i="13"/>
  <c r="AK315" i="13"/>
  <c r="AK308" i="13"/>
  <c r="AJ106" i="13"/>
  <c r="AK328" i="13"/>
  <c r="AJ328" i="13"/>
  <c r="AJ90" i="13"/>
  <c r="AK339" i="13"/>
  <c r="AK338" i="13"/>
  <c r="AK335" i="13"/>
  <c r="AK333" i="13"/>
  <c r="AK331" i="13"/>
  <c r="AK330" i="13"/>
  <c r="AK329" i="13"/>
  <c r="AK326" i="13"/>
  <c r="AK322" i="13"/>
  <c r="AK320" i="13"/>
  <c r="AK314" i="13"/>
  <c r="AK313" i="13"/>
  <c r="AK311" i="13"/>
  <c r="AK306" i="13"/>
  <c r="AK305" i="13"/>
  <c r="AK304" i="13"/>
  <c r="AK303" i="13"/>
  <c r="AK302" i="13"/>
  <c r="AK301" i="13"/>
  <c r="AK300" i="13"/>
  <c r="AK299" i="13"/>
  <c r="AK298" i="13"/>
  <c r="AK296" i="13"/>
  <c r="AK295" i="13"/>
  <c r="AK294" i="13"/>
  <c r="AK293" i="13"/>
  <c r="AK292" i="13"/>
  <c r="AK291" i="13"/>
  <c r="AK290" i="13"/>
  <c r="AK289" i="13"/>
  <c r="AK288" i="13"/>
  <c r="AK287" i="13"/>
  <c r="AK286" i="13"/>
  <c r="AK284" i="13"/>
  <c r="AK283" i="13"/>
  <c r="AJ319" i="13"/>
  <c r="AJ293" i="13"/>
  <c r="AJ291" i="13"/>
  <c r="AJ339" i="13"/>
  <c r="AJ338" i="13"/>
  <c r="AJ335" i="13"/>
  <c r="AJ333" i="13"/>
  <c r="AJ331" i="13"/>
  <c r="AJ330" i="13"/>
  <c r="AJ329" i="13"/>
  <c r="AJ326" i="13"/>
  <c r="AJ322" i="13"/>
  <c r="AJ320" i="13"/>
  <c r="AJ314" i="13"/>
  <c r="AJ313" i="13"/>
  <c r="AJ311" i="13"/>
  <c r="AJ306" i="13"/>
  <c r="AJ305" i="13"/>
  <c r="AJ304" i="13"/>
  <c r="AJ303" i="13"/>
  <c r="AJ302" i="13"/>
  <c r="AJ301" i="13"/>
  <c r="AJ300" i="13"/>
  <c r="AJ299" i="13"/>
  <c r="AJ298" i="13"/>
  <c r="AJ296" i="13"/>
  <c r="AJ295" i="13"/>
  <c r="AJ294" i="13"/>
  <c r="AJ292" i="13"/>
  <c r="AJ290" i="13"/>
  <c r="AJ289" i="13"/>
  <c r="AJ288" i="13"/>
  <c r="AJ287" i="13"/>
  <c r="AJ286" i="13"/>
  <c r="AJ284" i="13"/>
  <c r="AJ283" i="13"/>
  <c r="AJ332" i="13"/>
  <c r="AJ334" i="13"/>
  <c r="AJ308" i="13"/>
  <c r="AJ337" i="13"/>
  <c r="AJ324" i="13"/>
  <c r="AJ315" i="13"/>
  <c r="AJ340" i="13"/>
  <c r="AJ280" i="13"/>
  <c r="AJ279" i="13"/>
  <c r="AK74" i="13"/>
  <c r="AJ74" i="13"/>
  <c r="AK307" i="13"/>
  <c r="AJ307" i="13"/>
  <c r="AK278" i="13"/>
  <c r="AN281" i="13"/>
  <c r="AO281" i="13"/>
  <c r="AP281" i="13"/>
  <c r="AQ281" i="13"/>
  <c r="AR281" i="13"/>
  <c r="AS281" i="13"/>
  <c r="AT281" i="13"/>
  <c r="AU281" i="13"/>
  <c r="AV281" i="13"/>
  <c r="AW281" i="13"/>
  <c r="AX281" i="13"/>
  <c r="AY281" i="13"/>
  <c r="AZ281" i="13"/>
  <c r="BA281" i="13"/>
  <c r="BB281" i="13"/>
  <c r="BC281" i="13"/>
  <c r="BD281" i="13"/>
  <c r="BE281" i="13"/>
  <c r="BF281" i="13"/>
  <c r="BG281" i="13"/>
  <c r="BH281" i="13"/>
  <c r="BI281" i="13"/>
  <c r="BJ281" i="13"/>
  <c r="BK281" i="13"/>
  <c r="BL281" i="13"/>
  <c r="BM281" i="13"/>
  <c r="AK281" i="13"/>
  <c r="AJ281" i="13"/>
  <c r="AK327" i="13"/>
  <c r="AJ327" i="13"/>
  <c r="AJ321" i="13"/>
  <c r="AK248" i="13"/>
  <c r="AK150" i="13"/>
  <c r="AK173" i="13"/>
  <c r="AJ173" i="13"/>
  <c r="AK341" i="13"/>
  <c r="AN318" i="13"/>
  <c r="AO318" i="13"/>
  <c r="AP318" i="13"/>
  <c r="AQ318" i="13"/>
  <c r="AR318" i="13"/>
  <c r="AS318" i="13"/>
  <c r="AT318" i="13"/>
  <c r="AU318" i="13"/>
  <c r="AV318" i="13"/>
  <c r="AW318" i="13"/>
  <c r="AX318" i="13"/>
  <c r="AY318" i="13"/>
  <c r="AZ318" i="13"/>
  <c r="BA318" i="13"/>
  <c r="BB318" i="13"/>
  <c r="BC318" i="13"/>
  <c r="BD318" i="13"/>
  <c r="BE318" i="13"/>
  <c r="BF318" i="13"/>
  <c r="BG318" i="13"/>
  <c r="BH318" i="13"/>
  <c r="BI318" i="13"/>
  <c r="BJ318" i="13"/>
  <c r="BK318" i="13"/>
  <c r="BL318" i="13"/>
  <c r="BM318" i="13"/>
  <c r="AJ318" i="13"/>
  <c r="B5" i="13"/>
  <c r="K5" i="13"/>
  <c r="L5" i="13"/>
  <c r="N5" i="13"/>
  <c r="Q5" i="13"/>
  <c r="U5" i="13"/>
  <c r="V5" i="13"/>
  <c r="W5" i="13"/>
  <c r="X5" i="13"/>
  <c r="Y5" i="13"/>
  <c r="Z5" i="13"/>
  <c r="AA5" i="13"/>
  <c r="AB5" i="13"/>
  <c r="AC5" i="13"/>
  <c r="AD5" i="13"/>
  <c r="AE5" i="13"/>
  <c r="AF5" i="13"/>
  <c r="AG5" i="13"/>
  <c r="AH5" i="13"/>
  <c r="AI5" i="13"/>
  <c r="T1" i="13"/>
  <c r="AJ5" i="13"/>
  <c r="AJ13" i="13"/>
  <c r="T2" i="13"/>
  <c r="AJ32" i="13"/>
  <c r="AJ33" i="13"/>
  <c r="AJ34" i="13"/>
  <c r="AJ35" i="13"/>
  <c r="AJ36" i="13"/>
  <c r="AJ37" i="13"/>
  <c r="AJ38" i="13"/>
  <c r="AJ39" i="13"/>
  <c r="AJ40" i="13"/>
  <c r="AJ41" i="13"/>
  <c r="AJ42" i="13"/>
  <c r="AJ43" i="13"/>
  <c r="AJ44" i="13"/>
  <c r="AJ45" i="13"/>
  <c r="AJ46" i="13"/>
  <c r="AJ47" i="13"/>
  <c r="AJ48" i="13"/>
  <c r="AJ49" i="13"/>
  <c r="AJ50" i="13"/>
  <c r="AJ51" i="13"/>
  <c r="AJ52" i="13"/>
  <c r="AJ53" i="13"/>
  <c r="AJ54" i="13"/>
  <c r="AJ55" i="13"/>
  <c r="AJ56" i="13"/>
  <c r="AJ57" i="13"/>
  <c r="AJ58" i="13"/>
  <c r="AJ59" i="13"/>
  <c r="AJ60" i="13"/>
  <c r="AJ61" i="13"/>
  <c r="AJ62" i="13"/>
  <c r="AJ63" i="13"/>
  <c r="AJ64" i="13"/>
  <c r="AJ65" i="13"/>
  <c r="AJ66" i="13"/>
  <c r="AJ67" i="13"/>
  <c r="AJ68" i="13"/>
  <c r="AJ69" i="13"/>
  <c r="AJ70" i="13"/>
  <c r="AJ71" i="13"/>
  <c r="AJ72" i="13"/>
  <c r="AJ73" i="13"/>
  <c r="AJ75" i="13"/>
  <c r="AJ76" i="13"/>
  <c r="AJ77" i="13"/>
  <c r="AJ78" i="13"/>
  <c r="AJ79" i="13"/>
  <c r="AJ80" i="13"/>
  <c r="AJ81" i="13"/>
  <c r="AJ82" i="13"/>
  <c r="AJ83" i="13"/>
  <c r="AJ84" i="13"/>
  <c r="AJ85" i="13"/>
  <c r="AJ86" i="13"/>
  <c r="AJ87" i="13"/>
  <c r="AJ88" i="13"/>
  <c r="AJ89" i="13"/>
  <c r="AJ91" i="13"/>
  <c r="AJ92" i="13"/>
  <c r="AJ93" i="13"/>
  <c r="AJ94" i="13"/>
  <c r="AJ95" i="13"/>
  <c r="AJ96" i="13"/>
  <c r="AJ97" i="13"/>
  <c r="AJ98" i="13"/>
  <c r="AJ99" i="13"/>
  <c r="AJ100" i="13"/>
  <c r="AJ101" i="13"/>
  <c r="AJ102" i="13"/>
  <c r="AJ103" i="13"/>
  <c r="AJ104" i="13"/>
  <c r="AJ105" i="13"/>
  <c r="AJ107" i="13"/>
  <c r="AJ108" i="13"/>
  <c r="AJ109" i="13"/>
  <c r="AJ110" i="13"/>
  <c r="AJ111" i="13"/>
  <c r="AJ112" i="13"/>
  <c r="AJ113" i="13"/>
  <c r="AJ114" i="13"/>
  <c r="AJ115" i="13"/>
  <c r="AJ116" i="13"/>
  <c r="AJ117" i="13"/>
  <c r="AJ118" i="13"/>
  <c r="AJ119" i="13"/>
  <c r="AJ120" i="13"/>
  <c r="AJ121" i="13"/>
  <c r="AJ122" i="13"/>
  <c r="AJ123" i="13"/>
  <c r="AJ124" i="13"/>
  <c r="AJ125" i="13"/>
  <c r="AJ126" i="13"/>
  <c r="AJ127" i="13"/>
  <c r="AJ128" i="13"/>
  <c r="AJ129" i="13"/>
  <c r="AJ130" i="13"/>
  <c r="AJ131" i="13"/>
  <c r="AJ132" i="13"/>
  <c r="AJ133" i="13"/>
  <c r="AJ134" i="13"/>
  <c r="AJ135" i="13"/>
  <c r="AJ136" i="13"/>
  <c r="AJ137" i="13"/>
  <c r="AJ138" i="13"/>
  <c r="AJ139" i="13"/>
  <c r="AJ140" i="13"/>
  <c r="AJ141" i="13"/>
  <c r="AJ142" i="13"/>
  <c r="AJ143" i="13"/>
  <c r="AJ144" i="13"/>
  <c r="AJ145" i="13"/>
  <c r="AJ146" i="13"/>
  <c r="AJ147" i="13"/>
  <c r="AJ148" i="13"/>
  <c r="AJ149" i="13"/>
  <c r="AJ150" i="13"/>
  <c r="AJ151" i="13"/>
  <c r="AJ152" i="13"/>
  <c r="AJ153" i="13"/>
  <c r="AJ154" i="13"/>
  <c r="AJ155" i="13"/>
  <c r="AJ156" i="13"/>
  <c r="AJ157" i="13"/>
  <c r="AJ158" i="13"/>
  <c r="AJ159" i="13"/>
  <c r="AJ160" i="13"/>
  <c r="AJ161" i="13"/>
  <c r="AJ162" i="13"/>
  <c r="AJ163" i="13"/>
  <c r="AJ164" i="13"/>
  <c r="AJ165" i="13"/>
  <c r="AJ166" i="13"/>
  <c r="AJ167" i="13"/>
  <c r="AJ168" i="13"/>
  <c r="AJ169" i="13"/>
  <c r="AJ170" i="13"/>
  <c r="AJ171" i="13"/>
  <c r="AJ172" i="13"/>
  <c r="AJ174" i="13"/>
  <c r="AJ175" i="13"/>
  <c r="AJ176" i="13"/>
  <c r="AJ177" i="13"/>
  <c r="AJ178" i="13"/>
  <c r="AJ179" i="13"/>
  <c r="AJ180" i="13"/>
  <c r="AJ181" i="13"/>
  <c r="AJ182" i="13"/>
  <c r="AJ183" i="13"/>
  <c r="AJ184" i="13"/>
  <c r="AJ185" i="13"/>
  <c r="AJ186" i="13"/>
  <c r="AJ187" i="13"/>
  <c r="AJ188" i="13"/>
  <c r="AJ189" i="13"/>
  <c r="AJ190" i="13"/>
  <c r="AJ191" i="13"/>
  <c r="AJ192" i="13"/>
  <c r="AJ193" i="13"/>
  <c r="AJ194" i="13"/>
  <c r="AJ195" i="13"/>
  <c r="AJ196" i="13"/>
  <c r="AJ197" i="13"/>
  <c r="AJ198" i="13"/>
  <c r="AJ199" i="13"/>
  <c r="AJ200" i="13"/>
  <c r="AJ201" i="13"/>
  <c r="AJ202" i="13"/>
  <c r="AJ203" i="13"/>
  <c r="AJ204" i="13"/>
  <c r="AJ205" i="13"/>
  <c r="AJ206" i="13"/>
  <c r="AJ207" i="13"/>
  <c r="AJ208" i="13"/>
  <c r="AJ209" i="13"/>
  <c r="AJ210" i="13"/>
  <c r="AJ211" i="13"/>
  <c r="AJ212" i="13"/>
  <c r="AJ213" i="13"/>
  <c r="AJ214" i="13"/>
  <c r="AJ215" i="13"/>
  <c r="AJ216" i="13"/>
  <c r="AJ217" i="13"/>
  <c r="AJ218" i="13"/>
  <c r="AJ219" i="13"/>
  <c r="AJ220" i="13"/>
  <c r="AJ221" i="13"/>
  <c r="AJ222" i="13"/>
  <c r="AJ223" i="13"/>
  <c r="AJ224" i="13"/>
  <c r="AJ225" i="13"/>
  <c r="AJ226" i="13"/>
  <c r="AJ227" i="13"/>
  <c r="AJ228" i="13"/>
  <c r="AJ229" i="13"/>
  <c r="AJ230" i="13"/>
  <c r="AJ231" i="13"/>
  <c r="AJ232" i="13"/>
  <c r="AJ233" i="13"/>
  <c r="AJ234" i="13"/>
  <c r="AJ235" i="13"/>
  <c r="AJ236" i="13"/>
  <c r="AJ237" i="13"/>
  <c r="AJ238" i="13"/>
  <c r="AJ239" i="13"/>
  <c r="AJ240" i="13"/>
  <c r="AJ241" i="13"/>
  <c r="AJ242" i="13"/>
  <c r="AJ243" i="13"/>
  <c r="AJ244" i="13"/>
  <c r="AJ245" i="13"/>
  <c r="AJ246" i="13"/>
  <c r="AJ247" i="13"/>
  <c r="AJ248" i="13"/>
  <c r="AJ249" i="13"/>
  <c r="AJ250" i="13"/>
  <c r="AJ251" i="13"/>
  <c r="AJ252" i="13"/>
  <c r="AJ253" i="13"/>
  <c r="AJ254" i="13"/>
  <c r="AJ255" i="13"/>
  <c r="AJ256" i="13"/>
  <c r="AJ257" i="13"/>
  <c r="AJ258" i="13"/>
  <c r="AJ259" i="13"/>
  <c r="AJ260" i="13"/>
  <c r="AJ261" i="13"/>
  <c r="AJ262" i="13"/>
  <c r="AJ263" i="13"/>
  <c r="AJ264" i="13"/>
  <c r="AJ265" i="13"/>
  <c r="AJ266" i="13"/>
  <c r="AJ267" i="13"/>
  <c r="AJ268" i="13"/>
  <c r="AJ269" i="13"/>
  <c r="AJ270" i="13"/>
  <c r="AJ271" i="13"/>
  <c r="AJ272" i="13"/>
  <c r="AJ273" i="13"/>
  <c r="AJ274" i="13"/>
  <c r="AJ275" i="13"/>
  <c r="AJ276" i="13"/>
  <c r="AJ278" i="13"/>
  <c r="AJ341" i="13"/>
  <c r="AJ343" i="13"/>
  <c r="AJ344" i="13"/>
  <c r="AJ345" i="13"/>
  <c r="AJ347" i="13"/>
  <c r="AL26" i="13"/>
  <c r="AL27" i="13"/>
  <c r="AL25" i="13"/>
  <c r="AL24" i="13"/>
  <c r="AL23" i="13"/>
  <c r="AL22" i="13"/>
  <c r="AL17" i="13"/>
  <c r="AL16" i="13"/>
  <c r="AL15" i="13"/>
  <c r="AL14" i="13"/>
  <c r="AL13" i="13"/>
  <c r="AL12" i="13"/>
  <c r="AI19" i="13"/>
  <c r="AH19" i="13"/>
  <c r="AG19" i="13"/>
  <c r="AF19" i="13"/>
  <c r="AE19" i="13"/>
  <c r="AD19" i="13"/>
  <c r="AC19" i="13"/>
  <c r="AB19" i="13"/>
  <c r="AA19" i="13"/>
  <c r="Z19" i="13"/>
  <c r="Y19" i="13"/>
  <c r="X19" i="13"/>
  <c r="W19" i="13"/>
  <c r="V19" i="13"/>
  <c r="U19" i="13"/>
  <c r="Q19" i="13"/>
  <c r="N19" i="13"/>
  <c r="L19" i="13"/>
  <c r="K19" i="13"/>
  <c r="AI15" i="13"/>
  <c r="AH15" i="13"/>
  <c r="AG15" i="13"/>
  <c r="AF15" i="13"/>
  <c r="AE15" i="13"/>
  <c r="AD15" i="13"/>
  <c r="AC15" i="13"/>
  <c r="AB15" i="13"/>
  <c r="AA15" i="13"/>
  <c r="Z15" i="13"/>
  <c r="Y15" i="13"/>
  <c r="X15" i="13"/>
  <c r="W15" i="13"/>
  <c r="V15" i="13"/>
  <c r="U15" i="13"/>
  <c r="T15" i="13"/>
  <c r="S15" i="13"/>
  <c r="R15" i="13"/>
  <c r="Q15" i="13"/>
  <c r="P15" i="13"/>
  <c r="O15" i="13"/>
  <c r="N15" i="13"/>
  <c r="M15" i="13"/>
  <c r="L15" i="13"/>
  <c r="K15" i="13"/>
  <c r="J15" i="13"/>
  <c r="I15" i="13"/>
  <c r="H15" i="13"/>
  <c r="G15" i="13"/>
  <c r="F15" i="13"/>
  <c r="E15" i="13"/>
  <c r="D15" i="13"/>
  <c r="C15" i="13"/>
  <c r="B15" i="13"/>
  <c r="AN278" i="13"/>
  <c r="AO278" i="13"/>
  <c r="AP278" i="13"/>
  <c r="AQ278" i="13"/>
  <c r="AR278" i="13"/>
  <c r="AS278" i="13"/>
  <c r="AT278" i="13"/>
  <c r="AU278" i="13"/>
  <c r="AV278" i="13"/>
  <c r="AW278" i="13"/>
  <c r="AX278" i="13"/>
  <c r="AY278" i="13"/>
  <c r="AZ278" i="13"/>
  <c r="BA278" i="13"/>
  <c r="BB278" i="13"/>
  <c r="BC278" i="13"/>
  <c r="BD278" i="13"/>
  <c r="BE278" i="13"/>
  <c r="BF278" i="13"/>
  <c r="BG278" i="13"/>
  <c r="BH278" i="13"/>
  <c r="BI278" i="13"/>
  <c r="BJ278" i="13"/>
  <c r="BK278" i="13"/>
  <c r="BL278" i="13"/>
  <c r="BM278" i="13"/>
  <c r="B19" i="13"/>
  <c r="AI14" i="13"/>
  <c r="AH14" i="13"/>
  <c r="AG14" i="13"/>
  <c r="AF14" i="13"/>
  <c r="AE14" i="13"/>
  <c r="AD14" i="13"/>
  <c r="AC14" i="13"/>
  <c r="AB14" i="13"/>
  <c r="AA14" i="13"/>
  <c r="Z14" i="13"/>
  <c r="Y14" i="13"/>
  <c r="X14" i="13"/>
  <c r="W14" i="13"/>
  <c r="V14" i="13"/>
  <c r="U14" i="13"/>
  <c r="M1" i="13"/>
  <c r="AK103" i="13"/>
  <c r="AK46" i="13"/>
  <c r="AK231" i="13"/>
  <c r="AK133" i="13"/>
  <c r="AK107" i="13"/>
  <c r="AK128" i="13"/>
  <c r="AK179" i="13"/>
  <c r="AK171" i="13"/>
  <c r="AK144" i="13"/>
  <c r="AK227" i="13"/>
  <c r="AK228" i="13"/>
  <c r="AK239" i="13"/>
  <c r="AK203" i="13"/>
  <c r="R27" i="13"/>
  <c r="N27" i="13"/>
  <c r="M27" i="13"/>
  <c r="D27" i="13"/>
  <c r="C27" i="13"/>
  <c r="AK219" i="13"/>
  <c r="AK181" i="13"/>
  <c r="AK168" i="13"/>
  <c r="AK208" i="13"/>
  <c r="AK207" i="13"/>
  <c r="AK212" i="13"/>
  <c r="AK251" i="13"/>
  <c r="AK247" i="13"/>
  <c r="AK242" i="13"/>
  <c r="AK156" i="13"/>
  <c r="AK149" i="13"/>
  <c r="AK65" i="13"/>
  <c r="Q27" i="13"/>
  <c r="AK48" i="13"/>
  <c r="AK245" i="13"/>
  <c r="AK195" i="13"/>
  <c r="AK123" i="13"/>
  <c r="AK122" i="13"/>
  <c r="AK52" i="13"/>
  <c r="AK45" i="13"/>
  <c r="AK99" i="13"/>
  <c r="AK58" i="13"/>
  <c r="AK258" i="13"/>
  <c r="AK256" i="13"/>
  <c r="AK158" i="13"/>
  <c r="AK121" i="13"/>
  <c r="AK115" i="13"/>
  <c r="AK109" i="13"/>
  <c r="AK69" i="13"/>
  <c r="AK222" i="13"/>
  <c r="AK136" i="13"/>
  <c r="AK40" i="13"/>
  <c r="A1" i="4"/>
  <c r="AK200" i="13"/>
  <c r="AK84" i="13"/>
  <c r="AK263" i="13"/>
  <c r="AK110" i="13"/>
  <c r="AK202" i="13"/>
  <c r="AK223" i="13"/>
  <c r="AK47" i="13"/>
  <c r="AK187" i="13"/>
  <c r="AK188" i="13"/>
  <c r="AK146" i="13"/>
  <c r="AK229" i="13"/>
  <c r="AK262" i="13"/>
  <c r="AK186" i="13"/>
  <c r="AK71" i="13"/>
  <c r="AK255" i="13"/>
  <c r="AK225" i="13"/>
  <c r="AK135" i="13"/>
  <c r="AK140" i="13"/>
  <c r="AK119" i="13"/>
  <c r="AK9" i="3"/>
  <c r="AK85" i="13"/>
  <c r="AK112" i="13"/>
  <c r="AK152" i="13"/>
  <c r="AK246" i="13"/>
  <c r="AK240" i="13"/>
  <c r="AK138" i="13"/>
  <c r="AK64" i="13"/>
  <c r="AK32" i="13"/>
  <c r="AK33" i="13"/>
  <c r="AK68" i="13"/>
  <c r="AK63" i="13"/>
  <c r="AK111" i="13"/>
  <c r="AK86" i="13"/>
  <c r="AK199" i="13"/>
  <c r="AK82" i="13"/>
  <c r="AK105" i="13"/>
  <c r="AK163" i="13"/>
  <c r="AK104" i="13"/>
  <c r="AK89" i="13"/>
  <c r="AK148" i="13"/>
  <c r="AK113" i="13"/>
  <c r="AK238" i="13"/>
  <c r="AK191" i="13"/>
  <c r="AK273" i="13"/>
  <c r="AK268" i="13"/>
  <c r="AK267" i="13"/>
  <c r="AK261" i="13"/>
  <c r="AK259" i="13"/>
  <c r="AK252" i="13"/>
  <c r="AK250" i="13"/>
  <c r="AK241" i="13"/>
  <c r="AK237" i="13"/>
  <c r="AK236" i="13"/>
  <c r="AK235" i="13"/>
  <c r="AK226" i="13"/>
  <c r="AK217" i="13"/>
  <c r="AK209" i="13"/>
  <c r="AK204" i="13"/>
  <c r="AK198" i="13"/>
  <c r="AK194" i="13"/>
  <c r="AK192" i="13"/>
  <c r="AK189" i="13"/>
  <c r="AK183" i="13"/>
  <c r="AK178" i="13"/>
  <c r="AK175" i="13"/>
  <c r="AK174" i="13"/>
  <c r="AK167" i="13"/>
  <c r="AK157" i="13"/>
  <c r="AK153" i="13"/>
  <c r="AK142" i="13"/>
  <c r="AK141" i="13"/>
  <c r="AK134" i="13"/>
  <c r="AK131" i="13"/>
  <c r="AK130" i="13"/>
  <c r="AK124" i="13"/>
  <c r="AK93" i="13"/>
  <c r="AK92" i="13"/>
  <c r="AK77" i="13"/>
  <c r="AK76" i="13"/>
  <c r="AK75" i="13"/>
  <c r="AK72" i="13"/>
  <c r="AK70" i="13"/>
  <c r="AK60" i="13"/>
  <c r="AK59" i="13"/>
  <c r="AK56" i="13"/>
  <c r="AK54" i="13"/>
  <c r="AK50" i="13"/>
  <c r="AK42" i="13"/>
  <c r="AK35" i="13"/>
  <c r="AK206" i="13"/>
  <c r="AK257" i="13"/>
  <c r="AK73" i="13"/>
  <c r="AK97" i="13"/>
  <c r="AK79" i="13"/>
  <c r="AK44" i="13"/>
  <c r="AK221" i="13"/>
  <c r="AK78" i="13"/>
  <c r="AK162" i="13"/>
  <c r="AK87" i="13"/>
  <c r="AK193" i="13"/>
  <c r="AK266" i="13"/>
  <c r="AK95" i="13"/>
  <c r="AN35" i="13"/>
  <c r="AO35" i="13"/>
  <c r="AP35" i="13"/>
  <c r="AQ35" i="13"/>
  <c r="AR35" i="13"/>
  <c r="AS35" i="13"/>
  <c r="AT35" i="13"/>
  <c r="AU35" i="13"/>
  <c r="AV35" i="13"/>
  <c r="AW35" i="13"/>
  <c r="AX35" i="13"/>
  <c r="AY35" i="13"/>
  <c r="AZ35" i="13"/>
  <c r="BA35" i="13"/>
  <c r="BB35" i="13"/>
  <c r="BC35" i="13"/>
  <c r="BD35" i="13"/>
  <c r="BE35" i="13"/>
  <c r="BF35" i="13"/>
  <c r="BG35" i="13"/>
  <c r="BH35" i="13"/>
  <c r="BI35" i="13"/>
  <c r="BJ35" i="13"/>
  <c r="BK35" i="13"/>
  <c r="BL35" i="13"/>
  <c r="BM35" i="13"/>
  <c r="AK197" i="13"/>
  <c r="AK172" i="13"/>
  <c r="AK169" i="13"/>
  <c r="AK43" i="13"/>
  <c r="AK41" i="13"/>
  <c r="AK220" i="13"/>
  <c r="AK126" i="13"/>
  <c r="I27" i="13"/>
  <c r="A1" i="13"/>
  <c r="AK96" i="13"/>
  <c r="AK91" i="13"/>
  <c r="AK249" i="13"/>
  <c r="AK184" i="13"/>
  <c r="AK118" i="13"/>
  <c r="AK132" i="13"/>
  <c r="AK155" i="13"/>
  <c r="AI6" i="13"/>
  <c r="AH6" i="13"/>
  <c r="AG6" i="13"/>
  <c r="AF6" i="13"/>
  <c r="AE6" i="13"/>
  <c r="AD6" i="13"/>
  <c r="AC6" i="13"/>
  <c r="AB6" i="13"/>
  <c r="AA6" i="13"/>
  <c r="Z6" i="13"/>
  <c r="Y6" i="13"/>
  <c r="X6" i="13"/>
  <c r="W6" i="13"/>
  <c r="V6" i="13"/>
  <c r="U6" i="13"/>
  <c r="T6" i="13"/>
  <c r="S6" i="13"/>
  <c r="R6" i="13"/>
  <c r="Q6" i="13"/>
  <c r="P6" i="13"/>
  <c r="O6" i="13"/>
  <c r="N6" i="13"/>
  <c r="M6" i="13"/>
  <c r="L6" i="13"/>
  <c r="K6" i="13"/>
  <c r="J6" i="13"/>
  <c r="I6" i="13"/>
  <c r="H6" i="13"/>
  <c r="G6" i="13"/>
  <c r="F6" i="13"/>
  <c r="E6" i="13"/>
  <c r="D6" i="13"/>
  <c r="C6" i="13"/>
  <c r="B6" i="13"/>
  <c r="AK243" i="13"/>
  <c r="AK129" i="13"/>
  <c r="S27" i="13"/>
  <c r="AK127" i="13"/>
  <c r="AK102" i="13"/>
  <c r="AK117" i="13"/>
  <c r="AK101" i="13"/>
  <c r="AK274" i="13"/>
  <c r="AK57" i="13"/>
  <c r="AK98" i="13"/>
  <c r="P27" i="13"/>
  <c r="AK260" i="13"/>
  <c r="AK151" i="13"/>
  <c r="AK62" i="13"/>
  <c r="AK160" i="13"/>
  <c r="AK214" i="13"/>
  <c r="AK80" i="13"/>
  <c r="AK159" i="13"/>
  <c r="AK165" i="13"/>
  <c r="AK265" i="13"/>
  <c r="AK182" i="13"/>
  <c r="AK218" i="13"/>
  <c r="AK166" i="13"/>
  <c r="AK114" i="13"/>
  <c r="AK201" i="13"/>
  <c r="AK234" i="13"/>
  <c r="AK276" i="13"/>
  <c r="AK271" i="13"/>
  <c r="AK145" i="13"/>
  <c r="AI8" i="13"/>
  <c r="AH8" i="13"/>
  <c r="AG8" i="13"/>
  <c r="AF8" i="13"/>
  <c r="AE8" i="13"/>
  <c r="AD8" i="13"/>
  <c r="AC8" i="13"/>
  <c r="AB8" i="13"/>
  <c r="AA8" i="13"/>
  <c r="Z8" i="13"/>
  <c r="Y8" i="13"/>
  <c r="X8" i="13"/>
  <c r="W8" i="13"/>
  <c r="V8" i="13"/>
  <c r="U8" i="13"/>
  <c r="T8" i="13"/>
  <c r="S8" i="13"/>
  <c r="R8" i="13"/>
  <c r="Q8" i="13"/>
  <c r="P8" i="13"/>
  <c r="O8" i="13"/>
  <c r="N8" i="13"/>
  <c r="M8" i="13"/>
  <c r="L8" i="13"/>
  <c r="K8" i="13"/>
  <c r="J8" i="13"/>
  <c r="H8" i="13"/>
  <c r="I8" i="13"/>
  <c r="B8" i="13"/>
  <c r="C8" i="13"/>
  <c r="D8" i="13"/>
  <c r="E8" i="13"/>
  <c r="F8" i="13"/>
  <c r="G8" i="13"/>
  <c r="CL235" i="13"/>
  <c r="T25" i="13"/>
  <c r="S25" i="13"/>
  <c r="R25" i="13"/>
  <c r="Q25" i="13"/>
  <c r="P25" i="13"/>
  <c r="O25" i="13"/>
  <c r="L25" i="13"/>
  <c r="J25" i="13"/>
  <c r="I25" i="13"/>
  <c r="H25" i="13"/>
  <c r="G25" i="13"/>
  <c r="F25" i="13"/>
  <c r="D25" i="13"/>
  <c r="C25" i="13"/>
  <c r="B25" i="13"/>
  <c r="AI7" i="13"/>
  <c r="AH7" i="13"/>
  <c r="AG7" i="13"/>
  <c r="AF7" i="13"/>
  <c r="AE7" i="13"/>
  <c r="AD7" i="13"/>
  <c r="AC7" i="13"/>
  <c r="AB7" i="13"/>
  <c r="AA7" i="13"/>
  <c r="Z7" i="13"/>
  <c r="Y7" i="13"/>
  <c r="X7" i="13"/>
  <c r="W7" i="13"/>
  <c r="V7" i="13"/>
  <c r="U7" i="13"/>
  <c r="T7" i="13"/>
  <c r="S7" i="13"/>
  <c r="R7" i="13"/>
  <c r="Q7" i="13"/>
  <c r="P7" i="13"/>
  <c r="O7" i="13"/>
  <c r="N7" i="13"/>
  <c r="M7" i="13"/>
  <c r="L7" i="13"/>
  <c r="K7" i="13"/>
  <c r="J7" i="13"/>
  <c r="I7" i="13"/>
  <c r="H7" i="13"/>
  <c r="G7" i="13"/>
  <c r="F7" i="13"/>
  <c r="E7" i="13"/>
  <c r="D7" i="13"/>
  <c r="C7" i="13"/>
  <c r="B7" i="13"/>
  <c r="AI17" i="9"/>
  <c r="AH27" i="13"/>
  <c r="AG27" i="13"/>
  <c r="G27" i="13"/>
  <c r="K27" i="13"/>
  <c r="S1" i="13"/>
  <c r="AN50" i="13"/>
  <c r="AO50" i="13"/>
  <c r="AP50" i="13"/>
  <c r="AQ50" i="13"/>
  <c r="AR50" i="13"/>
  <c r="AS50" i="13"/>
  <c r="AT50" i="13"/>
  <c r="AU50" i="13"/>
  <c r="AV50" i="13"/>
  <c r="AW50" i="13"/>
  <c r="AX50" i="13"/>
  <c r="AY50" i="13"/>
  <c r="AZ50" i="13"/>
  <c r="BA50" i="13"/>
  <c r="BB50" i="13"/>
  <c r="BC50" i="13"/>
  <c r="BD50" i="13"/>
  <c r="BE50" i="13"/>
  <c r="BF50" i="13"/>
  <c r="BG50" i="13"/>
  <c r="BH50" i="13"/>
  <c r="BI50" i="13"/>
  <c r="BJ50" i="13"/>
  <c r="BK50" i="13"/>
  <c r="BL50" i="13"/>
  <c r="BM50" i="13"/>
  <c r="AD4" i="13"/>
  <c r="AE4" i="13"/>
  <c r="AF4" i="13"/>
  <c r="AD18" i="13"/>
  <c r="AD16" i="13"/>
  <c r="AE18" i="13"/>
  <c r="AE16" i="13"/>
  <c r="AF18" i="13"/>
  <c r="AF16" i="13"/>
  <c r="AD17" i="13"/>
  <c r="AE17" i="13"/>
  <c r="AF17" i="13"/>
  <c r="AD26" i="13"/>
  <c r="AE26" i="13"/>
  <c r="AF26" i="13"/>
  <c r="AD27" i="13"/>
  <c r="AE27" i="13"/>
  <c r="AF27" i="13"/>
  <c r="R26" i="13"/>
  <c r="R24" i="13"/>
  <c r="R17" i="13"/>
  <c r="R10" i="13"/>
  <c r="Q26" i="13"/>
  <c r="P26" i="13"/>
  <c r="O26" i="13"/>
  <c r="N26" i="13"/>
  <c r="M26" i="13"/>
  <c r="L26" i="13"/>
  <c r="K26" i="13"/>
  <c r="Q24" i="13"/>
  <c r="P24" i="13"/>
  <c r="O24" i="13"/>
  <c r="L24" i="13"/>
  <c r="Q18" i="13"/>
  <c r="N18" i="13"/>
  <c r="L18" i="13"/>
  <c r="K18" i="13"/>
  <c r="Q16" i="13"/>
  <c r="Q4" i="13"/>
  <c r="Q17" i="13"/>
  <c r="P17" i="13"/>
  <c r="O17" i="13"/>
  <c r="N16" i="13"/>
  <c r="N4" i="13"/>
  <c r="N17" i="13"/>
  <c r="M17" i="13"/>
  <c r="L16" i="13"/>
  <c r="L4" i="13"/>
  <c r="L17" i="13"/>
  <c r="K16" i="13"/>
  <c r="K4" i="13"/>
  <c r="K17" i="13"/>
  <c r="Q10" i="13"/>
  <c r="P10" i="13"/>
  <c r="O10" i="13"/>
  <c r="L10" i="13"/>
  <c r="AK264" i="13"/>
  <c r="T24" i="13"/>
  <c r="S24" i="13"/>
  <c r="J24" i="13"/>
  <c r="I24" i="13"/>
  <c r="H24" i="13"/>
  <c r="G24" i="13"/>
  <c r="F24" i="13"/>
  <c r="D24" i="13"/>
  <c r="C24" i="13"/>
  <c r="B24" i="13"/>
  <c r="AN72" i="13"/>
  <c r="AO72" i="13"/>
  <c r="AP72" i="13"/>
  <c r="AQ72" i="13"/>
  <c r="AR72" i="13"/>
  <c r="AS72" i="13"/>
  <c r="AT72" i="13"/>
  <c r="AU72" i="13"/>
  <c r="AV72" i="13"/>
  <c r="AW72" i="13"/>
  <c r="AX72" i="13"/>
  <c r="AY72" i="13"/>
  <c r="AZ72" i="13"/>
  <c r="BA72" i="13"/>
  <c r="BB72" i="13"/>
  <c r="BC72" i="13"/>
  <c r="BD72" i="13"/>
  <c r="BE72" i="13"/>
  <c r="BF72" i="13"/>
  <c r="BG72" i="13"/>
  <c r="BH72" i="13"/>
  <c r="BI72" i="13"/>
  <c r="BJ72" i="13"/>
  <c r="BK72" i="13"/>
  <c r="BL72" i="13"/>
  <c r="BM72" i="13"/>
  <c r="B26" i="13"/>
  <c r="AG26" i="13"/>
  <c r="V26" i="13"/>
  <c r="AI26" i="13"/>
  <c r="AH26" i="13"/>
  <c r="AC26" i="13"/>
  <c r="AB26" i="13"/>
  <c r="AA26" i="13"/>
  <c r="Z26" i="13"/>
  <c r="Y26" i="13"/>
  <c r="X26" i="13"/>
  <c r="W26" i="13"/>
  <c r="U26" i="13"/>
  <c r="T26" i="13"/>
  <c r="S26" i="13"/>
  <c r="J26" i="13"/>
  <c r="I26" i="13"/>
  <c r="H26" i="13"/>
  <c r="G26" i="13"/>
  <c r="F26" i="13"/>
  <c r="E26" i="13"/>
  <c r="D26" i="13"/>
  <c r="C26" i="13"/>
  <c r="V4" i="13"/>
  <c r="AP277" i="13"/>
  <c r="E31" i="13"/>
  <c r="T10" i="13"/>
  <c r="S10" i="13"/>
  <c r="J10" i="13"/>
  <c r="I10" i="13"/>
  <c r="H10" i="13"/>
  <c r="G10" i="13"/>
  <c r="F10" i="13"/>
  <c r="D10" i="13"/>
  <c r="C10" i="13"/>
  <c r="B10" i="13"/>
  <c r="B18" i="13"/>
  <c r="B16" i="13"/>
  <c r="BK341" i="13"/>
  <c r="BJ341" i="13"/>
  <c r="BI341" i="13"/>
  <c r="BH341" i="13"/>
  <c r="BG341" i="13"/>
  <c r="BF341" i="13"/>
  <c r="BE341" i="13"/>
  <c r="BD341" i="13"/>
  <c r="BC341" i="13"/>
  <c r="BB341" i="13"/>
  <c r="BA341" i="13"/>
  <c r="AZ341" i="13"/>
  <c r="AY341" i="13"/>
  <c r="AX341" i="13"/>
  <c r="AW341" i="13"/>
  <c r="AV341" i="13"/>
  <c r="AU341" i="13"/>
  <c r="AT341" i="13"/>
  <c r="AS341" i="13"/>
  <c r="AR341" i="13"/>
  <c r="AQ341" i="13"/>
  <c r="AP341" i="13"/>
  <c r="AO341" i="13"/>
  <c r="AN341" i="13"/>
  <c r="BK277" i="13"/>
  <c r="BJ277" i="13"/>
  <c r="BI277" i="13"/>
  <c r="BH277" i="13"/>
  <c r="BG277" i="13"/>
  <c r="BF277" i="13"/>
  <c r="BE277" i="13"/>
  <c r="BD277" i="13"/>
  <c r="BC277" i="13"/>
  <c r="BB277" i="13"/>
  <c r="BA277" i="13"/>
  <c r="AZ277" i="13"/>
  <c r="AY277" i="13"/>
  <c r="AX277" i="13"/>
  <c r="AW277" i="13"/>
  <c r="AV277" i="13"/>
  <c r="AU277" i="13"/>
  <c r="AT277" i="13"/>
  <c r="AS277" i="13"/>
  <c r="AR277" i="13"/>
  <c r="AQ277" i="13"/>
  <c r="AO277" i="13"/>
  <c r="AN277" i="13"/>
  <c r="BM31" i="13"/>
  <c r="AC30" i="13"/>
  <c r="AB30" i="13"/>
  <c r="AA30" i="13"/>
  <c r="Y30" i="13"/>
  <c r="C30" i="13"/>
  <c r="B30" i="13"/>
  <c r="AC29" i="13"/>
  <c r="AB29" i="13"/>
  <c r="AA29" i="13"/>
  <c r="Y29" i="13"/>
  <c r="G29" i="13"/>
  <c r="D29" i="13"/>
  <c r="C29" i="13"/>
  <c r="B29" i="13"/>
  <c r="BN14" i="13"/>
  <c r="AI18" i="13"/>
  <c r="W18" i="13"/>
  <c r="AF10" i="9"/>
  <c r="AE10" i="9"/>
  <c r="AD10" i="9"/>
  <c r="AC10" i="9"/>
  <c r="AB10" i="9"/>
  <c r="AA10" i="9"/>
  <c r="Z10" i="9"/>
  <c r="Y10" i="9"/>
  <c r="X10" i="9"/>
  <c r="W10" i="9"/>
  <c r="V10" i="9"/>
  <c r="U10" i="9"/>
  <c r="T10" i="9"/>
  <c r="S10" i="9"/>
  <c r="R10" i="9"/>
  <c r="Q10" i="9"/>
  <c r="P10" i="9"/>
  <c r="O10" i="9"/>
  <c r="N10" i="9"/>
  <c r="M10" i="9"/>
  <c r="L10" i="9"/>
  <c r="K10" i="9"/>
  <c r="J10" i="9"/>
  <c r="I10" i="9"/>
  <c r="H10" i="9"/>
  <c r="G10" i="9"/>
  <c r="F10" i="9"/>
  <c r="E10" i="9"/>
  <c r="D10" i="9"/>
  <c r="B10" i="9"/>
  <c r="S5" i="9"/>
  <c r="BI305" i="9"/>
  <c r="BH305" i="9"/>
  <c r="BG305" i="9"/>
  <c r="BF305" i="9"/>
  <c r="BE305" i="9"/>
  <c r="BD305" i="9"/>
  <c r="BC305" i="9"/>
  <c r="BB305" i="9"/>
  <c r="BA305" i="9"/>
  <c r="AZ305" i="9"/>
  <c r="AY305" i="9"/>
  <c r="AX305" i="9"/>
  <c r="AW305" i="9"/>
  <c r="AV305" i="9"/>
  <c r="AU305" i="9"/>
  <c r="AT305" i="9"/>
  <c r="AS305" i="9"/>
  <c r="AR305" i="9"/>
  <c r="AQ305" i="9"/>
  <c r="AP305" i="9"/>
  <c r="AO305" i="9"/>
  <c r="AN305" i="9"/>
  <c r="AM305" i="9"/>
  <c r="AL305" i="9"/>
  <c r="BJ305" i="9"/>
  <c r="BK305" i="9"/>
  <c r="BI334" i="9"/>
  <c r="BH334" i="9"/>
  <c r="BG334" i="9"/>
  <c r="BF334" i="9"/>
  <c r="BE334" i="9"/>
  <c r="BD334" i="9"/>
  <c r="BC334" i="9"/>
  <c r="BB334" i="9"/>
  <c r="BA334" i="9"/>
  <c r="AZ334" i="9"/>
  <c r="AY334" i="9"/>
  <c r="AX334" i="9"/>
  <c r="AW334" i="9"/>
  <c r="AV334" i="9"/>
  <c r="AU334" i="9"/>
  <c r="AT334" i="9"/>
  <c r="AS334" i="9"/>
  <c r="AR334" i="9"/>
  <c r="AQ334" i="9"/>
  <c r="AP334" i="9"/>
  <c r="AO334" i="9"/>
  <c r="AN334" i="9"/>
  <c r="AM334" i="9"/>
  <c r="AL334" i="9"/>
  <c r="BI333" i="9"/>
  <c r="BH333" i="9"/>
  <c r="BG333" i="9"/>
  <c r="BF333" i="9"/>
  <c r="BE333" i="9"/>
  <c r="BD333" i="9"/>
  <c r="BC333" i="9"/>
  <c r="BB333" i="9"/>
  <c r="BA333" i="9"/>
  <c r="AZ333" i="9"/>
  <c r="AY333" i="9"/>
  <c r="AX333" i="9"/>
  <c r="AW333" i="9"/>
  <c r="AV333" i="9"/>
  <c r="AU333" i="9"/>
  <c r="AT333" i="9"/>
  <c r="AS333" i="9"/>
  <c r="AR333" i="9"/>
  <c r="AQ333" i="9"/>
  <c r="AP333" i="9"/>
  <c r="AO333" i="9"/>
  <c r="AN333" i="9"/>
  <c r="AM333" i="9"/>
  <c r="AL333" i="9"/>
  <c r="BI332" i="9"/>
  <c r="BH332" i="9"/>
  <c r="BG332" i="9"/>
  <c r="BF332" i="9"/>
  <c r="BE332" i="9"/>
  <c r="BD332" i="9"/>
  <c r="BC332" i="9"/>
  <c r="BB332" i="9"/>
  <c r="BA332" i="9"/>
  <c r="AZ332" i="9"/>
  <c r="AY332" i="9"/>
  <c r="AX332" i="9"/>
  <c r="AW332" i="9"/>
  <c r="AV332" i="9"/>
  <c r="AU332" i="9"/>
  <c r="AT332" i="9"/>
  <c r="AS332" i="9"/>
  <c r="AR332" i="9"/>
  <c r="AQ332" i="9"/>
  <c r="AP332" i="9"/>
  <c r="AO332" i="9"/>
  <c r="AN332" i="9"/>
  <c r="AM332" i="9"/>
  <c r="AL332" i="9"/>
  <c r="BJ332" i="9"/>
  <c r="BI331" i="9"/>
  <c r="BH331" i="9"/>
  <c r="BG331" i="9"/>
  <c r="BF331" i="9"/>
  <c r="BE331" i="9"/>
  <c r="BD331" i="9"/>
  <c r="BC331" i="9"/>
  <c r="BB331" i="9"/>
  <c r="BA331" i="9"/>
  <c r="AZ331" i="9"/>
  <c r="AY331" i="9"/>
  <c r="AX331" i="9"/>
  <c r="AW331" i="9"/>
  <c r="AV331" i="9"/>
  <c r="AU331" i="9"/>
  <c r="AT331" i="9"/>
  <c r="AS331" i="9"/>
  <c r="AR331" i="9"/>
  <c r="AQ331" i="9"/>
  <c r="AP331" i="9"/>
  <c r="AO331" i="9"/>
  <c r="AN331" i="9"/>
  <c r="AM331" i="9"/>
  <c r="AL331" i="9"/>
  <c r="BJ331" i="9"/>
  <c r="BI330" i="9"/>
  <c r="BH330" i="9"/>
  <c r="BG330" i="9"/>
  <c r="BF330" i="9"/>
  <c r="BE330" i="9"/>
  <c r="BD330" i="9"/>
  <c r="BC330" i="9"/>
  <c r="BB330" i="9"/>
  <c r="BA330" i="9"/>
  <c r="AZ330" i="9"/>
  <c r="AY330" i="9"/>
  <c r="AX330" i="9"/>
  <c r="AW330" i="9"/>
  <c r="AV330" i="9"/>
  <c r="AU330" i="9"/>
  <c r="AT330" i="9"/>
  <c r="AS330" i="9"/>
  <c r="AR330" i="9"/>
  <c r="AQ330" i="9"/>
  <c r="AP330" i="9"/>
  <c r="AO330" i="9"/>
  <c r="AN330" i="9"/>
  <c r="AM330" i="9"/>
  <c r="AL330" i="9"/>
  <c r="BJ330" i="9"/>
  <c r="BI329" i="9"/>
  <c r="BH329" i="9"/>
  <c r="BG329" i="9"/>
  <c r="BF329" i="9"/>
  <c r="BE329" i="9"/>
  <c r="BD329" i="9"/>
  <c r="BC329" i="9"/>
  <c r="BB329" i="9"/>
  <c r="BA329" i="9"/>
  <c r="AZ329" i="9"/>
  <c r="AY329" i="9"/>
  <c r="AX329" i="9"/>
  <c r="AW329" i="9"/>
  <c r="AV329" i="9"/>
  <c r="AU329" i="9"/>
  <c r="AT329" i="9"/>
  <c r="AS329" i="9"/>
  <c r="AR329" i="9"/>
  <c r="AQ329" i="9"/>
  <c r="AP329" i="9"/>
  <c r="AO329" i="9"/>
  <c r="AN329" i="9"/>
  <c r="AM329" i="9"/>
  <c r="AL329" i="9"/>
  <c r="BJ329" i="9"/>
  <c r="BI328" i="9"/>
  <c r="BH328" i="9"/>
  <c r="BG328" i="9"/>
  <c r="BF328" i="9"/>
  <c r="BE328" i="9"/>
  <c r="BD328" i="9"/>
  <c r="BC328" i="9"/>
  <c r="BB328" i="9"/>
  <c r="BA328" i="9"/>
  <c r="AZ328" i="9"/>
  <c r="AY328" i="9"/>
  <c r="AX328" i="9"/>
  <c r="AW328" i="9"/>
  <c r="AV328" i="9"/>
  <c r="AU328" i="9"/>
  <c r="AT328" i="9"/>
  <c r="AS328" i="9"/>
  <c r="AR328" i="9"/>
  <c r="AQ328" i="9"/>
  <c r="AP328" i="9"/>
  <c r="AO328" i="9"/>
  <c r="AN328" i="9"/>
  <c r="AM328" i="9"/>
  <c r="AL328" i="9"/>
  <c r="BJ328" i="9"/>
  <c r="BI327" i="9"/>
  <c r="BH327" i="9"/>
  <c r="BG327" i="9"/>
  <c r="BF327" i="9"/>
  <c r="BE327" i="9"/>
  <c r="BD327" i="9"/>
  <c r="BC327" i="9"/>
  <c r="BB327" i="9"/>
  <c r="BA327" i="9"/>
  <c r="AZ327" i="9"/>
  <c r="AY327" i="9"/>
  <c r="AX327" i="9"/>
  <c r="AW327" i="9"/>
  <c r="AV327" i="9"/>
  <c r="AU327" i="9"/>
  <c r="AT327" i="9"/>
  <c r="AS327" i="9"/>
  <c r="AR327" i="9"/>
  <c r="AQ327" i="9"/>
  <c r="AP327" i="9"/>
  <c r="AO327" i="9"/>
  <c r="AN327" i="9"/>
  <c r="AM327" i="9"/>
  <c r="AL327" i="9"/>
  <c r="BJ327" i="9"/>
  <c r="BI326" i="9"/>
  <c r="BH326" i="9"/>
  <c r="BG326" i="9"/>
  <c r="BF326" i="9"/>
  <c r="BE326" i="9"/>
  <c r="BD326" i="9"/>
  <c r="BC326" i="9"/>
  <c r="BB326" i="9"/>
  <c r="BA326" i="9"/>
  <c r="AZ326" i="9"/>
  <c r="AY326" i="9"/>
  <c r="AX326" i="9"/>
  <c r="AW326" i="9"/>
  <c r="AV326" i="9"/>
  <c r="AU326" i="9"/>
  <c r="AT326" i="9"/>
  <c r="AS326" i="9"/>
  <c r="AR326" i="9"/>
  <c r="AQ326" i="9"/>
  <c r="AP326" i="9"/>
  <c r="AO326" i="9"/>
  <c r="AN326" i="9"/>
  <c r="AM326" i="9"/>
  <c r="AL326" i="9"/>
  <c r="BJ326" i="9"/>
  <c r="BI325" i="9"/>
  <c r="BH325" i="9"/>
  <c r="BG325" i="9"/>
  <c r="BF325" i="9"/>
  <c r="BE325" i="9"/>
  <c r="BD325" i="9"/>
  <c r="BC325" i="9"/>
  <c r="BB325" i="9"/>
  <c r="BA325" i="9"/>
  <c r="AZ325" i="9"/>
  <c r="AY325" i="9"/>
  <c r="AX325" i="9"/>
  <c r="AW325" i="9"/>
  <c r="AV325" i="9"/>
  <c r="AU325" i="9"/>
  <c r="AT325" i="9"/>
  <c r="AS325" i="9"/>
  <c r="AR325" i="9"/>
  <c r="AQ325" i="9"/>
  <c r="AP325" i="9"/>
  <c r="AO325" i="9"/>
  <c r="AN325" i="9"/>
  <c r="AM325" i="9"/>
  <c r="AL325" i="9"/>
  <c r="BJ325" i="9"/>
  <c r="BI324" i="9"/>
  <c r="BH324" i="9"/>
  <c r="BG324" i="9"/>
  <c r="BF324" i="9"/>
  <c r="BE324" i="9"/>
  <c r="BD324" i="9"/>
  <c r="BC324" i="9"/>
  <c r="BB324" i="9"/>
  <c r="BA324" i="9"/>
  <c r="AZ324" i="9"/>
  <c r="AY324" i="9"/>
  <c r="AX324" i="9"/>
  <c r="AW324" i="9"/>
  <c r="AV324" i="9"/>
  <c r="AU324" i="9"/>
  <c r="AT324" i="9"/>
  <c r="AS324" i="9"/>
  <c r="AR324" i="9"/>
  <c r="AQ324" i="9"/>
  <c r="AP324" i="9"/>
  <c r="AO324" i="9"/>
  <c r="AN324" i="9"/>
  <c r="AM324" i="9"/>
  <c r="AL324" i="9"/>
  <c r="BI323" i="9"/>
  <c r="BH323" i="9"/>
  <c r="BG323" i="9"/>
  <c r="BF323" i="9"/>
  <c r="BE323" i="9"/>
  <c r="BD323" i="9"/>
  <c r="BC323" i="9"/>
  <c r="BB323" i="9"/>
  <c r="BA323" i="9"/>
  <c r="AZ323" i="9"/>
  <c r="AY323" i="9"/>
  <c r="AX323" i="9"/>
  <c r="AW323" i="9"/>
  <c r="AV323" i="9"/>
  <c r="AU323" i="9"/>
  <c r="AT323" i="9"/>
  <c r="AS323" i="9"/>
  <c r="AR323" i="9"/>
  <c r="AQ323" i="9"/>
  <c r="AP323" i="9"/>
  <c r="AO323" i="9"/>
  <c r="AN323" i="9"/>
  <c r="AM323" i="9"/>
  <c r="AL323" i="9"/>
  <c r="BI322" i="9"/>
  <c r="BH322" i="9"/>
  <c r="BG322" i="9"/>
  <c r="BF322" i="9"/>
  <c r="BE322" i="9"/>
  <c r="BD322" i="9"/>
  <c r="BC322" i="9"/>
  <c r="BB322" i="9"/>
  <c r="BA322" i="9"/>
  <c r="AZ322" i="9"/>
  <c r="AY322" i="9"/>
  <c r="AX322" i="9"/>
  <c r="AW322" i="9"/>
  <c r="AV322" i="9"/>
  <c r="AU322" i="9"/>
  <c r="AT322" i="9"/>
  <c r="AS322" i="9"/>
  <c r="AR322" i="9"/>
  <c r="AQ322" i="9"/>
  <c r="AP322" i="9"/>
  <c r="AO322" i="9"/>
  <c r="AN322" i="9"/>
  <c r="AM322" i="9"/>
  <c r="AL322" i="9"/>
  <c r="BJ322" i="9"/>
  <c r="BI321" i="9"/>
  <c r="BH321" i="9"/>
  <c r="BG321" i="9"/>
  <c r="BF321" i="9"/>
  <c r="BE321" i="9"/>
  <c r="BD321" i="9"/>
  <c r="BC321" i="9"/>
  <c r="BB321" i="9"/>
  <c r="BA321" i="9"/>
  <c r="AZ321" i="9"/>
  <c r="AY321" i="9"/>
  <c r="AX321" i="9"/>
  <c r="AW321" i="9"/>
  <c r="AV321" i="9"/>
  <c r="AU321" i="9"/>
  <c r="AT321" i="9"/>
  <c r="AS321" i="9"/>
  <c r="AR321" i="9"/>
  <c r="AQ321" i="9"/>
  <c r="AP321" i="9"/>
  <c r="AO321" i="9"/>
  <c r="AN321" i="9"/>
  <c r="AM321" i="9"/>
  <c r="AL321" i="9"/>
  <c r="BJ321" i="9"/>
  <c r="BI320" i="9"/>
  <c r="BH320" i="9"/>
  <c r="BG320" i="9"/>
  <c r="BF320" i="9"/>
  <c r="BE320" i="9"/>
  <c r="BD320" i="9"/>
  <c r="BC320" i="9"/>
  <c r="BB320" i="9"/>
  <c r="BA320" i="9"/>
  <c r="AZ320" i="9"/>
  <c r="AY320" i="9"/>
  <c r="AX320" i="9"/>
  <c r="AW320" i="9"/>
  <c r="AV320" i="9"/>
  <c r="AU320" i="9"/>
  <c r="AT320" i="9"/>
  <c r="AS320" i="9"/>
  <c r="AR320" i="9"/>
  <c r="AQ320" i="9"/>
  <c r="AP320" i="9"/>
  <c r="AO320" i="9"/>
  <c r="AN320" i="9"/>
  <c r="AM320" i="9"/>
  <c r="AL320" i="9"/>
  <c r="BJ320" i="9"/>
  <c r="BI319" i="9"/>
  <c r="BH319" i="9"/>
  <c r="BG319" i="9"/>
  <c r="BF319" i="9"/>
  <c r="BE319" i="9"/>
  <c r="BD319" i="9"/>
  <c r="BC319" i="9"/>
  <c r="BB319" i="9"/>
  <c r="BA319" i="9"/>
  <c r="AZ319" i="9"/>
  <c r="AY319" i="9"/>
  <c r="AX319" i="9"/>
  <c r="AW319" i="9"/>
  <c r="AV319" i="9"/>
  <c r="AU319" i="9"/>
  <c r="AT319" i="9"/>
  <c r="AS319" i="9"/>
  <c r="AR319" i="9"/>
  <c r="AQ319" i="9"/>
  <c r="AP319" i="9"/>
  <c r="AO319" i="9"/>
  <c r="AN319" i="9"/>
  <c r="AM319" i="9"/>
  <c r="AL319" i="9"/>
  <c r="BJ319" i="9"/>
  <c r="BI318" i="9"/>
  <c r="BH318" i="9"/>
  <c r="BG318" i="9"/>
  <c r="BF318" i="9"/>
  <c r="BE318" i="9"/>
  <c r="BD318" i="9"/>
  <c r="BC318" i="9"/>
  <c r="BB318" i="9"/>
  <c r="BA318" i="9"/>
  <c r="AZ318" i="9"/>
  <c r="AY318" i="9"/>
  <c r="AX318" i="9"/>
  <c r="AW318" i="9"/>
  <c r="AV318" i="9"/>
  <c r="AU318" i="9"/>
  <c r="AT318" i="9"/>
  <c r="AS318" i="9"/>
  <c r="AR318" i="9"/>
  <c r="AQ318" i="9"/>
  <c r="AP318" i="9"/>
  <c r="AO318" i="9"/>
  <c r="AN318" i="9"/>
  <c r="AM318" i="9"/>
  <c r="AL318" i="9"/>
  <c r="BJ318" i="9"/>
  <c r="BI317" i="9"/>
  <c r="BH317" i="9"/>
  <c r="BG317" i="9"/>
  <c r="BF317" i="9"/>
  <c r="BE317" i="9"/>
  <c r="BD317" i="9"/>
  <c r="BC317" i="9"/>
  <c r="BB317" i="9"/>
  <c r="BA317" i="9"/>
  <c r="AZ317" i="9"/>
  <c r="AY317" i="9"/>
  <c r="AX317" i="9"/>
  <c r="AW317" i="9"/>
  <c r="AV317" i="9"/>
  <c r="AU317" i="9"/>
  <c r="AT317" i="9"/>
  <c r="AS317" i="9"/>
  <c r="AR317" i="9"/>
  <c r="AQ317" i="9"/>
  <c r="AP317" i="9"/>
  <c r="AO317" i="9"/>
  <c r="AN317" i="9"/>
  <c r="AM317" i="9"/>
  <c r="AL317" i="9"/>
  <c r="BJ317" i="9"/>
  <c r="BI316" i="9"/>
  <c r="BH316" i="9"/>
  <c r="BG316" i="9"/>
  <c r="BF316" i="9"/>
  <c r="BE316" i="9"/>
  <c r="BD316" i="9"/>
  <c r="BC316" i="9"/>
  <c r="BB316" i="9"/>
  <c r="BA316" i="9"/>
  <c r="AZ316" i="9"/>
  <c r="AY316" i="9"/>
  <c r="AX316" i="9"/>
  <c r="AW316" i="9"/>
  <c r="AV316" i="9"/>
  <c r="AU316" i="9"/>
  <c r="AT316" i="9"/>
  <c r="AS316" i="9"/>
  <c r="AR316" i="9"/>
  <c r="AQ316" i="9"/>
  <c r="AP316" i="9"/>
  <c r="AO316" i="9"/>
  <c r="AN316" i="9"/>
  <c r="AM316" i="9"/>
  <c r="AL316" i="9"/>
  <c r="BJ316" i="9"/>
  <c r="BI315" i="9"/>
  <c r="BH315" i="9"/>
  <c r="BG315" i="9"/>
  <c r="BF315" i="9"/>
  <c r="BE315" i="9"/>
  <c r="BD315" i="9"/>
  <c r="BC315" i="9"/>
  <c r="BB315" i="9"/>
  <c r="BA315" i="9"/>
  <c r="AZ315" i="9"/>
  <c r="AY315" i="9"/>
  <c r="AX315" i="9"/>
  <c r="AW315" i="9"/>
  <c r="AV315" i="9"/>
  <c r="AU315" i="9"/>
  <c r="AT315" i="9"/>
  <c r="AS315" i="9"/>
  <c r="AR315" i="9"/>
  <c r="AQ315" i="9"/>
  <c r="AP315" i="9"/>
  <c r="AO315" i="9"/>
  <c r="AN315" i="9"/>
  <c r="AM315" i="9"/>
  <c r="AL315" i="9"/>
  <c r="BJ315" i="9"/>
  <c r="BI314" i="9"/>
  <c r="BH314" i="9"/>
  <c r="BG314" i="9"/>
  <c r="BF314" i="9"/>
  <c r="BE314" i="9"/>
  <c r="BD314" i="9"/>
  <c r="BC314" i="9"/>
  <c r="BB314" i="9"/>
  <c r="BA314" i="9"/>
  <c r="AZ314" i="9"/>
  <c r="AY314" i="9"/>
  <c r="AX314" i="9"/>
  <c r="AW314" i="9"/>
  <c r="AV314" i="9"/>
  <c r="AU314" i="9"/>
  <c r="AT314" i="9"/>
  <c r="AS314" i="9"/>
  <c r="AR314" i="9"/>
  <c r="AQ314" i="9"/>
  <c r="AP314" i="9"/>
  <c r="AO314" i="9"/>
  <c r="AN314" i="9"/>
  <c r="AM314" i="9"/>
  <c r="AL314" i="9"/>
  <c r="BJ314" i="9"/>
  <c r="BK314" i="9"/>
  <c r="BI313" i="9"/>
  <c r="BH313" i="9"/>
  <c r="BG313" i="9"/>
  <c r="BF313" i="9"/>
  <c r="BE313" i="9"/>
  <c r="BD313" i="9"/>
  <c r="BC313" i="9"/>
  <c r="BB313" i="9"/>
  <c r="BA313" i="9"/>
  <c r="AZ313" i="9"/>
  <c r="AY313" i="9"/>
  <c r="AX313" i="9"/>
  <c r="AW313" i="9"/>
  <c r="AV313" i="9"/>
  <c r="AU313" i="9"/>
  <c r="AT313" i="9"/>
  <c r="AS313" i="9"/>
  <c r="AR313" i="9"/>
  <c r="AQ313" i="9"/>
  <c r="AP313" i="9"/>
  <c r="AO313" i="9"/>
  <c r="AN313" i="9"/>
  <c r="AM313" i="9"/>
  <c r="AL313" i="9"/>
  <c r="BJ313" i="9"/>
  <c r="BI312" i="9"/>
  <c r="BH312" i="9"/>
  <c r="BG312" i="9"/>
  <c r="BF312" i="9"/>
  <c r="BE312" i="9"/>
  <c r="BD312" i="9"/>
  <c r="BC312" i="9"/>
  <c r="BB312" i="9"/>
  <c r="BA312" i="9"/>
  <c r="AZ312" i="9"/>
  <c r="AY312" i="9"/>
  <c r="AX312" i="9"/>
  <c r="AW312" i="9"/>
  <c r="AV312" i="9"/>
  <c r="AU312" i="9"/>
  <c r="AT312" i="9"/>
  <c r="AS312" i="9"/>
  <c r="AR312" i="9"/>
  <c r="AQ312" i="9"/>
  <c r="AP312" i="9"/>
  <c r="AO312" i="9"/>
  <c r="AN312" i="9"/>
  <c r="AM312" i="9"/>
  <c r="AL312" i="9"/>
  <c r="BJ312" i="9"/>
  <c r="BI311" i="9"/>
  <c r="BH311" i="9"/>
  <c r="BG311" i="9"/>
  <c r="BF311" i="9"/>
  <c r="BE311" i="9"/>
  <c r="BD311" i="9"/>
  <c r="BC311" i="9"/>
  <c r="BB311" i="9"/>
  <c r="BA311" i="9"/>
  <c r="AZ311" i="9"/>
  <c r="AY311" i="9"/>
  <c r="AX311" i="9"/>
  <c r="AW311" i="9"/>
  <c r="AV311" i="9"/>
  <c r="AU311" i="9"/>
  <c r="AT311" i="9"/>
  <c r="AS311" i="9"/>
  <c r="AR311" i="9"/>
  <c r="AQ311" i="9"/>
  <c r="AP311" i="9"/>
  <c r="AO311" i="9"/>
  <c r="AN311" i="9"/>
  <c r="AM311" i="9"/>
  <c r="AL311" i="9"/>
  <c r="BJ311" i="9"/>
  <c r="BI310" i="9"/>
  <c r="BH310" i="9"/>
  <c r="BG310" i="9"/>
  <c r="BF310" i="9"/>
  <c r="BE310" i="9"/>
  <c r="BD310" i="9"/>
  <c r="BC310" i="9"/>
  <c r="BB310" i="9"/>
  <c r="BA310" i="9"/>
  <c r="AZ310" i="9"/>
  <c r="AY310" i="9"/>
  <c r="AX310" i="9"/>
  <c r="AW310" i="9"/>
  <c r="AV310" i="9"/>
  <c r="AU310" i="9"/>
  <c r="AT310" i="9"/>
  <c r="AS310" i="9"/>
  <c r="AR310" i="9"/>
  <c r="AQ310" i="9"/>
  <c r="AP310" i="9"/>
  <c r="AO310" i="9"/>
  <c r="AN310" i="9"/>
  <c r="AM310" i="9"/>
  <c r="AL310" i="9"/>
  <c r="BJ310" i="9"/>
  <c r="BI309" i="9"/>
  <c r="BH309" i="9"/>
  <c r="BG309" i="9"/>
  <c r="BF309" i="9"/>
  <c r="BE309" i="9"/>
  <c r="BD309" i="9"/>
  <c r="BC309" i="9"/>
  <c r="BB309" i="9"/>
  <c r="BA309" i="9"/>
  <c r="AZ309" i="9"/>
  <c r="AY309" i="9"/>
  <c r="AX309" i="9"/>
  <c r="AW309" i="9"/>
  <c r="AV309" i="9"/>
  <c r="AU309" i="9"/>
  <c r="AT309" i="9"/>
  <c r="AS309" i="9"/>
  <c r="AR309" i="9"/>
  <c r="AQ309" i="9"/>
  <c r="AP309" i="9"/>
  <c r="AO309" i="9"/>
  <c r="AN309" i="9"/>
  <c r="AM309" i="9"/>
  <c r="AL309" i="9"/>
  <c r="BJ309" i="9"/>
  <c r="BI308" i="9"/>
  <c r="BH308" i="9"/>
  <c r="BG308" i="9"/>
  <c r="BF308" i="9"/>
  <c r="BE308" i="9"/>
  <c r="BD308" i="9"/>
  <c r="BC308" i="9"/>
  <c r="BB308" i="9"/>
  <c r="BA308" i="9"/>
  <c r="AZ308" i="9"/>
  <c r="AY308" i="9"/>
  <c r="AX308" i="9"/>
  <c r="AW308" i="9"/>
  <c r="AV308" i="9"/>
  <c r="AU308" i="9"/>
  <c r="AT308" i="9"/>
  <c r="AS308" i="9"/>
  <c r="AR308" i="9"/>
  <c r="AQ308" i="9"/>
  <c r="AP308" i="9"/>
  <c r="AO308" i="9"/>
  <c r="AN308" i="9"/>
  <c r="AM308" i="9"/>
  <c r="AL308" i="9"/>
  <c r="BJ308" i="9"/>
  <c r="BI307" i="9"/>
  <c r="BH307" i="9"/>
  <c r="BG307" i="9"/>
  <c r="BF307" i="9"/>
  <c r="BE307" i="9"/>
  <c r="BD307" i="9"/>
  <c r="BC307" i="9"/>
  <c r="BB307" i="9"/>
  <c r="BA307" i="9"/>
  <c r="AZ307" i="9"/>
  <c r="AY307" i="9"/>
  <c r="AX307" i="9"/>
  <c r="AW307" i="9"/>
  <c r="AV307" i="9"/>
  <c r="AU307" i="9"/>
  <c r="AT307" i="9"/>
  <c r="AS307" i="9"/>
  <c r="AR307" i="9"/>
  <c r="AQ307" i="9"/>
  <c r="AP307" i="9"/>
  <c r="AO307" i="9"/>
  <c r="AN307" i="9"/>
  <c r="AM307" i="9"/>
  <c r="AL307" i="9"/>
  <c r="BJ307" i="9"/>
  <c r="BI306" i="9"/>
  <c r="BH306" i="9"/>
  <c r="BG306" i="9"/>
  <c r="BF306" i="9"/>
  <c r="BE306" i="9"/>
  <c r="BD306" i="9"/>
  <c r="BC306" i="9"/>
  <c r="BB306" i="9"/>
  <c r="BA306" i="9"/>
  <c r="AZ306" i="9"/>
  <c r="AY306" i="9"/>
  <c r="AX306" i="9"/>
  <c r="AW306" i="9"/>
  <c r="AV306" i="9"/>
  <c r="AU306" i="9"/>
  <c r="AT306" i="9"/>
  <c r="AS306" i="9"/>
  <c r="AR306" i="9"/>
  <c r="AQ306" i="9"/>
  <c r="AP306" i="9"/>
  <c r="AO306" i="9"/>
  <c r="AN306" i="9"/>
  <c r="AM306" i="9"/>
  <c r="AL306" i="9"/>
  <c r="BJ306" i="9"/>
  <c r="BK306" i="9"/>
  <c r="BI304" i="9"/>
  <c r="BH304" i="9"/>
  <c r="BG304" i="9"/>
  <c r="BF304" i="9"/>
  <c r="BE304" i="9"/>
  <c r="BD304" i="9"/>
  <c r="BC304" i="9"/>
  <c r="BB304" i="9"/>
  <c r="BA304" i="9"/>
  <c r="AZ304" i="9"/>
  <c r="AY304" i="9"/>
  <c r="AX304" i="9"/>
  <c r="AW304" i="9"/>
  <c r="AV304" i="9"/>
  <c r="AU304" i="9"/>
  <c r="AT304" i="9"/>
  <c r="AS304" i="9"/>
  <c r="AR304" i="9"/>
  <c r="AQ304" i="9"/>
  <c r="AP304" i="9"/>
  <c r="AO304" i="9"/>
  <c r="AN304" i="9"/>
  <c r="AM304" i="9"/>
  <c r="AL304" i="9"/>
  <c r="BJ304" i="9"/>
  <c r="BI303" i="9"/>
  <c r="BH303" i="9"/>
  <c r="BG303" i="9"/>
  <c r="BF303" i="9"/>
  <c r="BE303" i="9"/>
  <c r="BD303" i="9"/>
  <c r="BC303" i="9"/>
  <c r="BB303" i="9"/>
  <c r="BA303" i="9"/>
  <c r="AZ303" i="9"/>
  <c r="AY303" i="9"/>
  <c r="AX303" i="9"/>
  <c r="AW303" i="9"/>
  <c r="AV303" i="9"/>
  <c r="AU303" i="9"/>
  <c r="AT303" i="9"/>
  <c r="AS303" i="9"/>
  <c r="AR303" i="9"/>
  <c r="AQ303" i="9"/>
  <c r="AP303" i="9"/>
  <c r="AO303" i="9"/>
  <c r="AN303" i="9"/>
  <c r="AM303" i="9"/>
  <c r="AL303" i="9"/>
  <c r="BJ303" i="9"/>
  <c r="BI302" i="9"/>
  <c r="BH302" i="9"/>
  <c r="BG302" i="9"/>
  <c r="BF302" i="9"/>
  <c r="BE302" i="9"/>
  <c r="BD302" i="9"/>
  <c r="BC302" i="9"/>
  <c r="BB302" i="9"/>
  <c r="BA302" i="9"/>
  <c r="AZ302" i="9"/>
  <c r="AY302" i="9"/>
  <c r="AX302" i="9"/>
  <c r="AW302" i="9"/>
  <c r="AV302" i="9"/>
  <c r="AU302" i="9"/>
  <c r="AT302" i="9"/>
  <c r="AS302" i="9"/>
  <c r="AR302" i="9"/>
  <c r="AQ302" i="9"/>
  <c r="AP302" i="9"/>
  <c r="AO302" i="9"/>
  <c r="AN302" i="9"/>
  <c r="AM302" i="9"/>
  <c r="AL302" i="9"/>
  <c r="BJ302" i="9"/>
  <c r="BI301" i="9"/>
  <c r="BH301" i="9"/>
  <c r="BG301" i="9"/>
  <c r="BF301" i="9"/>
  <c r="BE301" i="9"/>
  <c r="BD301" i="9"/>
  <c r="BC301" i="9"/>
  <c r="BB301" i="9"/>
  <c r="BA301" i="9"/>
  <c r="AZ301" i="9"/>
  <c r="AY301" i="9"/>
  <c r="AX301" i="9"/>
  <c r="AW301" i="9"/>
  <c r="AV301" i="9"/>
  <c r="AU301" i="9"/>
  <c r="AT301" i="9"/>
  <c r="AS301" i="9"/>
  <c r="AR301" i="9"/>
  <c r="AQ301" i="9"/>
  <c r="AP301" i="9"/>
  <c r="AO301" i="9"/>
  <c r="AN301" i="9"/>
  <c r="AM301" i="9"/>
  <c r="AL301" i="9"/>
  <c r="BJ301" i="9"/>
  <c r="BI300" i="9"/>
  <c r="BH300" i="9"/>
  <c r="BG300" i="9"/>
  <c r="BF300" i="9"/>
  <c r="BE300" i="9"/>
  <c r="BD300" i="9"/>
  <c r="BC300" i="9"/>
  <c r="BB300" i="9"/>
  <c r="BA300" i="9"/>
  <c r="AZ300" i="9"/>
  <c r="AY300" i="9"/>
  <c r="AX300" i="9"/>
  <c r="AW300" i="9"/>
  <c r="AV300" i="9"/>
  <c r="AU300" i="9"/>
  <c r="AT300" i="9"/>
  <c r="AS300" i="9"/>
  <c r="AR300" i="9"/>
  <c r="AQ300" i="9"/>
  <c r="AP300" i="9"/>
  <c r="AO300" i="9"/>
  <c r="AN300" i="9"/>
  <c r="AM300" i="9"/>
  <c r="AL300" i="9"/>
  <c r="BJ300" i="9"/>
  <c r="BI299" i="9"/>
  <c r="BH299" i="9"/>
  <c r="BG299" i="9"/>
  <c r="BF299" i="9"/>
  <c r="BE299" i="9"/>
  <c r="BD299" i="9"/>
  <c r="BC299" i="9"/>
  <c r="BB299" i="9"/>
  <c r="BA299" i="9"/>
  <c r="AZ299" i="9"/>
  <c r="AY299" i="9"/>
  <c r="AX299" i="9"/>
  <c r="AW299" i="9"/>
  <c r="AV299" i="9"/>
  <c r="AU299" i="9"/>
  <c r="AT299" i="9"/>
  <c r="AS299" i="9"/>
  <c r="AR299" i="9"/>
  <c r="AQ299" i="9"/>
  <c r="AP299" i="9"/>
  <c r="AO299" i="9"/>
  <c r="AN299" i="9"/>
  <c r="AM299" i="9"/>
  <c r="AL299" i="9"/>
  <c r="BJ299" i="9"/>
  <c r="BI298" i="9"/>
  <c r="BH298" i="9"/>
  <c r="BG298" i="9"/>
  <c r="BF298" i="9"/>
  <c r="BE298" i="9"/>
  <c r="BD298" i="9"/>
  <c r="BC298" i="9"/>
  <c r="BB298" i="9"/>
  <c r="BA298" i="9"/>
  <c r="AZ298" i="9"/>
  <c r="AY298" i="9"/>
  <c r="AX298" i="9"/>
  <c r="AW298" i="9"/>
  <c r="AV298" i="9"/>
  <c r="AU298" i="9"/>
  <c r="AT298" i="9"/>
  <c r="AS298" i="9"/>
  <c r="AR298" i="9"/>
  <c r="AQ298" i="9"/>
  <c r="AP298" i="9"/>
  <c r="AO298" i="9"/>
  <c r="AN298" i="9"/>
  <c r="AM298" i="9"/>
  <c r="AL298" i="9"/>
  <c r="BJ298" i="9"/>
  <c r="BK298" i="9"/>
  <c r="BI297" i="9"/>
  <c r="BH297" i="9"/>
  <c r="BG297" i="9"/>
  <c r="BF297" i="9"/>
  <c r="BE297" i="9"/>
  <c r="BD297" i="9"/>
  <c r="BC297" i="9"/>
  <c r="BB297" i="9"/>
  <c r="BA297" i="9"/>
  <c r="AZ297" i="9"/>
  <c r="AY297" i="9"/>
  <c r="AX297" i="9"/>
  <c r="AW297" i="9"/>
  <c r="AV297" i="9"/>
  <c r="AU297" i="9"/>
  <c r="AT297" i="9"/>
  <c r="AS297" i="9"/>
  <c r="AR297" i="9"/>
  <c r="AQ297" i="9"/>
  <c r="AP297" i="9"/>
  <c r="AO297" i="9"/>
  <c r="AN297" i="9"/>
  <c r="AM297" i="9"/>
  <c r="AL297" i="9"/>
  <c r="BJ297" i="9"/>
  <c r="BI296" i="9"/>
  <c r="BH296" i="9"/>
  <c r="BG296" i="9"/>
  <c r="BF296" i="9"/>
  <c r="BE296" i="9"/>
  <c r="BD296" i="9"/>
  <c r="BC296" i="9"/>
  <c r="BB296" i="9"/>
  <c r="BA296" i="9"/>
  <c r="AZ296" i="9"/>
  <c r="AY296" i="9"/>
  <c r="AX296" i="9"/>
  <c r="AW296" i="9"/>
  <c r="AV296" i="9"/>
  <c r="AU296" i="9"/>
  <c r="AT296" i="9"/>
  <c r="AS296" i="9"/>
  <c r="AR296" i="9"/>
  <c r="AQ296" i="9"/>
  <c r="AP296" i="9"/>
  <c r="AO296" i="9"/>
  <c r="AN296" i="9"/>
  <c r="AM296" i="9"/>
  <c r="AL296" i="9"/>
  <c r="BJ296" i="9"/>
  <c r="BI295" i="9"/>
  <c r="BH295" i="9"/>
  <c r="BG295" i="9"/>
  <c r="BF295" i="9"/>
  <c r="BE295" i="9"/>
  <c r="BD295" i="9"/>
  <c r="BC295" i="9"/>
  <c r="BB295" i="9"/>
  <c r="BA295" i="9"/>
  <c r="AZ295" i="9"/>
  <c r="AY295" i="9"/>
  <c r="AX295" i="9"/>
  <c r="AW295" i="9"/>
  <c r="AV295" i="9"/>
  <c r="AU295" i="9"/>
  <c r="AT295" i="9"/>
  <c r="AS295" i="9"/>
  <c r="AR295" i="9"/>
  <c r="AQ295" i="9"/>
  <c r="AP295" i="9"/>
  <c r="AO295" i="9"/>
  <c r="AN295" i="9"/>
  <c r="AM295" i="9"/>
  <c r="AL295" i="9"/>
  <c r="BJ295" i="9"/>
  <c r="BI293" i="9"/>
  <c r="BH293" i="9"/>
  <c r="BG293" i="9"/>
  <c r="BF293" i="9"/>
  <c r="BE293" i="9"/>
  <c r="BD293" i="9"/>
  <c r="BC293" i="9"/>
  <c r="BB293" i="9"/>
  <c r="BA293" i="9"/>
  <c r="AZ293" i="9"/>
  <c r="AY293" i="9"/>
  <c r="AX293" i="9"/>
  <c r="AW293" i="9"/>
  <c r="AV293" i="9"/>
  <c r="AU293" i="9"/>
  <c r="AT293" i="9"/>
  <c r="AS293" i="9"/>
  <c r="AR293" i="9"/>
  <c r="AQ293" i="9"/>
  <c r="AP293" i="9"/>
  <c r="AO293" i="9"/>
  <c r="AN293" i="9"/>
  <c r="AM293" i="9"/>
  <c r="AL293" i="9"/>
  <c r="BJ293" i="9"/>
  <c r="BI292" i="9"/>
  <c r="BH292" i="9"/>
  <c r="BG292" i="9"/>
  <c r="BF292" i="9"/>
  <c r="BE292" i="9"/>
  <c r="BD292" i="9"/>
  <c r="BC292" i="9"/>
  <c r="BB292" i="9"/>
  <c r="BA292" i="9"/>
  <c r="AZ292" i="9"/>
  <c r="AY292" i="9"/>
  <c r="AX292" i="9"/>
  <c r="AW292" i="9"/>
  <c r="AV292" i="9"/>
  <c r="AU292" i="9"/>
  <c r="AT292" i="9"/>
  <c r="AS292" i="9"/>
  <c r="AR292" i="9"/>
  <c r="AQ292" i="9"/>
  <c r="AP292" i="9"/>
  <c r="AO292" i="9"/>
  <c r="AN292" i="9"/>
  <c r="AM292" i="9"/>
  <c r="AL292" i="9"/>
  <c r="BI291" i="9"/>
  <c r="BH291" i="9"/>
  <c r="BG291" i="9"/>
  <c r="BF291" i="9"/>
  <c r="BE291" i="9"/>
  <c r="BD291" i="9"/>
  <c r="BC291" i="9"/>
  <c r="BB291" i="9"/>
  <c r="BA291" i="9"/>
  <c r="AZ291" i="9"/>
  <c r="AY291" i="9"/>
  <c r="AX291" i="9"/>
  <c r="AW291" i="9"/>
  <c r="AV291" i="9"/>
  <c r="AU291" i="9"/>
  <c r="AT291" i="9"/>
  <c r="AS291" i="9"/>
  <c r="AR291" i="9"/>
  <c r="AQ291" i="9"/>
  <c r="AP291" i="9"/>
  <c r="AO291" i="9"/>
  <c r="AN291" i="9"/>
  <c r="AM291" i="9"/>
  <c r="AL291" i="9"/>
  <c r="BJ291" i="9"/>
  <c r="BI290" i="9"/>
  <c r="BH290" i="9"/>
  <c r="BG290" i="9"/>
  <c r="BF290" i="9"/>
  <c r="BE290" i="9"/>
  <c r="BD290" i="9"/>
  <c r="BC290" i="9"/>
  <c r="BB290" i="9"/>
  <c r="BA290" i="9"/>
  <c r="AZ290" i="9"/>
  <c r="AY290" i="9"/>
  <c r="AX290" i="9"/>
  <c r="AW290" i="9"/>
  <c r="AV290" i="9"/>
  <c r="AU290" i="9"/>
  <c r="AT290" i="9"/>
  <c r="AS290" i="9"/>
  <c r="AR290" i="9"/>
  <c r="AQ290" i="9"/>
  <c r="AP290" i="9"/>
  <c r="AO290" i="9"/>
  <c r="AN290" i="9"/>
  <c r="AM290" i="9"/>
  <c r="AL290" i="9"/>
  <c r="BJ290" i="9"/>
  <c r="BI289" i="9"/>
  <c r="BH289" i="9"/>
  <c r="BG289" i="9"/>
  <c r="BF289" i="9"/>
  <c r="BE289" i="9"/>
  <c r="BD289" i="9"/>
  <c r="BC289" i="9"/>
  <c r="BB289" i="9"/>
  <c r="BA289" i="9"/>
  <c r="AZ289" i="9"/>
  <c r="AY289" i="9"/>
  <c r="AX289" i="9"/>
  <c r="AW289" i="9"/>
  <c r="AV289" i="9"/>
  <c r="AU289" i="9"/>
  <c r="AT289" i="9"/>
  <c r="AS289" i="9"/>
  <c r="AR289" i="9"/>
  <c r="AQ289" i="9"/>
  <c r="AP289" i="9"/>
  <c r="AO289" i="9"/>
  <c r="AN289" i="9"/>
  <c r="AM289" i="9"/>
  <c r="AL289" i="9"/>
  <c r="BJ289" i="9"/>
  <c r="BI288" i="9"/>
  <c r="BH288" i="9"/>
  <c r="BG288" i="9"/>
  <c r="BF288" i="9"/>
  <c r="BE288" i="9"/>
  <c r="BD288" i="9"/>
  <c r="BC288" i="9"/>
  <c r="BB288" i="9"/>
  <c r="BA288" i="9"/>
  <c r="AZ288" i="9"/>
  <c r="AY288" i="9"/>
  <c r="AX288" i="9"/>
  <c r="AW288" i="9"/>
  <c r="AV288" i="9"/>
  <c r="AU288" i="9"/>
  <c r="AT288" i="9"/>
  <c r="AS288" i="9"/>
  <c r="AR288" i="9"/>
  <c r="AQ288" i="9"/>
  <c r="AP288" i="9"/>
  <c r="AO288" i="9"/>
  <c r="AN288" i="9"/>
  <c r="AM288" i="9"/>
  <c r="AL288" i="9"/>
  <c r="BJ288" i="9"/>
  <c r="BI287" i="9"/>
  <c r="BH287" i="9"/>
  <c r="BG287" i="9"/>
  <c r="BF287" i="9"/>
  <c r="BE287" i="9"/>
  <c r="BD287" i="9"/>
  <c r="BC287" i="9"/>
  <c r="BB287" i="9"/>
  <c r="BA287" i="9"/>
  <c r="AZ287" i="9"/>
  <c r="AY287" i="9"/>
  <c r="AX287" i="9"/>
  <c r="AW287" i="9"/>
  <c r="AV287" i="9"/>
  <c r="AU287" i="9"/>
  <c r="AT287" i="9"/>
  <c r="AS287" i="9"/>
  <c r="AR287" i="9"/>
  <c r="AQ287" i="9"/>
  <c r="AP287" i="9"/>
  <c r="AO287" i="9"/>
  <c r="AN287" i="9"/>
  <c r="AM287" i="9"/>
  <c r="AL287" i="9"/>
  <c r="BJ287" i="9"/>
  <c r="BI286" i="9"/>
  <c r="BH286" i="9"/>
  <c r="BG286" i="9"/>
  <c r="BF286" i="9"/>
  <c r="BE286" i="9"/>
  <c r="BD286" i="9"/>
  <c r="BC286" i="9"/>
  <c r="BB286" i="9"/>
  <c r="BA286" i="9"/>
  <c r="AZ286" i="9"/>
  <c r="AY286" i="9"/>
  <c r="AX286" i="9"/>
  <c r="AW286" i="9"/>
  <c r="AV286" i="9"/>
  <c r="AU286" i="9"/>
  <c r="AT286" i="9"/>
  <c r="AS286" i="9"/>
  <c r="AR286" i="9"/>
  <c r="AQ286" i="9"/>
  <c r="AP286" i="9"/>
  <c r="AO286" i="9"/>
  <c r="AN286" i="9"/>
  <c r="AM286" i="9"/>
  <c r="AL286" i="9"/>
  <c r="BJ286" i="9"/>
  <c r="BI285" i="9"/>
  <c r="BH285" i="9"/>
  <c r="BG285" i="9"/>
  <c r="BF285" i="9"/>
  <c r="BE285" i="9"/>
  <c r="BD285" i="9"/>
  <c r="BC285" i="9"/>
  <c r="BB285" i="9"/>
  <c r="BA285" i="9"/>
  <c r="AZ285" i="9"/>
  <c r="AY285" i="9"/>
  <c r="AX285" i="9"/>
  <c r="AW285" i="9"/>
  <c r="AV285" i="9"/>
  <c r="AU285" i="9"/>
  <c r="AT285" i="9"/>
  <c r="AS285" i="9"/>
  <c r="AR285" i="9"/>
  <c r="AQ285" i="9"/>
  <c r="AP285" i="9"/>
  <c r="AO285" i="9"/>
  <c r="AN285" i="9"/>
  <c r="AM285" i="9"/>
  <c r="AL285" i="9"/>
  <c r="BJ285" i="9"/>
  <c r="BI284" i="9"/>
  <c r="BH284" i="9"/>
  <c r="BG284" i="9"/>
  <c r="BF284" i="9"/>
  <c r="BE284" i="9"/>
  <c r="BD284" i="9"/>
  <c r="BC284" i="9"/>
  <c r="BB284" i="9"/>
  <c r="BA284" i="9"/>
  <c r="AZ284" i="9"/>
  <c r="AY284" i="9"/>
  <c r="AX284" i="9"/>
  <c r="AW284" i="9"/>
  <c r="AV284" i="9"/>
  <c r="AU284" i="9"/>
  <c r="AT284" i="9"/>
  <c r="AS284" i="9"/>
  <c r="AR284" i="9"/>
  <c r="AQ284" i="9"/>
  <c r="AP284" i="9"/>
  <c r="AO284" i="9"/>
  <c r="AN284" i="9"/>
  <c r="AM284" i="9"/>
  <c r="AL284" i="9"/>
  <c r="BJ284" i="9"/>
  <c r="BI283" i="9"/>
  <c r="BH283" i="9"/>
  <c r="BG283" i="9"/>
  <c r="BF283" i="9"/>
  <c r="BE283" i="9"/>
  <c r="BD283" i="9"/>
  <c r="BC283" i="9"/>
  <c r="BB283" i="9"/>
  <c r="BA283" i="9"/>
  <c r="AZ283" i="9"/>
  <c r="AY283" i="9"/>
  <c r="AX283" i="9"/>
  <c r="AW283" i="9"/>
  <c r="AV283" i="9"/>
  <c r="AU283" i="9"/>
  <c r="AT283" i="9"/>
  <c r="AS283" i="9"/>
  <c r="AR283" i="9"/>
  <c r="AQ283" i="9"/>
  <c r="AP283" i="9"/>
  <c r="AO283" i="9"/>
  <c r="AN283" i="9"/>
  <c r="AM283" i="9"/>
  <c r="AL283" i="9"/>
  <c r="BJ283" i="9"/>
  <c r="BI282" i="9"/>
  <c r="BH282" i="9"/>
  <c r="BG282" i="9"/>
  <c r="BF282" i="9"/>
  <c r="BE282" i="9"/>
  <c r="BD282" i="9"/>
  <c r="BC282" i="9"/>
  <c r="BB282" i="9"/>
  <c r="BA282" i="9"/>
  <c r="AZ282" i="9"/>
  <c r="AY282" i="9"/>
  <c r="AX282" i="9"/>
  <c r="AW282" i="9"/>
  <c r="AV282" i="9"/>
  <c r="AU282" i="9"/>
  <c r="AT282" i="9"/>
  <c r="AS282" i="9"/>
  <c r="AR282" i="9"/>
  <c r="AQ282" i="9"/>
  <c r="AP282" i="9"/>
  <c r="AO282" i="9"/>
  <c r="AN282" i="9"/>
  <c r="AM282" i="9"/>
  <c r="AL282" i="9"/>
  <c r="BJ282" i="9"/>
  <c r="BI281" i="9"/>
  <c r="BH281" i="9"/>
  <c r="BG281" i="9"/>
  <c r="BF281" i="9"/>
  <c r="BE281" i="9"/>
  <c r="BD281" i="9"/>
  <c r="BC281" i="9"/>
  <c r="BB281" i="9"/>
  <c r="BA281" i="9"/>
  <c r="AZ281" i="9"/>
  <c r="AY281" i="9"/>
  <c r="AX281" i="9"/>
  <c r="AW281" i="9"/>
  <c r="AV281" i="9"/>
  <c r="AU281" i="9"/>
  <c r="AT281" i="9"/>
  <c r="AS281" i="9"/>
  <c r="AR281" i="9"/>
  <c r="AQ281" i="9"/>
  <c r="AP281" i="9"/>
  <c r="AO281" i="9"/>
  <c r="AN281" i="9"/>
  <c r="AM281" i="9"/>
  <c r="AL281" i="9"/>
  <c r="BJ281" i="9"/>
  <c r="BI280" i="9"/>
  <c r="BH280" i="9"/>
  <c r="BG280" i="9"/>
  <c r="BF280" i="9"/>
  <c r="BE280" i="9"/>
  <c r="BD280" i="9"/>
  <c r="BC280" i="9"/>
  <c r="BB280" i="9"/>
  <c r="BA280" i="9"/>
  <c r="AZ280" i="9"/>
  <c r="AY280" i="9"/>
  <c r="AX280" i="9"/>
  <c r="AW280" i="9"/>
  <c r="AV280" i="9"/>
  <c r="AU280" i="9"/>
  <c r="AT280" i="9"/>
  <c r="AS280" i="9"/>
  <c r="AR280" i="9"/>
  <c r="AQ280" i="9"/>
  <c r="AP280" i="9"/>
  <c r="AO280" i="9"/>
  <c r="AN280" i="9"/>
  <c r="AM280" i="9"/>
  <c r="AL280" i="9"/>
  <c r="BJ280" i="9"/>
  <c r="BI279" i="9"/>
  <c r="BH279" i="9"/>
  <c r="BG279" i="9"/>
  <c r="BF279" i="9"/>
  <c r="BE279" i="9"/>
  <c r="BD279" i="9"/>
  <c r="BC279" i="9"/>
  <c r="BB279" i="9"/>
  <c r="BA279" i="9"/>
  <c r="AZ279" i="9"/>
  <c r="AY279" i="9"/>
  <c r="AX279" i="9"/>
  <c r="AW279" i="9"/>
  <c r="AV279" i="9"/>
  <c r="AU279" i="9"/>
  <c r="AT279" i="9"/>
  <c r="AS279" i="9"/>
  <c r="AR279" i="9"/>
  <c r="AQ279" i="9"/>
  <c r="AP279" i="9"/>
  <c r="AO279" i="9"/>
  <c r="AN279" i="9"/>
  <c r="AM279" i="9"/>
  <c r="AL279" i="9"/>
  <c r="BJ279" i="9"/>
  <c r="BI278" i="9"/>
  <c r="BH278" i="9"/>
  <c r="BG278" i="9"/>
  <c r="BF278" i="9"/>
  <c r="BE278" i="9"/>
  <c r="BD278" i="9"/>
  <c r="BC278" i="9"/>
  <c r="BB278" i="9"/>
  <c r="BA278" i="9"/>
  <c r="AZ278" i="9"/>
  <c r="AY278" i="9"/>
  <c r="AX278" i="9"/>
  <c r="AW278" i="9"/>
  <c r="AV278" i="9"/>
  <c r="AU278" i="9"/>
  <c r="AT278" i="9"/>
  <c r="AS278" i="9"/>
  <c r="AR278" i="9"/>
  <c r="AQ278" i="9"/>
  <c r="AP278" i="9"/>
  <c r="AO278" i="9"/>
  <c r="AN278" i="9"/>
  <c r="AM278" i="9"/>
  <c r="AL278" i="9"/>
  <c r="BJ278" i="9"/>
  <c r="BI277" i="9"/>
  <c r="BH277" i="9"/>
  <c r="BG277" i="9"/>
  <c r="BF277" i="9"/>
  <c r="BE277" i="9"/>
  <c r="BD277" i="9"/>
  <c r="BC277" i="9"/>
  <c r="BB277" i="9"/>
  <c r="BA277" i="9"/>
  <c r="AZ277" i="9"/>
  <c r="AY277" i="9"/>
  <c r="AX277" i="9"/>
  <c r="AW277" i="9"/>
  <c r="AV277" i="9"/>
  <c r="AU277" i="9"/>
  <c r="AT277" i="9"/>
  <c r="AS277" i="9"/>
  <c r="AR277" i="9"/>
  <c r="AQ277" i="9"/>
  <c r="AP277" i="9"/>
  <c r="AO277" i="9"/>
  <c r="AN277" i="9"/>
  <c r="AM277" i="9"/>
  <c r="AL277" i="9"/>
  <c r="BJ277" i="9"/>
  <c r="BI276" i="9"/>
  <c r="BH276" i="9"/>
  <c r="BG276" i="9"/>
  <c r="BF276" i="9"/>
  <c r="BE276" i="9"/>
  <c r="BD276" i="9"/>
  <c r="BC276" i="9"/>
  <c r="BB276" i="9"/>
  <c r="BA276" i="9"/>
  <c r="AZ276" i="9"/>
  <c r="AY276" i="9"/>
  <c r="AX276" i="9"/>
  <c r="AW276" i="9"/>
  <c r="AV276" i="9"/>
  <c r="AU276" i="9"/>
  <c r="AT276" i="9"/>
  <c r="AS276" i="9"/>
  <c r="AR276" i="9"/>
  <c r="AQ276" i="9"/>
  <c r="AP276" i="9"/>
  <c r="AO276" i="9"/>
  <c r="AN276" i="9"/>
  <c r="AM276" i="9"/>
  <c r="AL276" i="9"/>
  <c r="BJ276" i="9"/>
  <c r="BI275" i="9"/>
  <c r="BH275" i="9"/>
  <c r="BG275" i="9"/>
  <c r="BF275" i="9"/>
  <c r="BE275" i="9"/>
  <c r="BD275" i="9"/>
  <c r="BC275" i="9"/>
  <c r="BB275" i="9"/>
  <c r="BA275" i="9"/>
  <c r="AZ275" i="9"/>
  <c r="AY275" i="9"/>
  <c r="AX275" i="9"/>
  <c r="AW275" i="9"/>
  <c r="AV275" i="9"/>
  <c r="AU275" i="9"/>
  <c r="AT275" i="9"/>
  <c r="AS275" i="9"/>
  <c r="AR275" i="9"/>
  <c r="AQ275" i="9"/>
  <c r="AP275" i="9"/>
  <c r="AO275" i="9"/>
  <c r="AN275" i="9"/>
  <c r="AM275" i="9"/>
  <c r="AL275" i="9"/>
  <c r="BJ275" i="9"/>
  <c r="BI274" i="9"/>
  <c r="BH274" i="9"/>
  <c r="BG274" i="9"/>
  <c r="BF274" i="9"/>
  <c r="BE274" i="9"/>
  <c r="BD274" i="9"/>
  <c r="BC274" i="9"/>
  <c r="BB274" i="9"/>
  <c r="BA274" i="9"/>
  <c r="AZ274" i="9"/>
  <c r="AY274" i="9"/>
  <c r="AX274" i="9"/>
  <c r="AW274" i="9"/>
  <c r="AV274" i="9"/>
  <c r="AU274" i="9"/>
  <c r="AT274" i="9"/>
  <c r="AS274" i="9"/>
  <c r="AR274" i="9"/>
  <c r="AQ274" i="9"/>
  <c r="AP274" i="9"/>
  <c r="AO274" i="9"/>
  <c r="AN274" i="9"/>
  <c r="AM274" i="9"/>
  <c r="AL274" i="9"/>
  <c r="BJ274" i="9"/>
  <c r="BI273" i="9"/>
  <c r="BH273" i="9"/>
  <c r="BG273" i="9"/>
  <c r="BF273" i="9"/>
  <c r="BE273" i="9"/>
  <c r="BD273" i="9"/>
  <c r="BC273" i="9"/>
  <c r="BB273" i="9"/>
  <c r="BA273" i="9"/>
  <c r="AZ273" i="9"/>
  <c r="AY273" i="9"/>
  <c r="AX273" i="9"/>
  <c r="AW273" i="9"/>
  <c r="AV273" i="9"/>
  <c r="AU273" i="9"/>
  <c r="AT273" i="9"/>
  <c r="AS273" i="9"/>
  <c r="AR273" i="9"/>
  <c r="AQ273" i="9"/>
  <c r="AP273" i="9"/>
  <c r="AO273" i="9"/>
  <c r="AN273" i="9"/>
  <c r="AM273" i="9"/>
  <c r="AL273" i="9"/>
  <c r="BJ273" i="9"/>
  <c r="BI272" i="9"/>
  <c r="BH272" i="9"/>
  <c r="BG272" i="9"/>
  <c r="BF272" i="9"/>
  <c r="BE272" i="9"/>
  <c r="BD272" i="9"/>
  <c r="BC272" i="9"/>
  <c r="BB272" i="9"/>
  <c r="BA272" i="9"/>
  <c r="AZ272" i="9"/>
  <c r="AY272" i="9"/>
  <c r="AX272" i="9"/>
  <c r="AW272" i="9"/>
  <c r="AV272" i="9"/>
  <c r="AU272" i="9"/>
  <c r="AT272" i="9"/>
  <c r="AS272" i="9"/>
  <c r="AR272" i="9"/>
  <c r="AQ272" i="9"/>
  <c r="AP272" i="9"/>
  <c r="AO272" i="9"/>
  <c r="AN272" i="9"/>
  <c r="AM272" i="9"/>
  <c r="AL272" i="9"/>
  <c r="BJ272" i="9"/>
  <c r="BI271" i="9"/>
  <c r="BH271" i="9"/>
  <c r="BG271" i="9"/>
  <c r="BF271" i="9"/>
  <c r="BE271" i="9"/>
  <c r="BD271" i="9"/>
  <c r="BC271" i="9"/>
  <c r="BB271" i="9"/>
  <c r="BA271" i="9"/>
  <c r="AZ271" i="9"/>
  <c r="AY271" i="9"/>
  <c r="AX271" i="9"/>
  <c r="AW271" i="9"/>
  <c r="AV271" i="9"/>
  <c r="AU271" i="9"/>
  <c r="AT271" i="9"/>
  <c r="AS271" i="9"/>
  <c r="AR271" i="9"/>
  <c r="AQ271" i="9"/>
  <c r="AP271" i="9"/>
  <c r="AO271" i="9"/>
  <c r="AN271" i="9"/>
  <c r="AM271" i="9"/>
  <c r="AL271" i="9"/>
  <c r="BJ271" i="9"/>
  <c r="BI270" i="9"/>
  <c r="BH270" i="9"/>
  <c r="BG270" i="9"/>
  <c r="BF270" i="9"/>
  <c r="BE270" i="9"/>
  <c r="BD270" i="9"/>
  <c r="BC270" i="9"/>
  <c r="BB270" i="9"/>
  <c r="BA270" i="9"/>
  <c r="AZ270" i="9"/>
  <c r="AY270" i="9"/>
  <c r="AX270" i="9"/>
  <c r="AW270" i="9"/>
  <c r="AV270" i="9"/>
  <c r="AU270" i="9"/>
  <c r="AT270" i="9"/>
  <c r="AS270" i="9"/>
  <c r="AR270" i="9"/>
  <c r="AQ270" i="9"/>
  <c r="AP270" i="9"/>
  <c r="AO270" i="9"/>
  <c r="AN270" i="9"/>
  <c r="AM270" i="9"/>
  <c r="AL270" i="9"/>
  <c r="BJ270" i="9"/>
  <c r="BK270" i="9"/>
  <c r="BI269" i="9"/>
  <c r="BH269" i="9"/>
  <c r="BG269" i="9"/>
  <c r="BF269" i="9"/>
  <c r="BE269" i="9"/>
  <c r="BD269" i="9"/>
  <c r="BC269" i="9"/>
  <c r="BB269" i="9"/>
  <c r="BA269" i="9"/>
  <c r="AZ269" i="9"/>
  <c r="AY269" i="9"/>
  <c r="AX269" i="9"/>
  <c r="AW269" i="9"/>
  <c r="AV269" i="9"/>
  <c r="AU269" i="9"/>
  <c r="AT269" i="9"/>
  <c r="AS269" i="9"/>
  <c r="AR269" i="9"/>
  <c r="AQ269" i="9"/>
  <c r="AP269" i="9"/>
  <c r="AO269" i="9"/>
  <c r="AN269" i="9"/>
  <c r="AM269" i="9"/>
  <c r="AL269" i="9"/>
  <c r="BJ269" i="9"/>
  <c r="BI268" i="9"/>
  <c r="BH268" i="9"/>
  <c r="BG268" i="9"/>
  <c r="BF268" i="9"/>
  <c r="BE268" i="9"/>
  <c r="BD268" i="9"/>
  <c r="BC268" i="9"/>
  <c r="BB268" i="9"/>
  <c r="BA268" i="9"/>
  <c r="AZ268" i="9"/>
  <c r="AY268" i="9"/>
  <c r="AX268" i="9"/>
  <c r="AW268" i="9"/>
  <c r="AV268" i="9"/>
  <c r="AU268" i="9"/>
  <c r="AT268" i="9"/>
  <c r="AS268" i="9"/>
  <c r="AR268" i="9"/>
  <c r="AQ268" i="9"/>
  <c r="AP268" i="9"/>
  <c r="AO268" i="9"/>
  <c r="AN268" i="9"/>
  <c r="AM268" i="9"/>
  <c r="AL268" i="9"/>
  <c r="BJ268" i="9"/>
  <c r="BI267" i="9"/>
  <c r="BH267" i="9"/>
  <c r="BG267" i="9"/>
  <c r="BF267" i="9"/>
  <c r="BE267" i="9"/>
  <c r="BD267" i="9"/>
  <c r="BC267" i="9"/>
  <c r="BB267" i="9"/>
  <c r="BA267" i="9"/>
  <c r="AZ267" i="9"/>
  <c r="AY267" i="9"/>
  <c r="AX267" i="9"/>
  <c r="AW267" i="9"/>
  <c r="AV267" i="9"/>
  <c r="AU267" i="9"/>
  <c r="AT267" i="9"/>
  <c r="AS267" i="9"/>
  <c r="AR267" i="9"/>
  <c r="AQ267" i="9"/>
  <c r="AP267" i="9"/>
  <c r="AO267" i="9"/>
  <c r="AN267" i="9"/>
  <c r="AM267" i="9"/>
  <c r="AL267" i="9"/>
  <c r="BJ267" i="9"/>
  <c r="BI266" i="9"/>
  <c r="BH266" i="9"/>
  <c r="BG266" i="9"/>
  <c r="BF266" i="9"/>
  <c r="BE266" i="9"/>
  <c r="BD266" i="9"/>
  <c r="BC266" i="9"/>
  <c r="BB266" i="9"/>
  <c r="BA266" i="9"/>
  <c r="AZ266" i="9"/>
  <c r="AY266" i="9"/>
  <c r="AX266" i="9"/>
  <c r="AW266" i="9"/>
  <c r="AV266" i="9"/>
  <c r="AU266" i="9"/>
  <c r="AT266" i="9"/>
  <c r="AS266" i="9"/>
  <c r="AR266" i="9"/>
  <c r="AQ266" i="9"/>
  <c r="AP266" i="9"/>
  <c r="AO266" i="9"/>
  <c r="AN266" i="9"/>
  <c r="AM266" i="9"/>
  <c r="AL266" i="9"/>
  <c r="BJ266" i="9"/>
  <c r="BI265" i="9"/>
  <c r="BH265" i="9"/>
  <c r="BG265" i="9"/>
  <c r="BF265" i="9"/>
  <c r="BE265" i="9"/>
  <c r="BD265" i="9"/>
  <c r="BC265" i="9"/>
  <c r="BB265" i="9"/>
  <c r="BA265" i="9"/>
  <c r="AZ265" i="9"/>
  <c r="AY265" i="9"/>
  <c r="AX265" i="9"/>
  <c r="AW265" i="9"/>
  <c r="AV265" i="9"/>
  <c r="AU265" i="9"/>
  <c r="AT265" i="9"/>
  <c r="AS265" i="9"/>
  <c r="AR265" i="9"/>
  <c r="AQ265" i="9"/>
  <c r="AP265" i="9"/>
  <c r="AO265" i="9"/>
  <c r="AN265" i="9"/>
  <c r="AM265" i="9"/>
  <c r="AL265" i="9"/>
  <c r="BJ265" i="9"/>
  <c r="BI264" i="9"/>
  <c r="BH264" i="9"/>
  <c r="BG264" i="9"/>
  <c r="BF264" i="9"/>
  <c r="BE264" i="9"/>
  <c r="BD264" i="9"/>
  <c r="BC264" i="9"/>
  <c r="BB264" i="9"/>
  <c r="BA264" i="9"/>
  <c r="AZ264" i="9"/>
  <c r="AY264" i="9"/>
  <c r="AX264" i="9"/>
  <c r="AW264" i="9"/>
  <c r="AV264" i="9"/>
  <c r="AU264" i="9"/>
  <c r="AT264" i="9"/>
  <c r="AS264" i="9"/>
  <c r="AR264" i="9"/>
  <c r="AQ264" i="9"/>
  <c r="AP264" i="9"/>
  <c r="AO264" i="9"/>
  <c r="AN264" i="9"/>
  <c r="AM264" i="9"/>
  <c r="AL264" i="9"/>
  <c r="BJ264" i="9"/>
  <c r="BI263" i="9"/>
  <c r="BH263" i="9"/>
  <c r="BG263" i="9"/>
  <c r="BF263" i="9"/>
  <c r="BE263" i="9"/>
  <c r="BD263" i="9"/>
  <c r="BC263" i="9"/>
  <c r="BB263" i="9"/>
  <c r="BA263" i="9"/>
  <c r="AZ263" i="9"/>
  <c r="AY263" i="9"/>
  <c r="AX263" i="9"/>
  <c r="AW263" i="9"/>
  <c r="AV263" i="9"/>
  <c r="AU263" i="9"/>
  <c r="AT263" i="9"/>
  <c r="AS263" i="9"/>
  <c r="AR263" i="9"/>
  <c r="AQ263" i="9"/>
  <c r="AP263" i="9"/>
  <c r="AO263" i="9"/>
  <c r="AN263" i="9"/>
  <c r="AM263" i="9"/>
  <c r="AL263" i="9"/>
  <c r="BJ263" i="9"/>
  <c r="BI262" i="9"/>
  <c r="BH262" i="9"/>
  <c r="BG262" i="9"/>
  <c r="BF262" i="9"/>
  <c r="BE262" i="9"/>
  <c r="BD262" i="9"/>
  <c r="BC262" i="9"/>
  <c r="BB262" i="9"/>
  <c r="BA262" i="9"/>
  <c r="AZ262" i="9"/>
  <c r="AY262" i="9"/>
  <c r="AX262" i="9"/>
  <c r="AW262" i="9"/>
  <c r="AV262" i="9"/>
  <c r="AU262" i="9"/>
  <c r="AT262" i="9"/>
  <c r="AS262" i="9"/>
  <c r="AR262" i="9"/>
  <c r="AQ262" i="9"/>
  <c r="AP262" i="9"/>
  <c r="AO262" i="9"/>
  <c r="AN262" i="9"/>
  <c r="AM262" i="9"/>
  <c r="AL262" i="9"/>
  <c r="BJ262" i="9"/>
  <c r="BI261" i="9"/>
  <c r="BH261" i="9"/>
  <c r="BG261" i="9"/>
  <c r="BF261" i="9"/>
  <c r="BE261" i="9"/>
  <c r="BD261" i="9"/>
  <c r="BC261" i="9"/>
  <c r="BB261" i="9"/>
  <c r="BA261" i="9"/>
  <c r="AZ261" i="9"/>
  <c r="AY261" i="9"/>
  <c r="AX261" i="9"/>
  <c r="AW261" i="9"/>
  <c r="AV261" i="9"/>
  <c r="AU261" i="9"/>
  <c r="AT261" i="9"/>
  <c r="AS261" i="9"/>
  <c r="AR261" i="9"/>
  <c r="AQ261" i="9"/>
  <c r="AP261" i="9"/>
  <c r="AO261" i="9"/>
  <c r="AN261" i="9"/>
  <c r="AM261" i="9"/>
  <c r="AL261" i="9"/>
  <c r="BJ261" i="9"/>
  <c r="BI260" i="9"/>
  <c r="BH260" i="9"/>
  <c r="BG260" i="9"/>
  <c r="BF260" i="9"/>
  <c r="BE260" i="9"/>
  <c r="BD260" i="9"/>
  <c r="BC260" i="9"/>
  <c r="BB260" i="9"/>
  <c r="BA260" i="9"/>
  <c r="AZ260" i="9"/>
  <c r="AY260" i="9"/>
  <c r="AX260" i="9"/>
  <c r="AW260" i="9"/>
  <c r="AV260" i="9"/>
  <c r="AU260" i="9"/>
  <c r="AT260" i="9"/>
  <c r="AS260" i="9"/>
  <c r="AR260" i="9"/>
  <c r="AQ260" i="9"/>
  <c r="AP260" i="9"/>
  <c r="AO260" i="9"/>
  <c r="AN260" i="9"/>
  <c r="AM260" i="9"/>
  <c r="AL260" i="9"/>
  <c r="BJ260" i="9"/>
  <c r="BK260" i="9"/>
  <c r="BI259" i="9"/>
  <c r="BH259" i="9"/>
  <c r="BG259" i="9"/>
  <c r="BF259" i="9"/>
  <c r="BE259" i="9"/>
  <c r="BD259" i="9"/>
  <c r="BC259" i="9"/>
  <c r="BB259" i="9"/>
  <c r="BA259" i="9"/>
  <c r="AZ259" i="9"/>
  <c r="AY259" i="9"/>
  <c r="AX259" i="9"/>
  <c r="AW259" i="9"/>
  <c r="AV259" i="9"/>
  <c r="AU259" i="9"/>
  <c r="AT259" i="9"/>
  <c r="AS259" i="9"/>
  <c r="AR259" i="9"/>
  <c r="AQ259" i="9"/>
  <c r="AP259" i="9"/>
  <c r="AO259" i="9"/>
  <c r="AN259" i="9"/>
  <c r="AM259" i="9"/>
  <c r="AL259" i="9"/>
  <c r="BJ259" i="9"/>
  <c r="BI258" i="9"/>
  <c r="BH258" i="9"/>
  <c r="BG258" i="9"/>
  <c r="BF258" i="9"/>
  <c r="BE258" i="9"/>
  <c r="BD258" i="9"/>
  <c r="BC258" i="9"/>
  <c r="BB258" i="9"/>
  <c r="BA258" i="9"/>
  <c r="AZ258" i="9"/>
  <c r="AY258" i="9"/>
  <c r="AX258" i="9"/>
  <c r="AW258" i="9"/>
  <c r="AV258" i="9"/>
  <c r="AU258" i="9"/>
  <c r="AT258" i="9"/>
  <c r="AS258" i="9"/>
  <c r="AR258" i="9"/>
  <c r="AQ258" i="9"/>
  <c r="AP258" i="9"/>
  <c r="AO258" i="9"/>
  <c r="AN258" i="9"/>
  <c r="AM258" i="9"/>
  <c r="AL258" i="9"/>
  <c r="BJ258" i="9"/>
  <c r="BI257" i="9"/>
  <c r="BH257" i="9"/>
  <c r="BG257" i="9"/>
  <c r="BF257" i="9"/>
  <c r="BE257" i="9"/>
  <c r="BD257" i="9"/>
  <c r="BC257" i="9"/>
  <c r="BB257" i="9"/>
  <c r="BA257" i="9"/>
  <c r="AZ257" i="9"/>
  <c r="AY257" i="9"/>
  <c r="AX257" i="9"/>
  <c r="AW257" i="9"/>
  <c r="AV257" i="9"/>
  <c r="AU257" i="9"/>
  <c r="AT257" i="9"/>
  <c r="AS257" i="9"/>
  <c r="AR257" i="9"/>
  <c r="AQ257" i="9"/>
  <c r="AP257" i="9"/>
  <c r="AO257" i="9"/>
  <c r="AN257" i="9"/>
  <c r="AM257" i="9"/>
  <c r="AL257" i="9"/>
  <c r="BJ257" i="9"/>
  <c r="BI256" i="9"/>
  <c r="BH256" i="9"/>
  <c r="BG256" i="9"/>
  <c r="BF256" i="9"/>
  <c r="BE256" i="9"/>
  <c r="BD256" i="9"/>
  <c r="BC256" i="9"/>
  <c r="BB256" i="9"/>
  <c r="BA256" i="9"/>
  <c r="AZ256" i="9"/>
  <c r="AY256" i="9"/>
  <c r="AX256" i="9"/>
  <c r="AW256" i="9"/>
  <c r="AV256" i="9"/>
  <c r="AU256" i="9"/>
  <c r="AT256" i="9"/>
  <c r="AS256" i="9"/>
  <c r="AR256" i="9"/>
  <c r="AQ256" i="9"/>
  <c r="AP256" i="9"/>
  <c r="AO256" i="9"/>
  <c r="AN256" i="9"/>
  <c r="AM256" i="9"/>
  <c r="AL256" i="9"/>
  <c r="BJ256" i="9"/>
  <c r="BI255" i="9"/>
  <c r="BH255" i="9"/>
  <c r="BG255" i="9"/>
  <c r="BF255" i="9"/>
  <c r="BE255" i="9"/>
  <c r="BD255" i="9"/>
  <c r="BC255" i="9"/>
  <c r="BB255" i="9"/>
  <c r="BA255" i="9"/>
  <c r="AZ255" i="9"/>
  <c r="AY255" i="9"/>
  <c r="AX255" i="9"/>
  <c r="AW255" i="9"/>
  <c r="AV255" i="9"/>
  <c r="AU255" i="9"/>
  <c r="AT255" i="9"/>
  <c r="AS255" i="9"/>
  <c r="AR255" i="9"/>
  <c r="AQ255" i="9"/>
  <c r="AP255" i="9"/>
  <c r="AO255" i="9"/>
  <c r="AN255" i="9"/>
  <c r="AM255" i="9"/>
  <c r="AL255" i="9"/>
  <c r="BJ255" i="9"/>
  <c r="BI254" i="9"/>
  <c r="BH254" i="9"/>
  <c r="BG254" i="9"/>
  <c r="BF254" i="9"/>
  <c r="BE254" i="9"/>
  <c r="BD254" i="9"/>
  <c r="BC254" i="9"/>
  <c r="BB254" i="9"/>
  <c r="BA254" i="9"/>
  <c r="AZ254" i="9"/>
  <c r="AY254" i="9"/>
  <c r="AX254" i="9"/>
  <c r="AW254" i="9"/>
  <c r="AV254" i="9"/>
  <c r="AU254" i="9"/>
  <c r="AT254" i="9"/>
  <c r="AS254" i="9"/>
  <c r="AR254" i="9"/>
  <c r="AQ254" i="9"/>
  <c r="AP254" i="9"/>
  <c r="AO254" i="9"/>
  <c r="AN254" i="9"/>
  <c r="AM254" i="9"/>
  <c r="AL254" i="9"/>
  <c r="BJ254" i="9"/>
  <c r="BI253" i="9"/>
  <c r="BH253" i="9"/>
  <c r="BG253" i="9"/>
  <c r="BF253" i="9"/>
  <c r="BE253" i="9"/>
  <c r="BD253" i="9"/>
  <c r="BC253" i="9"/>
  <c r="BB253" i="9"/>
  <c r="BA253" i="9"/>
  <c r="AZ253" i="9"/>
  <c r="AY253" i="9"/>
  <c r="AX253" i="9"/>
  <c r="AW253" i="9"/>
  <c r="AV253" i="9"/>
  <c r="AU253" i="9"/>
  <c r="AT253" i="9"/>
  <c r="AS253" i="9"/>
  <c r="AR253" i="9"/>
  <c r="AQ253" i="9"/>
  <c r="AP253" i="9"/>
  <c r="AO253" i="9"/>
  <c r="AN253" i="9"/>
  <c r="AM253" i="9"/>
  <c r="AL253" i="9"/>
  <c r="BJ253" i="9"/>
  <c r="BI252" i="9"/>
  <c r="BH252" i="9"/>
  <c r="BG252" i="9"/>
  <c r="BF252" i="9"/>
  <c r="BE252" i="9"/>
  <c r="BD252" i="9"/>
  <c r="BC252" i="9"/>
  <c r="BB252" i="9"/>
  <c r="BA252" i="9"/>
  <c r="AZ252" i="9"/>
  <c r="AY252" i="9"/>
  <c r="AX252" i="9"/>
  <c r="AW252" i="9"/>
  <c r="AV252" i="9"/>
  <c r="AU252" i="9"/>
  <c r="AT252" i="9"/>
  <c r="AS252" i="9"/>
  <c r="AR252" i="9"/>
  <c r="AQ252" i="9"/>
  <c r="AP252" i="9"/>
  <c r="AO252" i="9"/>
  <c r="AN252" i="9"/>
  <c r="AM252" i="9"/>
  <c r="AL252" i="9"/>
  <c r="BJ252" i="9"/>
  <c r="BI251" i="9"/>
  <c r="BH251" i="9"/>
  <c r="BG251" i="9"/>
  <c r="BF251" i="9"/>
  <c r="BE251" i="9"/>
  <c r="BD251" i="9"/>
  <c r="BC251" i="9"/>
  <c r="BB251" i="9"/>
  <c r="BA251" i="9"/>
  <c r="AZ251" i="9"/>
  <c r="AY251" i="9"/>
  <c r="AX251" i="9"/>
  <c r="AW251" i="9"/>
  <c r="AV251" i="9"/>
  <c r="AU251" i="9"/>
  <c r="AT251" i="9"/>
  <c r="AS251" i="9"/>
  <c r="AR251" i="9"/>
  <c r="AQ251" i="9"/>
  <c r="AP251" i="9"/>
  <c r="AO251" i="9"/>
  <c r="AN251" i="9"/>
  <c r="AM251" i="9"/>
  <c r="AL251" i="9"/>
  <c r="BJ251" i="9"/>
  <c r="BI250" i="9"/>
  <c r="BH250" i="9"/>
  <c r="BG250" i="9"/>
  <c r="BF250" i="9"/>
  <c r="BE250" i="9"/>
  <c r="BD250" i="9"/>
  <c r="BC250" i="9"/>
  <c r="BB250" i="9"/>
  <c r="BA250" i="9"/>
  <c r="AZ250" i="9"/>
  <c r="AY250" i="9"/>
  <c r="AX250" i="9"/>
  <c r="AW250" i="9"/>
  <c r="AV250" i="9"/>
  <c r="AU250" i="9"/>
  <c r="AT250" i="9"/>
  <c r="AS250" i="9"/>
  <c r="AR250" i="9"/>
  <c r="AQ250" i="9"/>
  <c r="AP250" i="9"/>
  <c r="AO250" i="9"/>
  <c r="AN250" i="9"/>
  <c r="AM250" i="9"/>
  <c r="AL250" i="9"/>
  <c r="BJ250" i="9"/>
  <c r="BI249" i="9"/>
  <c r="BH249" i="9"/>
  <c r="BG249" i="9"/>
  <c r="BF249" i="9"/>
  <c r="BE249" i="9"/>
  <c r="BD249" i="9"/>
  <c r="BC249" i="9"/>
  <c r="BB249" i="9"/>
  <c r="BA249" i="9"/>
  <c r="AZ249" i="9"/>
  <c r="AY249" i="9"/>
  <c r="AX249" i="9"/>
  <c r="AW249" i="9"/>
  <c r="AV249" i="9"/>
  <c r="AU249" i="9"/>
  <c r="AT249" i="9"/>
  <c r="AS249" i="9"/>
  <c r="AR249" i="9"/>
  <c r="AQ249" i="9"/>
  <c r="AP249" i="9"/>
  <c r="AO249" i="9"/>
  <c r="AN249" i="9"/>
  <c r="AM249" i="9"/>
  <c r="AL249" i="9"/>
  <c r="BJ249" i="9"/>
  <c r="BI248" i="9"/>
  <c r="BH248" i="9"/>
  <c r="BG248" i="9"/>
  <c r="BF248" i="9"/>
  <c r="BE248" i="9"/>
  <c r="BD248" i="9"/>
  <c r="BC248" i="9"/>
  <c r="BB248" i="9"/>
  <c r="BA248" i="9"/>
  <c r="AZ248" i="9"/>
  <c r="AY248" i="9"/>
  <c r="AX248" i="9"/>
  <c r="AW248" i="9"/>
  <c r="AV248" i="9"/>
  <c r="AU248" i="9"/>
  <c r="AT248" i="9"/>
  <c r="AS248" i="9"/>
  <c r="AR248" i="9"/>
  <c r="AQ248" i="9"/>
  <c r="AP248" i="9"/>
  <c r="AO248" i="9"/>
  <c r="AN248" i="9"/>
  <c r="AM248" i="9"/>
  <c r="AL248" i="9"/>
  <c r="BJ248" i="9"/>
  <c r="BI247" i="9"/>
  <c r="BH247" i="9"/>
  <c r="BG247" i="9"/>
  <c r="BF247" i="9"/>
  <c r="BE247" i="9"/>
  <c r="BD247" i="9"/>
  <c r="BC247" i="9"/>
  <c r="BB247" i="9"/>
  <c r="BA247" i="9"/>
  <c r="AZ247" i="9"/>
  <c r="AY247" i="9"/>
  <c r="AX247" i="9"/>
  <c r="AW247" i="9"/>
  <c r="AV247" i="9"/>
  <c r="AU247" i="9"/>
  <c r="AT247" i="9"/>
  <c r="AS247" i="9"/>
  <c r="AR247" i="9"/>
  <c r="AQ247" i="9"/>
  <c r="AP247" i="9"/>
  <c r="AO247" i="9"/>
  <c r="AN247" i="9"/>
  <c r="AM247" i="9"/>
  <c r="AL247" i="9"/>
  <c r="BJ247" i="9"/>
  <c r="BI246" i="9"/>
  <c r="BH246" i="9"/>
  <c r="BG246" i="9"/>
  <c r="BF246" i="9"/>
  <c r="BE246" i="9"/>
  <c r="BD246" i="9"/>
  <c r="BC246" i="9"/>
  <c r="BB246" i="9"/>
  <c r="BA246" i="9"/>
  <c r="AZ246" i="9"/>
  <c r="AY246" i="9"/>
  <c r="AX246" i="9"/>
  <c r="AW246" i="9"/>
  <c r="AV246" i="9"/>
  <c r="AU246" i="9"/>
  <c r="AT246" i="9"/>
  <c r="AS246" i="9"/>
  <c r="AR246" i="9"/>
  <c r="AQ246" i="9"/>
  <c r="AP246" i="9"/>
  <c r="AO246" i="9"/>
  <c r="AN246" i="9"/>
  <c r="AM246" i="9"/>
  <c r="AL246" i="9"/>
  <c r="BJ246" i="9"/>
  <c r="BI245" i="9"/>
  <c r="BH245" i="9"/>
  <c r="BG245" i="9"/>
  <c r="BF245" i="9"/>
  <c r="BE245" i="9"/>
  <c r="BD245" i="9"/>
  <c r="BC245" i="9"/>
  <c r="BB245" i="9"/>
  <c r="BA245" i="9"/>
  <c r="AZ245" i="9"/>
  <c r="AY245" i="9"/>
  <c r="AX245" i="9"/>
  <c r="AW245" i="9"/>
  <c r="AV245" i="9"/>
  <c r="AU245" i="9"/>
  <c r="AT245" i="9"/>
  <c r="AS245" i="9"/>
  <c r="AR245" i="9"/>
  <c r="AQ245" i="9"/>
  <c r="AP245" i="9"/>
  <c r="AO245" i="9"/>
  <c r="AN245" i="9"/>
  <c r="AM245" i="9"/>
  <c r="AL245" i="9"/>
  <c r="BJ245" i="9"/>
  <c r="BI244" i="9"/>
  <c r="BH244" i="9"/>
  <c r="BG244" i="9"/>
  <c r="BF244" i="9"/>
  <c r="BE244" i="9"/>
  <c r="BD244" i="9"/>
  <c r="BC244" i="9"/>
  <c r="BB244" i="9"/>
  <c r="BA244" i="9"/>
  <c r="AZ244" i="9"/>
  <c r="AY244" i="9"/>
  <c r="AX244" i="9"/>
  <c r="AW244" i="9"/>
  <c r="AV244" i="9"/>
  <c r="AU244" i="9"/>
  <c r="AT244" i="9"/>
  <c r="AS244" i="9"/>
  <c r="AR244" i="9"/>
  <c r="AQ244" i="9"/>
  <c r="AP244" i="9"/>
  <c r="AO244" i="9"/>
  <c r="AN244" i="9"/>
  <c r="AM244" i="9"/>
  <c r="AL244" i="9"/>
  <c r="BI243" i="9"/>
  <c r="BH243" i="9"/>
  <c r="BG243" i="9"/>
  <c r="BF243" i="9"/>
  <c r="BE243" i="9"/>
  <c r="BD243" i="9"/>
  <c r="BC243" i="9"/>
  <c r="BB243" i="9"/>
  <c r="BA243" i="9"/>
  <c r="AZ243" i="9"/>
  <c r="AY243" i="9"/>
  <c r="AX243" i="9"/>
  <c r="AW243" i="9"/>
  <c r="AV243" i="9"/>
  <c r="AU243" i="9"/>
  <c r="AT243" i="9"/>
  <c r="AS243" i="9"/>
  <c r="AR243" i="9"/>
  <c r="AQ243" i="9"/>
  <c r="AP243" i="9"/>
  <c r="AO243" i="9"/>
  <c r="AN243" i="9"/>
  <c r="AM243" i="9"/>
  <c r="AL243" i="9"/>
  <c r="BI242" i="9"/>
  <c r="BH242" i="9"/>
  <c r="BG242" i="9"/>
  <c r="BF242" i="9"/>
  <c r="BE242" i="9"/>
  <c r="BD242" i="9"/>
  <c r="BC242" i="9"/>
  <c r="BB242" i="9"/>
  <c r="BA242" i="9"/>
  <c r="AZ242" i="9"/>
  <c r="AY242" i="9"/>
  <c r="AX242" i="9"/>
  <c r="AW242" i="9"/>
  <c r="AV242" i="9"/>
  <c r="AU242" i="9"/>
  <c r="AT242" i="9"/>
  <c r="AS242" i="9"/>
  <c r="AR242" i="9"/>
  <c r="AQ242" i="9"/>
  <c r="AP242" i="9"/>
  <c r="AO242" i="9"/>
  <c r="AN242" i="9"/>
  <c r="AM242" i="9"/>
  <c r="AL242" i="9"/>
  <c r="BJ242" i="9"/>
  <c r="BI241" i="9"/>
  <c r="BH241" i="9"/>
  <c r="BG241" i="9"/>
  <c r="BF241" i="9"/>
  <c r="BE241" i="9"/>
  <c r="BD241" i="9"/>
  <c r="BC241" i="9"/>
  <c r="BB241" i="9"/>
  <c r="BA241" i="9"/>
  <c r="AZ241" i="9"/>
  <c r="AY241" i="9"/>
  <c r="AX241" i="9"/>
  <c r="AW241" i="9"/>
  <c r="AV241" i="9"/>
  <c r="AU241" i="9"/>
  <c r="AT241" i="9"/>
  <c r="AS241" i="9"/>
  <c r="AR241" i="9"/>
  <c r="AQ241" i="9"/>
  <c r="AP241" i="9"/>
  <c r="AO241" i="9"/>
  <c r="AN241" i="9"/>
  <c r="AM241" i="9"/>
  <c r="AL241" i="9"/>
  <c r="BJ241" i="9"/>
  <c r="BI240" i="9"/>
  <c r="BH240" i="9"/>
  <c r="BG240" i="9"/>
  <c r="BF240" i="9"/>
  <c r="BE240" i="9"/>
  <c r="BD240" i="9"/>
  <c r="BC240" i="9"/>
  <c r="BB240" i="9"/>
  <c r="BA240" i="9"/>
  <c r="AZ240" i="9"/>
  <c r="AY240" i="9"/>
  <c r="AX240" i="9"/>
  <c r="AW240" i="9"/>
  <c r="AV240" i="9"/>
  <c r="AU240" i="9"/>
  <c r="AT240" i="9"/>
  <c r="AS240" i="9"/>
  <c r="AR240" i="9"/>
  <c r="AQ240" i="9"/>
  <c r="AP240" i="9"/>
  <c r="AO240" i="9"/>
  <c r="AN240" i="9"/>
  <c r="AM240" i="9"/>
  <c r="AL240" i="9"/>
  <c r="BI239" i="9"/>
  <c r="BH239" i="9"/>
  <c r="BG239" i="9"/>
  <c r="BF239" i="9"/>
  <c r="BE239" i="9"/>
  <c r="BD239" i="9"/>
  <c r="BC239" i="9"/>
  <c r="BB239" i="9"/>
  <c r="BA239" i="9"/>
  <c r="AZ239" i="9"/>
  <c r="AY239" i="9"/>
  <c r="AX239" i="9"/>
  <c r="AW239" i="9"/>
  <c r="AV239" i="9"/>
  <c r="AU239" i="9"/>
  <c r="AT239" i="9"/>
  <c r="AS239" i="9"/>
  <c r="AR239" i="9"/>
  <c r="AQ239" i="9"/>
  <c r="AP239" i="9"/>
  <c r="AO239" i="9"/>
  <c r="AN239" i="9"/>
  <c r="AM239" i="9"/>
  <c r="AL239" i="9"/>
  <c r="BI238" i="9"/>
  <c r="BH238" i="9"/>
  <c r="BG238" i="9"/>
  <c r="BF238" i="9"/>
  <c r="BE238" i="9"/>
  <c r="BD238" i="9"/>
  <c r="BC238" i="9"/>
  <c r="BB238" i="9"/>
  <c r="BA238" i="9"/>
  <c r="AZ238" i="9"/>
  <c r="AY238" i="9"/>
  <c r="AX238" i="9"/>
  <c r="AW238" i="9"/>
  <c r="AV238" i="9"/>
  <c r="AU238" i="9"/>
  <c r="AT238" i="9"/>
  <c r="AS238" i="9"/>
  <c r="AR238" i="9"/>
  <c r="AQ238" i="9"/>
  <c r="AP238" i="9"/>
  <c r="AO238" i="9"/>
  <c r="AN238" i="9"/>
  <c r="AM238" i="9"/>
  <c r="AL238" i="9"/>
  <c r="BI237" i="9"/>
  <c r="BH237" i="9"/>
  <c r="BG237" i="9"/>
  <c r="BF237" i="9"/>
  <c r="BE237" i="9"/>
  <c r="BD237" i="9"/>
  <c r="BC237" i="9"/>
  <c r="BB237" i="9"/>
  <c r="BA237" i="9"/>
  <c r="AZ237" i="9"/>
  <c r="AY237" i="9"/>
  <c r="AX237" i="9"/>
  <c r="AW237" i="9"/>
  <c r="AV237" i="9"/>
  <c r="AU237" i="9"/>
  <c r="AT237" i="9"/>
  <c r="AS237" i="9"/>
  <c r="AR237" i="9"/>
  <c r="AQ237" i="9"/>
  <c r="AP237" i="9"/>
  <c r="AO237" i="9"/>
  <c r="AN237" i="9"/>
  <c r="AM237" i="9"/>
  <c r="AL237" i="9"/>
  <c r="BI236" i="9"/>
  <c r="BH236" i="9"/>
  <c r="BG236" i="9"/>
  <c r="BF236" i="9"/>
  <c r="BE236" i="9"/>
  <c r="BD236" i="9"/>
  <c r="BC236" i="9"/>
  <c r="BB236" i="9"/>
  <c r="BA236" i="9"/>
  <c r="AZ236" i="9"/>
  <c r="AY236" i="9"/>
  <c r="AX236" i="9"/>
  <c r="AW236" i="9"/>
  <c r="AV236" i="9"/>
  <c r="AU236" i="9"/>
  <c r="AT236" i="9"/>
  <c r="AS236" i="9"/>
  <c r="AR236" i="9"/>
  <c r="AQ236" i="9"/>
  <c r="AP236" i="9"/>
  <c r="AO236" i="9"/>
  <c r="AN236" i="9"/>
  <c r="AM236" i="9"/>
  <c r="AL236" i="9"/>
  <c r="BI235" i="9"/>
  <c r="BH235" i="9"/>
  <c r="BG235" i="9"/>
  <c r="BF235" i="9"/>
  <c r="BE235" i="9"/>
  <c r="BD235" i="9"/>
  <c r="BC235" i="9"/>
  <c r="BB235" i="9"/>
  <c r="BA235" i="9"/>
  <c r="AZ235" i="9"/>
  <c r="AY235" i="9"/>
  <c r="AX235" i="9"/>
  <c r="AW235" i="9"/>
  <c r="AV235" i="9"/>
  <c r="AU235" i="9"/>
  <c r="AT235" i="9"/>
  <c r="AS235" i="9"/>
  <c r="AR235" i="9"/>
  <c r="AQ235" i="9"/>
  <c r="AP235" i="9"/>
  <c r="AO235" i="9"/>
  <c r="AN235" i="9"/>
  <c r="AM235" i="9"/>
  <c r="AL235" i="9"/>
  <c r="BI234" i="9"/>
  <c r="BH234" i="9"/>
  <c r="BG234" i="9"/>
  <c r="BF234" i="9"/>
  <c r="BE234" i="9"/>
  <c r="BD234" i="9"/>
  <c r="BC234" i="9"/>
  <c r="BB234" i="9"/>
  <c r="BA234" i="9"/>
  <c r="AZ234" i="9"/>
  <c r="AY234" i="9"/>
  <c r="AX234" i="9"/>
  <c r="AW234" i="9"/>
  <c r="AV234" i="9"/>
  <c r="AU234" i="9"/>
  <c r="AT234" i="9"/>
  <c r="AS234" i="9"/>
  <c r="AR234" i="9"/>
  <c r="AQ234" i="9"/>
  <c r="AP234" i="9"/>
  <c r="AO234" i="9"/>
  <c r="AN234" i="9"/>
  <c r="AM234" i="9"/>
  <c r="AL234" i="9"/>
  <c r="BI233" i="9"/>
  <c r="BH233" i="9"/>
  <c r="BG233" i="9"/>
  <c r="BF233" i="9"/>
  <c r="BE233" i="9"/>
  <c r="BD233" i="9"/>
  <c r="BC233" i="9"/>
  <c r="BB233" i="9"/>
  <c r="BA233" i="9"/>
  <c r="AZ233" i="9"/>
  <c r="AY233" i="9"/>
  <c r="AX233" i="9"/>
  <c r="AW233" i="9"/>
  <c r="AV233" i="9"/>
  <c r="AU233" i="9"/>
  <c r="AT233" i="9"/>
  <c r="AS233" i="9"/>
  <c r="AR233" i="9"/>
  <c r="AQ233" i="9"/>
  <c r="AP233" i="9"/>
  <c r="AO233" i="9"/>
  <c r="AN233" i="9"/>
  <c r="AM233" i="9"/>
  <c r="AL233" i="9"/>
  <c r="BJ233" i="9"/>
  <c r="BI232" i="9"/>
  <c r="BH232" i="9"/>
  <c r="BG232" i="9"/>
  <c r="BF232" i="9"/>
  <c r="BE232" i="9"/>
  <c r="BD232" i="9"/>
  <c r="BC232" i="9"/>
  <c r="BB232" i="9"/>
  <c r="BA232" i="9"/>
  <c r="AZ232" i="9"/>
  <c r="AY232" i="9"/>
  <c r="AX232" i="9"/>
  <c r="AW232" i="9"/>
  <c r="AV232" i="9"/>
  <c r="AU232" i="9"/>
  <c r="AT232" i="9"/>
  <c r="AS232" i="9"/>
  <c r="AR232" i="9"/>
  <c r="AQ232" i="9"/>
  <c r="AP232" i="9"/>
  <c r="AO232" i="9"/>
  <c r="AN232" i="9"/>
  <c r="AM232" i="9"/>
  <c r="AL232" i="9"/>
  <c r="BJ232" i="9"/>
  <c r="BI231" i="9"/>
  <c r="BH231" i="9"/>
  <c r="BG231" i="9"/>
  <c r="BF231" i="9"/>
  <c r="BE231" i="9"/>
  <c r="BD231" i="9"/>
  <c r="BC231" i="9"/>
  <c r="BB231" i="9"/>
  <c r="BA231" i="9"/>
  <c r="AZ231" i="9"/>
  <c r="AY231" i="9"/>
  <c r="AX231" i="9"/>
  <c r="AW231" i="9"/>
  <c r="AV231" i="9"/>
  <c r="AU231" i="9"/>
  <c r="AT231" i="9"/>
  <c r="AS231" i="9"/>
  <c r="AR231" i="9"/>
  <c r="AQ231" i="9"/>
  <c r="AP231" i="9"/>
  <c r="AO231" i="9"/>
  <c r="AN231" i="9"/>
  <c r="AM231" i="9"/>
  <c r="AL231" i="9"/>
  <c r="BJ231" i="9"/>
  <c r="BI230" i="9"/>
  <c r="BH230" i="9"/>
  <c r="BG230" i="9"/>
  <c r="BF230" i="9"/>
  <c r="BE230" i="9"/>
  <c r="BD230" i="9"/>
  <c r="BC230" i="9"/>
  <c r="BB230" i="9"/>
  <c r="BA230" i="9"/>
  <c r="AZ230" i="9"/>
  <c r="AY230" i="9"/>
  <c r="AX230" i="9"/>
  <c r="AW230" i="9"/>
  <c r="AV230" i="9"/>
  <c r="AU230" i="9"/>
  <c r="AT230" i="9"/>
  <c r="AS230" i="9"/>
  <c r="AR230" i="9"/>
  <c r="AQ230" i="9"/>
  <c r="AP230" i="9"/>
  <c r="AO230" i="9"/>
  <c r="AN230" i="9"/>
  <c r="AM230" i="9"/>
  <c r="AL230" i="9"/>
  <c r="BI229" i="9"/>
  <c r="BH229" i="9"/>
  <c r="BG229" i="9"/>
  <c r="BF229" i="9"/>
  <c r="BE229" i="9"/>
  <c r="BD229" i="9"/>
  <c r="BC229" i="9"/>
  <c r="BB229" i="9"/>
  <c r="BA229" i="9"/>
  <c r="AZ229" i="9"/>
  <c r="AY229" i="9"/>
  <c r="AX229" i="9"/>
  <c r="AW229" i="9"/>
  <c r="AV229" i="9"/>
  <c r="AU229" i="9"/>
  <c r="AT229" i="9"/>
  <c r="AS229" i="9"/>
  <c r="AR229" i="9"/>
  <c r="AQ229" i="9"/>
  <c r="AP229" i="9"/>
  <c r="AO229" i="9"/>
  <c r="AN229" i="9"/>
  <c r="AM229" i="9"/>
  <c r="AL229" i="9"/>
  <c r="BJ229" i="9"/>
  <c r="BI228" i="9"/>
  <c r="BH228" i="9"/>
  <c r="BG228" i="9"/>
  <c r="BF228" i="9"/>
  <c r="BE228" i="9"/>
  <c r="BD228" i="9"/>
  <c r="BC228" i="9"/>
  <c r="BB228" i="9"/>
  <c r="BA228" i="9"/>
  <c r="AZ228" i="9"/>
  <c r="AY228" i="9"/>
  <c r="AX228" i="9"/>
  <c r="AW228" i="9"/>
  <c r="AV228" i="9"/>
  <c r="AU228" i="9"/>
  <c r="AT228" i="9"/>
  <c r="AS228" i="9"/>
  <c r="AR228" i="9"/>
  <c r="AQ228" i="9"/>
  <c r="AP228" i="9"/>
  <c r="AO228" i="9"/>
  <c r="AN228" i="9"/>
  <c r="AM228" i="9"/>
  <c r="AL228" i="9"/>
  <c r="BI227" i="9"/>
  <c r="BH227" i="9"/>
  <c r="BG227" i="9"/>
  <c r="BF227" i="9"/>
  <c r="BE227" i="9"/>
  <c r="BD227" i="9"/>
  <c r="BC227" i="9"/>
  <c r="BB227" i="9"/>
  <c r="BA227" i="9"/>
  <c r="AZ227" i="9"/>
  <c r="AY227" i="9"/>
  <c r="AX227" i="9"/>
  <c r="AW227" i="9"/>
  <c r="AV227" i="9"/>
  <c r="AU227" i="9"/>
  <c r="AT227" i="9"/>
  <c r="AS227" i="9"/>
  <c r="AR227" i="9"/>
  <c r="AQ227" i="9"/>
  <c r="AP227" i="9"/>
  <c r="AO227" i="9"/>
  <c r="AN227" i="9"/>
  <c r="AM227" i="9"/>
  <c r="AL227" i="9"/>
  <c r="BI226" i="9"/>
  <c r="BH226" i="9"/>
  <c r="BG226" i="9"/>
  <c r="BF226" i="9"/>
  <c r="BE226" i="9"/>
  <c r="BD226" i="9"/>
  <c r="BC226" i="9"/>
  <c r="BB226" i="9"/>
  <c r="BA226" i="9"/>
  <c r="AZ226" i="9"/>
  <c r="AY226" i="9"/>
  <c r="AX226" i="9"/>
  <c r="AW226" i="9"/>
  <c r="AV226" i="9"/>
  <c r="AU226" i="9"/>
  <c r="AT226" i="9"/>
  <c r="AS226" i="9"/>
  <c r="AR226" i="9"/>
  <c r="AQ226" i="9"/>
  <c r="AP226" i="9"/>
  <c r="AO226" i="9"/>
  <c r="AN226" i="9"/>
  <c r="AM226" i="9"/>
  <c r="AL226" i="9"/>
  <c r="BI225" i="9"/>
  <c r="BH225" i="9"/>
  <c r="BG225" i="9"/>
  <c r="BF225" i="9"/>
  <c r="BE225" i="9"/>
  <c r="BD225" i="9"/>
  <c r="BC225" i="9"/>
  <c r="BB225" i="9"/>
  <c r="BA225" i="9"/>
  <c r="AZ225" i="9"/>
  <c r="AY225" i="9"/>
  <c r="AX225" i="9"/>
  <c r="AW225" i="9"/>
  <c r="AV225" i="9"/>
  <c r="AU225" i="9"/>
  <c r="AT225" i="9"/>
  <c r="AS225" i="9"/>
  <c r="AR225" i="9"/>
  <c r="AQ225" i="9"/>
  <c r="AP225" i="9"/>
  <c r="AO225" i="9"/>
  <c r="AN225" i="9"/>
  <c r="AM225" i="9"/>
  <c r="AL225" i="9"/>
  <c r="BJ225" i="9"/>
  <c r="BI224" i="9"/>
  <c r="BH224" i="9"/>
  <c r="BG224" i="9"/>
  <c r="BF224" i="9"/>
  <c r="BE224" i="9"/>
  <c r="BD224" i="9"/>
  <c r="BC224" i="9"/>
  <c r="BB224" i="9"/>
  <c r="BA224" i="9"/>
  <c r="AZ224" i="9"/>
  <c r="AY224" i="9"/>
  <c r="AX224" i="9"/>
  <c r="AW224" i="9"/>
  <c r="AV224" i="9"/>
  <c r="AU224" i="9"/>
  <c r="AT224" i="9"/>
  <c r="AS224" i="9"/>
  <c r="AR224" i="9"/>
  <c r="AQ224" i="9"/>
  <c r="AP224" i="9"/>
  <c r="AO224" i="9"/>
  <c r="AN224" i="9"/>
  <c r="AM224" i="9"/>
  <c r="AL224" i="9"/>
  <c r="BI223" i="9"/>
  <c r="BH223" i="9"/>
  <c r="BG223" i="9"/>
  <c r="BF223" i="9"/>
  <c r="BE223" i="9"/>
  <c r="BD223" i="9"/>
  <c r="BC223" i="9"/>
  <c r="BB223" i="9"/>
  <c r="BA223" i="9"/>
  <c r="AZ223" i="9"/>
  <c r="AY223" i="9"/>
  <c r="AX223" i="9"/>
  <c r="AW223" i="9"/>
  <c r="AV223" i="9"/>
  <c r="AU223" i="9"/>
  <c r="AT223" i="9"/>
  <c r="AS223" i="9"/>
  <c r="AR223" i="9"/>
  <c r="AQ223" i="9"/>
  <c r="AP223" i="9"/>
  <c r="AO223" i="9"/>
  <c r="AN223" i="9"/>
  <c r="AM223" i="9"/>
  <c r="AL223" i="9"/>
  <c r="BI222" i="9"/>
  <c r="BH222" i="9"/>
  <c r="BG222" i="9"/>
  <c r="BF222" i="9"/>
  <c r="BE222" i="9"/>
  <c r="BD222" i="9"/>
  <c r="BC222" i="9"/>
  <c r="BB222" i="9"/>
  <c r="BA222" i="9"/>
  <c r="AZ222" i="9"/>
  <c r="AY222" i="9"/>
  <c r="AX222" i="9"/>
  <c r="AW222" i="9"/>
  <c r="AV222" i="9"/>
  <c r="AU222" i="9"/>
  <c r="AT222" i="9"/>
  <c r="AS222" i="9"/>
  <c r="AR222" i="9"/>
  <c r="AQ222" i="9"/>
  <c r="AP222" i="9"/>
  <c r="AO222" i="9"/>
  <c r="AN222" i="9"/>
  <c r="AM222" i="9"/>
  <c r="AL222" i="9"/>
  <c r="BI221" i="9"/>
  <c r="BH221" i="9"/>
  <c r="BG221" i="9"/>
  <c r="BF221" i="9"/>
  <c r="BE221" i="9"/>
  <c r="BD221" i="9"/>
  <c r="BC221" i="9"/>
  <c r="BB221" i="9"/>
  <c r="BA221" i="9"/>
  <c r="AZ221" i="9"/>
  <c r="AY221" i="9"/>
  <c r="AX221" i="9"/>
  <c r="AW221" i="9"/>
  <c r="AV221" i="9"/>
  <c r="AU221" i="9"/>
  <c r="AT221" i="9"/>
  <c r="AS221" i="9"/>
  <c r="AR221" i="9"/>
  <c r="AQ221" i="9"/>
  <c r="AP221" i="9"/>
  <c r="AO221" i="9"/>
  <c r="AN221" i="9"/>
  <c r="AM221" i="9"/>
  <c r="AL221" i="9"/>
  <c r="BJ221" i="9"/>
  <c r="BI220" i="9"/>
  <c r="BH220" i="9"/>
  <c r="BG220" i="9"/>
  <c r="BF220" i="9"/>
  <c r="BE220" i="9"/>
  <c r="BD220" i="9"/>
  <c r="BC220" i="9"/>
  <c r="BB220" i="9"/>
  <c r="BA220" i="9"/>
  <c r="AZ220" i="9"/>
  <c r="AY220" i="9"/>
  <c r="AX220" i="9"/>
  <c r="AW220" i="9"/>
  <c r="AV220" i="9"/>
  <c r="AU220" i="9"/>
  <c r="AT220" i="9"/>
  <c r="AS220" i="9"/>
  <c r="AR220" i="9"/>
  <c r="AQ220" i="9"/>
  <c r="AP220" i="9"/>
  <c r="AO220" i="9"/>
  <c r="AN220" i="9"/>
  <c r="AM220" i="9"/>
  <c r="AL220" i="9"/>
  <c r="BJ220" i="9"/>
  <c r="BI219" i="9"/>
  <c r="BH219" i="9"/>
  <c r="BG219" i="9"/>
  <c r="BF219" i="9"/>
  <c r="BE219" i="9"/>
  <c r="BD219" i="9"/>
  <c r="BC219" i="9"/>
  <c r="BB219" i="9"/>
  <c r="BA219" i="9"/>
  <c r="AZ219" i="9"/>
  <c r="AY219" i="9"/>
  <c r="AX219" i="9"/>
  <c r="AW219" i="9"/>
  <c r="AV219" i="9"/>
  <c r="AU219" i="9"/>
  <c r="AT219" i="9"/>
  <c r="AS219" i="9"/>
  <c r="AR219" i="9"/>
  <c r="AQ219" i="9"/>
  <c r="AP219" i="9"/>
  <c r="AO219" i="9"/>
  <c r="AN219" i="9"/>
  <c r="AM219" i="9"/>
  <c r="AL219" i="9"/>
  <c r="BJ219" i="9"/>
  <c r="BI218" i="9"/>
  <c r="BH218" i="9"/>
  <c r="BG218" i="9"/>
  <c r="BF218" i="9"/>
  <c r="BE218" i="9"/>
  <c r="BD218" i="9"/>
  <c r="BC218" i="9"/>
  <c r="BB218" i="9"/>
  <c r="BA218" i="9"/>
  <c r="AZ218" i="9"/>
  <c r="AY218" i="9"/>
  <c r="AX218" i="9"/>
  <c r="AW218" i="9"/>
  <c r="AV218" i="9"/>
  <c r="AU218" i="9"/>
  <c r="AT218" i="9"/>
  <c r="AS218" i="9"/>
  <c r="AR218" i="9"/>
  <c r="AQ218" i="9"/>
  <c r="AP218" i="9"/>
  <c r="AO218" i="9"/>
  <c r="AN218" i="9"/>
  <c r="AM218" i="9"/>
  <c r="AL218" i="9"/>
  <c r="BI217" i="9"/>
  <c r="BH217" i="9"/>
  <c r="BG217" i="9"/>
  <c r="BF217" i="9"/>
  <c r="BE217" i="9"/>
  <c r="BD217" i="9"/>
  <c r="BC217" i="9"/>
  <c r="BB217" i="9"/>
  <c r="BA217" i="9"/>
  <c r="AZ217" i="9"/>
  <c r="AY217" i="9"/>
  <c r="AX217" i="9"/>
  <c r="AW217" i="9"/>
  <c r="AV217" i="9"/>
  <c r="AU217" i="9"/>
  <c r="AT217" i="9"/>
  <c r="AS217" i="9"/>
  <c r="AR217" i="9"/>
  <c r="AQ217" i="9"/>
  <c r="AP217" i="9"/>
  <c r="AO217" i="9"/>
  <c r="AN217" i="9"/>
  <c r="AM217" i="9"/>
  <c r="AL217" i="9"/>
  <c r="BJ217" i="9"/>
  <c r="BI216" i="9"/>
  <c r="BH216" i="9"/>
  <c r="BG216" i="9"/>
  <c r="BF216" i="9"/>
  <c r="BE216" i="9"/>
  <c r="BD216" i="9"/>
  <c r="BC216" i="9"/>
  <c r="BB216" i="9"/>
  <c r="BA216" i="9"/>
  <c r="AZ216" i="9"/>
  <c r="AY216" i="9"/>
  <c r="AX216" i="9"/>
  <c r="AW216" i="9"/>
  <c r="AV216" i="9"/>
  <c r="AU216" i="9"/>
  <c r="AT216" i="9"/>
  <c r="AS216" i="9"/>
  <c r="AR216" i="9"/>
  <c r="AQ216" i="9"/>
  <c r="AP216" i="9"/>
  <c r="AO216" i="9"/>
  <c r="AN216" i="9"/>
  <c r="AM216" i="9"/>
  <c r="AL216" i="9"/>
  <c r="BJ216" i="9"/>
  <c r="BI215" i="9"/>
  <c r="BH215" i="9"/>
  <c r="BG215" i="9"/>
  <c r="BF215" i="9"/>
  <c r="BE215" i="9"/>
  <c r="BD215" i="9"/>
  <c r="BC215" i="9"/>
  <c r="BB215" i="9"/>
  <c r="BA215" i="9"/>
  <c r="AZ215" i="9"/>
  <c r="AY215" i="9"/>
  <c r="AX215" i="9"/>
  <c r="AW215" i="9"/>
  <c r="AV215" i="9"/>
  <c r="AU215" i="9"/>
  <c r="AT215" i="9"/>
  <c r="AS215" i="9"/>
  <c r="AR215" i="9"/>
  <c r="AQ215" i="9"/>
  <c r="AP215" i="9"/>
  <c r="AO215" i="9"/>
  <c r="AN215" i="9"/>
  <c r="AM215" i="9"/>
  <c r="AL215" i="9"/>
  <c r="BJ215" i="9"/>
  <c r="BI214" i="9"/>
  <c r="BH214" i="9"/>
  <c r="BG214" i="9"/>
  <c r="BF214" i="9"/>
  <c r="BE214" i="9"/>
  <c r="BD214" i="9"/>
  <c r="BC214" i="9"/>
  <c r="BB214" i="9"/>
  <c r="BA214" i="9"/>
  <c r="AZ214" i="9"/>
  <c r="AY214" i="9"/>
  <c r="AX214" i="9"/>
  <c r="AW214" i="9"/>
  <c r="AV214" i="9"/>
  <c r="AU214" i="9"/>
  <c r="AT214" i="9"/>
  <c r="AS214" i="9"/>
  <c r="AR214" i="9"/>
  <c r="AQ214" i="9"/>
  <c r="AP214" i="9"/>
  <c r="AO214" i="9"/>
  <c r="AN214" i="9"/>
  <c r="AM214" i="9"/>
  <c r="AL214" i="9"/>
  <c r="BJ214" i="9"/>
  <c r="BI213" i="9"/>
  <c r="BH213" i="9"/>
  <c r="BG213" i="9"/>
  <c r="BF213" i="9"/>
  <c r="BE213" i="9"/>
  <c r="BD213" i="9"/>
  <c r="BC213" i="9"/>
  <c r="BB213" i="9"/>
  <c r="BA213" i="9"/>
  <c r="AZ213" i="9"/>
  <c r="AY213" i="9"/>
  <c r="AX213" i="9"/>
  <c r="AW213" i="9"/>
  <c r="AV213" i="9"/>
  <c r="AU213" i="9"/>
  <c r="AT213" i="9"/>
  <c r="AS213" i="9"/>
  <c r="AR213" i="9"/>
  <c r="AQ213" i="9"/>
  <c r="AP213" i="9"/>
  <c r="AO213" i="9"/>
  <c r="AN213" i="9"/>
  <c r="AM213" i="9"/>
  <c r="AL213" i="9"/>
  <c r="BJ213" i="9"/>
  <c r="BI212" i="9"/>
  <c r="BH212" i="9"/>
  <c r="BG212" i="9"/>
  <c r="BF212" i="9"/>
  <c r="BE212" i="9"/>
  <c r="BD212" i="9"/>
  <c r="BC212" i="9"/>
  <c r="BB212" i="9"/>
  <c r="BA212" i="9"/>
  <c r="AZ212" i="9"/>
  <c r="AY212" i="9"/>
  <c r="AX212" i="9"/>
  <c r="AW212" i="9"/>
  <c r="AV212" i="9"/>
  <c r="AU212" i="9"/>
  <c r="AT212" i="9"/>
  <c r="AS212" i="9"/>
  <c r="AR212" i="9"/>
  <c r="AQ212" i="9"/>
  <c r="AP212" i="9"/>
  <c r="AO212" i="9"/>
  <c r="AN212" i="9"/>
  <c r="AM212" i="9"/>
  <c r="AL212" i="9"/>
  <c r="BI211" i="9"/>
  <c r="BH211" i="9"/>
  <c r="BG211" i="9"/>
  <c r="BF211" i="9"/>
  <c r="BE211" i="9"/>
  <c r="BD211" i="9"/>
  <c r="BC211" i="9"/>
  <c r="BB211" i="9"/>
  <c r="BA211" i="9"/>
  <c r="AZ211" i="9"/>
  <c r="AY211" i="9"/>
  <c r="AX211" i="9"/>
  <c r="AW211" i="9"/>
  <c r="AV211" i="9"/>
  <c r="AU211" i="9"/>
  <c r="AT211" i="9"/>
  <c r="AS211" i="9"/>
  <c r="AR211" i="9"/>
  <c r="AQ211" i="9"/>
  <c r="AP211" i="9"/>
  <c r="AO211" i="9"/>
  <c r="AN211" i="9"/>
  <c r="AM211" i="9"/>
  <c r="AL211" i="9"/>
  <c r="BI210" i="9"/>
  <c r="BH210" i="9"/>
  <c r="BG210" i="9"/>
  <c r="BF210" i="9"/>
  <c r="BE210" i="9"/>
  <c r="BD210" i="9"/>
  <c r="BC210" i="9"/>
  <c r="BB210" i="9"/>
  <c r="BA210" i="9"/>
  <c r="AZ210" i="9"/>
  <c r="AY210" i="9"/>
  <c r="AX210" i="9"/>
  <c r="AW210" i="9"/>
  <c r="AV210" i="9"/>
  <c r="AU210" i="9"/>
  <c r="AT210" i="9"/>
  <c r="AS210" i="9"/>
  <c r="AR210" i="9"/>
  <c r="AQ210" i="9"/>
  <c r="AP210" i="9"/>
  <c r="AO210" i="9"/>
  <c r="AN210" i="9"/>
  <c r="AM210" i="9"/>
  <c r="AL210" i="9"/>
  <c r="BJ210" i="9"/>
  <c r="BI209" i="9"/>
  <c r="BH209" i="9"/>
  <c r="BG209" i="9"/>
  <c r="BF209" i="9"/>
  <c r="BE209" i="9"/>
  <c r="BD209" i="9"/>
  <c r="BC209" i="9"/>
  <c r="BB209" i="9"/>
  <c r="BA209" i="9"/>
  <c r="AZ209" i="9"/>
  <c r="AY209" i="9"/>
  <c r="AX209" i="9"/>
  <c r="AW209" i="9"/>
  <c r="AV209" i="9"/>
  <c r="AU209" i="9"/>
  <c r="AT209" i="9"/>
  <c r="AS209" i="9"/>
  <c r="AR209" i="9"/>
  <c r="AQ209" i="9"/>
  <c r="AP209" i="9"/>
  <c r="AO209" i="9"/>
  <c r="AN209" i="9"/>
  <c r="AM209" i="9"/>
  <c r="AL209" i="9"/>
  <c r="BJ209" i="9"/>
  <c r="BI208" i="9"/>
  <c r="BH208" i="9"/>
  <c r="BG208" i="9"/>
  <c r="BF208" i="9"/>
  <c r="BE208" i="9"/>
  <c r="BD208" i="9"/>
  <c r="BC208" i="9"/>
  <c r="BB208" i="9"/>
  <c r="BA208" i="9"/>
  <c r="AZ208" i="9"/>
  <c r="AY208" i="9"/>
  <c r="AX208" i="9"/>
  <c r="AW208" i="9"/>
  <c r="AV208" i="9"/>
  <c r="AU208" i="9"/>
  <c r="AT208" i="9"/>
  <c r="AS208" i="9"/>
  <c r="AR208" i="9"/>
  <c r="AQ208" i="9"/>
  <c r="AP208" i="9"/>
  <c r="AO208" i="9"/>
  <c r="AN208" i="9"/>
  <c r="AM208" i="9"/>
  <c r="AL208" i="9"/>
  <c r="BI207" i="9"/>
  <c r="BH207" i="9"/>
  <c r="BG207" i="9"/>
  <c r="BF207" i="9"/>
  <c r="BE207" i="9"/>
  <c r="BD207" i="9"/>
  <c r="BC207" i="9"/>
  <c r="BB207" i="9"/>
  <c r="BA207" i="9"/>
  <c r="AZ207" i="9"/>
  <c r="AY207" i="9"/>
  <c r="AX207" i="9"/>
  <c r="AW207" i="9"/>
  <c r="AV207" i="9"/>
  <c r="AU207" i="9"/>
  <c r="AT207" i="9"/>
  <c r="AS207" i="9"/>
  <c r="AR207" i="9"/>
  <c r="AQ207" i="9"/>
  <c r="AP207" i="9"/>
  <c r="AO207" i="9"/>
  <c r="AN207" i="9"/>
  <c r="AM207" i="9"/>
  <c r="AL207" i="9"/>
  <c r="BI206" i="9"/>
  <c r="BH206" i="9"/>
  <c r="BG206" i="9"/>
  <c r="BF206" i="9"/>
  <c r="BE206" i="9"/>
  <c r="BD206" i="9"/>
  <c r="BC206" i="9"/>
  <c r="BB206" i="9"/>
  <c r="BA206" i="9"/>
  <c r="AZ206" i="9"/>
  <c r="AY206" i="9"/>
  <c r="AX206" i="9"/>
  <c r="AW206" i="9"/>
  <c r="AV206" i="9"/>
  <c r="AU206" i="9"/>
  <c r="AT206" i="9"/>
  <c r="AS206" i="9"/>
  <c r="AR206" i="9"/>
  <c r="AQ206" i="9"/>
  <c r="AP206" i="9"/>
  <c r="AO206" i="9"/>
  <c r="AN206" i="9"/>
  <c r="AM206" i="9"/>
  <c r="AL206" i="9"/>
  <c r="BI205" i="9"/>
  <c r="BH205" i="9"/>
  <c r="BG205" i="9"/>
  <c r="BF205" i="9"/>
  <c r="BE205" i="9"/>
  <c r="BD205" i="9"/>
  <c r="BC205" i="9"/>
  <c r="BB205" i="9"/>
  <c r="BA205" i="9"/>
  <c r="AZ205" i="9"/>
  <c r="AY205" i="9"/>
  <c r="AX205" i="9"/>
  <c r="AW205" i="9"/>
  <c r="AV205" i="9"/>
  <c r="AU205" i="9"/>
  <c r="AT205" i="9"/>
  <c r="AS205" i="9"/>
  <c r="AR205" i="9"/>
  <c r="AQ205" i="9"/>
  <c r="AP205" i="9"/>
  <c r="AO205" i="9"/>
  <c r="AN205" i="9"/>
  <c r="AM205" i="9"/>
  <c r="AL205" i="9"/>
  <c r="BJ205" i="9"/>
  <c r="BI204" i="9"/>
  <c r="BH204" i="9"/>
  <c r="BG204" i="9"/>
  <c r="BF204" i="9"/>
  <c r="BE204" i="9"/>
  <c r="BD204" i="9"/>
  <c r="BC204" i="9"/>
  <c r="BB204" i="9"/>
  <c r="BA204" i="9"/>
  <c r="AZ204" i="9"/>
  <c r="AY204" i="9"/>
  <c r="AX204" i="9"/>
  <c r="AW204" i="9"/>
  <c r="AV204" i="9"/>
  <c r="AU204" i="9"/>
  <c r="AT204" i="9"/>
  <c r="AS204" i="9"/>
  <c r="AR204" i="9"/>
  <c r="AQ204" i="9"/>
  <c r="AP204" i="9"/>
  <c r="AO204" i="9"/>
  <c r="AN204" i="9"/>
  <c r="AM204" i="9"/>
  <c r="AL204" i="9"/>
  <c r="BJ204" i="9"/>
  <c r="BI203" i="9"/>
  <c r="BH203" i="9"/>
  <c r="BG203" i="9"/>
  <c r="BF203" i="9"/>
  <c r="BE203" i="9"/>
  <c r="BD203" i="9"/>
  <c r="BC203" i="9"/>
  <c r="BB203" i="9"/>
  <c r="BA203" i="9"/>
  <c r="AZ203" i="9"/>
  <c r="AY203" i="9"/>
  <c r="AX203" i="9"/>
  <c r="AW203" i="9"/>
  <c r="AV203" i="9"/>
  <c r="AU203" i="9"/>
  <c r="AT203" i="9"/>
  <c r="AS203" i="9"/>
  <c r="AR203" i="9"/>
  <c r="AQ203" i="9"/>
  <c r="AP203" i="9"/>
  <c r="AO203" i="9"/>
  <c r="AN203" i="9"/>
  <c r="AM203" i="9"/>
  <c r="AL203" i="9"/>
  <c r="BJ203" i="9"/>
  <c r="BI202" i="9"/>
  <c r="BH202" i="9"/>
  <c r="BG202" i="9"/>
  <c r="BF202" i="9"/>
  <c r="BE202" i="9"/>
  <c r="BD202" i="9"/>
  <c r="BC202" i="9"/>
  <c r="BB202" i="9"/>
  <c r="BA202" i="9"/>
  <c r="AZ202" i="9"/>
  <c r="AY202" i="9"/>
  <c r="AX202" i="9"/>
  <c r="AW202" i="9"/>
  <c r="AV202" i="9"/>
  <c r="AU202" i="9"/>
  <c r="AT202" i="9"/>
  <c r="AS202" i="9"/>
  <c r="AR202" i="9"/>
  <c r="AQ202" i="9"/>
  <c r="AP202" i="9"/>
  <c r="AO202" i="9"/>
  <c r="AN202" i="9"/>
  <c r="AM202" i="9"/>
  <c r="AL202" i="9"/>
  <c r="BI201" i="9"/>
  <c r="BH201" i="9"/>
  <c r="BG201" i="9"/>
  <c r="BF201" i="9"/>
  <c r="BE201" i="9"/>
  <c r="BD201" i="9"/>
  <c r="BC201" i="9"/>
  <c r="BB201" i="9"/>
  <c r="BA201" i="9"/>
  <c r="AZ201" i="9"/>
  <c r="AY201" i="9"/>
  <c r="AX201" i="9"/>
  <c r="AW201" i="9"/>
  <c r="AV201" i="9"/>
  <c r="AU201" i="9"/>
  <c r="AT201" i="9"/>
  <c r="AS201" i="9"/>
  <c r="AR201" i="9"/>
  <c r="AQ201" i="9"/>
  <c r="AP201" i="9"/>
  <c r="AO201" i="9"/>
  <c r="AN201" i="9"/>
  <c r="AM201" i="9"/>
  <c r="AL201" i="9"/>
  <c r="BJ201" i="9"/>
  <c r="BI200" i="9"/>
  <c r="BH200" i="9"/>
  <c r="BG200" i="9"/>
  <c r="BF200" i="9"/>
  <c r="BE200" i="9"/>
  <c r="BD200" i="9"/>
  <c r="BC200" i="9"/>
  <c r="BB200" i="9"/>
  <c r="BA200" i="9"/>
  <c r="AZ200" i="9"/>
  <c r="AY200" i="9"/>
  <c r="AX200" i="9"/>
  <c r="AW200" i="9"/>
  <c r="AV200" i="9"/>
  <c r="AU200" i="9"/>
  <c r="AT200" i="9"/>
  <c r="AS200" i="9"/>
  <c r="AR200" i="9"/>
  <c r="AQ200" i="9"/>
  <c r="AP200" i="9"/>
  <c r="AO200" i="9"/>
  <c r="AN200" i="9"/>
  <c r="AM200" i="9"/>
  <c r="AL200" i="9"/>
  <c r="BJ200" i="9"/>
  <c r="BI199" i="9"/>
  <c r="BH199" i="9"/>
  <c r="BG199" i="9"/>
  <c r="BF199" i="9"/>
  <c r="BE199" i="9"/>
  <c r="BD199" i="9"/>
  <c r="BC199" i="9"/>
  <c r="BB199" i="9"/>
  <c r="BA199" i="9"/>
  <c r="AZ199" i="9"/>
  <c r="AY199" i="9"/>
  <c r="AX199" i="9"/>
  <c r="AW199" i="9"/>
  <c r="AV199" i="9"/>
  <c r="AU199" i="9"/>
  <c r="AT199" i="9"/>
  <c r="AS199" i="9"/>
  <c r="AR199" i="9"/>
  <c r="AQ199" i="9"/>
  <c r="AP199" i="9"/>
  <c r="AO199" i="9"/>
  <c r="AN199" i="9"/>
  <c r="AM199" i="9"/>
  <c r="AL199" i="9"/>
  <c r="BJ199" i="9"/>
  <c r="BI198" i="9"/>
  <c r="BH198" i="9"/>
  <c r="BG198" i="9"/>
  <c r="BF198" i="9"/>
  <c r="BE198" i="9"/>
  <c r="BD198" i="9"/>
  <c r="BC198" i="9"/>
  <c r="BB198" i="9"/>
  <c r="BA198" i="9"/>
  <c r="AZ198" i="9"/>
  <c r="AY198" i="9"/>
  <c r="AX198" i="9"/>
  <c r="AW198" i="9"/>
  <c r="AV198" i="9"/>
  <c r="AU198" i="9"/>
  <c r="AT198" i="9"/>
  <c r="AS198" i="9"/>
  <c r="AR198" i="9"/>
  <c r="AQ198" i="9"/>
  <c r="AP198" i="9"/>
  <c r="AO198" i="9"/>
  <c r="AN198" i="9"/>
  <c r="AM198" i="9"/>
  <c r="AL198" i="9"/>
  <c r="BJ198" i="9"/>
  <c r="BI197" i="9"/>
  <c r="BH197" i="9"/>
  <c r="BG197" i="9"/>
  <c r="BF197" i="9"/>
  <c r="BE197" i="9"/>
  <c r="BD197" i="9"/>
  <c r="BC197" i="9"/>
  <c r="BB197" i="9"/>
  <c r="BA197" i="9"/>
  <c r="AZ197" i="9"/>
  <c r="AY197" i="9"/>
  <c r="AX197" i="9"/>
  <c r="AW197" i="9"/>
  <c r="AV197" i="9"/>
  <c r="AU197" i="9"/>
  <c r="AT197" i="9"/>
  <c r="AS197" i="9"/>
  <c r="AR197" i="9"/>
  <c r="AQ197" i="9"/>
  <c r="AP197" i="9"/>
  <c r="AO197" i="9"/>
  <c r="AN197" i="9"/>
  <c r="AM197" i="9"/>
  <c r="AL197" i="9"/>
  <c r="BJ197" i="9"/>
  <c r="BI196" i="9"/>
  <c r="BH196" i="9"/>
  <c r="BG196" i="9"/>
  <c r="BF196" i="9"/>
  <c r="BE196" i="9"/>
  <c r="BD196" i="9"/>
  <c r="BC196" i="9"/>
  <c r="BB196" i="9"/>
  <c r="BA196" i="9"/>
  <c r="AZ196" i="9"/>
  <c r="AY196" i="9"/>
  <c r="AX196" i="9"/>
  <c r="AW196" i="9"/>
  <c r="AV196" i="9"/>
  <c r="AU196" i="9"/>
  <c r="AT196" i="9"/>
  <c r="AS196" i="9"/>
  <c r="AR196" i="9"/>
  <c r="AQ196" i="9"/>
  <c r="AP196" i="9"/>
  <c r="AO196" i="9"/>
  <c r="AN196" i="9"/>
  <c r="AM196" i="9"/>
  <c r="AL196" i="9"/>
  <c r="BI195" i="9"/>
  <c r="BH195" i="9"/>
  <c r="BG195" i="9"/>
  <c r="BF195" i="9"/>
  <c r="BE195" i="9"/>
  <c r="BD195" i="9"/>
  <c r="BC195" i="9"/>
  <c r="BB195" i="9"/>
  <c r="BA195" i="9"/>
  <c r="AZ195" i="9"/>
  <c r="AY195" i="9"/>
  <c r="AX195" i="9"/>
  <c r="AW195" i="9"/>
  <c r="AV195" i="9"/>
  <c r="AU195" i="9"/>
  <c r="AT195" i="9"/>
  <c r="AS195" i="9"/>
  <c r="AR195" i="9"/>
  <c r="AQ195" i="9"/>
  <c r="AP195" i="9"/>
  <c r="AO195" i="9"/>
  <c r="AN195" i="9"/>
  <c r="AM195" i="9"/>
  <c r="AL195" i="9"/>
  <c r="BI194" i="9"/>
  <c r="BH194" i="9"/>
  <c r="BG194" i="9"/>
  <c r="BF194" i="9"/>
  <c r="BE194" i="9"/>
  <c r="BD194" i="9"/>
  <c r="BC194" i="9"/>
  <c r="BB194" i="9"/>
  <c r="BA194" i="9"/>
  <c r="AZ194" i="9"/>
  <c r="AY194" i="9"/>
  <c r="AX194" i="9"/>
  <c r="AW194" i="9"/>
  <c r="AV194" i="9"/>
  <c r="AU194" i="9"/>
  <c r="AT194" i="9"/>
  <c r="AS194" i="9"/>
  <c r="AR194" i="9"/>
  <c r="AQ194" i="9"/>
  <c r="AP194" i="9"/>
  <c r="AO194" i="9"/>
  <c r="AN194" i="9"/>
  <c r="AM194" i="9"/>
  <c r="AL194" i="9"/>
  <c r="BJ194" i="9"/>
  <c r="BI193" i="9"/>
  <c r="BH193" i="9"/>
  <c r="BG193" i="9"/>
  <c r="BF193" i="9"/>
  <c r="BE193" i="9"/>
  <c r="BD193" i="9"/>
  <c r="BC193" i="9"/>
  <c r="BB193" i="9"/>
  <c r="BA193" i="9"/>
  <c r="AZ193" i="9"/>
  <c r="AY193" i="9"/>
  <c r="AX193" i="9"/>
  <c r="AW193" i="9"/>
  <c r="AV193" i="9"/>
  <c r="AU193" i="9"/>
  <c r="AT193" i="9"/>
  <c r="AS193" i="9"/>
  <c r="AR193" i="9"/>
  <c r="AQ193" i="9"/>
  <c r="AP193" i="9"/>
  <c r="AO193" i="9"/>
  <c r="AN193" i="9"/>
  <c r="AM193" i="9"/>
  <c r="AL193" i="9"/>
  <c r="BJ193" i="9"/>
  <c r="BI192" i="9"/>
  <c r="BH192" i="9"/>
  <c r="BG192" i="9"/>
  <c r="BF192" i="9"/>
  <c r="BE192" i="9"/>
  <c r="BD192" i="9"/>
  <c r="BC192" i="9"/>
  <c r="BB192" i="9"/>
  <c r="BA192" i="9"/>
  <c r="AZ192" i="9"/>
  <c r="AY192" i="9"/>
  <c r="AX192" i="9"/>
  <c r="AW192" i="9"/>
  <c r="AV192" i="9"/>
  <c r="AU192" i="9"/>
  <c r="AT192" i="9"/>
  <c r="AS192" i="9"/>
  <c r="AR192" i="9"/>
  <c r="AQ192" i="9"/>
  <c r="AP192" i="9"/>
  <c r="AO192" i="9"/>
  <c r="AN192" i="9"/>
  <c r="AM192" i="9"/>
  <c r="AL192" i="9"/>
  <c r="BI191" i="9"/>
  <c r="BH191" i="9"/>
  <c r="BG191" i="9"/>
  <c r="BF191" i="9"/>
  <c r="BE191" i="9"/>
  <c r="BD191" i="9"/>
  <c r="BC191" i="9"/>
  <c r="BB191" i="9"/>
  <c r="BA191" i="9"/>
  <c r="AZ191" i="9"/>
  <c r="AY191" i="9"/>
  <c r="AX191" i="9"/>
  <c r="AW191" i="9"/>
  <c r="AV191" i="9"/>
  <c r="AU191" i="9"/>
  <c r="AT191" i="9"/>
  <c r="AS191" i="9"/>
  <c r="AR191" i="9"/>
  <c r="AQ191" i="9"/>
  <c r="AP191" i="9"/>
  <c r="AO191" i="9"/>
  <c r="AN191" i="9"/>
  <c r="AM191" i="9"/>
  <c r="AL191" i="9"/>
  <c r="BI190" i="9"/>
  <c r="BH190" i="9"/>
  <c r="BG190" i="9"/>
  <c r="BF190" i="9"/>
  <c r="BE190" i="9"/>
  <c r="BD190" i="9"/>
  <c r="BC190" i="9"/>
  <c r="BB190" i="9"/>
  <c r="BA190" i="9"/>
  <c r="AZ190" i="9"/>
  <c r="AY190" i="9"/>
  <c r="AX190" i="9"/>
  <c r="AW190" i="9"/>
  <c r="AV190" i="9"/>
  <c r="AU190" i="9"/>
  <c r="AT190" i="9"/>
  <c r="AS190" i="9"/>
  <c r="AR190" i="9"/>
  <c r="AQ190" i="9"/>
  <c r="AP190" i="9"/>
  <c r="AO190" i="9"/>
  <c r="AN190" i="9"/>
  <c r="AM190" i="9"/>
  <c r="AL190" i="9"/>
  <c r="BI189" i="9"/>
  <c r="BH189" i="9"/>
  <c r="BG189" i="9"/>
  <c r="BF189" i="9"/>
  <c r="BE189" i="9"/>
  <c r="BD189" i="9"/>
  <c r="BC189" i="9"/>
  <c r="BB189" i="9"/>
  <c r="BA189" i="9"/>
  <c r="AZ189" i="9"/>
  <c r="AY189" i="9"/>
  <c r="AX189" i="9"/>
  <c r="AW189" i="9"/>
  <c r="AV189" i="9"/>
  <c r="AU189" i="9"/>
  <c r="AT189" i="9"/>
  <c r="AS189" i="9"/>
  <c r="AR189" i="9"/>
  <c r="AQ189" i="9"/>
  <c r="AP189" i="9"/>
  <c r="AO189" i="9"/>
  <c r="AN189" i="9"/>
  <c r="AM189" i="9"/>
  <c r="AL189" i="9"/>
  <c r="BI188" i="9"/>
  <c r="BH188" i="9"/>
  <c r="BG188" i="9"/>
  <c r="BF188" i="9"/>
  <c r="BE188" i="9"/>
  <c r="BD188" i="9"/>
  <c r="BC188" i="9"/>
  <c r="BB188" i="9"/>
  <c r="BA188" i="9"/>
  <c r="AZ188" i="9"/>
  <c r="AY188" i="9"/>
  <c r="AX188" i="9"/>
  <c r="AW188" i="9"/>
  <c r="AV188" i="9"/>
  <c r="AU188" i="9"/>
  <c r="AT188" i="9"/>
  <c r="AS188" i="9"/>
  <c r="AR188" i="9"/>
  <c r="AQ188" i="9"/>
  <c r="AP188" i="9"/>
  <c r="AO188" i="9"/>
  <c r="AN188" i="9"/>
  <c r="AM188" i="9"/>
  <c r="AL188" i="9"/>
  <c r="BJ188" i="9"/>
  <c r="BI187" i="9"/>
  <c r="BH187" i="9"/>
  <c r="BG187" i="9"/>
  <c r="BF187" i="9"/>
  <c r="BE187" i="9"/>
  <c r="BD187" i="9"/>
  <c r="BC187" i="9"/>
  <c r="BB187" i="9"/>
  <c r="BA187" i="9"/>
  <c r="AZ187" i="9"/>
  <c r="AY187" i="9"/>
  <c r="AX187" i="9"/>
  <c r="AW187" i="9"/>
  <c r="AV187" i="9"/>
  <c r="AU187" i="9"/>
  <c r="AT187" i="9"/>
  <c r="AS187" i="9"/>
  <c r="AR187" i="9"/>
  <c r="AQ187" i="9"/>
  <c r="AP187" i="9"/>
  <c r="AO187" i="9"/>
  <c r="AN187" i="9"/>
  <c r="AM187" i="9"/>
  <c r="AL187" i="9"/>
  <c r="BI186" i="9"/>
  <c r="BH186" i="9"/>
  <c r="BG186" i="9"/>
  <c r="BF186" i="9"/>
  <c r="BE186" i="9"/>
  <c r="BD186" i="9"/>
  <c r="BC186" i="9"/>
  <c r="BB186" i="9"/>
  <c r="BA186" i="9"/>
  <c r="AZ186" i="9"/>
  <c r="AY186" i="9"/>
  <c r="AX186" i="9"/>
  <c r="AW186" i="9"/>
  <c r="AV186" i="9"/>
  <c r="AU186" i="9"/>
  <c r="AT186" i="9"/>
  <c r="AS186" i="9"/>
  <c r="AR186" i="9"/>
  <c r="AQ186" i="9"/>
  <c r="AP186" i="9"/>
  <c r="AO186" i="9"/>
  <c r="AN186" i="9"/>
  <c r="AM186" i="9"/>
  <c r="AL186" i="9"/>
  <c r="BI185" i="9"/>
  <c r="BH185" i="9"/>
  <c r="BG185" i="9"/>
  <c r="BF185" i="9"/>
  <c r="BE185" i="9"/>
  <c r="BD185" i="9"/>
  <c r="BC185" i="9"/>
  <c r="BB185" i="9"/>
  <c r="BA185" i="9"/>
  <c r="AZ185" i="9"/>
  <c r="AY185" i="9"/>
  <c r="AX185" i="9"/>
  <c r="AW185" i="9"/>
  <c r="AV185" i="9"/>
  <c r="AU185" i="9"/>
  <c r="AT185" i="9"/>
  <c r="AS185" i="9"/>
  <c r="AR185" i="9"/>
  <c r="AQ185" i="9"/>
  <c r="AP185" i="9"/>
  <c r="AO185" i="9"/>
  <c r="AN185" i="9"/>
  <c r="AM185" i="9"/>
  <c r="AL185" i="9"/>
  <c r="BJ185" i="9"/>
  <c r="BI184" i="9"/>
  <c r="BH184" i="9"/>
  <c r="BG184" i="9"/>
  <c r="BF184" i="9"/>
  <c r="BE184" i="9"/>
  <c r="BD184" i="9"/>
  <c r="BC184" i="9"/>
  <c r="BB184" i="9"/>
  <c r="BA184" i="9"/>
  <c r="AZ184" i="9"/>
  <c r="AY184" i="9"/>
  <c r="AX184" i="9"/>
  <c r="AW184" i="9"/>
  <c r="AV184" i="9"/>
  <c r="AU184" i="9"/>
  <c r="AT184" i="9"/>
  <c r="AS184" i="9"/>
  <c r="AR184" i="9"/>
  <c r="AQ184" i="9"/>
  <c r="AP184" i="9"/>
  <c r="AO184" i="9"/>
  <c r="AN184" i="9"/>
  <c r="AM184" i="9"/>
  <c r="AL184" i="9"/>
  <c r="BJ184" i="9"/>
  <c r="BI183" i="9"/>
  <c r="BH183" i="9"/>
  <c r="BG183" i="9"/>
  <c r="BF183" i="9"/>
  <c r="BE183" i="9"/>
  <c r="BD183" i="9"/>
  <c r="BC183" i="9"/>
  <c r="BB183" i="9"/>
  <c r="BA183" i="9"/>
  <c r="AZ183" i="9"/>
  <c r="AY183" i="9"/>
  <c r="AX183" i="9"/>
  <c r="AW183" i="9"/>
  <c r="AV183" i="9"/>
  <c r="AU183" i="9"/>
  <c r="AT183" i="9"/>
  <c r="AS183" i="9"/>
  <c r="AR183" i="9"/>
  <c r="AQ183" i="9"/>
  <c r="AP183" i="9"/>
  <c r="AO183" i="9"/>
  <c r="AN183" i="9"/>
  <c r="AM183" i="9"/>
  <c r="AL183" i="9"/>
  <c r="BJ183" i="9"/>
  <c r="BI182" i="9"/>
  <c r="BH182" i="9"/>
  <c r="BG182" i="9"/>
  <c r="BF182" i="9"/>
  <c r="BE182" i="9"/>
  <c r="BD182" i="9"/>
  <c r="BC182" i="9"/>
  <c r="BB182" i="9"/>
  <c r="BA182" i="9"/>
  <c r="AZ182" i="9"/>
  <c r="AY182" i="9"/>
  <c r="AX182" i="9"/>
  <c r="AW182" i="9"/>
  <c r="AV182" i="9"/>
  <c r="AU182" i="9"/>
  <c r="AT182" i="9"/>
  <c r="AS182" i="9"/>
  <c r="AR182" i="9"/>
  <c r="AQ182" i="9"/>
  <c r="AP182" i="9"/>
  <c r="AO182" i="9"/>
  <c r="AN182" i="9"/>
  <c r="AM182" i="9"/>
  <c r="AL182" i="9"/>
  <c r="BJ182" i="9"/>
  <c r="BI181" i="9"/>
  <c r="BH181" i="9"/>
  <c r="BG181" i="9"/>
  <c r="BF181" i="9"/>
  <c r="BE181" i="9"/>
  <c r="BD181" i="9"/>
  <c r="BC181" i="9"/>
  <c r="BB181" i="9"/>
  <c r="BA181" i="9"/>
  <c r="AZ181" i="9"/>
  <c r="AY181" i="9"/>
  <c r="AX181" i="9"/>
  <c r="AW181" i="9"/>
  <c r="AV181" i="9"/>
  <c r="AU181" i="9"/>
  <c r="AT181" i="9"/>
  <c r="AS181" i="9"/>
  <c r="AR181" i="9"/>
  <c r="AQ181" i="9"/>
  <c r="AP181" i="9"/>
  <c r="AO181" i="9"/>
  <c r="AN181" i="9"/>
  <c r="AM181" i="9"/>
  <c r="AL181" i="9"/>
  <c r="BJ181" i="9"/>
  <c r="BI180" i="9"/>
  <c r="BH180" i="9"/>
  <c r="BG180" i="9"/>
  <c r="BF180" i="9"/>
  <c r="BE180" i="9"/>
  <c r="BD180" i="9"/>
  <c r="BC180" i="9"/>
  <c r="BB180" i="9"/>
  <c r="BA180" i="9"/>
  <c r="AZ180" i="9"/>
  <c r="AY180" i="9"/>
  <c r="AX180" i="9"/>
  <c r="AW180" i="9"/>
  <c r="AV180" i="9"/>
  <c r="AU180" i="9"/>
  <c r="AT180" i="9"/>
  <c r="AS180" i="9"/>
  <c r="AR180" i="9"/>
  <c r="AQ180" i="9"/>
  <c r="AP180" i="9"/>
  <c r="AO180" i="9"/>
  <c r="AN180" i="9"/>
  <c r="AM180" i="9"/>
  <c r="AL180" i="9"/>
  <c r="BI179" i="9"/>
  <c r="BH179" i="9"/>
  <c r="BG179" i="9"/>
  <c r="BF179" i="9"/>
  <c r="BE179" i="9"/>
  <c r="BD179" i="9"/>
  <c r="BC179" i="9"/>
  <c r="BB179" i="9"/>
  <c r="BA179" i="9"/>
  <c r="AZ179" i="9"/>
  <c r="AY179" i="9"/>
  <c r="AX179" i="9"/>
  <c r="AW179" i="9"/>
  <c r="AV179" i="9"/>
  <c r="AU179" i="9"/>
  <c r="AT179" i="9"/>
  <c r="AS179" i="9"/>
  <c r="AR179" i="9"/>
  <c r="AQ179" i="9"/>
  <c r="AP179" i="9"/>
  <c r="AO179" i="9"/>
  <c r="AN179" i="9"/>
  <c r="AM179" i="9"/>
  <c r="AL179" i="9"/>
  <c r="BI178" i="9"/>
  <c r="BH178" i="9"/>
  <c r="BG178" i="9"/>
  <c r="BF178" i="9"/>
  <c r="BE178" i="9"/>
  <c r="BD178" i="9"/>
  <c r="BC178" i="9"/>
  <c r="BB178" i="9"/>
  <c r="BA178" i="9"/>
  <c r="AZ178" i="9"/>
  <c r="AY178" i="9"/>
  <c r="AX178" i="9"/>
  <c r="AW178" i="9"/>
  <c r="AV178" i="9"/>
  <c r="AU178" i="9"/>
  <c r="AT178" i="9"/>
  <c r="AS178" i="9"/>
  <c r="AR178" i="9"/>
  <c r="AQ178" i="9"/>
  <c r="AP178" i="9"/>
  <c r="AO178" i="9"/>
  <c r="AN178" i="9"/>
  <c r="AM178" i="9"/>
  <c r="AL178" i="9"/>
  <c r="BJ178" i="9"/>
  <c r="BI177" i="9"/>
  <c r="BH177" i="9"/>
  <c r="BG177" i="9"/>
  <c r="BF177" i="9"/>
  <c r="BE177" i="9"/>
  <c r="BD177" i="9"/>
  <c r="BC177" i="9"/>
  <c r="BB177" i="9"/>
  <c r="BA177" i="9"/>
  <c r="AZ177" i="9"/>
  <c r="AY177" i="9"/>
  <c r="AX177" i="9"/>
  <c r="AW177" i="9"/>
  <c r="AV177" i="9"/>
  <c r="AU177" i="9"/>
  <c r="AT177" i="9"/>
  <c r="AS177" i="9"/>
  <c r="AR177" i="9"/>
  <c r="AQ177" i="9"/>
  <c r="AP177" i="9"/>
  <c r="AO177" i="9"/>
  <c r="AN177" i="9"/>
  <c r="AM177" i="9"/>
  <c r="AL177" i="9"/>
  <c r="BJ177" i="9"/>
  <c r="BI176" i="9"/>
  <c r="BH176" i="9"/>
  <c r="BG176" i="9"/>
  <c r="BF176" i="9"/>
  <c r="BE176" i="9"/>
  <c r="BD176" i="9"/>
  <c r="BC176" i="9"/>
  <c r="BB176" i="9"/>
  <c r="BA176" i="9"/>
  <c r="AZ176" i="9"/>
  <c r="AY176" i="9"/>
  <c r="AX176" i="9"/>
  <c r="AW176" i="9"/>
  <c r="AV176" i="9"/>
  <c r="AU176" i="9"/>
  <c r="AT176" i="9"/>
  <c r="AS176" i="9"/>
  <c r="AR176" i="9"/>
  <c r="AQ176" i="9"/>
  <c r="AP176" i="9"/>
  <c r="AO176" i="9"/>
  <c r="AN176" i="9"/>
  <c r="AM176" i="9"/>
  <c r="AL176" i="9"/>
  <c r="BI175" i="9"/>
  <c r="BH175" i="9"/>
  <c r="BG175" i="9"/>
  <c r="BF175" i="9"/>
  <c r="BE175" i="9"/>
  <c r="BD175" i="9"/>
  <c r="BC175" i="9"/>
  <c r="BB175" i="9"/>
  <c r="BA175" i="9"/>
  <c r="AZ175" i="9"/>
  <c r="AY175" i="9"/>
  <c r="AX175" i="9"/>
  <c r="AW175" i="9"/>
  <c r="AV175" i="9"/>
  <c r="AU175" i="9"/>
  <c r="AT175" i="9"/>
  <c r="AS175" i="9"/>
  <c r="AR175" i="9"/>
  <c r="AQ175" i="9"/>
  <c r="AP175" i="9"/>
  <c r="AO175" i="9"/>
  <c r="AN175" i="9"/>
  <c r="AM175" i="9"/>
  <c r="AL175" i="9"/>
  <c r="BI174" i="9"/>
  <c r="BH174" i="9"/>
  <c r="BG174" i="9"/>
  <c r="BF174" i="9"/>
  <c r="BE174" i="9"/>
  <c r="BD174" i="9"/>
  <c r="BC174" i="9"/>
  <c r="BB174" i="9"/>
  <c r="BA174" i="9"/>
  <c r="AZ174" i="9"/>
  <c r="AY174" i="9"/>
  <c r="AX174" i="9"/>
  <c r="AW174" i="9"/>
  <c r="AV174" i="9"/>
  <c r="AU174" i="9"/>
  <c r="AT174" i="9"/>
  <c r="AS174" i="9"/>
  <c r="AR174" i="9"/>
  <c r="AQ174" i="9"/>
  <c r="AP174" i="9"/>
  <c r="AO174" i="9"/>
  <c r="AN174" i="9"/>
  <c r="AM174" i="9"/>
  <c r="AL174" i="9"/>
  <c r="BI173" i="9"/>
  <c r="BH173" i="9"/>
  <c r="BG173" i="9"/>
  <c r="BF173" i="9"/>
  <c r="BE173" i="9"/>
  <c r="BD173" i="9"/>
  <c r="BC173" i="9"/>
  <c r="BB173" i="9"/>
  <c r="BA173" i="9"/>
  <c r="AZ173" i="9"/>
  <c r="AY173" i="9"/>
  <c r="AX173" i="9"/>
  <c r="AW173" i="9"/>
  <c r="AV173" i="9"/>
  <c r="AU173" i="9"/>
  <c r="AT173" i="9"/>
  <c r="AS173" i="9"/>
  <c r="AR173" i="9"/>
  <c r="AQ173" i="9"/>
  <c r="AP173" i="9"/>
  <c r="AO173" i="9"/>
  <c r="AN173" i="9"/>
  <c r="AM173" i="9"/>
  <c r="AL173" i="9"/>
  <c r="BJ173" i="9"/>
  <c r="BI172" i="9"/>
  <c r="BH172" i="9"/>
  <c r="BG172" i="9"/>
  <c r="BF172" i="9"/>
  <c r="BE172" i="9"/>
  <c r="BD172" i="9"/>
  <c r="BC172" i="9"/>
  <c r="BB172" i="9"/>
  <c r="BA172" i="9"/>
  <c r="AZ172" i="9"/>
  <c r="AY172" i="9"/>
  <c r="AX172" i="9"/>
  <c r="AW172" i="9"/>
  <c r="AV172" i="9"/>
  <c r="AU172" i="9"/>
  <c r="AT172" i="9"/>
  <c r="AS172" i="9"/>
  <c r="AR172" i="9"/>
  <c r="AQ172" i="9"/>
  <c r="AP172" i="9"/>
  <c r="AO172" i="9"/>
  <c r="AN172" i="9"/>
  <c r="AM172" i="9"/>
  <c r="AL172" i="9"/>
  <c r="BJ172" i="9"/>
  <c r="BI171" i="9"/>
  <c r="BH171" i="9"/>
  <c r="BG171" i="9"/>
  <c r="BF171" i="9"/>
  <c r="BE171" i="9"/>
  <c r="BD171" i="9"/>
  <c r="BC171" i="9"/>
  <c r="BB171" i="9"/>
  <c r="BA171" i="9"/>
  <c r="AZ171" i="9"/>
  <c r="AY171" i="9"/>
  <c r="AX171" i="9"/>
  <c r="AW171" i="9"/>
  <c r="AV171" i="9"/>
  <c r="AU171" i="9"/>
  <c r="AT171" i="9"/>
  <c r="AS171" i="9"/>
  <c r="AR171" i="9"/>
  <c r="AQ171" i="9"/>
  <c r="AP171" i="9"/>
  <c r="AO171" i="9"/>
  <c r="AN171" i="9"/>
  <c r="AM171" i="9"/>
  <c r="AL171" i="9"/>
  <c r="BJ171" i="9"/>
  <c r="BI170" i="9"/>
  <c r="BH170" i="9"/>
  <c r="BG170" i="9"/>
  <c r="BF170" i="9"/>
  <c r="BE170" i="9"/>
  <c r="BD170" i="9"/>
  <c r="BC170" i="9"/>
  <c r="BB170" i="9"/>
  <c r="BA170" i="9"/>
  <c r="AZ170" i="9"/>
  <c r="AY170" i="9"/>
  <c r="AX170" i="9"/>
  <c r="AW170" i="9"/>
  <c r="AV170" i="9"/>
  <c r="AU170" i="9"/>
  <c r="AT170" i="9"/>
  <c r="AS170" i="9"/>
  <c r="AR170" i="9"/>
  <c r="AQ170" i="9"/>
  <c r="AP170" i="9"/>
  <c r="AO170" i="9"/>
  <c r="AN170" i="9"/>
  <c r="AM170" i="9"/>
  <c r="AL170" i="9"/>
  <c r="BI169" i="9"/>
  <c r="BH169" i="9"/>
  <c r="BG169" i="9"/>
  <c r="BF169" i="9"/>
  <c r="BE169" i="9"/>
  <c r="BD169" i="9"/>
  <c r="BC169" i="9"/>
  <c r="BB169" i="9"/>
  <c r="BA169" i="9"/>
  <c r="AZ169" i="9"/>
  <c r="AY169" i="9"/>
  <c r="AX169" i="9"/>
  <c r="AW169" i="9"/>
  <c r="AV169" i="9"/>
  <c r="AU169" i="9"/>
  <c r="AT169" i="9"/>
  <c r="AS169" i="9"/>
  <c r="AR169" i="9"/>
  <c r="AQ169" i="9"/>
  <c r="AP169" i="9"/>
  <c r="AO169" i="9"/>
  <c r="AN169" i="9"/>
  <c r="AM169" i="9"/>
  <c r="AL169" i="9"/>
  <c r="BJ169" i="9"/>
  <c r="BI168" i="9"/>
  <c r="BH168" i="9"/>
  <c r="BG168" i="9"/>
  <c r="BF168" i="9"/>
  <c r="BE168" i="9"/>
  <c r="BD168" i="9"/>
  <c r="BC168" i="9"/>
  <c r="BB168" i="9"/>
  <c r="BA168" i="9"/>
  <c r="AZ168" i="9"/>
  <c r="AY168" i="9"/>
  <c r="AX168" i="9"/>
  <c r="AW168" i="9"/>
  <c r="AV168" i="9"/>
  <c r="AU168" i="9"/>
  <c r="AT168" i="9"/>
  <c r="AS168" i="9"/>
  <c r="AR168" i="9"/>
  <c r="AQ168" i="9"/>
  <c r="AP168" i="9"/>
  <c r="AO168" i="9"/>
  <c r="AN168" i="9"/>
  <c r="AM168" i="9"/>
  <c r="AL168" i="9"/>
  <c r="BJ168" i="9"/>
  <c r="BI167" i="9"/>
  <c r="BH167" i="9"/>
  <c r="BG167" i="9"/>
  <c r="BF167" i="9"/>
  <c r="BE167" i="9"/>
  <c r="BD167" i="9"/>
  <c r="BC167" i="9"/>
  <c r="BB167" i="9"/>
  <c r="BA167" i="9"/>
  <c r="AZ167" i="9"/>
  <c r="AY167" i="9"/>
  <c r="AX167" i="9"/>
  <c r="AW167" i="9"/>
  <c r="AV167" i="9"/>
  <c r="AU167" i="9"/>
  <c r="AT167" i="9"/>
  <c r="AS167" i="9"/>
  <c r="AR167" i="9"/>
  <c r="AQ167" i="9"/>
  <c r="AP167" i="9"/>
  <c r="AO167" i="9"/>
  <c r="AN167" i="9"/>
  <c r="AM167" i="9"/>
  <c r="AL167" i="9"/>
  <c r="BJ167" i="9"/>
  <c r="BI166" i="9"/>
  <c r="BH166" i="9"/>
  <c r="BG166" i="9"/>
  <c r="BF166" i="9"/>
  <c r="BE166" i="9"/>
  <c r="BD166" i="9"/>
  <c r="BC166" i="9"/>
  <c r="BB166" i="9"/>
  <c r="BA166" i="9"/>
  <c r="AZ166" i="9"/>
  <c r="AY166" i="9"/>
  <c r="AX166" i="9"/>
  <c r="AW166" i="9"/>
  <c r="AV166" i="9"/>
  <c r="AU166" i="9"/>
  <c r="AT166" i="9"/>
  <c r="AS166" i="9"/>
  <c r="AR166" i="9"/>
  <c r="AQ166" i="9"/>
  <c r="AP166" i="9"/>
  <c r="AO166" i="9"/>
  <c r="AN166" i="9"/>
  <c r="AM166" i="9"/>
  <c r="AL166" i="9"/>
  <c r="BJ166" i="9"/>
  <c r="BI165" i="9"/>
  <c r="BH165" i="9"/>
  <c r="BG165" i="9"/>
  <c r="BF165" i="9"/>
  <c r="BE165" i="9"/>
  <c r="BD165" i="9"/>
  <c r="BC165" i="9"/>
  <c r="BB165" i="9"/>
  <c r="BA165" i="9"/>
  <c r="AZ165" i="9"/>
  <c r="AY165" i="9"/>
  <c r="AX165" i="9"/>
  <c r="AW165" i="9"/>
  <c r="AV165" i="9"/>
  <c r="AU165" i="9"/>
  <c r="AT165" i="9"/>
  <c r="AS165" i="9"/>
  <c r="AR165" i="9"/>
  <c r="AQ165" i="9"/>
  <c r="AP165" i="9"/>
  <c r="AO165" i="9"/>
  <c r="AN165" i="9"/>
  <c r="AM165" i="9"/>
  <c r="AL165" i="9"/>
  <c r="BJ165" i="9"/>
  <c r="BI164" i="9"/>
  <c r="BH164" i="9"/>
  <c r="BG164" i="9"/>
  <c r="BF164" i="9"/>
  <c r="BE164" i="9"/>
  <c r="BD164" i="9"/>
  <c r="BC164" i="9"/>
  <c r="BB164" i="9"/>
  <c r="BA164" i="9"/>
  <c r="AZ164" i="9"/>
  <c r="AY164" i="9"/>
  <c r="AX164" i="9"/>
  <c r="AW164" i="9"/>
  <c r="AV164" i="9"/>
  <c r="AU164" i="9"/>
  <c r="AT164" i="9"/>
  <c r="AS164" i="9"/>
  <c r="AR164" i="9"/>
  <c r="AQ164" i="9"/>
  <c r="AP164" i="9"/>
  <c r="AO164" i="9"/>
  <c r="AN164" i="9"/>
  <c r="AM164" i="9"/>
  <c r="AL164" i="9"/>
  <c r="BI163" i="9"/>
  <c r="BH163" i="9"/>
  <c r="BG163" i="9"/>
  <c r="BF163" i="9"/>
  <c r="BE163" i="9"/>
  <c r="BD163" i="9"/>
  <c r="BC163" i="9"/>
  <c r="BB163" i="9"/>
  <c r="BA163" i="9"/>
  <c r="AZ163" i="9"/>
  <c r="AY163" i="9"/>
  <c r="AX163" i="9"/>
  <c r="AW163" i="9"/>
  <c r="AV163" i="9"/>
  <c r="AU163" i="9"/>
  <c r="AT163" i="9"/>
  <c r="AS163" i="9"/>
  <c r="AR163" i="9"/>
  <c r="AQ163" i="9"/>
  <c r="AP163" i="9"/>
  <c r="AO163" i="9"/>
  <c r="AN163" i="9"/>
  <c r="AM163" i="9"/>
  <c r="AL163" i="9"/>
  <c r="BI162" i="9"/>
  <c r="BH162" i="9"/>
  <c r="BG162" i="9"/>
  <c r="BF162" i="9"/>
  <c r="BE162" i="9"/>
  <c r="BD162" i="9"/>
  <c r="BC162" i="9"/>
  <c r="BB162" i="9"/>
  <c r="BA162" i="9"/>
  <c r="AZ162" i="9"/>
  <c r="AY162" i="9"/>
  <c r="AX162" i="9"/>
  <c r="AW162" i="9"/>
  <c r="AV162" i="9"/>
  <c r="AU162" i="9"/>
  <c r="AT162" i="9"/>
  <c r="AS162" i="9"/>
  <c r="AR162" i="9"/>
  <c r="AQ162" i="9"/>
  <c r="AP162" i="9"/>
  <c r="AO162" i="9"/>
  <c r="AN162" i="9"/>
  <c r="AM162" i="9"/>
  <c r="AL162" i="9"/>
  <c r="BJ162" i="9"/>
  <c r="BI161" i="9"/>
  <c r="BH161" i="9"/>
  <c r="BG161" i="9"/>
  <c r="BF161" i="9"/>
  <c r="BE161" i="9"/>
  <c r="BD161" i="9"/>
  <c r="BC161" i="9"/>
  <c r="BB161" i="9"/>
  <c r="BA161" i="9"/>
  <c r="AZ161" i="9"/>
  <c r="AY161" i="9"/>
  <c r="AX161" i="9"/>
  <c r="AW161" i="9"/>
  <c r="AV161" i="9"/>
  <c r="AU161" i="9"/>
  <c r="AT161" i="9"/>
  <c r="AS161" i="9"/>
  <c r="AR161" i="9"/>
  <c r="AQ161" i="9"/>
  <c r="AP161" i="9"/>
  <c r="AO161" i="9"/>
  <c r="AN161" i="9"/>
  <c r="AM161" i="9"/>
  <c r="AL161" i="9"/>
  <c r="BJ161" i="9"/>
  <c r="BI160" i="9"/>
  <c r="BH160" i="9"/>
  <c r="BG160" i="9"/>
  <c r="BF160" i="9"/>
  <c r="BE160" i="9"/>
  <c r="BD160" i="9"/>
  <c r="BC160" i="9"/>
  <c r="BB160" i="9"/>
  <c r="BA160" i="9"/>
  <c r="AZ160" i="9"/>
  <c r="AY160" i="9"/>
  <c r="AX160" i="9"/>
  <c r="AW160" i="9"/>
  <c r="AV160" i="9"/>
  <c r="AU160" i="9"/>
  <c r="AT160" i="9"/>
  <c r="AS160" i="9"/>
  <c r="AR160" i="9"/>
  <c r="AQ160" i="9"/>
  <c r="AP160" i="9"/>
  <c r="AO160" i="9"/>
  <c r="AN160" i="9"/>
  <c r="AM160" i="9"/>
  <c r="AL160" i="9"/>
  <c r="BI159" i="9"/>
  <c r="BH159" i="9"/>
  <c r="BG159" i="9"/>
  <c r="BF159" i="9"/>
  <c r="BE159" i="9"/>
  <c r="BD159" i="9"/>
  <c r="BC159" i="9"/>
  <c r="BB159" i="9"/>
  <c r="BA159" i="9"/>
  <c r="AZ159" i="9"/>
  <c r="AY159" i="9"/>
  <c r="AX159" i="9"/>
  <c r="AW159" i="9"/>
  <c r="AV159" i="9"/>
  <c r="AU159" i="9"/>
  <c r="AT159" i="9"/>
  <c r="AS159" i="9"/>
  <c r="AR159" i="9"/>
  <c r="AQ159" i="9"/>
  <c r="AP159" i="9"/>
  <c r="AO159" i="9"/>
  <c r="AN159" i="9"/>
  <c r="AM159" i="9"/>
  <c r="AL159" i="9"/>
  <c r="BI158" i="9"/>
  <c r="BH158" i="9"/>
  <c r="BG158" i="9"/>
  <c r="BF158" i="9"/>
  <c r="BE158" i="9"/>
  <c r="BD158" i="9"/>
  <c r="BC158" i="9"/>
  <c r="BB158" i="9"/>
  <c r="BA158" i="9"/>
  <c r="AZ158" i="9"/>
  <c r="AY158" i="9"/>
  <c r="AX158" i="9"/>
  <c r="AW158" i="9"/>
  <c r="AV158" i="9"/>
  <c r="AU158" i="9"/>
  <c r="AT158" i="9"/>
  <c r="AS158" i="9"/>
  <c r="AR158" i="9"/>
  <c r="AQ158" i="9"/>
  <c r="AP158" i="9"/>
  <c r="AO158" i="9"/>
  <c r="AN158" i="9"/>
  <c r="AM158" i="9"/>
  <c r="AL158" i="9"/>
  <c r="BI157" i="9"/>
  <c r="BH157" i="9"/>
  <c r="BG157" i="9"/>
  <c r="BF157" i="9"/>
  <c r="BE157" i="9"/>
  <c r="BD157" i="9"/>
  <c r="BC157" i="9"/>
  <c r="BB157" i="9"/>
  <c r="BA157" i="9"/>
  <c r="AZ157" i="9"/>
  <c r="AY157" i="9"/>
  <c r="AX157" i="9"/>
  <c r="AW157" i="9"/>
  <c r="AV157" i="9"/>
  <c r="AU157" i="9"/>
  <c r="AT157" i="9"/>
  <c r="AS157" i="9"/>
  <c r="AR157" i="9"/>
  <c r="AQ157" i="9"/>
  <c r="AP157" i="9"/>
  <c r="AO157" i="9"/>
  <c r="AN157" i="9"/>
  <c r="AM157" i="9"/>
  <c r="AL157" i="9"/>
  <c r="BI156" i="9"/>
  <c r="BH156" i="9"/>
  <c r="BG156" i="9"/>
  <c r="BF156" i="9"/>
  <c r="BE156" i="9"/>
  <c r="BD156" i="9"/>
  <c r="BC156" i="9"/>
  <c r="BB156" i="9"/>
  <c r="BA156" i="9"/>
  <c r="AZ156" i="9"/>
  <c r="AY156" i="9"/>
  <c r="AX156" i="9"/>
  <c r="AW156" i="9"/>
  <c r="AV156" i="9"/>
  <c r="AU156" i="9"/>
  <c r="AT156" i="9"/>
  <c r="AS156" i="9"/>
  <c r="AR156" i="9"/>
  <c r="AQ156" i="9"/>
  <c r="AP156" i="9"/>
  <c r="AO156" i="9"/>
  <c r="AN156" i="9"/>
  <c r="AM156" i="9"/>
  <c r="AL156" i="9"/>
  <c r="BI155" i="9"/>
  <c r="BH155" i="9"/>
  <c r="BG155" i="9"/>
  <c r="BF155" i="9"/>
  <c r="BE155" i="9"/>
  <c r="BD155" i="9"/>
  <c r="BC155" i="9"/>
  <c r="BB155" i="9"/>
  <c r="BA155" i="9"/>
  <c r="AZ155" i="9"/>
  <c r="AY155" i="9"/>
  <c r="AX155" i="9"/>
  <c r="AW155" i="9"/>
  <c r="AV155" i="9"/>
  <c r="AU155" i="9"/>
  <c r="AT155" i="9"/>
  <c r="AS155" i="9"/>
  <c r="AR155" i="9"/>
  <c r="AQ155" i="9"/>
  <c r="AP155" i="9"/>
  <c r="AO155" i="9"/>
  <c r="AN155" i="9"/>
  <c r="AM155" i="9"/>
  <c r="AL155" i="9"/>
  <c r="BJ155" i="9"/>
  <c r="BI154" i="9"/>
  <c r="BH154" i="9"/>
  <c r="BG154" i="9"/>
  <c r="BF154" i="9"/>
  <c r="BE154" i="9"/>
  <c r="BD154" i="9"/>
  <c r="BC154" i="9"/>
  <c r="BB154" i="9"/>
  <c r="BA154" i="9"/>
  <c r="AZ154" i="9"/>
  <c r="AY154" i="9"/>
  <c r="AX154" i="9"/>
  <c r="AW154" i="9"/>
  <c r="AV154" i="9"/>
  <c r="AU154" i="9"/>
  <c r="AT154" i="9"/>
  <c r="AS154" i="9"/>
  <c r="AR154" i="9"/>
  <c r="AQ154" i="9"/>
  <c r="AP154" i="9"/>
  <c r="AO154" i="9"/>
  <c r="AN154" i="9"/>
  <c r="AM154" i="9"/>
  <c r="AL154" i="9"/>
  <c r="BI153" i="9"/>
  <c r="BH153" i="9"/>
  <c r="BG153" i="9"/>
  <c r="BF153" i="9"/>
  <c r="BE153" i="9"/>
  <c r="BD153" i="9"/>
  <c r="BC153" i="9"/>
  <c r="BB153" i="9"/>
  <c r="BA153" i="9"/>
  <c r="AZ153" i="9"/>
  <c r="AY153" i="9"/>
  <c r="AX153" i="9"/>
  <c r="AW153" i="9"/>
  <c r="AV153" i="9"/>
  <c r="AU153" i="9"/>
  <c r="AT153" i="9"/>
  <c r="AS153" i="9"/>
  <c r="AR153" i="9"/>
  <c r="AQ153" i="9"/>
  <c r="AP153" i="9"/>
  <c r="AO153" i="9"/>
  <c r="AN153" i="9"/>
  <c r="AM153" i="9"/>
  <c r="AL153" i="9"/>
  <c r="BJ153" i="9"/>
  <c r="BI152" i="9"/>
  <c r="BH152" i="9"/>
  <c r="BG152" i="9"/>
  <c r="BF152" i="9"/>
  <c r="BE152" i="9"/>
  <c r="BD152" i="9"/>
  <c r="BC152" i="9"/>
  <c r="BB152" i="9"/>
  <c r="BA152" i="9"/>
  <c r="AZ152" i="9"/>
  <c r="AY152" i="9"/>
  <c r="AX152" i="9"/>
  <c r="AW152" i="9"/>
  <c r="AV152" i="9"/>
  <c r="AU152" i="9"/>
  <c r="AT152" i="9"/>
  <c r="AS152" i="9"/>
  <c r="AR152" i="9"/>
  <c r="AQ152" i="9"/>
  <c r="AP152" i="9"/>
  <c r="AO152" i="9"/>
  <c r="AN152" i="9"/>
  <c r="AM152" i="9"/>
  <c r="AL152" i="9"/>
  <c r="BJ152" i="9"/>
  <c r="BI151" i="9"/>
  <c r="BH151" i="9"/>
  <c r="BG151" i="9"/>
  <c r="BF151" i="9"/>
  <c r="BE151" i="9"/>
  <c r="BD151" i="9"/>
  <c r="BC151" i="9"/>
  <c r="BB151" i="9"/>
  <c r="BA151" i="9"/>
  <c r="AZ151" i="9"/>
  <c r="AY151" i="9"/>
  <c r="AX151" i="9"/>
  <c r="AW151" i="9"/>
  <c r="AV151" i="9"/>
  <c r="AU151" i="9"/>
  <c r="AT151" i="9"/>
  <c r="AS151" i="9"/>
  <c r="AR151" i="9"/>
  <c r="AQ151" i="9"/>
  <c r="AP151" i="9"/>
  <c r="AO151" i="9"/>
  <c r="AN151" i="9"/>
  <c r="AM151" i="9"/>
  <c r="AL151" i="9"/>
  <c r="BJ151" i="9"/>
  <c r="BI150" i="9"/>
  <c r="BH150" i="9"/>
  <c r="BG150" i="9"/>
  <c r="BF150" i="9"/>
  <c r="BE150" i="9"/>
  <c r="BD150" i="9"/>
  <c r="BC150" i="9"/>
  <c r="BB150" i="9"/>
  <c r="BA150" i="9"/>
  <c r="AZ150" i="9"/>
  <c r="AY150" i="9"/>
  <c r="AX150" i="9"/>
  <c r="AW150" i="9"/>
  <c r="AV150" i="9"/>
  <c r="AU150" i="9"/>
  <c r="AT150" i="9"/>
  <c r="AS150" i="9"/>
  <c r="AR150" i="9"/>
  <c r="AQ150" i="9"/>
  <c r="AP150" i="9"/>
  <c r="AO150" i="9"/>
  <c r="AN150" i="9"/>
  <c r="AM150" i="9"/>
  <c r="AL150" i="9"/>
  <c r="BJ150" i="9"/>
  <c r="BI149" i="9"/>
  <c r="BH149" i="9"/>
  <c r="BG149" i="9"/>
  <c r="BF149" i="9"/>
  <c r="BE149" i="9"/>
  <c r="BD149" i="9"/>
  <c r="BC149" i="9"/>
  <c r="BB149" i="9"/>
  <c r="BA149" i="9"/>
  <c r="AZ149" i="9"/>
  <c r="AY149" i="9"/>
  <c r="AX149" i="9"/>
  <c r="AW149" i="9"/>
  <c r="AV149" i="9"/>
  <c r="AU149" i="9"/>
  <c r="AT149" i="9"/>
  <c r="AS149" i="9"/>
  <c r="AR149" i="9"/>
  <c r="AQ149" i="9"/>
  <c r="AP149" i="9"/>
  <c r="AO149" i="9"/>
  <c r="AN149" i="9"/>
  <c r="AM149" i="9"/>
  <c r="AL149" i="9"/>
  <c r="BI148" i="9"/>
  <c r="BH148" i="9"/>
  <c r="BG148" i="9"/>
  <c r="BF148" i="9"/>
  <c r="BE148" i="9"/>
  <c r="BD148" i="9"/>
  <c r="BC148" i="9"/>
  <c r="BB148" i="9"/>
  <c r="BA148" i="9"/>
  <c r="AZ148" i="9"/>
  <c r="AY148" i="9"/>
  <c r="AX148" i="9"/>
  <c r="AW148" i="9"/>
  <c r="AV148" i="9"/>
  <c r="AU148" i="9"/>
  <c r="AT148" i="9"/>
  <c r="AS148" i="9"/>
  <c r="AR148" i="9"/>
  <c r="AQ148" i="9"/>
  <c r="AP148" i="9"/>
  <c r="AO148" i="9"/>
  <c r="AN148" i="9"/>
  <c r="AM148" i="9"/>
  <c r="AL148" i="9"/>
  <c r="BI147" i="9"/>
  <c r="BH147" i="9"/>
  <c r="BG147" i="9"/>
  <c r="BF147" i="9"/>
  <c r="BE147" i="9"/>
  <c r="BD147" i="9"/>
  <c r="BC147" i="9"/>
  <c r="BB147" i="9"/>
  <c r="BA147" i="9"/>
  <c r="AZ147" i="9"/>
  <c r="AY147" i="9"/>
  <c r="AX147" i="9"/>
  <c r="AW147" i="9"/>
  <c r="AV147" i="9"/>
  <c r="AU147" i="9"/>
  <c r="AT147" i="9"/>
  <c r="AS147" i="9"/>
  <c r="AR147" i="9"/>
  <c r="AQ147" i="9"/>
  <c r="AP147" i="9"/>
  <c r="AO147" i="9"/>
  <c r="AN147" i="9"/>
  <c r="AM147" i="9"/>
  <c r="AL147" i="9"/>
  <c r="BI146" i="9"/>
  <c r="BH146" i="9"/>
  <c r="BG146" i="9"/>
  <c r="BF146" i="9"/>
  <c r="BE146" i="9"/>
  <c r="BD146" i="9"/>
  <c r="BC146" i="9"/>
  <c r="BB146" i="9"/>
  <c r="BA146" i="9"/>
  <c r="AZ146" i="9"/>
  <c r="AY146" i="9"/>
  <c r="AX146" i="9"/>
  <c r="AW146" i="9"/>
  <c r="AV146" i="9"/>
  <c r="AU146" i="9"/>
  <c r="AT146" i="9"/>
  <c r="AS146" i="9"/>
  <c r="AR146" i="9"/>
  <c r="AQ146" i="9"/>
  <c r="AP146" i="9"/>
  <c r="AO146" i="9"/>
  <c r="AN146" i="9"/>
  <c r="AM146" i="9"/>
  <c r="AL146" i="9"/>
  <c r="BI145" i="9"/>
  <c r="BH145" i="9"/>
  <c r="BG145" i="9"/>
  <c r="BF145" i="9"/>
  <c r="BE145" i="9"/>
  <c r="BD145" i="9"/>
  <c r="BC145" i="9"/>
  <c r="BB145" i="9"/>
  <c r="BA145" i="9"/>
  <c r="AZ145" i="9"/>
  <c r="AY145" i="9"/>
  <c r="AX145" i="9"/>
  <c r="AW145" i="9"/>
  <c r="AV145" i="9"/>
  <c r="AU145" i="9"/>
  <c r="AT145" i="9"/>
  <c r="AS145" i="9"/>
  <c r="AR145" i="9"/>
  <c r="AQ145" i="9"/>
  <c r="AP145" i="9"/>
  <c r="AO145" i="9"/>
  <c r="AN145" i="9"/>
  <c r="AM145" i="9"/>
  <c r="AL145" i="9"/>
  <c r="BJ145" i="9"/>
  <c r="BI144" i="9"/>
  <c r="BH144" i="9"/>
  <c r="BG144" i="9"/>
  <c r="BF144" i="9"/>
  <c r="BE144" i="9"/>
  <c r="BD144" i="9"/>
  <c r="BC144" i="9"/>
  <c r="BB144" i="9"/>
  <c r="BA144" i="9"/>
  <c r="AZ144" i="9"/>
  <c r="AY144" i="9"/>
  <c r="AX144" i="9"/>
  <c r="AW144" i="9"/>
  <c r="AV144" i="9"/>
  <c r="AU144" i="9"/>
  <c r="AT144" i="9"/>
  <c r="AS144" i="9"/>
  <c r="AR144" i="9"/>
  <c r="AQ144" i="9"/>
  <c r="AP144" i="9"/>
  <c r="AO144" i="9"/>
  <c r="AN144" i="9"/>
  <c r="AM144" i="9"/>
  <c r="AL144" i="9"/>
  <c r="BI143" i="9"/>
  <c r="BH143" i="9"/>
  <c r="BG143" i="9"/>
  <c r="BF143" i="9"/>
  <c r="BE143" i="9"/>
  <c r="BD143" i="9"/>
  <c r="BC143" i="9"/>
  <c r="BB143" i="9"/>
  <c r="BA143" i="9"/>
  <c r="AZ143" i="9"/>
  <c r="AY143" i="9"/>
  <c r="AX143" i="9"/>
  <c r="AW143" i="9"/>
  <c r="AV143" i="9"/>
  <c r="AU143" i="9"/>
  <c r="AT143" i="9"/>
  <c r="AS143" i="9"/>
  <c r="AR143" i="9"/>
  <c r="AQ143" i="9"/>
  <c r="AP143" i="9"/>
  <c r="AO143" i="9"/>
  <c r="AN143" i="9"/>
  <c r="AM143" i="9"/>
  <c r="AL143" i="9"/>
  <c r="BI142" i="9"/>
  <c r="BH142" i="9"/>
  <c r="BG142" i="9"/>
  <c r="BF142" i="9"/>
  <c r="BE142" i="9"/>
  <c r="BD142" i="9"/>
  <c r="BC142" i="9"/>
  <c r="BB142" i="9"/>
  <c r="BA142" i="9"/>
  <c r="AZ142" i="9"/>
  <c r="AY142" i="9"/>
  <c r="AX142" i="9"/>
  <c r="AW142" i="9"/>
  <c r="AV142" i="9"/>
  <c r="AU142" i="9"/>
  <c r="AT142" i="9"/>
  <c r="AS142" i="9"/>
  <c r="AR142" i="9"/>
  <c r="AQ142" i="9"/>
  <c r="AP142" i="9"/>
  <c r="AO142" i="9"/>
  <c r="AN142" i="9"/>
  <c r="AM142" i="9"/>
  <c r="AL142" i="9"/>
  <c r="BI141" i="9"/>
  <c r="BH141" i="9"/>
  <c r="BG141" i="9"/>
  <c r="BF141" i="9"/>
  <c r="BE141" i="9"/>
  <c r="BD141" i="9"/>
  <c r="BC141" i="9"/>
  <c r="BB141" i="9"/>
  <c r="BA141" i="9"/>
  <c r="AZ141" i="9"/>
  <c r="AY141" i="9"/>
  <c r="AX141" i="9"/>
  <c r="AW141" i="9"/>
  <c r="AV141" i="9"/>
  <c r="AU141" i="9"/>
  <c r="AT141" i="9"/>
  <c r="AS141" i="9"/>
  <c r="AR141" i="9"/>
  <c r="AQ141" i="9"/>
  <c r="AP141" i="9"/>
  <c r="AO141" i="9"/>
  <c r="AN141" i="9"/>
  <c r="AM141" i="9"/>
  <c r="AL141" i="9"/>
  <c r="BJ141" i="9"/>
  <c r="BI140" i="9"/>
  <c r="BH140" i="9"/>
  <c r="BG140" i="9"/>
  <c r="BF140" i="9"/>
  <c r="BE140" i="9"/>
  <c r="BD140" i="9"/>
  <c r="BC140" i="9"/>
  <c r="BB140" i="9"/>
  <c r="BA140" i="9"/>
  <c r="AZ140" i="9"/>
  <c r="AY140" i="9"/>
  <c r="AX140" i="9"/>
  <c r="AW140" i="9"/>
  <c r="AV140" i="9"/>
  <c r="AU140" i="9"/>
  <c r="AT140" i="9"/>
  <c r="AS140" i="9"/>
  <c r="AR140" i="9"/>
  <c r="AQ140" i="9"/>
  <c r="AP140" i="9"/>
  <c r="AO140" i="9"/>
  <c r="AN140" i="9"/>
  <c r="AM140" i="9"/>
  <c r="AL140" i="9"/>
  <c r="BJ140" i="9"/>
  <c r="BI139" i="9"/>
  <c r="BH139" i="9"/>
  <c r="BG139" i="9"/>
  <c r="BF139" i="9"/>
  <c r="BE139" i="9"/>
  <c r="BD139" i="9"/>
  <c r="BC139" i="9"/>
  <c r="BB139" i="9"/>
  <c r="BA139" i="9"/>
  <c r="AZ139" i="9"/>
  <c r="AY139" i="9"/>
  <c r="AX139" i="9"/>
  <c r="AW139" i="9"/>
  <c r="AV139" i="9"/>
  <c r="AU139" i="9"/>
  <c r="AT139" i="9"/>
  <c r="AS139" i="9"/>
  <c r="AR139" i="9"/>
  <c r="AQ139" i="9"/>
  <c r="AP139" i="9"/>
  <c r="AO139" i="9"/>
  <c r="AN139" i="9"/>
  <c r="AM139" i="9"/>
  <c r="AL139" i="9"/>
  <c r="BJ139" i="9"/>
  <c r="BI138" i="9"/>
  <c r="BH138" i="9"/>
  <c r="BG138" i="9"/>
  <c r="BF138" i="9"/>
  <c r="BE138" i="9"/>
  <c r="BD138" i="9"/>
  <c r="BC138" i="9"/>
  <c r="BB138" i="9"/>
  <c r="BA138" i="9"/>
  <c r="AZ138" i="9"/>
  <c r="AY138" i="9"/>
  <c r="AX138" i="9"/>
  <c r="AW138" i="9"/>
  <c r="AV138" i="9"/>
  <c r="AU138" i="9"/>
  <c r="AT138" i="9"/>
  <c r="AS138" i="9"/>
  <c r="AR138" i="9"/>
  <c r="AQ138" i="9"/>
  <c r="AP138" i="9"/>
  <c r="AO138" i="9"/>
  <c r="AN138" i="9"/>
  <c r="AM138" i="9"/>
  <c r="AL138" i="9"/>
  <c r="BI137" i="9"/>
  <c r="BH137" i="9"/>
  <c r="BG137" i="9"/>
  <c r="BF137" i="9"/>
  <c r="BE137" i="9"/>
  <c r="BD137" i="9"/>
  <c r="BC137" i="9"/>
  <c r="BB137" i="9"/>
  <c r="BA137" i="9"/>
  <c r="AZ137" i="9"/>
  <c r="AY137" i="9"/>
  <c r="AX137" i="9"/>
  <c r="AW137" i="9"/>
  <c r="AV137" i="9"/>
  <c r="AU137" i="9"/>
  <c r="AT137" i="9"/>
  <c r="AS137" i="9"/>
  <c r="AR137" i="9"/>
  <c r="AQ137" i="9"/>
  <c r="AP137" i="9"/>
  <c r="AO137" i="9"/>
  <c r="AN137" i="9"/>
  <c r="AM137" i="9"/>
  <c r="AL137" i="9"/>
  <c r="BJ137" i="9"/>
  <c r="BI136" i="9"/>
  <c r="BH136" i="9"/>
  <c r="BG136" i="9"/>
  <c r="BF136" i="9"/>
  <c r="BE136" i="9"/>
  <c r="BD136" i="9"/>
  <c r="BC136" i="9"/>
  <c r="BB136" i="9"/>
  <c r="BA136" i="9"/>
  <c r="AZ136" i="9"/>
  <c r="AY136" i="9"/>
  <c r="AX136" i="9"/>
  <c r="AW136" i="9"/>
  <c r="AV136" i="9"/>
  <c r="AU136" i="9"/>
  <c r="AT136" i="9"/>
  <c r="AS136" i="9"/>
  <c r="AR136" i="9"/>
  <c r="AQ136" i="9"/>
  <c r="AP136" i="9"/>
  <c r="AO136" i="9"/>
  <c r="AN136" i="9"/>
  <c r="AM136" i="9"/>
  <c r="AL136" i="9"/>
  <c r="BJ136" i="9"/>
  <c r="BI135" i="9"/>
  <c r="BH135" i="9"/>
  <c r="BG135" i="9"/>
  <c r="BF135" i="9"/>
  <c r="BE135" i="9"/>
  <c r="BD135" i="9"/>
  <c r="BC135" i="9"/>
  <c r="BB135" i="9"/>
  <c r="BA135" i="9"/>
  <c r="AZ135" i="9"/>
  <c r="AY135" i="9"/>
  <c r="AX135" i="9"/>
  <c r="AW135" i="9"/>
  <c r="AV135" i="9"/>
  <c r="AU135" i="9"/>
  <c r="AT135" i="9"/>
  <c r="AS135" i="9"/>
  <c r="AR135" i="9"/>
  <c r="AQ135" i="9"/>
  <c r="AP135" i="9"/>
  <c r="AO135" i="9"/>
  <c r="AN135" i="9"/>
  <c r="AM135" i="9"/>
  <c r="AL135" i="9"/>
  <c r="BJ135" i="9"/>
  <c r="BI134" i="9"/>
  <c r="BH134" i="9"/>
  <c r="BG134" i="9"/>
  <c r="BF134" i="9"/>
  <c r="BE134" i="9"/>
  <c r="BD134" i="9"/>
  <c r="BC134" i="9"/>
  <c r="BB134" i="9"/>
  <c r="BA134" i="9"/>
  <c r="AZ134" i="9"/>
  <c r="AY134" i="9"/>
  <c r="AX134" i="9"/>
  <c r="AW134" i="9"/>
  <c r="AV134" i="9"/>
  <c r="AU134" i="9"/>
  <c r="AT134" i="9"/>
  <c r="AS134" i="9"/>
  <c r="AR134" i="9"/>
  <c r="AQ134" i="9"/>
  <c r="AP134" i="9"/>
  <c r="AO134" i="9"/>
  <c r="AN134" i="9"/>
  <c r="AM134" i="9"/>
  <c r="AL134" i="9"/>
  <c r="BJ134" i="9"/>
  <c r="BI133" i="9"/>
  <c r="BH133" i="9"/>
  <c r="BG133" i="9"/>
  <c r="BF133" i="9"/>
  <c r="BE133" i="9"/>
  <c r="BD133" i="9"/>
  <c r="BC133" i="9"/>
  <c r="BB133" i="9"/>
  <c r="BA133" i="9"/>
  <c r="AZ133" i="9"/>
  <c r="AY133" i="9"/>
  <c r="AX133" i="9"/>
  <c r="AW133" i="9"/>
  <c r="AV133" i="9"/>
  <c r="AU133" i="9"/>
  <c r="AT133" i="9"/>
  <c r="AS133" i="9"/>
  <c r="AR133" i="9"/>
  <c r="AQ133" i="9"/>
  <c r="AP133" i="9"/>
  <c r="AO133" i="9"/>
  <c r="AN133" i="9"/>
  <c r="AM133" i="9"/>
  <c r="AL133" i="9"/>
  <c r="BJ133" i="9"/>
  <c r="BI132" i="9"/>
  <c r="BH132" i="9"/>
  <c r="BG132" i="9"/>
  <c r="BF132" i="9"/>
  <c r="BE132" i="9"/>
  <c r="BD132" i="9"/>
  <c r="BC132" i="9"/>
  <c r="BB132" i="9"/>
  <c r="BA132" i="9"/>
  <c r="AZ132" i="9"/>
  <c r="AY132" i="9"/>
  <c r="AX132" i="9"/>
  <c r="AW132" i="9"/>
  <c r="AV132" i="9"/>
  <c r="AU132" i="9"/>
  <c r="AT132" i="9"/>
  <c r="AS132" i="9"/>
  <c r="AR132" i="9"/>
  <c r="AQ132" i="9"/>
  <c r="AP132" i="9"/>
  <c r="AO132" i="9"/>
  <c r="AN132" i="9"/>
  <c r="AM132" i="9"/>
  <c r="AL132" i="9"/>
  <c r="BI131" i="9"/>
  <c r="BH131" i="9"/>
  <c r="BG131" i="9"/>
  <c r="BF131" i="9"/>
  <c r="BE131" i="9"/>
  <c r="BD131" i="9"/>
  <c r="BC131" i="9"/>
  <c r="BB131" i="9"/>
  <c r="BA131" i="9"/>
  <c r="AZ131" i="9"/>
  <c r="AY131" i="9"/>
  <c r="AX131" i="9"/>
  <c r="AW131" i="9"/>
  <c r="AV131" i="9"/>
  <c r="AU131" i="9"/>
  <c r="AT131" i="9"/>
  <c r="AS131" i="9"/>
  <c r="AR131" i="9"/>
  <c r="AQ131" i="9"/>
  <c r="AP131" i="9"/>
  <c r="AO131" i="9"/>
  <c r="AN131" i="9"/>
  <c r="AM131" i="9"/>
  <c r="AL131" i="9"/>
  <c r="BI130" i="9"/>
  <c r="BH130" i="9"/>
  <c r="BG130" i="9"/>
  <c r="BF130" i="9"/>
  <c r="BE130" i="9"/>
  <c r="BD130" i="9"/>
  <c r="BC130" i="9"/>
  <c r="BB130" i="9"/>
  <c r="BA130" i="9"/>
  <c r="AZ130" i="9"/>
  <c r="AY130" i="9"/>
  <c r="AX130" i="9"/>
  <c r="AW130" i="9"/>
  <c r="AV130" i="9"/>
  <c r="AU130" i="9"/>
  <c r="AT130" i="9"/>
  <c r="AS130" i="9"/>
  <c r="AR130" i="9"/>
  <c r="AQ130" i="9"/>
  <c r="AP130" i="9"/>
  <c r="AO130" i="9"/>
  <c r="AN130" i="9"/>
  <c r="AM130" i="9"/>
  <c r="AL130" i="9"/>
  <c r="BJ130" i="9"/>
  <c r="BI129" i="9"/>
  <c r="BH129" i="9"/>
  <c r="BG129" i="9"/>
  <c r="BF129" i="9"/>
  <c r="BE129" i="9"/>
  <c r="BD129" i="9"/>
  <c r="BC129" i="9"/>
  <c r="BB129" i="9"/>
  <c r="BA129" i="9"/>
  <c r="AZ129" i="9"/>
  <c r="AY129" i="9"/>
  <c r="AX129" i="9"/>
  <c r="AW129" i="9"/>
  <c r="AV129" i="9"/>
  <c r="AU129" i="9"/>
  <c r="AT129" i="9"/>
  <c r="AS129" i="9"/>
  <c r="AR129" i="9"/>
  <c r="AQ129" i="9"/>
  <c r="AP129" i="9"/>
  <c r="AO129" i="9"/>
  <c r="AN129" i="9"/>
  <c r="AM129" i="9"/>
  <c r="AL129" i="9"/>
  <c r="BJ129" i="9"/>
  <c r="BI128" i="9"/>
  <c r="BH128" i="9"/>
  <c r="BG128" i="9"/>
  <c r="BF128" i="9"/>
  <c r="BE128" i="9"/>
  <c r="BD128" i="9"/>
  <c r="BC128" i="9"/>
  <c r="BB128" i="9"/>
  <c r="BA128" i="9"/>
  <c r="AZ128" i="9"/>
  <c r="AY128" i="9"/>
  <c r="AX128" i="9"/>
  <c r="AW128" i="9"/>
  <c r="AV128" i="9"/>
  <c r="AU128" i="9"/>
  <c r="AT128" i="9"/>
  <c r="AS128" i="9"/>
  <c r="AR128" i="9"/>
  <c r="AQ128" i="9"/>
  <c r="AP128" i="9"/>
  <c r="AO128" i="9"/>
  <c r="AN128" i="9"/>
  <c r="AM128" i="9"/>
  <c r="AL128" i="9"/>
  <c r="BI127" i="9"/>
  <c r="BH127" i="9"/>
  <c r="BG127" i="9"/>
  <c r="BF127" i="9"/>
  <c r="BE127" i="9"/>
  <c r="BD127" i="9"/>
  <c r="BC127" i="9"/>
  <c r="BB127" i="9"/>
  <c r="BA127" i="9"/>
  <c r="AZ127" i="9"/>
  <c r="AY127" i="9"/>
  <c r="AX127" i="9"/>
  <c r="AW127" i="9"/>
  <c r="AV127" i="9"/>
  <c r="AU127" i="9"/>
  <c r="AT127" i="9"/>
  <c r="AS127" i="9"/>
  <c r="AR127" i="9"/>
  <c r="AQ127" i="9"/>
  <c r="AP127" i="9"/>
  <c r="AO127" i="9"/>
  <c r="AN127" i="9"/>
  <c r="AM127" i="9"/>
  <c r="AL127" i="9"/>
  <c r="BI126" i="9"/>
  <c r="BH126" i="9"/>
  <c r="BG126" i="9"/>
  <c r="BF126" i="9"/>
  <c r="BE126" i="9"/>
  <c r="BD126" i="9"/>
  <c r="BC126" i="9"/>
  <c r="BB126" i="9"/>
  <c r="BA126" i="9"/>
  <c r="AZ126" i="9"/>
  <c r="AY126" i="9"/>
  <c r="AX126" i="9"/>
  <c r="AW126" i="9"/>
  <c r="AV126" i="9"/>
  <c r="AU126" i="9"/>
  <c r="AT126" i="9"/>
  <c r="AS126" i="9"/>
  <c r="AR126" i="9"/>
  <c r="AQ126" i="9"/>
  <c r="AP126" i="9"/>
  <c r="AO126" i="9"/>
  <c r="AN126" i="9"/>
  <c r="AM126" i="9"/>
  <c r="AL126" i="9"/>
  <c r="BI125" i="9"/>
  <c r="BH125" i="9"/>
  <c r="BG125" i="9"/>
  <c r="BF125" i="9"/>
  <c r="BE125" i="9"/>
  <c r="BD125" i="9"/>
  <c r="BC125" i="9"/>
  <c r="BB125" i="9"/>
  <c r="BA125" i="9"/>
  <c r="AZ125" i="9"/>
  <c r="AY125" i="9"/>
  <c r="AX125" i="9"/>
  <c r="AW125" i="9"/>
  <c r="AV125" i="9"/>
  <c r="AU125" i="9"/>
  <c r="AT125" i="9"/>
  <c r="AS125" i="9"/>
  <c r="AR125" i="9"/>
  <c r="AQ125" i="9"/>
  <c r="AP125" i="9"/>
  <c r="AO125" i="9"/>
  <c r="AN125" i="9"/>
  <c r="AM125" i="9"/>
  <c r="AL125" i="9"/>
  <c r="BJ125" i="9"/>
  <c r="BI124" i="9"/>
  <c r="BH124" i="9"/>
  <c r="BG124" i="9"/>
  <c r="BF124" i="9"/>
  <c r="BE124" i="9"/>
  <c r="BD124" i="9"/>
  <c r="BC124" i="9"/>
  <c r="BB124" i="9"/>
  <c r="BA124" i="9"/>
  <c r="AZ124" i="9"/>
  <c r="AY124" i="9"/>
  <c r="AX124" i="9"/>
  <c r="AW124" i="9"/>
  <c r="AV124" i="9"/>
  <c r="AU124" i="9"/>
  <c r="AT124" i="9"/>
  <c r="AS124" i="9"/>
  <c r="AR124" i="9"/>
  <c r="AQ124" i="9"/>
  <c r="AP124" i="9"/>
  <c r="AO124" i="9"/>
  <c r="AN124" i="9"/>
  <c r="AM124" i="9"/>
  <c r="AL124" i="9"/>
  <c r="BI123" i="9"/>
  <c r="BH123" i="9"/>
  <c r="BG123" i="9"/>
  <c r="BF123" i="9"/>
  <c r="BE123" i="9"/>
  <c r="BD123" i="9"/>
  <c r="BC123" i="9"/>
  <c r="BB123" i="9"/>
  <c r="BA123" i="9"/>
  <c r="AZ123" i="9"/>
  <c r="AY123" i="9"/>
  <c r="AX123" i="9"/>
  <c r="AW123" i="9"/>
  <c r="AV123" i="9"/>
  <c r="AU123" i="9"/>
  <c r="AT123" i="9"/>
  <c r="AS123" i="9"/>
  <c r="AR123" i="9"/>
  <c r="AQ123" i="9"/>
  <c r="AP123" i="9"/>
  <c r="AO123" i="9"/>
  <c r="AN123" i="9"/>
  <c r="AM123" i="9"/>
  <c r="AL123" i="9"/>
  <c r="BJ123" i="9"/>
  <c r="BI122" i="9"/>
  <c r="BH122" i="9"/>
  <c r="BG122" i="9"/>
  <c r="BF122" i="9"/>
  <c r="BE122" i="9"/>
  <c r="BD122" i="9"/>
  <c r="BC122" i="9"/>
  <c r="BB122" i="9"/>
  <c r="BA122" i="9"/>
  <c r="AZ122" i="9"/>
  <c r="AY122" i="9"/>
  <c r="AX122" i="9"/>
  <c r="AW122" i="9"/>
  <c r="AV122" i="9"/>
  <c r="AU122" i="9"/>
  <c r="AT122" i="9"/>
  <c r="AS122" i="9"/>
  <c r="AR122" i="9"/>
  <c r="AQ122" i="9"/>
  <c r="AP122" i="9"/>
  <c r="AO122" i="9"/>
  <c r="AN122" i="9"/>
  <c r="AM122" i="9"/>
  <c r="AL122" i="9"/>
  <c r="BI121" i="9"/>
  <c r="BH121" i="9"/>
  <c r="BG121" i="9"/>
  <c r="BF121" i="9"/>
  <c r="BE121" i="9"/>
  <c r="BD121" i="9"/>
  <c r="BC121" i="9"/>
  <c r="BB121" i="9"/>
  <c r="BA121" i="9"/>
  <c r="AZ121" i="9"/>
  <c r="AY121" i="9"/>
  <c r="AX121" i="9"/>
  <c r="AW121" i="9"/>
  <c r="AV121" i="9"/>
  <c r="AU121" i="9"/>
  <c r="AT121" i="9"/>
  <c r="AS121" i="9"/>
  <c r="AR121" i="9"/>
  <c r="AQ121" i="9"/>
  <c r="AP121" i="9"/>
  <c r="AO121" i="9"/>
  <c r="AN121" i="9"/>
  <c r="AM121" i="9"/>
  <c r="AL121" i="9"/>
  <c r="BI120" i="9"/>
  <c r="BH120" i="9"/>
  <c r="BG120" i="9"/>
  <c r="BF120" i="9"/>
  <c r="BE120" i="9"/>
  <c r="BD120" i="9"/>
  <c r="BC120" i="9"/>
  <c r="BB120" i="9"/>
  <c r="BA120" i="9"/>
  <c r="AZ120" i="9"/>
  <c r="AY120" i="9"/>
  <c r="AX120" i="9"/>
  <c r="AW120" i="9"/>
  <c r="AV120" i="9"/>
  <c r="AU120" i="9"/>
  <c r="AT120" i="9"/>
  <c r="AS120" i="9"/>
  <c r="AR120" i="9"/>
  <c r="AQ120" i="9"/>
  <c r="AP120" i="9"/>
  <c r="AO120" i="9"/>
  <c r="AN120" i="9"/>
  <c r="AM120" i="9"/>
  <c r="AL120" i="9"/>
  <c r="BJ120" i="9"/>
  <c r="BI119" i="9"/>
  <c r="BH119" i="9"/>
  <c r="BG119" i="9"/>
  <c r="BF119" i="9"/>
  <c r="BE119" i="9"/>
  <c r="BD119" i="9"/>
  <c r="BC119" i="9"/>
  <c r="BB119" i="9"/>
  <c r="BA119" i="9"/>
  <c r="AZ119" i="9"/>
  <c r="AY119" i="9"/>
  <c r="AX119" i="9"/>
  <c r="AW119" i="9"/>
  <c r="AV119" i="9"/>
  <c r="AU119" i="9"/>
  <c r="AT119" i="9"/>
  <c r="AS119" i="9"/>
  <c r="AR119" i="9"/>
  <c r="AQ119" i="9"/>
  <c r="AP119" i="9"/>
  <c r="AO119" i="9"/>
  <c r="AN119" i="9"/>
  <c r="AM119" i="9"/>
  <c r="AL119" i="9"/>
  <c r="BJ119" i="9"/>
  <c r="BI118" i="9"/>
  <c r="BH118" i="9"/>
  <c r="BG118" i="9"/>
  <c r="BF118" i="9"/>
  <c r="BE118" i="9"/>
  <c r="BD118" i="9"/>
  <c r="BC118" i="9"/>
  <c r="BB118" i="9"/>
  <c r="BA118" i="9"/>
  <c r="AZ118" i="9"/>
  <c r="AY118" i="9"/>
  <c r="AX118" i="9"/>
  <c r="AW118" i="9"/>
  <c r="AV118" i="9"/>
  <c r="AU118" i="9"/>
  <c r="AT118" i="9"/>
  <c r="AS118" i="9"/>
  <c r="AR118" i="9"/>
  <c r="AQ118" i="9"/>
  <c r="AP118" i="9"/>
  <c r="AO118" i="9"/>
  <c r="AN118" i="9"/>
  <c r="AM118" i="9"/>
  <c r="AL118" i="9"/>
  <c r="BJ118" i="9"/>
  <c r="BI117" i="9"/>
  <c r="BH117" i="9"/>
  <c r="BG117" i="9"/>
  <c r="BF117" i="9"/>
  <c r="BE117" i="9"/>
  <c r="BD117" i="9"/>
  <c r="BC117" i="9"/>
  <c r="BB117" i="9"/>
  <c r="BA117" i="9"/>
  <c r="AZ117" i="9"/>
  <c r="AY117" i="9"/>
  <c r="AX117" i="9"/>
  <c r="AW117" i="9"/>
  <c r="AV117" i="9"/>
  <c r="AU117" i="9"/>
  <c r="AT117" i="9"/>
  <c r="AS117" i="9"/>
  <c r="AR117" i="9"/>
  <c r="AQ117" i="9"/>
  <c r="AP117" i="9"/>
  <c r="AO117" i="9"/>
  <c r="AN117" i="9"/>
  <c r="AM117" i="9"/>
  <c r="AL117" i="9"/>
  <c r="BJ117" i="9"/>
  <c r="BI116" i="9"/>
  <c r="BH116" i="9"/>
  <c r="BG116" i="9"/>
  <c r="BF116" i="9"/>
  <c r="BE116" i="9"/>
  <c r="BD116" i="9"/>
  <c r="BC116" i="9"/>
  <c r="BB116" i="9"/>
  <c r="BA116" i="9"/>
  <c r="AZ116" i="9"/>
  <c r="AY116" i="9"/>
  <c r="AX116" i="9"/>
  <c r="AW116" i="9"/>
  <c r="AV116" i="9"/>
  <c r="AU116" i="9"/>
  <c r="AT116" i="9"/>
  <c r="AS116" i="9"/>
  <c r="AR116" i="9"/>
  <c r="AQ116" i="9"/>
  <c r="AP116" i="9"/>
  <c r="AO116" i="9"/>
  <c r="AN116" i="9"/>
  <c r="AM116" i="9"/>
  <c r="AL116" i="9"/>
  <c r="BI115" i="9"/>
  <c r="BH115" i="9"/>
  <c r="BG115" i="9"/>
  <c r="BF115" i="9"/>
  <c r="BE115" i="9"/>
  <c r="BD115" i="9"/>
  <c r="BC115" i="9"/>
  <c r="BB115" i="9"/>
  <c r="BA115" i="9"/>
  <c r="AZ115" i="9"/>
  <c r="AY115" i="9"/>
  <c r="AX115" i="9"/>
  <c r="AW115" i="9"/>
  <c r="AV115" i="9"/>
  <c r="AU115" i="9"/>
  <c r="AT115" i="9"/>
  <c r="AS115" i="9"/>
  <c r="AR115" i="9"/>
  <c r="AQ115" i="9"/>
  <c r="AP115" i="9"/>
  <c r="AO115" i="9"/>
  <c r="AN115" i="9"/>
  <c r="AM115" i="9"/>
  <c r="AL115" i="9"/>
  <c r="BI114" i="9"/>
  <c r="BH114" i="9"/>
  <c r="BG114" i="9"/>
  <c r="BF114" i="9"/>
  <c r="BE114" i="9"/>
  <c r="BD114" i="9"/>
  <c r="BC114" i="9"/>
  <c r="BB114" i="9"/>
  <c r="BA114" i="9"/>
  <c r="AZ114" i="9"/>
  <c r="AY114" i="9"/>
  <c r="AX114" i="9"/>
  <c r="AW114" i="9"/>
  <c r="AV114" i="9"/>
  <c r="AU114" i="9"/>
  <c r="AT114" i="9"/>
  <c r="AS114" i="9"/>
  <c r="AR114" i="9"/>
  <c r="AQ114" i="9"/>
  <c r="AP114" i="9"/>
  <c r="AO114" i="9"/>
  <c r="AN114" i="9"/>
  <c r="AM114" i="9"/>
  <c r="AL114" i="9"/>
  <c r="BJ114" i="9"/>
  <c r="BI113" i="9"/>
  <c r="BH113" i="9"/>
  <c r="BG113" i="9"/>
  <c r="BF113" i="9"/>
  <c r="BE113" i="9"/>
  <c r="BD113" i="9"/>
  <c r="BC113" i="9"/>
  <c r="BB113" i="9"/>
  <c r="BA113" i="9"/>
  <c r="AZ113" i="9"/>
  <c r="AY113" i="9"/>
  <c r="AX113" i="9"/>
  <c r="AW113" i="9"/>
  <c r="AV113" i="9"/>
  <c r="AU113" i="9"/>
  <c r="AT113" i="9"/>
  <c r="AS113" i="9"/>
  <c r="AR113" i="9"/>
  <c r="AQ113" i="9"/>
  <c r="AP113" i="9"/>
  <c r="AO113" i="9"/>
  <c r="AN113" i="9"/>
  <c r="AM113" i="9"/>
  <c r="AL113" i="9"/>
  <c r="BI112" i="9"/>
  <c r="BH112" i="9"/>
  <c r="BG112" i="9"/>
  <c r="BF112" i="9"/>
  <c r="BE112" i="9"/>
  <c r="BD112" i="9"/>
  <c r="BC112" i="9"/>
  <c r="BB112" i="9"/>
  <c r="BA112" i="9"/>
  <c r="AZ112" i="9"/>
  <c r="AY112" i="9"/>
  <c r="AX112" i="9"/>
  <c r="AW112" i="9"/>
  <c r="AV112" i="9"/>
  <c r="AU112" i="9"/>
  <c r="AT112" i="9"/>
  <c r="AS112" i="9"/>
  <c r="AR112" i="9"/>
  <c r="AQ112" i="9"/>
  <c r="AP112" i="9"/>
  <c r="AO112" i="9"/>
  <c r="AN112" i="9"/>
  <c r="AM112" i="9"/>
  <c r="AL112" i="9"/>
  <c r="BI111" i="9"/>
  <c r="BH111" i="9"/>
  <c r="BG111" i="9"/>
  <c r="BF111" i="9"/>
  <c r="BE111" i="9"/>
  <c r="BD111" i="9"/>
  <c r="BC111" i="9"/>
  <c r="BB111" i="9"/>
  <c r="BA111" i="9"/>
  <c r="AZ111" i="9"/>
  <c r="AY111" i="9"/>
  <c r="AX111" i="9"/>
  <c r="AW111" i="9"/>
  <c r="AV111" i="9"/>
  <c r="AU111" i="9"/>
  <c r="AT111" i="9"/>
  <c r="AS111" i="9"/>
  <c r="AR111" i="9"/>
  <c r="AQ111" i="9"/>
  <c r="AP111" i="9"/>
  <c r="AO111" i="9"/>
  <c r="AN111" i="9"/>
  <c r="AM111" i="9"/>
  <c r="AL111" i="9"/>
  <c r="BI110" i="9"/>
  <c r="BH110" i="9"/>
  <c r="BG110" i="9"/>
  <c r="BF110" i="9"/>
  <c r="BE110" i="9"/>
  <c r="BD110" i="9"/>
  <c r="BC110" i="9"/>
  <c r="BB110" i="9"/>
  <c r="BA110" i="9"/>
  <c r="AZ110" i="9"/>
  <c r="AY110" i="9"/>
  <c r="AX110" i="9"/>
  <c r="AW110" i="9"/>
  <c r="AV110" i="9"/>
  <c r="AU110" i="9"/>
  <c r="AT110" i="9"/>
  <c r="AS110" i="9"/>
  <c r="AR110" i="9"/>
  <c r="AQ110" i="9"/>
  <c r="AP110" i="9"/>
  <c r="AO110" i="9"/>
  <c r="AN110" i="9"/>
  <c r="AM110" i="9"/>
  <c r="AL110" i="9"/>
  <c r="BI109" i="9"/>
  <c r="BH109" i="9"/>
  <c r="BG109" i="9"/>
  <c r="BF109" i="9"/>
  <c r="BE109" i="9"/>
  <c r="BD109" i="9"/>
  <c r="BC109" i="9"/>
  <c r="BB109" i="9"/>
  <c r="BA109" i="9"/>
  <c r="AZ109" i="9"/>
  <c r="AY109" i="9"/>
  <c r="AX109" i="9"/>
  <c r="AW109" i="9"/>
  <c r="AV109" i="9"/>
  <c r="AU109" i="9"/>
  <c r="AT109" i="9"/>
  <c r="AS109" i="9"/>
  <c r="AR109" i="9"/>
  <c r="AQ109" i="9"/>
  <c r="AP109" i="9"/>
  <c r="AO109" i="9"/>
  <c r="AN109" i="9"/>
  <c r="AM109" i="9"/>
  <c r="AL109" i="9"/>
  <c r="BJ109" i="9"/>
  <c r="BI108" i="9"/>
  <c r="BH108" i="9"/>
  <c r="BG108" i="9"/>
  <c r="BF108" i="9"/>
  <c r="BE108" i="9"/>
  <c r="BD108" i="9"/>
  <c r="BC108" i="9"/>
  <c r="BB108" i="9"/>
  <c r="BA108" i="9"/>
  <c r="AZ108" i="9"/>
  <c r="AY108" i="9"/>
  <c r="AX108" i="9"/>
  <c r="AW108" i="9"/>
  <c r="AV108" i="9"/>
  <c r="AU108" i="9"/>
  <c r="AT108" i="9"/>
  <c r="AS108" i="9"/>
  <c r="AR108" i="9"/>
  <c r="AQ108" i="9"/>
  <c r="AP108" i="9"/>
  <c r="AO108" i="9"/>
  <c r="AN108" i="9"/>
  <c r="AM108" i="9"/>
  <c r="AL108" i="9"/>
  <c r="BJ108" i="9"/>
  <c r="BI107" i="9"/>
  <c r="BH107" i="9"/>
  <c r="BG107" i="9"/>
  <c r="BF107" i="9"/>
  <c r="BE107" i="9"/>
  <c r="BD107" i="9"/>
  <c r="BC107" i="9"/>
  <c r="BB107" i="9"/>
  <c r="BA107" i="9"/>
  <c r="AZ107" i="9"/>
  <c r="AY107" i="9"/>
  <c r="AX107" i="9"/>
  <c r="AW107" i="9"/>
  <c r="AV107" i="9"/>
  <c r="AU107" i="9"/>
  <c r="AT107" i="9"/>
  <c r="AS107" i="9"/>
  <c r="AR107" i="9"/>
  <c r="AQ107" i="9"/>
  <c r="AP107" i="9"/>
  <c r="AO107" i="9"/>
  <c r="AN107" i="9"/>
  <c r="AM107" i="9"/>
  <c r="AL107" i="9"/>
  <c r="BI106" i="9"/>
  <c r="BH106" i="9"/>
  <c r="BG106" i="9"/>
  <c r="BF106" i="9"/>
  <c r="BE106" i="9"/>
  <c r="BD106" i="9"/>
  <c r="BC106" i="9"/>
  <c r="BB106" i="9"/>
  <c r="BA106" i="9"/>
  <c r="AZ106" i="9"/>
  <c r="AY106" i="9"/>
  <c r="AX106" i="9"/>
  <c r="AW106" i="9"/>
  <c r="AV106" i="9"/>
  <c r="AU106" i="9"/>
  <c r="AT106" i="9"/>
  <c r="AS106" i="9"/>
  <c r="AR106" i="9"/>
  <c r="AQ106" i="9"/>
  <c r="AP106" i="9"/>
  <c r="AO106" i="9"/>
  <c r="AN106" i="9"/>
  <c r="AM106" i="9"/>
  <c r="AL106" i="9"/>
  <c r="BI105" i="9"/>
  <c r="BH105" i="9"/>
  <c r="BG105" i="9"/>
  <c r="BF105" i="9"/>
  <c r="BE105" i="9"/>
  <c r="BD105" i="9"/>
  <c r="BC105" i="9"/>
  <c r="BB105" i="9"/>
  <c r="BA105" i="9"/>
  <c r="AZ105" i="9"/>
  <c r="AY105" i="9"/>
  <c r="AX105" i="9"/>
  <c r="AW105" i="9"/>
  <c r="AV105" i="9"/>
  <c r="AU105" i="9"/>
  <c r="AT105" i="9"/>
  <c r="AS105" i="9"/>
  <c r="AR105" i="9"/>
  <c r="AQ105" i="9"/>
  <c r="AP105" i="9"/>
  <c r="AO105" i="9"/>
  <c r="AN105" i="9"/>
  <c r="AM105" i="9"/>
  <c r="AL105" i="9"/>
  <c r="BJ105" i="9"/>
  <c r="BI104" i="9"/>
  <c r="BH104" i="9"/>
  <c r="BG104" i="9"/>
  <c r="BF104" i="9"/>
  <c r="BE104" i="9"/>
  <c r="BD104" i="9"/>
  <c r="BC104" i="9"/>
  <c r="BB104" i="9"/>
  <c r="BA104" i="9"/>
  <c r="AZ104" i="9"/>
  <c r="AY104" i="9"/>
  <c r="AX104" i="9"/>
  <c r="AW104" i="9"/>
  <c r="AV104" i="9"/>
  <c r="AU104" i="9"/>
  <c r="AT104" i="9"/>
  <c r="AS104" i="9"/>
  <c r="AR104" i="9"/>
  <c r="AQ104" i="9"/>
  <c r="AP104" i="9"/>
  <c r="AO104" i="9"/>
  <c r="AN104" i="9"/>
  <c r="AM104" i="9"/>
  <c r="AL104" i="9"/>
  <c r="BJ104" i="9"/>
  <c r="BI103" i="9"/>
  <c r="BH103" i="9"/>
  <c r="BG103" i="9"/>
  <c r="BF103" i="9"/>
  <c r="BE103" i="9"/>
  <c r="BD103" i="9"/>
  <c r="BC103" i="9"/>
  <c r="BB103" i="9"/>
  <c r="BA103" i="9"/>
  <c r="AZ103" i="9"/>
  <c r="AY103" i="9"/>
  <c r="AX103" i="9"/>
  <c r="AW103" i="9"/>
  <c r="AV103" i="9"/>
  <c r="AU103" i="9"/>
  <c r="AT103" i="9"/>
  <c r="AS103" i="9"/>
  <c r="AR103" i="9"/>
  <c r="AQ103" i="9"/>
  <c r="AP103" i="9"/>
  <c r="AO103" i="9"/>
  <c r="AN103" i="9"/>
  <c r="AM103" i="9"/>
  <c r="AL103" i="9"/>
  <c r="BJ103" i="9"/>
  <c r="BI102" i="9"/>
  <c r="BH102" i="9"/>
  <c r="BG102" i="9"/>
  <c r="BF102" i="9"/>
  <c r="BE102" i="9"/>
  <c r="BD102" i="9"/>
  <c r="BC102" i="9"/>
  <c r="BB102" i="9"/>
  <c r="BA102" i="9"/>
  <c r="AZ102" i="9"/>
  <c r="AY102" i="9"/>
  <c r="AX102" i="9"/>
  <c r="AW102" i="9"/>
  <c r="AV102" i="9"/>
  <c r="AU102" i="9"/>
  <c r="AT102" i="9"/>
  <c r="AS102" i="9"/>
  <c r="AR102" i="9"/>
  <c r="AQ102" i="9"/>
  <c r="AP102" i="9"/>
  <c r="AO102" i="9"/>
  <c r="AN102" i="9"/>
  <c r="AM102" i="9"/>
  <c r="AL102" i="9"/>
  <c r="BJ102" i="9"/>
  <c r="BI101" i="9"/>
  <c r="BH101" i="9"/>
  <c r="BG101" i="9"/>
  <c r="BF101" i="9"/>
  <c r="BE101" i="9"/>
  <c r="BD101" i="9"/>
  <c r="BC101" i="9"/>
  <c r="BB101" i="9"/>
  <c r="BA101" i="9"/>
  <c r="AZ101" i="9"/>
  <c r="AY101" i="9"/>
  <c r="AX101" i="9"/>
  <c r="AW101" i="9"/>
  <c r="AV101" i="9"/>
  <c r="AU101" i="9"/>
  <c r="AT101" i="9"/>
  <c r="AS101" i="9"/>
  <c r="AR101" i="9"/>
  <c r="AQ101" i="9"/>
  <c r="AP101" i="9"/>
  <c r="AO101" i="9"/>
  <c r="AN101" i="9"/>
  <c r="AM101" i="9"/>
  <c r="AL101" i="9"/>
  <c r="BJ101" i="9"/>
  <c r="BI100" i="9"/>
  <c r="BH100" i="9"/>
  <c r="BG100" i="9"/>
  <c r="BF100" i="9"/>
  <c r="BE100" i="9"/>
  <c r="BD100" i="9"/>
  <c r="BC100" i="9"/>
  <c r="BB100" i="9"/>
  <c r="BA100" i="9"/>
  <c r="AZ100" i="9"/>
  <c r="AY100" i="9"/>
  <c r="AX100" i="9"/>
  <c r="AW100" i="9"/>
  <c r="AV100" i="9"/>
  <c r="AU100" i="9"/>
  <c r="AT100" i="9"/>
  <c r="AS100" i="9"/>
  <c r="AR100" i="9"/>
  <c r="AQ100" i="9"/>
  <c r="AP100" i="9"/>
  <c r="AO100" i="9"/>
  <c r="AN100" i="9"/>
  <c r="AM100" i="9"/>
  <c r="AL100" i="9"/>
  <c r="BI99" i="9"/>
  <c r="BH99" i="9"/>
  <c r="BG99" i="9"/>
  <c r="BF99" i="9"/>
  <c r="BE99" i="9"/>
  <c r="BD99" i="9"/>
  <c r="BC99" i="9"/>
  <c r="BB99" i="9"/>
  <c r="BA99" i="9"/>
  <c r="AZ99" i="9"/>
  <c r="AY99" i="9"/>
  <c r="AX99" i="9"/>
  <c r="AW99" i="9"/>
  <c r="AV99" i="9"/>
  <c r="AU99" i="9"/>
  <c r="AT99" i="9"/>
  <c r="AS99" i="9"/>
  <c r="AR99" i="9"/>
  <c r="AQ99" i="9"/>
  <c r="AP99" i="9"/>
  <c r="AO99" i="9"/>
  <c r="AN99" i="9"/>
  <c r="AM99" i="9"/>
  <c r="AL99" i="9"/>
  <c r="BI98" i="9"/>
  <c r="BH98" i="9"/>
  <c r="BG98" i="9"/>
  <c r="BF98" i="9"/>
  <c r="BE98" i="9"/>
  <c r="BD98" i="9"/>
  <c r="BC98" i="9"/>
  <c r="BB98" i="9"/>
  <c r="BA98" i="9"/>
  <c r="AZ98" i="9"/>
  <c r="AY98" i="9"/>
  <c r="AX98" i="9"/>
  <c r="AW98" i="9"/>
  <c r="AV98" i="9"/>
  <c r="AU98" i="9"/>
  <c r="AT98" i="9"/>
  <c r="AS98" i="9"/>
  <c r="AR98" i="9"/>
  <c r="AQ98" i="9"/>
  <c r="AP98" i="9"/>
  <c r="AO98" i="9"/>
  <c r="AN98" i="9"/>
  <c r="AM98" i="9"/>
  <c r="AL98" i="9"/>
  <c r="BI97" i="9"/>
  <c r="BH97" i="9"/>
  <c r="BG97" i="9"/>
  <c r="BF97" i="9"/>
  <c r="BE97" i="9"/>
  <c r="BD97" i="9"/>
  <c r="BC97" i="9"/>
  <c r="BB97" i="9"/>
  <c r="BA97" i="9"/>
  <c r="AZ97" i="9"/>
  <c r="AY97" i="9"/>
  <c r="AX97" i="9"/>
  <c r="AW97" i="9"/>
  <c r="AV97" i="9"/>
  <c r="AU97" i="9"/>
  <c r="AT97" i="9"/>
  <c r="AS97" i="9"/>
  <c r="AR97" i="9"/>
  <c r="AQ97" i="9"/>
  <c r="AP97" i="9"/>
  <c r="AO97" i="9"/>
  <c r="AN97" i="9"/>
  <c r="AM97" i="9"/>
  <c r="AL97" i="9"/>
  <c r="BJ97" i="9"/>
  <c r="BI96" i="9"/>
  <c r="BH96" i="9"/>
  <c r="BG96" i="9"/>
  <c r="BF96" i="9"/>
  <c r="BE96" i="9"/>
  <c r="BD96" i="9"/>
  <c r="BC96" i="9"/>
  <c r="BB96" i="9"/>
  <c r="BA96" i="9"/>
  <c r="AZ96" i="9"/>
  <c r="AY96" i="9"/>
  <c r="AX96" i="9"/>
  <c r="AW96" i="9"/>
  <c r="AV96" i="9"/>
  <c r="AU96" i="9"/>
  <c r="AT96" i="9"/>
  <c r="AS96" i="9"/>
  <c r="AR96" i="9"/>
  <c r="AQ96" i="9"/>
  <c r="AP96" i="9"/>
  <c r="AO96" i="9"/>
  <c r="AN96" i="9"/>
  <c r="AM96" i="9"/>
  <c r="AL96" i="9"/>
  <c r="BI95" i="9"/>
  <c r="BH95" i="9"/>
  <c r="BG95" i="9"/>
  <c r="BF95" i="9"/>
  <c r="BE95" i="9"/>
  <c r="BD95" i="9"/>
  <c r="BC95" i="9"/>
  <c r="BB95" i="9"/>
  <c r="BA95" i="9"/>
  <c r="AZ95" i="9"/>
  <c r="AY95" i="9"/>
  <c r="AX95" i="9"/>
  <c r="AW95" i="9"/>
  <c r="AV95" i="9"/>
  <c r="AU95" i="9"/>
  <c r="AT95" i="9"/>
  <c r="AS95" i="9"/>
  <c r="AR95" i="9"/>
  <c r="AQ95" i="9"/>
  <c r="AP95" i="9"/>
  <c r="AO95" i="9"/>
  <c r="AN95" i="9"/>
  <c r="AM95" i="9"/>
  <c r="AL95" i="9"/>
  <c r="BI94" i="9"/>
  <c r="BH94" i="9"/>
  <c r="BG94" i="9"/>
  <c r="BF94" i="9"/>
  <c r="BE94" i="9"/>
  <c r="BD94" i="9"/>
  <c r="BC94" i="9"/>
  <c r="BB94" i="9"/>
  <c r="BA94" i="9"/>
  <c r="AZ94" i="9"/>
  <c r="AY94" i="9"/>
  <c r="AX94" i="9"/>
  <c r="AW94" i="9"/>
  <c r="AV94" i="9"/>
  <c r="AU94" i="9"/>
  <c r="AT94" i="9"/>
  <c r="AS94" i="9"/>
  <c r="AR94" i="9"/>
  <c r="AQ94" i="9"/>
  <c r="AP94" i="9"/>
  <c r="AO94" i="9"/>
  <c r="AN94" i="9"/>
  <c r="AM94" i="9"/>
  <c r="AL94" i="9"/>
  <c r="BI93" i="9"/>
  <c r="BH93" i="9"/>
  <c r="BG93" i="9"/>
  <c r="BF93" i="9"/>
  <c r="BE93" i="9"/>
  <c r="BD93" i="9"/>
  <c r="BC93" i="9"/>
  <c r="BB93" i="9"/>
  <c r="BA93" i="9"/>
  <c r="AZ93" i="9"/>
  <c r="AY93" i="9"/>
  <c r="AX93" i="9"/>
  <c r="AW93" i="9"/>
  <c r="AV93" i="9"/>
  <c r="AU93" i="9"/>
  <c r="AT93" i="9"/>
  <c r="AS93" i="9"/>
  <c r="AR93" i="9"/>
  <c r="AQ93" i="9"/>
  <c r="AP93" i="9"/>
  <c r="AO93" i="9"/>
  <c r="AN93" i="9"/>
  <c r="AM93" i="9"/>
  <c r="AL93" i="9"/>
  <c r="BI92" i="9"/>
  <c r="BH92" i="9"/>
  <c r="BG92" i="9"/>
  <c r="BF92" i="9"/>
  <c r="BE92" i="9"/>
  <c r="BD92" i="9"/>
  <c r="BC92" i="9"/>
  <c r="BB92" i="9"/>
  <c r="BA92" i="9"/>
  <c r="AZ92" i="9"/>
  <c r="AY92" i="9"/>
  <c r="AX92" i="9"/>
  <c r="AW92" i="9"/>
  <c r="AV92" i="9"/>
  <c r="AU92" i="9"/>
  <c r="AT92" i="9"/>
  <c r="AS92" i="9"/>
  <c r="AR92" i="9"/>
  <c r="AQ92" i="9"/>
  <c r="AP92" i="9"/>
  <c r="AO92" i="9"/>
  <c r="AN92" i="9"/>
  <c r="AM92" i="9"/>
  <c r="AL92" i="9"/>
  <c r="BJ92" i="9"/>
  <c r="BI91" i="9"/>
  <c r="BH91" i="9"/>
  <c r="BG91" i="9"/>
  <c r="BF91" i="9"/>
  <c r="BE91" i="9"/>
  <c r="BD91" i="9"/>
  <c r="BC91" i="9"/>
  <c r="BB91" i="9"/>
  <c r="BA91" i="9"/>
  <c r="AZ91" i="9"/>
  <c r="AY91" i="9"/>
  <c r="AX91" i="9"/>
  <c r="AW91" i="9"/>
  <c r="AV91" i="9"/>
  <c r="AU91" i="9"/>
  <c r="AT91" i="9"/>
  <c r="AS91" i="9"/>
  <c r="AR91" i="9"/>
  <c r="AQ91" i="9"/>
  <c r="AP91" i="9"/>
  <c r="AO91" i="9"/>
  <c r="AN91" i="9"/>
  <c r="AM91" i="9"/>
  <c r="AL91" i="9"/>
  <c r="BJ91" i="9"/>
  <c r="BI90" i="9"/>
  <c r="BH90" i="9"/>
  <c r="BG90" i="9"/>
  <c r="BF90" i="9"/>
  <c r="BE90" i="9"/>
  <c r="BD90" i="9"/>
  <c r="BC90" i="9"/>
  <c r="BB90" i="9"/>
  <c r="BA90" i="9"/>
  <c r="AZ90" i="9"/>
  <c r="AY90" i="9"/>
  <c r="AX90" i="9"/>
  <c r="AW90" i="9"/>
  <c r="AV90" i="9"/>
  <c r="AU90" i="9"/>
  <c r="AT90" i="9"/>
  <c r="AS90" i="9"/>
  <c r="AR90" i="9"/>
  <c r="AQ90" i="9"/>
  <c r="AP90" i="9"/>
  <c r="AO90" i="9"/>
  <c r="AN90" i="9"/>
  <c r="AM90" i="9"/>
  <c r="AL90" i="9"/>
  <c r="BI89" i="9"/>
  <c r="BH89" i="9"/>
  <c r="BG89" i="9"/>
  <c r="BF89" i="9"/>
  <c r="BE89" i="9"/>
  <c r="BD89" i="9"/>
  <c r="BC89" i="9"/>
  <c r="BB89" i="9"/>
  <c r="BA89" i="9"/>
  <c r="AZ89" i="9"/>
  <c r="AY89" i="9"/>
  <c r="AX89" i="9"/>
  <c r="AW89" i="9"/>
  <c r="AV89" i="9"/>
  <c r="AU89" i="9"/>
  <c r="AT89" i="9"/>
  <c r="AS89" i="9"/>
  <c r="AR89" i="9"/>
  <c r="AQ89" i="9"/>
  <c r="AP89" i="9"/>
  <c r="AO89" i="9"/>
  <c r="AN89" i="9"/>
  <c r="AM89" i="9"/>
  <c r="AL89" i="9"/>
  <c r="BJ89" i="9"/>
  <c r="BI88" i="9"/>
  <c r="BH88" i="9"/>
  <c r="BG88" i="9"/>
  <c r="BF88" i="9"/>
  <c r="BE88" i="9"/>
  <c r="BD88" i="9"/>
  <c r="BC88" i="9"/>
  <c r="BB88" i="9"/>
  <c r="BA88" i="9"/>
  <c r="AZ88" i="9"/>
  <c r="AY88" i="9"/>
  <c r="AX88" i="9"/>
  <c r="AW88" i="9"/>
  <c r="AV88" i="9"/>
  <c r="AU88" i="9"/>
  <c r="AT88" i="9"/>
  <c r="AS88" i="9"/>
  <c r="AR88" i="9"/>
  <c r="AQ88" i="9"/>
  <c r="AP88" i="9"/>
  <c r="AO88" i="9"/>
  <c r="AN88" i="9"/>
  <c r="AM88" i="9"/>
  <c r="AL88" i="9"/>
  <c r="BJ88" i="9"/>
  <c r="BI87" i="9"/>
  <c r="BH87" i="9"/>
  <c r="BG87" i="9"/>
  <c r="BF87" i="9"/>
  <c r="BE87" i="9"/>
  <c r="BD87" i="9"/>
  <c r="BC87" i="9"/>
  <c r="BB87" i="9"/>
  <c r="BA87" i="9"/>
  <c r="AZ87" i="9"/>
  <c r="AY87" i="9"/>
  <c r="AX87" i="9"/>
  <c r="AW87" i="9"/>
  <c r="AV87" i="9"/>
  <c r="AU87" i="9"/>
  <c r="AT87" i="9"/>
  <c r="AS87" i="9"/>
  <c r="AR87" i="9"/>
  <c r="AQ87" i="9"/>
  <c r="AP87" i="9"/>
  <c r="AO87" i="9"/>
  <c r="AN87" i="9"/>
  <c r="AM87" i="9"/>
  <c r="AL87" i="9"/>
  <c r="BJ87" i="9"/>
  <c r="BI86" i="9"/>
  <c r="BH86" i="9"/>
  <c r="BG86" i="9"/>
  <c r="BF86" i="9"/>
  <c r="BE86" i="9"/>
  <c r="BD86" i="9"/>
  <c r="BC86" i="9"/>
  <c r="BB86" i="9"/>
  <c r="BA86" i="9"/>
  <c r="AZ86" i="9"/>
  <c r="AY86" i="9"/>
  <c r="AX86" i="9"/>
  <c r="AW86" i="9"/>
  <c r="AV86" i="9"/>
  <c r="AU86" i="9"/>
  <c r="AT86" i="9"/>
  <c r="AS86" i="9"/>
  <c r="AR86" i="9"/>
  <c r="AQ86" i="9"/>
  <c r="AP86" i="9"/>
  <c r="AO86" i="9"/>
  <c r="AN86" i="9"/>
  <c r="AM86" i="9"/>
  <c r="AL86" i="9"/>
  <c r="BJ86" i="9"/>
  <c r="BI85" i="9"/>
  <c r="BH85" i="9"/>
  <c r="BG85" i="9"/>
  <c r="BF85" i="9"/>
  <c r="BE85" i="9"/>
  <c r="BD85" i="9"/>
  <c r="BC85" i="9"/>
  <c r="BB85" i="9"/>
  <c r="BA85" i="9"/>
  <c r="AZ85" i="9"/>
  <c r="AY85" i="9"/>
  <c r="AX85" i="9"/>
  <c r="AW85" i="9"/>
  <c r="AV85" i="9"/>
  <c r="AU85" i="9"/>
  <c r="AT85" i="9"/>
  <c r="AS85" i="9"/>
  <c r="AR85" i="9"/>
  <c r="AQ85" i="9"/>
  <c r="AP85" i="9"/>
  <c r="AO85" i="9"/>
  <c r="AN85" i="9"/>
  <c r="AM85" i="9"/>
  <c r="AL85" i="9"/>
  <c r="BJ85" i="9"/>
  <c r="BI84" i="9"/>
  <c r="BH84" i="9"/>
  <c r="BG84" i="9"/>
  <c r="BF84" i="9"/>
  <c r="BE84" i="9"/>
  <c r="BD84" i="9"/>
  <c r="BC84" i="9"/>
  <c r="BB84" i="9"/>
  <c r="BA84" i="9"/>
  <c r="AZ84" i="9"/>
  <c r="AY84" i="9"/>
  <c r="AX84" i="9"/>
  <c r="AW84" i="9"/>
  <c r="AV84" i="9"/>
  <c r="AU84" i="9"/>
  <c r="AT84" i="9"/>
  <c r="AS84" i="9"/>
  <c r="AR84" i="9"/>
  <c r="AQ84" i="9"/>
  <c r="AP84" i="9"/>
  <c r="AO84" i="9"/>
  <c r="AN84" i="9"/>
  <c r="AM84" i="9"/>
  <c r="AL84" i="9"/>
  <c r="BI83" i="9"/>
  <c r="BH83" i="9"/>
  <c r="BG83" i="9"/>
  <c r="BF83" i="9"/>
  <c r="BE83" i="9"/>
  <c r="BD83" i="9"/>
  <c r="BC83" i="9"/>
  <c r="BB83" i="9"/>
  <c r="BA83" i="9"/>
  <c r="AZ83" i="9"/>
  <c r="AY83" i="9"/>
  <c r="AX83" i="9"/>
  <c r="AW83" i="9"/>
  <c r="AV83" i="9"/>
  <c r="AU83" i="9"/>
  <c r="AT83" i="9"/>
  <c r="AS83" i="9"/>
  <c r="AR83" i="9"/>
  <c r="AQ83" i="9"/>
  <c r="AP83" i="9"/>
  <c r="AO83" i="9"/>
  <c r="AN83" i="9"/>
  <c r="AM83" i="9"/>
  <c r="AL83" i="9"/>
  <c r="BI82" i="9"/>
  <c r="BH82" i="9"/>
  <c r="BG82" i="9"/>
  <c r="BF82" i="9"/>
  <c r="BE82" i="9"/>
  <c r="BD82" i="9"/>
  <c r="BC82" i="9"/>
  <c r="BB82" i="9"/>
  <c r="BA82" i="9"/>
  <c r="AZ82" i="9"/>
  <c r="AY82" i="9"/>
  <c r="AX82" i="9"/>
  <c r="AW82" i="9"/>
  <c r="AV82" i="9"/>
  <c r="AU82" i="9"/>
  <c r="AT82" i="9"/>
  <c r="AS82" i="9"/>
  <c r="AR82" i="9"/>
  <c r="AQ82" i="9"/>
  <c r="AP82" i="9"/>
  <c r="AO82" i="9"/>
  <c r="AN82" i="9"/>
  <c r="AM82" i="9"/>
  <c r="AL82" i="9"/>
  <c r="BJ82" i="9"/>
  <c r="BI81" i="9"/>
  <c r="BH81" i="9"/>
  <c r="BG81" i="9"/>
  <c r="BF81" i="9"/>
  <c r="BE81" i="9"/>
  <c r="BD81" i="9"/>
  <c r="BC81" i="9"/>
  <c r="BB81" i="9"/>
  <c r="BA81" i="9"/>
  <c r="AZ81" i="9"/>
  <c r="AY81" i="9"/>
  <c r="AX81" i="9"/>
  <c r="AW81" i="9"/>
  <c r="AV81" i="9"/>
  <c r="AU81" i="9"/>
  <c r="AT81" i="9"/>
  <c r="AS81" i="9"/>
  <c r="AR81" i="9"/>
  <c r="AQ81" i="9"/>
  <c r="AP81" i="9"/>
  <c r="AO81" i="9"/>
  <c r="AN81" i="9"/>
  <c r="AM81" i="9"/>
  <c r="AL81" i="9"/>
  <c r="BJ81" i="9"/>
  <c r="BI80" i="9"/>
  <c r="BH80" i="9"/>
  <c r="BG80" i="9"/>
  <c r="BF80" i="9"/>
  <c r="BE80" i="9"/>
  <c r="BD80" i="9"/>
  <c r="BC80" i="9"/>
  <c r="BB80" i="9"/>
  <c r="BA80" i="9"/>
  <c r="AZ80" i="9"/>
  <c r="AY80" i="9"/>
  <c r="AX80" i="9"/>
  <c r="AW80" i="9"/>
  <c r="AV80" i="9"/>
  <c r="AU80" i="9"/>
  <c r="AT80" i="9"/>
  <c r="AS80" i="9"/>
  <c r="AR80" i="9"/>
  <c r="AQ80" i="9"/>
  <c r="AP80" i="9"/>
  <c r="AO80" i="9"/>
  <c r="AN80" i="9"/>
  <c r="AM80" i="9"/>
  <c r="AL80" i="9"/>
  <c r="BI79" i="9"/>
  <c r="BH79" i="9"/>
  <c r="BG79" i="9"/>
  <c r="BF79" i="9"/>
  <c r="BE79" i="9"/>
  <c r="BD79" i="9"/>
  <c r="BC79" i="9"/>
  <c r="BB79" i="9"/>
  <c r="BA79" i="9"/>
  <c r="AZ79" i="9"/>
  <c r="AY79" i="9"/>
  <c r="AX79" i="9"/>
  <c r="AW79" i="9"/>
  <c r="AV79" i="9"/>
  <c r="AU79" i="9"/>
  <c r="AT79" i="9"/>
  <c r="AS79" i="9"/>
  <c r="AR79" i="9"/>
  <c r="AQ79" i="9"/>
  <c r="AP79" i="9"/>
  <c r="AO79" i="9"/>
  <c r="AN79" i="9"/>
  <c r="AM79" i="9"/>
  <c r="AL79" i="9"/>
  <c r="BI78" i="9"/>
  <c r="BH78" i="9"/>
  <c r="BG78" i="9"/>
  <c r="BF78" i="9"/>
  <c r="BE78" i="9"/>
  <c r="BD78" i="9"/>
  <c r="BC78" i="9"/>
  <c r="BB78" i="9"/>
  <c r="BA78" i="9"/>
  <c r="AZ78" i="9"/>
  <c r="AY78" i="9"/>
  <c r="AX78" i="9"/>
  <c r="AW78" i="9"/>
  <c r="AV78" i="9"/>
  <c r="AU78" i="9"/>
  <c r="AT78" i="9"/>
  <c r="AS78" i="9"/>
  <c r="AR78" i="9"/>
  <c r="AQ78" i="9"/>
  <c r="AP78" i="9"/>
  <c r="AO78" i="9"/>
  <c r="AN78" i="9"/>
  <c r="AM78" i="9"/>
  <c r="AL78" i="9"/>
  <c r="BI77" i="9"/>
  <c r="BH77" i="9"/>
  <c r="BG77" i="9"/>
  <c r="BF77" i="9"/>
  <c r="BE77" i="9"/>
  <c r="BD77" i="9"/>
  <c r="BC77" i="9"/>
  <c r="BB77" i="9"/>
  <c r="BA77" i="9"/>
  <c r="AZ77" i="9"/>
  <c r="AY77" i="9"/>
  <c r="AX77" i="9"/>
  <c r="AW77" i="9"/>
  <c r="AV77" i="9"/>
  <c r="AU77" i="9"/>
  <c r="AT77" i="9"/>
  <c r="AS77" i="9"/>
  <c r="AR77" i="9"/>
  <c r="AQ77" i="9"/>
  <c r="AP77" i="9"/>
  <c r="AO77" i="9"/>
  <c r="AN77" i="9"/>
  <c r="AM77" i="9"/>
  <c r="AL77" i="9"/>
  <c r="BJ77" i="9"/>
  <c r="BI76" i="9"/>
  <c r="BH76" i="9"/>
  <c r="BG76" i="9"/>
  <c r="BF76" i="9"/>
  <c r="BE76" i="9"/>
  <c r="BD76" i="9"/>
  <c r="BC76" i="9"/>
  <c r="BB76" i="9"/>
  <c r="BA76" i="9"/>
  <c r="AZ76" i="9"/>
  <c r="AY76" i="9"/>
  <c r="AX76" i="9"/>
  <c r="AW76" i="9"/>
  <c r="AV76" i="9"/>
  <c r="AU76" i="9"/>
  <c r="AT76" i="9"/>
  <c r="AS76" i="9"/>
  <c r="AR76" i="9"/>
  <c r="AQ76" i="9"/>
  <c r="AP76" i="9"/>
  <c r="AO76" i="9"/>
  <c r="AN76" i="9"/>
  <c r="AM76" i="9"/>
  <c r="AL76" i="9"/>
  <c r="BJ76" i="9"/>
  <c r="BI75" i="9"/>
  <c r="BH75" i="9"/>
  <c r="BG75" i="9"/>
  <c r="BF75" i="9"/>
  <c r="BE75" i="9"/>
  <c r="BD75" i="9"/>
  <c r="BC75" i="9"/>
  <c r="BB75" i="9"/>
  <c r="BA75" i="9"/>
  <c r="AZ75" i="9"/>
  <c r="AY75" i="9"/>
  <c r="AX75" i="9"/>
  <c r="AW75" i="9"/>
  <c r="AV75" i="9"/>
  <c r="AU75" i="9"/>
  <c r="AT75" i="9"/>
  <c r="AS75" i="9"/>
  <c r="AR75" i="9"/>
  <c r="AQ75" i="9"/>
  <c r="AP75" i="9"/>
  <c r="AO75" i="9"/>
  <c r="AN75" i="9"/>
  <c r="AM75" i="9"/>
  <c r="AL75" i="9"/>
  <c r="BJ75" i="9"/>
  <c r="BI74" i="9"/>
  <c r="BH74" i="9"/>
  <c r="BG74" i="9"/>
  <c r="BF74" i="9"/>
  <c r="BE74" i="9"/>
  <c r="BD74" i="9"/>
  <c r="BC74" i="9"/>
  <c r="BB74" i="9"/>
  <c r="BA74" i="9"/>
  <c r="AZ74" i="9"/>
  <c r="AY74" i="9"/>
  <c r="AX74" i="9"/>
  <c r="AW74" i="9"/>
  <c r="AV74" i="9"/>
  <c r="AU74" i="9"/>
  <c r="AT74" i="9"/>
  <c r="AS74" i="9"/>
  <c r="AR74" i="9"/>
  <c r="AQ74" i="9"/>
  <c r="AP74" i="9"/>
  <c r="AO74" i="9"/>
  <c r="AN74" i="9"/>
  <c r="AM74" i="9"/>
  <c r="AL74" i="9"/>
  <c r="BI73" i="9"/>
  <c r="BH73" i="9"/>
  <c r="BG73" i="9"/>
  <c r="BF73" i="9"/>
  <c r="BE73" i="9"/>
  <c r="BD73" i="9"/>
  <c r="BC73" i="9"/>
  <c r="BB73" i="9"/>
  <c r="BA73" i="9"/>
  <c r="AZ73" i="9"/>
  <c r="AY73" i="9"/>
  <c r="AX73" i="9"/>
  <c r="AW73" i="9"/>
  <c r="AV73" i="9"/>
  <c r="AU73" i="9"/>
  <c r="AT73" i="9"/>
  <c r="AS73" i="9"/>
  <c r="AR73" i="9"/>
  <c r="AQ73" i="9"/>
  <c r="AP73" i="9"/>
  <c r="AO73" i="9"/>
  <c r="AN73" i="9"/>
  <c r="AM73" i="9"/>
  <c r="AL73" i="9"/>
  <c r="BJ73" i="9"/>
  <c r="BI72" i="9"/>
  <c r="BH72" i="9"/>
  <c r="BG72" i="9"/>
  <c r="BF72" i="9"/>
  <c r="BE72" i="9"/>
  <c r="BD72" i="9"/>
  <c r="BC72" i="9"/>
  <c r="BB72" i="9"/>
  <c r="BA72" i="9"/>
  <c r="AZ72" i="9"/>
  <c r="AY72" i="9"/>
  <c r="AX72" i="9"/>
  <c r="AW72" i="9"/>
  <c r="AV72" i="9"/>
  <c r="AU72" i="9"/>
  <c r="AT72" i="9"/>
  <c r="AS72" i="9"/>
  <c r="AR72" i="9"/>
  <c r="AQ72" i="9"/>
  <c r="AP72" i="9"/>
  <c r="AO72" i="9"/>
  <c r="AN72" i="9"/>
  <c r="AM72" i="9"/>
  <c r="AL72" i="9"/>
  <c r="BJ72" i="9"/>
  <c r="BI71" i="9"/>
  <c r="BH71" i="9"/>
  <c r="BG71" i="9"/>
  <c r="BF71" i="9"/>
  <c r="BE71" i="9"/>
  <c r="BD71" i="9"/>
  <c r="BC71" i="9"/>
  <c r="BB71" i="9"/>
  <c r="BA71" i="9"/>
  <c r="AZ71" i="9"/>
  <c r="AY71" i="9"/>
  <c r="AX71" i="9"/>
  <c r="AW71" i="9"/>
  <c r="AV71" i="9"/>
  <c r="AU71" i="9"/>
  <c r="AT71" i="9"/>
  <c r="AS71" i="9"/>
  <c r="AR71" i="9"/>
  <c r="AQ71" i="9"/>
  <c r="AP71" i="9"/>
  <c r="AO71" i="9"/>
  <c r="AN71" i="9"/>
  <c r="AM71" i="9"/>
  <c r="AL71" i="9"/>
  <c r="BJ71" i="9"/>
  <c r="BI70" i="9"/>
  <c r="BH70" i="9"/>
  <c r="BG70" i="9"/>
  <c r="BF70" i="9"/>
  <c r="BE70" i="9"/>
  <c r="BD70" i="9"/>
  <c r="BC70" i="9"/>
  <c r="BB70" i="9"/>
  <c r="BA70" i="9"/>
  <c r="AZ70" i="9"/>
  <c r="AY70" i="9"/>
  <c r="AX70" i="9"/>
  <c r="AW70" i="9"/>
  <c r="AV70" i="9"/>
  <c r="AU70" i="9"/>
  <c r="AT70" i="9"/>
  <c r="AS70" i="9"/>
  <c r="AR70" i="9"/>
  <c r="AQ70" i="9"/>
  <c r="AP70" i="9"/>
  <c r="AO70" i="9"/>
  <c r="AN70" i="9"/>
  <c r="AM70" i="9"/>
  <c r="AL70" i="9"/>
  <c r="BJ70" i="9"/>
  <c r="BI69" i="9"/>
  <c r="BH69" i="9"/>
  <c r="BG69" i="9"/>
  <c r="BF69" i="9"/>
  <c r="BE69" i="9"/>
  <c r="BD69" i="9"/>
  <c r="BC69" i="9"/>
  <c r="BB69" i="9"/>
  <c r="BA69" i="9"/>
  <c r="AZ69" i="9"/>
  <c r="AY69" i="9"/>
  <c r="AX69" i="9"/>
  <c r="AW69" i="9"/>
  <c r="AV69" i="9"/>
  <c r="AU69" i="9"/>
  <c r="AT69" i="9"/>
  <c r="AS69" i="9"/>
  <c r="AR69" i="9"/>
  <c r="AQ69" i="9"/>
  <c r="AP69" i="9"/>
  <c r="AO69" i="9"/>
  <c r="AN69" i="9"/>
  <c r="AM69" i="9"/>
  <c r="AL69" i="9"/>
  <c r="BJ69" i="9"/>
  <c r="BI68" i="9"/>
  <c r="BH68" i="9"/>
  <c r="BG68" i="9"/>
  <c r="BF68" i="9"/>
  <c r="BE68" i="9"/>
  <c r="BD68" i="9"/>
  <c r="BC68" i="9"/>
  <c r="BB68" i="9"/>
  <c r="BA68" i="9"/>
  <c r="AZ68" i="9"/>
  <c r="AY68" i="9"/>
  <c r="AX68" i="9"/>
  <c r="AW68" i="9"/>
  <c r="AV68" i="9"/>
  <c r="AU68" i="9"/>
  <c r="AT68" i="9"/>
  <c r="AS68" i="9"/>
  <c r="AR68" i="9"/>
  <c r="AQ68" i="9"/>
  <c r="AP68" i="9"/>
  <c r="AO68" i="9"/>
  <c r="AN68" i="9"/>
  <c r="AM68" i="9"/>
  <c r="AL68" i="9"/>
  <c r="BI67" i="9"/>
  <c r="BH67" i="9"/>
  <c r="BG67" i="9"/>
  <c r="BF67" i="9"/>
  <c r="BE67" i="9"/>
  <c r="BD67" i="9"/>
  <c r="BC67" i="9"/>
  <c r="BB67" i="9"/>
  <c r="BA67" i="9"/>
  <c r="AZ67" i="9"/>
  <c r="AY67" i="9"/>
  <c r="AX67" i="9"/>
  <c r="AW67" i="9"/>
  <c r="AV67" i="9"/>
  <c r="AU67" i="9"/>
  <c r="AT67" i="9"/>
  <c r="AS67" i="9"/>
  <c r="AR67" i="9"/>
  <c r="AQ67" i="9"/>
  <c r="AP67" i="9"/>
  <c r="AO67" i="9"/>
  <c r="AN67" i="9"/>
  <c r="AM67" i="9"/>
  <c r="AL67" i="9"/>
  <c r="BI66" i="9"/>
  <c r="BH66" i="9"/>
  <c r="BG66" i="9"/>
  <c r="BF66" i="9"/>
  <c r="BE66" i="9"/>
  <c r="BD66" i="9"/>
  <c r="BC66" i="9"/>
  <c r="BB66" i="9"/>
  <c r="BA66" i="9"/>
  <c r="AZ66" i="9"/>
  <c r="AY66" i="9"/>
  <c r="AX66" i="9"/>
  <c r="AW66" i="9"/>
  <c r="AV66" i="9"/>
  <c r="AU66" i="9"/>
  <c r="AT66" i="9"/>
  <c r="AS66" i="9"/>
  <c r="AR66" i="9"/>
  <c r="AQ66" i="9"/>
  <c r="AP66" i="9"/>
  <c r="AO66" i="9"/>
  <c r="AN66" i="9"/>
  <c r="AM66" i="9"/>
  <c r="AL66" i="9"/>
  <c r="BJ66" i="9"/>
  <c r="BI65" i="9"/>
  <c r="BH65" i="9"/>
  <c r="BG65" i="9"/>
  <c r="BF65" i="9"/>
  <c r="BE65" i="9"/>
  <c r="BD65" i="9"/>
  <c r="BC65" i="9"/>
  <c r="BB65" i="9"/>
  <c r="BA65" i="9"/>
  <c r="AZ65" i="9"/>
  <c r="AY65" i="9"/>
  <c r="AX65" i="9"/>
  <c r="AW65" i="9"/>
  <c r="AV65" i="9"/>
  <c r="AU65" i="9"/>
  <c r="AT65" i="9"/>
  <c r="AS65" i="9"/>
  <c r="AR65" i="9"/>
  <c r="AQ65" i="9"/>
  <c r="AP65" i="9"/>
  <c r="AO65" i="9"/>
  <c r="AN65" i="9"/>
  <c r="AM65" i="9"/>
  <c r="AL65" i="9"/>
  <c r="BJ65" i="9"/>
  <c r="BI64" i="9"/>
  <c r="BH64" i="9"/>
  <c r="BG64" i="9"/>
  <c r="BF64" i="9"/>
  <c r="BE64" i="9"/>
  <c r="BD64" i="9"/>
  <c r="BC64" i="9"/>
  <c r="BB64" i="9"/>
  <c r="BA64" i="9"/>
  <c r="AZ64" i="9"/>
  <c r="AY64" i="9"/>
  <c r="AX64" i="9"/>
  <c r="AW64" i="9"/>
  <c r="AV64" i="9"/>
  <c r="AU64" i="9"/>
  <c r="AT64" i="9"/>
  <c r="AS64" i="9"/>
  <c r="AR64" i="9"/>
  <c r="AQ64" i="9"/>
  <c r="AP64" i="9"/>
  <c r="AO64" i="9"/>
  <c r="AN64" i="9"/>
  <c r="AM64" i="9"/>
  <c r="AL64" i="9"/>
  <c r="BI63" i="9"/>
  <c r="BH63" i="9"/>
  <c r="BG63" i="9"/>
  <c r="BF63" i="9"/>
  <c r="BE63" i="9"/>
  <c r="BD63" i="9"/>
  <c r="BC63" i="9"/>
  <c r="BB63" i="9"/>
  <c r="BA63" i="9"/>
  <c r="AZ63" i="9"/>
  <c r="AY63" i="9"/>
  <c r="AX63" i="9"/>
  <c r="AW63" i="9"/>
  <c r="AV63" i="9"/>
  <c r="AU63" i="9"/>
  <c r="AT63" i="9"/>
  <c r="AS63" i="9"/>
  <c r="AR63" i="9"/>
  <c r="AQ63" i="9"/>
  <c r="AP63" i="9"/>
  <c r="AO63" i="9"/>
  <c r="AN63" i="9"/>
  <c r="AM63" i="9"/>
  <c r="AL63" i="9"/>
  <c r="BI62" i="9"/>
  <c r="BH62" i="9"/>
  <c r="BG62" i="9"/>
  <c r="BF62" i="9"/>
  <c r="BE62" i="9"/>
  <c r="BD62" i="9"/>
  <c r="BC62" i="9"/>
  <c r="BB62" i="9"/>
  <c r="BA62" i="9"/>
  <c r="AZ62" i="9"/>
  <c r="AY62" i="9"/>
  <c r="AX62" i="9"/>
  <c r="AW62" i="9"/>
  <c r="AV62" i="9"/>
  <c r="AU62" i="9"/>
  <c r="AT62" i="9"/>
  <c r="AS62" i="9"/>
  <c r="AR62" i="9"/>
  <c r="AQ62" i="9"/>
  <c r="AP62" i="9"/>
  <c r="AO62" i="9"/>
  <c r="AN62" i="9"/>
  <c r="AM62" i="9"/>
  <c r="AL62" i="9"/>
  <c r="BI61" i="9"/>
  <c r="BH61" i="9"/>
  <c r="BG61" i="9"/>
  <c r="BF61" i="9"/>
  <c r="BE61" i="9"/>
  <c r="BD61" i="9"/>
  <c r="BC61" i="9"/>
  <c r="BB61" i="9"/>
  <c r="BA61" i="9"/>
  <c r="AZ61" i="9"/>
  <c r="AY61" i="9"/>
  <c r="AX61" i="9"/>
  <c r="AW61" i="9"/>
  <c r="AV61" i="9"/>
  <c r="AU61" i="9"/>
  <c r="AT61" i="9"/>
  <c r="AS61" i="9"/>
  <c r="AR61" i="9"/>
  <c r="AQ61" i="9"/>
  <c r="AP61" i="9"/>
  <c r="AO61" i="9"/>
  <c r="AN61" i="9"/>
  <c r="AM61" i="9"/>
  <c r="AL61" i="9"/>
  <c r="BJ61" i="9"/>
  <c r="BI60" i="9"/>
  <c r="BH60" i="9"/>
  <c r="BG60" i="9"/>
  <c r="BF60" i="9"/>
  <c r="BE60" i="9"/>
  <c r="BD60" i="9"/>
  <c r="BC60" i="9"/>
  <c r="BB60" i="9"/>
  <c r="BA60" i="9"/>
  <c r="AZ60" i="9"/>
  <c r="AY60" i="9"/>
  <c r="AX60" i="9"/>
  <c r="AW60" i="9"/>
  <c r="AV60" i="9"/>
  <c r="AU60" i="9"/>
  <c r="AT60" i="9"/>
  <c r="AS60" i="9"/>
  <c r="AR60" i="9"/>
  <c r="AQ60" i="9"/>
  <c r="AP60" i="9"/>
  <c r="AO60" i="9"/>
  <c r="AN60" i="9"/>
  <c r="AM60" i="9"/>
  <c r="AL60" i="9"/>
  <c r="BJ60" i="9"/>
  <c r="BI59" i="9"/>
  <c r="BH59" i="9"/>
  <c r="BG59" i="9"/>
  <c r="BF59" i="9"/>
  <c r="BE59" i="9"/>
  <c r="BD59" i="9"/>
  <c r="BC59" i="9"/>
  <c r="BB59" i="9"/>
  <c r="BA59" i="9"/>
  <c r="AZ59" i="9"/>
  <c r="AY59" i="9"/>
  <c r="AX59" i="9"/>
  <c r="AW59" i="9"/>
  <c r="AV59" i="9"/>
  <c r="AU59" i="9"/>
  <c r="AT59" i="9"/>
  <c r="AS59" i="9"/>
  <c r="AR59" i="9"/>
  <c r="AQ59" i="9"/>
  <c r="AP59" i="9"/>
  <c r="AO59" i="9"/>
  <c r="AN59" i="9"/>
  <c r="AM59" i="9"/>
  <c r="AL59" i="9"/>
  <c r="BJ59" i="9"/>
  <c r="BI58" i="9"/>
  <c r="BH58" i="9"/>
  <c r="BG58" i="9"/>
  <c r="BF58" i="9"/>
  <c r="BE58" i="9"/>
  <c r="BD58" i="9"/>
  <c r="BC58" i="9"/>
  <c r="BB58" i="9"/>
  <c r="BA58" i="9"/>
  <c r="AZ58" i="9"/>
  <c r="AY58" i="9"/>
  <c r="AX58" i="9"/>
  <c r="AW58" i="9"/>
  <c r="AV58" i="9"/>
  <c r="AU58" i="9"/>
  <c r="AT58" i="9"/>
  <c r="AS58" i="9"/>
  <c r="AR58" i="9"/>
  <c r="AQ58" i="9"/>
  <c r="AP58" i="9"/>
  <c r="AO58" i="9"/>
  <c r="AN58" i="9"/>
  <c r="AM58" i="9"/>
  <c r="AL58" i="9"/>
  <c r="BI57" i="9"/>
  <c r="BH57" i="9"/>
  <c r="BG57" i="9"/>
  <c r="BF57" i="9"/>
  <c r="BE57" i="9"/>
  <c r="BD57" i="9"/>
  <c r="BC57" i="9"/>
  <c r="BB57" i="9"/>
  <c r="BA57" i="9"/>
  <c r="AZ57" i="9"/>
  <c r="AY57" i="9"/>
  <c r="AX57" i="9"/>
  <c r="AW57" i="9"/>
  <c r="AV57" i="9"/>
  <c r="AU57" i="9"/>
  <c r="AT57" i="9"/>
  <c r="AS57" i="9"/>
  <c r="AR57" i="9"/>
  <c r="AQ57" i="9"/>
  <c r="AP57" i="9"/>
  <c r="AO57" i="9"/>
  <c r="AN57" i="9"/>
  <c r="AM57" i="9"/>
  <c r="AL57" i="9"/>
  <c r="BJ57" i="9"/>
  <c r="BI56" i="9"/>
  <c r="BH56" i="9"/>
  <c r="BG56" i="9"/>
  <c r="BF56" i="9"/>
  <c r="BE56" i="9"/>
  <c r="BD56" i="9"/>
  <c r="BC56" i="9"/>
  <c r="BB56" i="9"/>
  <c r="BA56" i="9"/>
  <c r="AZ56" i="9"/>
  <c r="AY56" i="9"/>
  <c r="AX56" i="9"/>
  <c r="AW56" i="9"/>
  <c r="AV56" i="9"/>
  <c r="AU56" i="9"/>
  <c r="AT56" i="9"/>
  <c r="AS56" i="9"/>
  <c r="AR56" i="9"/>
  <c r="AQ56" i="9"/>
  <c r="AP56" i="9"/>
  <c r="AO56" i="9"/>
  <c r="AN56" i="9"/>
  <c r="AM56" i="9"/>
  <c r="AL56" i="9"/>
  <c r="BJ56" i="9"/>
  <c r="BI55" i="9"/>
  <c r="BH55" i="9"/>
  <c r="BG55" i="9"/>
  <c r="BF55" i="9"/>
  <c r="BE55" i="9"/>
  <c r="BD55" i="9"/>
  <c r="BC55" i="9"/>
  <c r="BB55" i="9"/>
  <c r="BA55" i="9"/>
  <c r="AZ55" i="9"/>
  <c r="AY55" i="9"/>
  <c r="AX55" i="9"/>
  <c r="AW55" i="9"/>
  <c r="AV55" i="9"/>
  <c r="AU55" i="9"/>
  <c r="AT55" i="9"/>
  <c r="AS55" i="9"/>
  <c r="AR55" i="9"/>
  <c r="AQ55" i="9"/>
  <c r="AP55" i="9"/>
  <c r="AO55" i="9"/>
  <c r="AN55" i="9"/>
  <c r="AM55" i="9"/>
  <c r="AL55" i="9"/>
  <c r="BJ55" i="9"/>
  <c r="BI54" i="9"/>
  <c r="BH54" i="9"/>
  <c r="BG54" i="9"/>
  <c r="BF54" i="9"/>
  <c r="BE54" i="9"/>
  <c r="BD54" i="9"/>
  <c r="BC54" i="9"/>
  <c r="BB54" i="9"/>
  <c r="BA54" i="9"/>
  <c r="AZ54" i="9"/>
  <c r="AY54" i="9"/>
  <c r="AX54" i="9"/>
  <c r="AW54" i="9"/>
  <c r="AV54" i="9"/>
  <c r="AU54" i="9"/>
  <c r="AT54" i="9"/>
  <c r="AS54" i="9"/>
  <c r="AR54" i="9"/>
  <c r="AQ54" i="9"/>
  <c r="AP54" i="9"/>
  <c r="AO54" i="9"/>
  <c r="AN54" i="9"/>
  <c r="AM54" i="9"/>
  <c r="AL54" i="9"/>
  <c r="BI53" i="9"/>
  <c r="BH53" i="9"/>
  <c r="BG53" i="9"/>
  <c r="BF53" i="9"/>
  <c r="BE53" i="9"/>
  <c r="BD53" i="9"/>
  <c r="BC53" i="9"/>
  <c r="BB53" i="9"/>
  <c r="BA53" i="9"/>
  <c r="AZ53" i="9"/>
  <c r="AY53" i="9"/>
  <c r="AX53" i="9"/>
  <c r="AW53" i="9"/>
  <c r="AV53" i="9"/>
  <c r="AU53" i="9"/>
  <c r="AT53" i="9"/>
  <c r="AS53" i="9"/>
  <c r="AR53" i="9"/>
  <c r="AQ53" i="9"/>
  <c r="AP53" i="9"/>
  <c r="AO53" i="9"/>
  <c r="AN53" i="9"/>
  <c r="AM53" i="9"/>
  <c r="AL53" i="9"/>
  <c r="BJ53" i="9"/>
  <c r="BI52" i="9"/>
  <c r="BH52" i="9"/>
  <c r="BG52" i="9"/>
  <c r="BF52" i="9"/>
  <c r="BE52" i="9"/>
  <c r="BD52" i="9"/>
  <c r="BC52" i="9"/>
  <c r="BB52" i="9"/>
  <c r="BA52" i="9"/>
  <c r="AZ52" i="9"/>
  <c r="AY52" i="9"/>
  <c r="AX52" i="9"/>
  <c r="AW52" i="9"/>
  <c r="AV52" i="9"/>
  <c r="AU52" i="9"/>
  <c r="AT52" i="9"/>
  <c r="AS52" i="9"/>
  <c r="AR52" i="9"/>
  <c r="AQ52" i="9"/>
  <c r="AP52" i="9"/>
  <c r="AO52" i="9"/>
  <c r="AN52" i="9"/>
  <c r="AM52" i="9"/>
  <c r="AL52" i="9"/>
  <c r="BI51" i="9"/>
  <c r="BH51" i="9"/>
  <c r="BG51" i="9"/>
  <c r="BF51" i="9"/>
  <c r="BE51" i="9"/>
  <c r="BD51" i="9"/>
  <c r="BC51" i="9"/>
  <c r="BB51" i="9"/>
  <c r="BA51" i="9"/>
  <c r="AZ51" i="9"/>
  <c r="AY51" i="9"/>
  <c r="AX51" i="9"/>
  <c r="AW51" i="9"/>
  <c r="AV51" i="9"/>
  <c r="AU51" i="9"/>
  <c r="AT51" i="9"/>
  <c r="AS51" i="9"/>
  <c r="AR51" i="9"/>
  <c r="AQ51" i="9"/>
  <c r="AP51" i="9"/>
  <c r="AO51" i="9"/>
  <c r="AN51" i="9"/>
  <c r="AM51" i="9"/>
  <c r="AL51" i="9"/>
  <c r="BJ51" i="9"/>
  <c r="BI50" i="9"/>
  <c r="BH50" i="9"/>
  <c r="BG50" i="9"/>
  <c r="BF50" i="9"/>
  <c r="BE50" i="9"/>
  <c r="BD50" i="9"/>
  <c r="BC50" i="9"/>
  <c r="BB50" i="9"/>
  <c r="BA50" i="9"/>
  <c r="AZ50" i="9"/>
  <c r="AY50" i="9"/>
  <c r="AX50" i="9"/>
  <c r="AW50" i="9"/>
  <c r="AV50" i="9"/>
  <c r="AU50" i="9"/>
  <c r="AT50" i="9"/>
  <c r="AS50" i="9"/>
  <c r="AR50" i="9"/>
  <c r="AQ50" i="9"/>
  <c r="AP50" i="9"/>
  <c r="AO50" i="9"/>
  <c r="AN50" i="9"/>
  <c r="AM50" i="9"/>
  <c r="AL50" i="9"/>
  <c r="BI49" i="9"/>
  <c r="BH49" i="9"/>
  <c r="BG49" i="9"/>
  <c r="BF49" i="9"/>
  <c r="BE49" i="9"/>
  <c r="BD49" i="9"/>
  <c r="BC49" i="9"/>
  <c r="BB49" i="9"/>
  <c r="BA49" i="9"/>
  <c r="AZ49" i="9"/>
  <c r="AY49" i="9"/>
  <c r="AX49" i="9"/>
  <c r="AW49" i="9"/>
  <c r="AV49" i="9"/>
  <c r="AU49" i="9"/>
  <c r="AT49" i="9"/>
  <c r="AS49" i="9"/>
  <c r="AR49" i="9"/>
  <c r="AQ49" i="9"/>
  <c r="AP49" i="9"/>
  <c r="AO49" i="9"/>
  <c r="AN49" i="9"/>
  <c r="AM49" i="9"/>
  <c r="AL49" i="9"/>
  <c r="BI48" i="9"/>
  <c r="BH48" i="9"/>
  <c r="BG48" i="9"/>
  <c r="BF48" i="9"/>
  <c r="BE48" i="9"/>
  <c r="BD48" i="9"/>
  <c r="BC48" i="9"/>
  <c r="BB48" i="9"/>
  <c r="BA48" i="9"/>
  <c r="AZ48" i="9"/>
  <c r="AY48" i="9"/>
  <c r="AX48" i="9"/>
  <c r="AW48" i="9"/>
  <c r="AV48" i="9"/>
  <c r="AU48" i="9"/>
  <c r="AT48" i="9"/>
  <c r="AS48" i="9"/>
  <c r="AR48" i="9"/>
  <c r="AQ48" i="9"/>
  <c r="AP48" i="9"/>
  <c r="AO48" i="9"/>
  <c r="AN48" i="9"/>
  <c r="AM48" i="9"/>
  <c r="AL48" i="9"/>
  <c r="BJ48" i="9"/>
  <c r="BI47" i="9"/>
  <c r="BH47" i="9"/>
  <c r="BG47" i="9"/>
  <c r="BF47" i="9"/>
  <c r="BE47" i="9"/>
  <c r="BD47" i="9"/>
  <c r="BC47" i="9"/>
  <c r="BB47" i="9"/>
  <c r="BA47" i="9"/>
  <c r="AZ47" i="9"/>
  <c r="AY47" i="9"/>
  <c r="AX47" i="9"/>
  <c r="AW47" i="9"/>
  <c r="AV47" i="9"/>
  <c r="AU47" i="9"/>
  <c r="AT47" i="9"/>
  <c r="AS47" i="9"/>
  <c r="AR47" i="9"/>
  <c r="AQ47" i="9"/>
  <c r="AP47" i="9"/>
  <c r="AO47" i="9"/>
  <c r="AN47" i="9"/>
  <c r="AM47" i="9"/>
  <c r="AL47" i="9"/>
  <c r="BJ47" i="9"/>
  <c r="BI46" i="9"/>
  <c r="BH46" i="9"/>
  <c r="BG46" i="9"/>
  <c r="BF46" i="9"/>
  <c r="BE46" i="9"/>
  <c r="BD46" i="9"/>
  <c r="BC46" i="9"/>
  <c r="BB46" i="9"/>
  <c r="BA46" i="9"/>
  <c r="AZ46" i="9"/>
  <c r="AY46" i="9"/>
  <c r="AX46" i="9"/>
  <c r="AW46" i="9"/>
  <c r="AV46" i="9"/>
  <c r="AU46" i="9"/>
  <c r="AT46" i="9"/>
  <c r="AS46" i="9"/>
  <c r="AR46" i="9"/>
  <c r="AQ46" i="9"/>
  <c r="AP46" i="9"/>
  <c r="AO46" i="9"/>
  <c r="AN46" i="9"/>
  <c r="AM46" i="9"/>
  <c r="AL46" i="9"/>
  <c r="BI45" i="9"/>
  <c r="BH45" i="9"/>
  <c r="BG45" i="9"/>
  <c r="BF45" i="9"/>
  <c r="BE45" i="9"/>
  <c r="BD45" i="9"/>
  <c r="BC45" i="9"/>
  <c r="BB45" i="9"/>
  <c r="BA45" i="9"/>
  <c r="AZ45" i="9"/>
  <c r="AY45" i="9"/>
  <c r="AX45" i="9"/>
  <c r="AW45" i="9"/>
  <c r="AV45" i="9"/>
  <c r="AU45" i="9"/>
  <c r="AT45" i="9"/>
  <c r="AS45" i="9"/>
  <c r="AR45" i="9"/>
  <c r="AQ45" i="9"/>
  <c r="AP45" i="9"/>
  <c r="AO45" i="9"/>
  <c r="AN45" i="9"/>
  <c r="AM45" i="9"/>
  <c r="AL45" i="9"/>
  <c r="BJ45" i="9"/>
  <c r="BI44" i="9"/>
  <c r="BH44" i="9"/>
  <c r="BG44" i="9"/>
  <c r="BF44" i="9"/>
  <c r="BE44" i="9"/>
  <c r="BD44" i="9"/>
  <c r="BC44" i="9"/>
  <c r="BB44" i="9"/>
  <c r="BA44" i="9"/>
  <c r="AZ44" i="9"/>
  <c r="AY44" i="9"/>
  <c r="AX44" i="9"/>
  <c r="AW44" i="9"/>
  <c r="AV44" i="9"/>
  <c r="AU44" i="9"/>
  <c r="AT44" i="9"/>
  <c r="AS44" i="9"/>
  <c r="AR44" i="9"/>
  <c r="AQ44" i="9"/>
  <c r="AP44" i="9"/>
  <c r="AO44" i="9"/>
  <c r="AN44" i="9"/>
  <c r="AM44" i="9"/>
  <c r="AL44" i="9"/>
  <c r="BI43" i="9"/>
  <c r="BH43" i="9"/>
  <c r="BG43" i="9"/>
  <c r="BF43" i="9"/>
  <c r="BE43" i="9"/>
  <c r="BD43" i="9"/>
  <c r="BC43" i="9"/>
  <c r="BB43" i="9"/>
  <c r="BA43" i="9"/>
  <c r="AZ43" i="9"/>
  <c r="AY43" i="9"/>
  <c r="AX43" i="9"/>
  <c r="AW43" i="9"/>
  <c r="AV43" i="9"/>
  <c r="AU43" i="9"/>
  <c r="AT43" i="9"/>
  <c r="AS43" i="9"/>
  <c r="AR43" i="9"/>
  <c r="AQ43" i="9"/>
  <c r="AP43" i="9"/>
  <c r="AO43" i="9"/>
  <c r="AN43" i="9"/>
  <c r="AM43" i="9"/>
  <c r="AL43" i="9"/>
  <c r="BJ43" i="9"/>
  <c r="BI42" i="9"/>
  <c r="BH42" i="9"/>
  <c r="BG42" i="9"/>
  <c r="BF42" i="9"/>
  <c r="BE42" i="9"/>
  <c r="BD42" i="9"/>
  <c r="BC42" i="9"/>
  <c r="BB42" i="9"/>
  <c r="BA42" i="9"/>
  <c r="AZ42" i="9"/>
  <c r="AY42" i="9"/>
  <c r="AX42" i="9"/>
  <c r="AW42" i="9"/>
  <c r="AV42" i="9"/>
  <c r="AU42" i="9"/>
  <c r="AT42" i="9"/>
  <c r="AS42" i="9"/>
  <c r="AR42" i="9"/>
  <c r="AQ42" i="9"/>
  <c r="AP42" i="9"/>
  <c r="AO42" i="9"/>
  <c r="AN42" i="9"/>
  <c r="AM42" i="9"/>
  <c r="AL42" i="9"/>
  <c r="BI41" i="9"/>
  <c r="BH41" i="9"/>
  <c r="BG41" i="9"/>
  <c r="BF41" i="9"/>
  <c r="BE41" i="9"/>
  <c r="BD41" i="9"/>
  <c r="BC41" i="9"/>
  <c r="BB41" i="9"/>
  <c r="BA41" i="9"/>
  <c r="AZ41" i="9"/>
  <c r="AY41" i="9"/>
  <c r="AX41" i="9"/>
  <c r="AW41" i="9"/>
  <c r="AV41" i="9"/>
  <c r="AU41" i="9"/>
  <c r="AT41" i="9"/>
  <c r="AS41" i="9"/>
  <c r="AR41" i="9"/>
  <c r="AQ41" i="9"/>
  <c r="AP41" i="9"/>
  <c r="AO41" i="9"/>
  <c r="AN41" i="9"/>
  <c r="AM41" i="9"/>
  <c r="AL41" i="9"/>
  <c r="BJ41" i="9"/>
  <c r="BI40" i="9"/>
  <c r="BH40" i="9"/>
  <c r="BG40" i="9"/>
  <c r="BF40" i="9"/>
  <c r="BE40" i="9"/>
  <c r="BD40" i="9"/>
  <c r="BC40" i="9"/>
  <c r="BB40" i="9"/>
  <c r="BA40" i="9"/>
  <c r="AZ40" i="9"/>
  <c r="AY40" i="9"/>
  <c r="AX40" i="9"/>
  <c r="AW40" i="9"/>
  <c r="AV40" i="9"/>
  <c r="AU40" i="9"/>
  <c r="AT40" i="9"/>
  <c r="AS40" i="9"/>
  <c r="AR40" i="9"/>
  <c r="AQ40" i="9"/>
  <c r="AP40" i="9"/>
  <c r="AO40" i="9"/>
  <c r="AN40" i="9"/>
  <c r="AM40" i="9"/>
  <c r="AL40" i="9"/>
  <c r="BJ40" i="9"/>
  <c r="BI39" i="9"/>
  <c r="BH39" i="9"/>
  <c r="BG39" i="9"/>
  <c r="BF39" i="9"/>
  <c r="BE39" i="9"/>
  <c r="BD39" i="9"/>
  <c r="BC39" i="9"/>
  <c r="BB39" i="9"/>
  <c r="BA39" i="9"/>
  <c r="AZ39" i="9"/>
  <c r="AY39" i="9"/>
  <c r="AX39" i="9"/>
  <c r="AW39" i="9"/>
  <c r="AV39" i="9"/>
  <c r="AU39" i="9"/>
  <c r="AT39" i="9"/>
  <c r="AS39" i="9"/>
  <c r="AR39" i="9"/>
  <c r="AQ39" i="9"/>
  <c r="AP39" i="9"/>
  <c r="AO39" i="9"/>
  <c r="AN39" i="9"/>
  <c r="AM39" i="9"/>
  <c r="AL39" i="9"/>
  <c r="BJ39" i="9"/>
  <c r="BI38" i="9"/>
  <c r="BH38" i="9"/>
  <c r="BG38" i="9"/>
  <c r="BF38" i="9"/>
  <c r="BE38" i="9"/>
  <c r="BD38" i="9"/>
  <c r="BC38" i="9"/>
  <c r="BB38" i="9"/>
  <c r="BA38" i="9"/>
  <c r="AZ38" i="9"/>
  <c r="AY38" i="9"/>
  <c r="AX38" i="9"/>
  <c r="AW38" i="9"/>
  <c r="AV38" i="9"/>
  <c r="AU38" i="9"/>
  <c r="AT38" i="9"/>
  <c r="AS38" i="9"/>
  <c r="AR38" i="9"/>
  <c r="AQ38" i="9"/>
  <c r="AP38" i="9"/>
  <c r="AO38" i="9"/>
  <c r="AN38" i="9"/>
  <c r="AM38" i="9"/>
  <c r="AL38" i="9"/>
  <c r="BI37" i="9"/>
  <c r="BH37" i="9"/>
  <c r="BG37" i="9"/>
  <c r="BF37" i="9"/>
  <c r="BE37" i="9"/>
  <c r="BD37" i="9"/>
  <c r="BC37" i="9"/>
  <c r="BB37" i="9"/>
  <c r="BA37" i="9"/>
  <c r="AZ37" i="9"/>
  <c r="AY37" i="9"/>
  <c r="AX37" i="9"/>
  <c r="AW37" i="9"/>
  <c r="AV37" i="9"/>
  <c r="AU37" i="9"/>
  <c r="AT37" i="9"/>
  <c r="AS37" i="9"/>
  <c r="AR37" i="9"/>
  <c r="AQ37" i="9"/>
  <c r="AP37" i="9"/>
  <c r="AO37" i="9"/>
  <c r="AN37" i="9"/>
  <c r="AM37" i="9"/>
  <c r="AL37" i="9"/>
  <c r="BJ37" i="9"/>
  <c r="BI36" i="9"/>
  <c r="BH36" i="9"/>
  <c r="BG36" i="9"/>
  <c r="BF36" i="9"/>
  <c r="BE36" i="9"/>
  <c r="BD36" i="9"/>
  <c r="BC36" i="9"/>
  <c r="BB36" i="9"/>
  <c r="BA36" i="9"/>
  <c r="AZ36" i="9"/>
  <c r="AY36" i="9"/>
  <c r="AX36" i="9"/>
  <c r="AW36" i="9"/>
  <c r="AV36" i="9"/>
  <c r="AU36" i="9"/>
  <c r="AT36" i="9"/>
  <c r="AS36" i="9"/>
  <c r="AR36" i="9"/>
  <c r="AQ36" i="9"/>
  <c r="AP36" i="9"/>
  <c r="AO36" i="9"/>
  <c r="AN36" i="9"/>
  <c r="AM36" i="9"/>
  <c r="AL36" i="9"/>
  <c r="BI35" i="9"/>
  <c r="BH35" i="9"/>
  <c r="BG35" i="9"/>
  <c r="BF35" i="9"/>
  <c r="BE35" i="9"/>
  <c r="BD35" i="9"/>
  <c r="BC35" i="9"/>
  <c r="BB35" i="9"/>
  <c r="BA35" i="9"/>
  <c r="AZ35" i="9"/>
  <c r="AY35" i="9"/>
  <c r="AX35" i="9"/>
  <c r="AW35" i="9"/>
  <c r="AV35" i="9"/>
  <c r="AU35" i="9"/>
  <c r="AT35" i="9"/>
  <c r="AS35" i="9"/>
  <c r="AR35" i="9"/>
  <c r="AQ35" i="9"/>
  <c r="AP35" i="9"/>
  <c r="AO35" i="9"/>
  <c r="AN35" i="9"/>
  <c r="AM35" i="9"/>
  <c r="AL35" i="9"/>
  <c r="BJ35" i="9"/>
  <c r="BI34" i="9"/>
  <c r="BH34" i="9"/>
  <c r="BG34" i="9"/>
  <c r="BF34" i="9"/>
  <c r="BE34" i="9"/>
  <c r="BD34" i="9"/>
  <c r="BC34" i="9"/>
  <c r="BB34" i="9"/>
  <c r="BA34" i="9"/>
  <c r="AZ34" i="9"/>
  <c r="AY34" i="9"/>
  <c r="AX34" i="9"/>
  <c r="AW34" i="9"/>
  <c r="AV34" i="9"/>
  <c r="AU34" i="9"/>
  <c r="AT34" i="9"/>
  <c r="AS34" i="9"/>
  <c r="AR34" i="9"/>
  <c r="AQ34" i="9"/>
  <c r="AP34" i="9"/>
  <c r="AO34" i="9"/>
  <c r="AN34" i="9"/>
  <c r="AM34" i="9"/>
  <c r="AL34" i="9"/>
  <c r="BJ34" i="9"/>
  <c r="BI33" i="9"/>
  <c r="BH33" i="9"/>
  <c r="BG33" i="9"/>
  <c r="BF33" i="9"/>
  <c r="BE33" i="9"/>
  <c r="BD33" i="9"/>
  <c r="BC33" i="9"/>
  <c r="BB33" i="9"/>
  <c r="BA33" i="9"/>
  <c r="AZ33" i="9"/>
  <c r="AY33" i="9"/>
  <c r="AX33" i="9"/>
  <c r="AW33" i="9"/>
  <c r="AV33" i="9"/>
  <c r="AU33" i="9"/>
  <c r="AT33" i="9"/>
  <c r="AS33" i="9"/>
  <c r="AR33" i="9"/>
  <c r="AQ33" i="9"/>
  <c r="AP33" i="9"/>
  <c r="AO33" i="9"/>
  <c r="AN33" i="9"/>
  <c r="AM33" i="9"/>
  <c r="AL33" i="9"/>
  <c r="BI32" i="9"/>
  <c r="BH32" i="9"/>
  <c r="BG32" i="9"/>
  <c r="BF32" i="9"/>
  <c r="BE32" i="9"/>
  <c r="BD32" i="9"/>
  <c r="BC32" i="9"/>
  <c r="BB32" i="9"/>
  <c r="BA32" i="9"/>
  <c r="AZ32" i="9"/>
  <c r="AY32" i="9"/>
  <c r="AX32" i="9"/>
  <c r="AW32" i="9"/>
  <c r="AV32" i="9"/>
  <c r="AU32" i="9"/>
  <c r="AT32" i="9"/>
  <c r="AS32" i="9"/>
  <c r="AR32" i="9"/>
  <c r="AQ32" i="9"/>
  <c r="AP32" i="9"/>
  <c r="AO32" i="9"/>
  <c r="AN32" i="9"/>
  <c r="AM32" i="9"/>
  <c r="AL32" i="9"/>
  <c r="BI31" i="9"/>
  <c r="BH31" i="9"/>
  <c r="BG31" i="9"/>
  <c r="BF31" i="9"/>
  <c r="BE31" i="9"/>
  <c r="BD31" i="9"/>
  <c r="BC31" i="9"/>
  <c r="BB31" i="9"/>
  <c r="BA31" i="9"/>
  <c r="AZ31" i="9"/>
  <c r="AY31" i="9"/>
  <c r="AX31" i="9"/>
  <c r="AW31" i="9"/>
  <c r="AV31" i="9"/>
  <c r="AU31" i="9"/>
  <c r="AT31" i="9"/>
  <c r="AS31" i="9"/>
  <c r="AR31" i="9"/>
  <c r="AQ31" i="9"/>
  <c r="AP31" i="9"/>
  <c r="AO31" i="9"/>
  <c r="AN31" i="9"/>
  <c r="AM31" i="9"/>
  <c r="AL31" i="9"/>
  <c r="BI30" i="9"/>
  <c r="BH30" i="9"/>
  <c r="BG30" i="9"/>
  <c r="BF30" i="9"/>
  <c r="BE30" i="9"/>
  <c r="BD30" i="9"/>
  <c r="BC30" i="9"/>
  <c r="BB30" i="9"/>
  <c r="BA30" i="9"/>
  <c r="AZ30" i="9"/>
  <c r="AY30" i="9"/>
  <c r="AX30" i="9"/>
  <c r="AW30" i="9"/>
  <c r="AV30" i="9"/>
  <c r="AU30" i="9"/>
  <c r="AT30" i="9"/>
  <c r="AS30" i="9"/>
  <c r="AR30" i="9"/>
  <c r="AQ30" i="9"/>
  <c r="AP30" i="9"/>
  <c r="AO30" i="9"/>
  <c r="AN30" i="9"/>
  <c r="AM30" i="9"/>
  <c r="AL30" i="9"/>
  <c r="BI29" i="9"/>
  <c r="BH29" i="9"/>
  <c r="BG29" i="9"/>
  <c r="BF29" i="9"/>
  <c r="BE29" i="9"/>
  <c r="BD29" i="9"/>
  <c r="BC29" i="9"/>
  <c r="BB29" i="9"/>
  <c r="BA29" i="9"/>
  <c r="AZ29" i="9"/>
  <c r="AY29" i="9"/>
  <c r="AX29" i="9"/>
  <c r="AW29" i="9"/>
  <c r="AV29" i="9"/>
  <c r="AU29" i="9"/>
  <c r="AT29" i="9"/>
  <c r="AS29" i="9"/>
  <c r="AR29" i="9"/>
  <c r="AQ29" i="9"/>
  <c r="AP29" i="9"/>
  <c r="AO29" i="9"/>
  <c r="AN29" i="9"/>
  <c r="AM29" i="9"/>
  <c r="AL29" i="9"/>
  <c r="BJ29" i="9"/>
  <c r="BI28" i="9"/>
  <c r="BH28" i="9"/>
  <c r="BG28" i="9"/>
  <c r="BF28" i="9"/>
  <c r="BE28" i="9"/>
  <c r="BD28" i="9"/>
  <c r="BC28" i="9"/>
  <c r="BB28" i="9"/>
  <c r="BA28" i="9"/>
  <c r="AZ28" i="9"/>
  <c r="AY28" i="9"/>
  <c r="AX28" i="9"/>
  <c r="AW28" i="9"/>
  <c r="AV28" i="9"/>
  <c r="AU28" i="9"/>
  <c r="AT28" i="9"/>
  <c r="AS28" i="9"/>
  <c r="AR28" i="9"/>
  <c r="AQ28" i="9"/>
  <c r="AP28" i="9"/>
  <c r="AO28" i="9"/>
  <c r="AN28" i="9"/>
  <c r="AM28" i="9"/>
  <c r="AL28" i="9"/>
  <c r="BJ28" i="9"/>
  <c r="BI27" i="9"/>
  <c r="BH27" i="9"/>
  <c r="BG27" i="9"/>
  <c r="BF27" i="9"/>
  <c r="BE27" i="9"/>
  <c r="BD27" i="9"/>
  <c r="BC27" i="9"/>
  <c r="BB27" i="9"/>
  <c r="BA27" i="9"/>
  <c r="AZ27" i="9"/>
  <c r="AY27" i="9"/>
  <c r="AX27" i="9"/>
  <c r="AW27" i="9"/>
  <c r="AV27" i="9"/>
  <c r="AU27" i="9"/>
  <c r="AT27" i="9"/>
  <c r="AS27" i="9"/>
  <c r="AR27" i="9"/>
  <c r="AQ27" i="9"/>
  <c r="AP27" i="9"/>
  <c r="AO27" i="9"/>
  <c r="AN27" i="9"/>
  <c r="AM27" i="9"/>
  <c r="AL27" i="9"/>
  <c r="BJ27" i="9"/>
  <c r="BI26" i="9"/>
  <c r="BH26" i="9"/>
  <c r="BG26" i="9"/>
  <c r="BF26" i="9"/>
  <c r="BE26" i="9"/>
  <c r="BD26" i="9"/>
  <c r="BC26" i="9"/>
  <c r="BB26" i="9"/>
  <c r="BA26" i="9"/>
  <c r="AZ26" i="9"/>
  <c r="AY26" i="9"/>
  <c r="AX26" i="9"/>
  <c r="AW26" i="9"/>
  <c r="AV26" i="9"/>
  <c r="AU26" i="9"/>
  <c r="AT26" i="9"/>
  <c r="AS26" i="9"/>
  <c r="AR26" i="9"/>
  <c r="AQ26" i="9"/>
  <c r="AP26" i="9"/>
  <c r="AO26" i="9"/>
  <c r="AN26" i="9"/>
  <c r="AM26" i="9"/>
  <c r="AL26" i="9"/>
  <c r="BI25" i="9"/>
  <c r="BH25" i="9"/>
  <c r="BG25" i="9"/>
  <c r="BF25" i="9"/>
  <c r="BE25" i="9"/>
  <c r="BD25" i="9"/>
  <c r="BC25" i="9"/>
  <c r="BB25" i="9"/>
  <c r="BA25" i="9"/>
  <c r="AZ25" i="9"/>
  <c r="AY25" i="9"/>
  <c r="AX25" i="9"/>
  <c r="AW25" i="9"/>
  <c r="AV25" i="9"/>
  <c r="AU25" i="9"/>
  <c r="AT25" i="9"/>
  <c r="AS25" i="9"/>
  <c r="AR25" i="9"/>
  <c r="AQ25" i="9"/>
  <c r="AP25" i="9"/>
  <c r="AO25" i="9"/>
  <c r="AN25" i="9"/>
  <c r="AM25" i="9"/>
  <c r="AL25" i="9"/>
  <c r="BJ25" i="9"/>
  <c r="BI24" i="9"/>
  <c r="BH24" i="9"/>
  <c r="BG24" i="9"/>
  <c r="BF24" i="9"/>
  <c r="BE24" i="9"/>
  <c r="BD24" i="9"/>
  <c r="BC24" i="9"/>
  <c r="BB24" i="9"/>
  <c r="BA24" i="9"/>
  <c r="AZ24" i="9"/>
  <c r="AY24" i="9"/>
  <c r="AX24" i="9"/>
  <c r="AW24" i="9"/>
  <c r="AV24" i="9"/>
  <c r="AU24" i="9"/>
  <c r="AT24" i="9"/>
  <c r="AS24" i="9"/>
  <c r="AR24" i="9"/>
  <c r="AQ24" i="9"/>
  <c r="AP24" i="9"/>
  <c r="AO24" i="9"/>
  <c r="AN24" i="9"/>
  <c r="AM24" i="9"/>
  <c r="AL24" i="9"/>
  <c r="AU23" i="9"/>
  <c r="AR23" i="9"/>
  <c r="AQ23" i="9"/>
  <c r="AP23" i="9"/>
  <c r="AL23" i="9"/>
  <c r="BF23" i="9"/>
  <c r="BH23" i="9"/>
  <c r="BD23" i="9"/>
  <c r="AY23" i="9"/>
  <c r="AX23" i="9"/>
  <c r="BE23" i="9"/>
  <c r="BG23" i="9"/>
  <c r="AZ23" i="9"/>
  <c r="AW23" i="9"/>
  <c r="AO23" i="9"/>
  <c r="AN23" i="9"/>
  <c r="BC23" i="9"/>
  <c r="AT23" i="9"/>
  <c r="BA23" i="9"/>
  <c r="AS23" i="9"/>
  <c r="V18" i="9"/>
  <c r="AF18" i="9"/>
  <c r="AD18" i="9"/>
  <c r="Z18" i="9"/>
  <c r="W18" i="9"/>
  <c r="S18" i="9"/>
  <c r="L18" i="9"/>
  <c r="D18" i="9"/>
  <c r="BJ93" i="9"/>
  <c r="BJ189" i="9"/>
  <c r="BJ121" i="9"/>
  <c r="BJ146" i="9"/>
  <c r="BJ157" i="9"/>
  <c r="BJ187" i="9"/>
  <c r="BJ113" i="9"/>
  <c r="BJ236" i="9"/>
  <c r="BJ107" i="9"/>
  <c r="BJ226" i="9"/>
  <c r="BJ235" i="9"/>
  <c r="BJ237" i="9"/>
  <c r="BJ324" i="9"/>
  <c r="BJ49" i="9"/>
  <c r="BJ156" i="9"/>
  <c r="BJ26" i="9"/>
  <c r="BJ98" i="9"/>
  <c r="BJ230" i="9"/>
  <c r="BJ323" i="9"/>
  <c r="BJ124" i="9"/>
  <c r="BJ333" i="9"/>
  <c r="BJ149" i="9"/>
  <c r="BJ292" i="9"/>
  <c r="BJ334" i="9"/>
  <c r="BJ30" i="9"/>
  <c r="BJ31" i="9"/>
  <c r="BJ33" i="9"/>
  <c r="BJ42" i="9"/>
  <c r="BJ50" i="9"/>
  <c r="BJ58" i="9"/>
  <c r="BJ106" i="9"/>
  <c r="BJ154" i="9"/>
  <c r="BJ170" i="9"/>
  <c r="BJ202" i="9"/>
  <c r="BJ218" i="9"/>
  <c r="BJ234" i="9"/>
  <c r="BJ36" i="9"/>
  <c r="BJ44" i="9"/>
  <c r="BJ52" i="9"/>
  <c r="BJ62" i="9"/>
  <c r="BJ63" i="9"/>
  <c r="BJ64" i="9"/>
  <c r="BJ78" i="9"/>
  <c r="BJ79" i="9"/>
  <c r="BJ80" i="9"/>
  <c r="BJ94" i="9"/>
  <c r="BJ95" i="9"/>
  <c r="BJ96" i="9"/>
  <c r="BJ110" i="9"/>
  <c r="BJ111" i="9"/>
  <c r="BJ112" i="9"/>
  <c r="BJ126" i="9"/>
  <c r="BJ127" i="9"/>
  <c r="BJ128" i="9"/>
  <c r="BJ142" i="9"/>
  <c r="BJ143" i="9"/>
  <c r="BJ144" i="9"/>
  <c r="BJ158" i="9"/>
  <c r="BJ159" i="9"/>
  <c r="BJ160" i="9"/>
  <c r="BJ174" i="9"/>
  <c r="BJ175" i="9"/>
  <c r="BJ176" i="9"/>
  <c r="BJ190" i="9"/>
  <c r="BJ191" i="9"/>
  <c r="BJ192" i="9"/>
  <c r="BJ206" i="9"/>
  <c r="BJ207" i="9"/>
  <c r="BJ208" i="9"/>
  <c r="BJ222" i="9"/>
  <c r="BJ223" i="9"/>
  <c r="BJ224" i="9"/>
  <c r="BJ238" i="9"/>
  <c r="BJ239" i="9"/>
  <c r="BJ240" i="9"/>
  <c r="BJ24" i="9"/>
  <c r="BJ74" i="9"/>
  <c r="BJ90" i="9"/>
  <c r="BJ122" i="9"/>
  <c r="BJ138" i="9"/>
  <c r="BJ186" i="9"/>
  <c r="BJ32" i="9"/>
  <c r="BJ38" i="9"/>
  <c r="BJ46" i="9"/>
  <c r="BJ54" i="9"/>
  <c r="BJ67" i="9"/>
  <c r="BJ68" i="9"/>
  <c r="BJ83" i="9"/>
  <c r="BJ84" i="9"/>
  <c r="BJ99" i="9"/>
  <c r="BJ100" i="9"/>
  <c r="BJ115" i="9"/>
  <c r="BJ116" i="9"/>
  <c r="BJ131" i="9"/>
  <c r="BJ132" i="9"/>
  <c r="BJ147" i="9"/>
  <c r="BJ148" i="9"/>
  <c r="BJ163" i="9"/>
  <c r="BJ164" i="9"/>
  <c r="BJ179" i="9"/>
  <c r="BJ180" i="9"/>
  <c r="BJ195" i="9"/>
  <c r="BJ196" i="9"/>
  <c r="BJ211" i="9"/>
  <c r="BJ212" i="9"/>
  <c r="BJ227" i="9"/>
  <c r="BJ228" i="9"/>
  <c r="BJ243" i="9"/>
  <c r="BJ244" i="9"/>
  <c r="BK262" i="9"/>
  <c r="I1" i="9"/>
  <c r="AE15" i="9"/>
  <c r="AA15" i="9"/>
  <c r="W15" i="9"/>
  <c r="S15" i="9"/>
  <c r="O15" i="9"/>
  <c r="K15" i="9"/>
  <c r="G15" i="9"/>
  <c r="B15" i="9"/>
  <c r="AD15" i="9"/>
  <c r="Z15" i="9"/>
  <c r="V15" i="9"/>
  <c r="R15" i="9"/>
  <c r="N15" i="9"/>
  <c r="J15" i="9"/>
  <c r="F15" i="9"/>
  <c r="AH5" i="9"/>
  <c r="AC15" i="9"/>
  <c r="Y15" i="9"/>
  <c r="U15" i="9"/>
  <c r="Q15" i="9"/>
  <c r="M15" i="9"/>
  <c r="I15" i="9"/>
  <c r="E15" i="9"/>
  <c r="AF15" i="9"/>
  <c r="AB15" i="9"/>
  <c r="X15" i="9"/>
  <c r="T15" i="9"/>
  <c r="P15" i="9"/>
  <c r="L15" i="9"/>
  <c r="H15" i="9"/>
  <c r="D15" i="9"/>
  <c r="AF4" i="9"/>
  <c r="AB4" i="9"/>
  <c r="X4" i="9"/>
  <c r="T4" i="9"/>
  <c r="P4" i="9"/>
  <c r="L4" i="9"/>
  <c r="H4" i="9"/>
  <c r="D4" i="9"/>
  <c r="AD4" i="9"/>
  <c r="Z4" i="9"/>
  <c r="V4" i="9"/>
  <c r="R4" i="9"/>
  <c r="N4" i="9"/>
  <c r="J4" i="9"/>
  <c r="F4" i="9"/>
  <c r="AC4" i="9"/>
  <c r="Y4" i="9"/>
  <c r="U4" i="9"/>
  <c r="Q4" i="9"/>
  <c r="M4" i="9"/>
  <c r="I4" i="9"/>
  <c r="E4" i="9"/>
  <c r="AE4" i="9"/>
  <c r="AA4" i="9"/>
  <c r="W4" i="9"/>
  <c r="S4" i="9"/>
  <c r="O4" i="9"/>
  <c r="K4" i="9"/>
  <c r="G4" i="9"/>
  <c r="B4" i="9"/>
  <c r="U1" i="9"/>
  <c r="C15" i="9"/>
  <c r="BK283" i="9"/>
  <c r="BK258" i="9"/>
  <c r="BK279" i="9"/>
  <c r="BK244" i="9"/>
  <c r="BK264" i="9"/>
  <c r="BK291" i="9"/>
  <c r="BK277" i="9"/>
  <c r="H398" i="9"/>
  <c r="H397" i="9"/>
  <c r="H396" i="9"/>
  <c r="H395" i="9"/>
  <c r="H394" i="9"/>
  <c r="H393" i="9"/>
  <c r="H392" i="9"/>
  <c r="H391" i="9"/>
  <c r="H390" i="9"/>
  <c r="H389" i="9"/>
  <c r="AE1" i="9"/>
  <c r="AF1" i="9"/>
  <c r="A1" i="9"/>
  <c r="BK287" i="9"/>
  <c r="BK307" i="9"/>
  <c r="BK321" i="9"/>
  <c r="BK81" i="9"/>
  <c r="H400" i="9"/>
  <c r="I400" i="9"/>
  <c r="BK249" i="9"/>
  <c r="BK304" i="9"/>
  <c r="BK269" i="9"/>
  <c r="BK316" i="9"/>
  <c r="BK268" i="9"/>
  <c r="BK259" i="9"/>
  <c r="BK322" i="9"/>
  <c r="BK329" i="9"/>
  <c r="BK278" i="9"/>
  <c r="BK286" i="9"/>
  <c r="BK77" i="9"/>
  <c r="BK308" i="9"/>
  <c r="BK315" i="9"/>
  <c r="BK302" i="9"/>
  <c r="BK289" i="9"/>
  <c r="BK263" i="9"/>
  <c r="BK281" i="9"/>
  <c r="BK163" i="9"/>
  <c r="BK255" i="9"/>
  <c r="BK251" i="9"/>
  <c r="BK311" i="9"/>
  <c r="BK282" i="9"/>
  <c r="BK275" i="9"/>
  <c r="BK246" i="9"/>
  <c r="BK297" i="9"/>
  <c r="BK296" i="9"/>
  <c r="BK288" i="9"/>
  <c r="BK295" i="9"/>
  <c r="BK293" i="9"/>
  <c r="BK303" i="9"/>
  <c r="BK267" i="9"/>
  <c r="BK148" i="9"/>
  <c r="BK98" i="9"/>
  <c r="BK250" i="9"/>
  <c r="BK299" i="9"/>
  <c r="BK332" i="9"/>
  <c r="BK280" i="9"/>
  <c r="BK93" i="9"/>
  <c r="BK253" i="9"/>
  <c r="BK243" i="9"/>
  <c r="BK274" i="9"/>
  <c r="BK238" i="9"/>
  <c r="BK256" i="9"/>
  <c r="BK240" i="9"/>
  <c r="BK239" i="9"/>
  <c r="BK237" i="9"/>
  <c r="BK333" i="9"/>
  <c r="BK309" i="9"/>
  <c r="BK265" i="9"/>
  <c r="BK327" i="9"/>
  <c r="BK326" i="9"/>
  <c r="BK325" i="9"/>
  <c r="BK266" i="9"/>
  <c r="BK301" i="9"/>
  <c r="BK208" i="9"/>
  <c r="BK241" i="9"/>
  <c r="BK284" i="9"/>
  <c r="BK328" i="9"/>
  <c r="BK331" i="9"/>
  <c r="BK320" i="9"/>
  <c r="X18" i="9"/>
  <c r="O18" i="9"/>
  <c r="AF5" i="9"/>
  <c r="AE5" i="9"/>
  <c r="AD5" i="9"/>
  <c r="AC5" i="9"/>
  <c r="AB5" i="9"/>
  <c r="AA5" i="9"/>
  <c r="Z5" i="9"/>
  <c r="Y5" i="9"/>
  <c r="X5" i="9"/>
  <c r="W5" i="9"/>
  <c r="V5" i="9"/>
  <c r="U5" i="9"/>
  <c r="T5" i="9"/>
  <c r="R5" i="9"/>
  <c r="Q5" i="9"/>
  <c r="P5" i="9"/>
  <c r="O5" i="9"/>
  <c r="N5" i="9"/>
  <c r="M5" i="9"/>
  <c r="L5" i="9"/>
  <c r="K5" i="9"/>
  <c r="J5" i="9"/>
  <c r="I5" i="9"/>
  <c r="H5" i="9"/>
  <c r="G5" i="9"/>
  <c r="F5" i="9"/>
  <c r="E5" i="9"/>
  <c r="D5" i="9"/>
  <c r="B5" i="9"/>
  <c r="AF11" i="9"/>
  <c r="AE11" i="9"/>
  <c r="AD11" i="9"/>
  <c r="AC11" i="9"/>
  <c r="AB11" i="9"/>
  <c r="AA11" i="9"/>
  <c r="Z11" i="9"/>
  <c r="Y11" i="9"/>
  <c r="X11" i="9"/>
  <c r="W11" i="9"/>
  <c r="V11" i="9"/>
  <c r="U11" i="9"/>
  <c r="T11" i="9"/>
  <c r="S11" i="9"/>
  <c r="R11" i="9"/>
  <c r="Q11" i="9"/>
  <c r="P11" i="9"/>
  <c r="O11" i="9"/>
  <c r="N11" i="9"/>
  <c r="M11" i="9"/>
  <c r="L11" i="9"/>
  <c r="K11" i="9"/>
  <c r="J11" i="9"/>
  <c r="I11" i="9"/>
  <c r="H11" i="9"/>
  <c r="G11" i="9"/>
  <c r="F11" i="9"/>
  <c r="E11" i="9"/>
  <c r="D11" i="9"/>
  <c r="B11" i="9"/>
  <c r="AH9" i="9"/>
  <c r="BK290" i="9"/>
  <c r="BK248" i="9"/>
  <c r="BK313" i="9"/>
  <c r="BK242" i="9"/>
  <c r="BK236" i="9"/>
  <c r="BK272" i="9"/>
  <c r="BK300" i="9"/>
  <c r="BK334" i="9"/>
  <c r="BK330" i="9"/>
  <c r="BK324" i="9"/>
  <c r="BK276" i="9"/>
  <c r="BK318" i="9"/>
  <c r="BK257" i="9"/>
  <c r="BK245" i="9"/>
  <c r="BK252" i="9"/>
  <c r="BK247" i="9"/>
  <c r="BK271" i="9"/>
  <c r="BK273" i="9"/>
  <c r="BK285" i="9"/>
  <c r="BK254" i="9"/>
  <c r="BK261" i="9"/>
  <c r="BK323" i="9"/>
  <c r="BK312" i="9"/>
  <c r="BK319" i="9"/>
  <c r="BK317" i="9"/>
  <c r="BK292" i="9"/>
  <c r="BK310" i="9"/>
  <c r="BK27" i="9"/>
  <c r="BK142" i="9"/>
  <c r="BK235" i="9"/>
  <c r="BK83" i="9"/>
  <c r="BK107" i="9"/>
  <c r="BK130" i="9"/>
  <c r="BK156" i="9"/>
  <c r="BK183" i="9"/>
  <c r="BK187" i="9"/>
  <c r="BK144" i="9"/>
  <c r="BK30" i="9"/>
  <c r="BK224" i="9"/>
  <c r="BK38" i="9"/>
  <c r="BK141" i="9"/>
  <c r="BK197" i="9"/>
  <c r="BK223" i="9"/>
  <c r="BK53" i="9"/>
  <c r="BK67" i="9"/>
  <c r="BK140" i="9"/>
  <c r="BK230" i="9"/>
  <c r="BK146" i="9"/>
  <c r="BK57" i="9"/>
  <c r="BK186" i="9"/>
  <c r="BK91" i="9"/>
  <c r="BK101" i="9"/>
  <c r="BK131" i="9"/>
  <c r="BK145" i="9"/>
  <c r="BK172" i="9"/>
  <c r="BK174" i="9"/>
  <c r="BK190" i="9"/>
  <c r="BK199" i="9"/>
  <c r="BK211" i="9"/>
  <c r="BK213" i="9"/>
  <c r="BK95" i="9"/>
  <c r="BK209" i="9"/>
  <c r="BK177" i="9"/>
  <c r="BK188" i="9"/>
  <c r="BK204" i="9"/>
  <c r="BK226" i="9"/>
  <c r="BK124" i="9"/>
  <c r="BK123" i="9"/>
  <c r="BK185" i="9"/>
  <c r="BK127" i="9"/>
  <c r="BK119" i="9"/>
  <c r="BK71" i="9"/>
  <c r="BK100" i="9"/>
  <c r="BK135" i="9"/>
  <c r="BK171" i="9"/>
  <c r="BK182" i="9"/>
  <c r="Q18" i="9"/>
  <c r="R14" i="9"/>
  <c r="N14" i="9"/>
  <c r="K14" i="9"/>
  <c r="B14" i="9"/>
  <c r="E18" i="9"/>
  <c r="G18" i="9"/>
  <c r="Y18" i="9"/>
  <c r="AE18" i="9"/>
  <c r="CY320" i="1"/>
  <c r="CX320" i="1"/>
  <c r="CW320" i="1"/>
  <c r="CV320" i="1"/>
  <c r="CU320" i="1"/>
  <c r="CT320" i="1"/>
  <c r="CS320" i="1"/>
  <c r="CR320" i="1"/>
  <c r="CQ320" i="1"/>
  <c r="CP320" i="1"/>
  <c r="CO320" i="1"/>
  <c r="CN320" i="1"/>
  <c r="CM320" i="1"/>
  <c r="CL320" i="1"/>
  <c r="CK320" i="1"/>
  <c r="CJ320" i="1"/>
  <c r="CI320" i="1"/>
  <c r="CH320" i="1"/>
  <c r="CG320" i="1"/>
  <c r="CF320" i="1"/>
  <c r="CE320" i="1"/>
  <c r="CD320" i="1"/>
  <c r="CC320" i="1"/>
  <c r="CB320" i="1"/>
  <c r="BX320" i="1"/>
  <c r="BW320" i="1"/>
  <c r="BV320" i="1"/>
  <c r="BU320" i="1"/>
  <c r="BT320" i="1"/>
  <c r="BS320" i="1"/>
  <c r="BR320" i="1"/>
  <c r="BQ320" i="1"/>
  <c r="BP320" i="1"/>
  <c r="BO320" i="1"/>
  <c r="BN320" i="1"/>
  <c r="BY320" i="1"/>
  <c r="BZ320" i="1"/>
  <c r="AP320" i="1"/>
  <c r="AQ320" i="1"/>
  <c r="AR320" i="1"/>
  <c r="AS320" i="1"/>
  <c r="AT320" i="1"/>
  <c r="AU320" i="1"/>
  <c r="AV320" i="1"/>
  <c r="AW320" i="1"/>
  <c r="AX320" i="1"/>
  <c r="AY320" i="1"/>
  <c r="AZ320" i="1"/>
  <c r="BA320" i="1"/>
  <c r="BB320" i="1"/>
  <c r="BC320" i="1"/>
  <c r="BD320" i="1"/>
  <c r="BE320" i="1"/>
  <c r="BF320" i="1"/>
  <c r="BG320" i="1"/>
  <c r="BH320" i="1"/>
  <c r="BI320" i="1"/>
  <c r="BJ320" i="1"/>
  <c r="BK320" i="1"/>
  <c r="BL320" i="1"/>
  <c r="BM320" i="1"/>
  <c r="CA320" i="1"/>
  <c r="AB18" i="9"/>
  <c r="AA18" i="9"/>
  <c r="U18" i="9"/>
  <c r="T18" i="9"/>
  <c r="I18" i="9"/>
  <c r="B18" i="9"/>
  <c r="J18" i="9"/>
  <c r="AI217" i="9"/>
  <c r="BI23" i="9"/>
  <c r="AV23" i="9"/>
  <c r="AI110" i="9"/>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BX231" i="1"/>
  <c r="BW231" i="1"/>
  <c r="BV231" i="1"/>
  <c r="BU231" i="1"/>
  <c r="BT231" i="1"/>
  <c r="BS231" i="1"/>
  <c r="BR231" i="1"/>
  <c r="BQ231" i="1"/>
  <c r="BP231" i="1"/>
  <c r="BO231" i="1"/>
  <c r="BN231" i="1"/>
  <c r="AP231" i="1"/>
  <c r="AQ231" i="1"/>
  <c r="AR231" i="1"/>
  <c r="AS231" i="1"/>
  <c r="AT231" i="1"/>
  <c r="AU231" i="1"/>
  <c r="AV231" i="1"/>
  <c r="AW231" i="1"/>
  <c r="AX231" i="1"/>
  <c r="AY231" i="1"/>
  <c r="AZ231" i="1"/>
  <c r="BA231" i="1"/>
  <c r="BB231" i="1"/>
  <c r="BC231" i="1"/>
  <c r="BD231" i="1"/>
  <c r="BE231" i="1"/>
  <c r="BF231" i="1"/>
  <c r="BG231" i="1"/>
  <c r="BH231" i="1"/>
  <c r="BI231" i="1"/>
  <c r="BJ231" i="1"/>
  <c r="BK231" i="1"/>
  <c r="BL231" i="1"/>
  <c r="BM231" i="1"/>
  <c r="BK22" i="9"/>
  <c r="AF14" i="9"/>
  <c r="AD14" i="9"/>
  <c r="AA14" i="9"/>
  <c r="Z14" i="9"/>
  <c r="Y14" i="9"/>
  <c r="X14" i="9"/>
  <c r="W14" i="9"/>
  <c r="V14" i="9"/>
  <c r="U14" i="9"/>
  <c r="T14" i="9"/>
  <c r="S14" i="9"/>
  <c r="Q14" i="9"/>
  <c r="O14" i="9"/>
  <c r="L14" i="9"/>
  <c r="G14" i="9"/>
  <c r="E14" i="9"/>
  <c r="D14" i="9"/>
  <c r="AM23" i="9"/>
  <c r="BB23" i="9"/>
  <c r="BL10" i="9"/>
  <c r="AB21" i="9"/>
  <c r="AA21" i="9"/>
  <c r="Z21" i="9"/>
  <c r="X21" i="9"/>
  <c r="C21" i="9"/>
  <c r="B21" i="9"/>
  <c r="AB20" i="9"/>
  <c r="AA20" i="9"/>
  <c r="Z20" i="9"/>
  <c r="X20" i="9"/>
  <c r="G20" i="9"/>
  <c r="D20" i="9"/>
  <c r="C20" i="9"/>
  <c r="B20" i="9"/>
  <c r="C18" i="9"/>
  <c r="AG11" i="9"/>
  <c r="C11" i="9"/>
  <c r="AG5" i="9"/>
  <c r="C5" i="9"/>
  <c r="E4" i="8"/>
  <c r="Q4" i="7"/>
  <c r="P4" i="7"/>
  <c r="O4" i="7"/>
  <c r="N4" i="7"/>
  <c r="M4" i="7"/>
  <c r="L4" i="7"/>
  <c r="K4" i="7"/>
  <c r="J4" i="7"/>
  <c r="I4" i="7"/>
  <c r="H4" i="7"/>
  <c r="G4" i="7"/>
  <c r="F4" i="7"/>
  <c r="E4" i="7"/>
  <c r="D4" i="7"/>
  <c r="C4" i="7"/>
  <c r="B4" i="7"/>
  <c r="Y5" i="6"/>
  <c r="X5" i="6"/>
  <c r="V5" i="6"/>
  <c r="U5" i="6"/>
  <c r="T5" i="6"/>
  <c r="S5" i="6"/>
  <c r="R5" i="6"/>
  <c r="Q5" i="6"/>
  <c r="P5" i="6"/>
  <c r="O5" i="6"/>
  <c r="N5" i="6"/>
  <c r="M5" i="6"/>
  <c r="L5" i="6"/>
  <c r="K5" i="6"/>
  <c r="J5" i="6"/>
  <c r="I5" i="6"/>
  <c r="H5" i="6"/>
  <c r="G5" i="6"/>
  <c r="F5" i="6"/>
  <c r="E5" i="6"/>
  <c r="D5" i="6"/>
  <c r="C5" i="6"/>
  <c r="B5" i="6"/>
  <c r="S121" i="5"/>
  <c r="S120" i="5"/>
  <c r="S119" i="5"/>
  <c r="S118" i="5"/>
  <c r="S117" i="5"/>
  <c r="S116" i="5"/>
  <c r="S115" i="5"/>
  <c r="S114" i="5"/>
  <c r="S113" i="5"/>
  <c r="S112" i="5"/>
  <c r="S111" i="5"/>
  <c r="S110" i="5"/>
  <c r="S109" i="5"/>
  <c r="S108" i="5"/>
  <c r="S107" i="5"/>
  <c r="S106" i="5"/>
  <c r="S105" i="5"/>
  <c r="S104" i="5"/>
  <c r="S103" i="5"/>
  <c r="S102" i="5"/>
  <c r="S101" i="5"/>
  <c r="S100" i="5"/>
  <c r="S99" i="5"/>
  <c r="S98" i="5"/>
  <c r="S97" i="5"/>
  <c r="S96" i="5"/>
  <c r="S95" i="5"/>
  <c r="S94" i="5"/>
  <c r="S93" i="5"/>
  <c r="S92" i="5"/>
  <c r="S91" i="5"/>
  <c r="S90" i="5"/>
  <c r="S89" i="5"/>
  <c r="S88" i="5"/>
  <c r="S87" i="5"/>
  <c r="S86" i="5"/>
  <c r="S85" i="5"/>
  <c r="S84" i="5"/>
  <c r="S83" i="5"/>
  <c r="S82" i="5"/>
  <c r="S81" i="5"/>
  <c r="S80" i="5"/>
  <c r="S79" i="5"/>
  <c r="S78" i="5"/>
  <c r="S77" i="5"/>
  <c r="S76" i="5"/>
  <c r="S75" i="5"/>
  <c r="S74" i="5"/>
  <c r="S73" i="5"/>
  <c r="S72" i="5"/>
  <c r="S71" i="5"/>
  <c r="S70" i="5"/>
  <c r="S69" i="5"/>
  <c r="S68" i="5"/>
  <c r="S67" i="5"/>
  <c r="S66" i="5"/>
  <c r="S65" i="5"/>
  <c r="S64" i="5"/>
  <c r="S63" i="5"/>
  <c r="S62" i="5"/>
  <c r="S61" i="5"/>
  <c r="S60" i="5"/>
  <c r="S59" i="5"/>
  <c r="S58" i="5"/>
  <c r="S57" i="5"/>
  <c r="S56" i="5"/>
  <c r="S55" i="5"/>
  <c r="S54" i="5"/>
  <c r="S53" i="5"/>
  <c r="S52" i="5"/>
  <c r="S51" i="5"/>
  <c r="S50" i="5"/>
  <c r="S49" i="5"/>
  <c r="S48" i="5"/>
  <c r="S47" i="5"/>
  <c r="S46" i="5"/>
  <c r="S45" i="5"/>
  <c r="S44" i="5"/>
  <c r="S43" i="5"/>
  <c r="S42" i="5"/>
  <c r="S41" i="5"/>
  <c r="S40" i="5"/>
  <c r="S39" i="5"/>
  <c r="S38" i="5"/>
  <c r="S37" i="5"/>
  <c r="S36" i="5"/>
  <c r="S35" i="5"/>
  <c r="S34" i="5"/>
  <c r="S33" i="5"/>
  <c r="S32" i="5"/>
  <c r="S31" i="5"/>
  <c r="S30" i="5"/>
  <c r="S29" i="5"/>
  <c r="S28" i="5"/>
  <c r="S27" i="5"/>
  <c r="S26" i="5"/>
  <c r="S25" i="5"/>
  <c r="S24" i="5"/>
  <c r="S23" i="5"/>
  <c r="S22" i="5"/>
  <c r="S21" i="5"/>
  <c r="S20" i="5"/>
  <c r="S19" i="5"/>
  <c r="S18" i="5"/>
  <c r="S17" i="5"/>
  <c r="S16" i="5"/>
  <c r="S15" i="5"/>
  <c r="S14" i="5"/>
  <c r="S13" i="5"/>
  <c r="S12" i="5"/>
  <c r="S11" i="5"/>
  <c r="S10" i="5"/>
  <c r="S9" i="5"/>
  <c r="S8" i="5"/>
  <c r="R4" i="5"/>
  <c r="Q4" i="5"/>
  <c r="P4" i="5"/>
  <c r="O4" i="5"/>
  <c r="N4" i="5"/>
  <c r="M4" i="5"/>
  <c r="L4" i="5"/>
  <c r="K4" i="5"/>
  <c r="J4" i="5"/>
  <c r="I4" i="5"/>
  <c r="H4" i="5"/>
  <c r="G4" i="5"/>
  <c r="F4" i="5"/>
  <c r="E4" i="5"/>
  <c r="D4" i="5"/>
  <c r="C4" i="5"/>
  <c r="B4" i="5"/>
  <c r="AL175" i="4"/>
  <c r="AL174" i="4"/>
  <c r="AL173" i="4"/>
  <c r="AL172" i="4"/>
  <c r="AL171" i="4"/>
  <c r="AL170" i="4"/>
  <c r="AL169" i="4"/>
  <c r="AL168" i="4"/>
  <c r="AL167" i="4"/>
  <c r="AL166" i="4"/>
  <c r="AL165" i="4"/>
  <c r="AL164" i="4"/>
  <c r="AL163" i="4"/>
  <c r="AL162" i="4"/>
  <c r="AL161" i="4"/>
  <c r="AL160" i="4"/>
  <c r="AL159" i="4"/>
  <c r="AL158" i="4"/>
  <c r="AL157" i="4"/>
  <c r="AL156" i="4"/>
  <c r="AL155" i="4"/>
  <c r="AL154" i="4"/>
  <c r="AL153" i="4"/>
  <c r="AL152" i="4"/>
  <c r="AL151" i="4"/>
  <c r="AL150" i="4"/>
  <c r="AL149" i="4"/>
  <c r="AL148" i="4"/>
  <c r="AL147" i="4"/>
  <c r="AL146" i="4"/>
  <c r="AL145" i="4"/>
  <c r="AL144" i="4"/>
  <c r="AL143" i="4"/>
  <c r="AL142" i="4"/>
  <c r="AL141" i="4"/>
  <c r="AL140" i="4"/>
  <c r="AL139" i="4"/>
  <c r="AL138" i="4"/>
  <c r="AL137" i="4"/>
  <c r="AL136" i="4"/>
  <c r="AL134" i="4"/>
  <c r="AL133" i="4"/>
  <c r="AL132" i="4"/>
  <c r="AL131" i="4"/>
  <c r="AL130" i="4"/>
  <c r="AL129" i="4"/>
  <c r="AL128" i="4"/>
  <c r="AL127" i="4"/>
  <c r="AL126" i="4"/>
  <c r="AL125" i="4"/>
  <c r="AL124" i="4"/>
  <c r="AL123" i="4"/>
  <c r="AL122" i="4"/>
  <c r="AL121" i="4"/>
  <c r="AL120" i="4"/>
  <c r="AL118" i="4"/>
  <c r="AL117" i="4"/>
  <c r="AL116" i="4"/>
  <c r="AL115" i="4"/>
  <c r="AL114" i="4"/>
  <c r="AL113" i="4"/>
  <c r="AL112" i="4"/>
  <c r="AL110" i="4"/>
  <c r="AL109" i="4"/>
  <c r="AL108" i="4"/>
  <c r="AL107" i="4"/>
  <c r="AL106" i="4"/>
  <c r="AL105" i="4"/>
  <c r="AL104" i="4"/>
  <c r="AL103" i="4"/>
  <c r="AL102" i="4"/>
  <c r="AL101" i="4"/>
  <c r="AL100" i="4"/>
  <c r="AL99" i="4"/>
  <c r="AL98" i="4"/>
  <c r="AL97" i="4"/>
  <c r="AL96" i="4"/>
  <c r="AL95" i="4"/>
  <c r="AL94" i="4"/>
  <c r="AL93" i="4"/>
  <c r="AL92" i="4"/>
  <c r="AL91" i="4"/>
  <c r="AL90" i="4"/>
  <c r="AL89" i="4"/>
  <c r="AL88" i="4"/>
  <c r="AL87" i="4"/>
  <c r="AL86" i="4"/>
  <c r="AL85" i="4"/>
  <c r="AL84" i="4"/>
  <c r="AL83" i="4"/>
  <c r="AL82" i="4"/>
  <c r="AL81" i="4"/>
  <c r="AL80" i="4"/>
  <c r="AL79" i="4"/>
  <c r="AL78" i="4"/>
  <c r="AL77" i="4"/>
  <c r="AL76" i="4"/>
  <c r="AL75" i="4"/>
  <c r="AL74" i="4"/>
  <c r="AL73" i="4"/>
  <c r="AL72" i="4"/>
  <c r="AL71" i="4"/>
  <c r="AL70" i="4"/>
  <c r="AL69" i="4"/>
  <c r="AL68" i="4"/>
  <c r="AL67" i="4"/>
  <c r="AL66" i="4"/>
  <c r="AL65" i="4"/>
  <c r="AL64" i="4"/>
  <c r="AL63" i="4"/>
  <c r="AL62" i="4"/>
  <c r="AL61" i="4"/>
  <c r="AL59" i="4"/>
  <c r="AL58" i="4"/>
  <c r="AL57" i="4"/>
  <c r="AL56" i="4"/>
  <c r="AL55" i="4"/>
  <c r="AL54" i="4"/>
  <c r="AL53" i="4"/>
  <c r="AL52" i="4"/>
  <c r="AL51" i="4"/>
  <c r="AL50" i="4"/>
  <c r="AL49" i="4"/>
  <c r="AL48" i="4"/>
  <c r="AL47" i="4"/>
  <c r="AL46" i="4"/>
  <c r="AL45" i="4"/>
  <c r="AL44" i="4"/>
  <c r="AL43" i="4"/>
  <c r="AL42" i="4"/>
  <c r="AL41" i="4"/>
  <c r="AL40" i="4"/>
  <c r="AL39" i="4"/>
  <c r="AL38" i="4"/>
  <c r="AL37" i="4"/>
  <c r="AL36" i="4"/>
  <c r="AL35" i="4"/>
  <c r="AL34" i="4"/>
  <c r="AL33" i="4"/>
  <c r="AL32" i="4"/>
  <c r="AL31" i="4"/>
  <c r="AL30" i="4"/>
  <c r="AL29" i="4"/>
  <c r="AL28" i="4"/>
  <c r="AL27" i="4"/>
  <c r="AL26" i="4"/>
  <c r="AL25" i="4"/>
  <c r="AL24" i="4"/>
  <c r="AL23" i="4"/>
  <c r="AL22" i="4"/>
  <c r="AL21" i="4"/>
  <c r="AL20" i="4"/>
  <c r="AL19" i="4"/>
  <c r="AL18" i="4"/>
  <c r="AL17" i="4"/>
  <c r="AL16" i="4"/>
  <c r="AL15" i="4"/>
  <c r="AL14" i="4"/>
  <c r="AL13" i="4"/>
  <c r="AL12" i="4"/>
  <c r="AL11" i="4"/>
  <c r="AL10" i="4"/>
  <c r="AL9" i="4"/>
  <c r="AL8" i="4"/>
  <c r="AK4" i="4"/>
  <c r="AJ4" i="4"/>
  <c r="AI4" i="4"/>
  <c r="AH4" i="4"/>
  <c r="AG4" i="4"/>
  <c r="AF4" i="4"/>
  <c r="AE4" i="4"/>
  <c r="AD4" i="4"/>
  <c r="AC4" i="4"/>
  <c r="AB4" i="4"/>
  <c r="AA4" i="4"/>
  <c r="Z4" i="4"/>
  <c r="Y4" i="4"/>
  <c r="X4" i="4"/>
  <c r="W4" i="4"/>
  <c r="V4" i="4"/>
  <c r="U4" i="4"/>
  <c r="T4" i="4"/>
  <c r="S4" i="4"/>
  <c r="R4" i="4"/>
  <c r="Q4" i="4"/>
  <c r="P4" i="4"/>
  <c r="O4" i="4"/>
  <c r="N4" i="4"/>
  <c r="M4" i="4"/>
  <c r="L4" i="4"/>
  <c r="K4" i="4"/>
  <c r="J4" i="4"/>
  <c r="I4" i="4"/>
  <c r="H4" i="4"/>
  <c r="G4" i="4"/>
  <c r="F4" i="4"/>
  <c r="E4" i="4"/>
  <c r="D4" i="4"/>
  <c r="C4" i="4"/>
  <c r="B4" i="4"/>
  <c r="AK328" i="3"/>
  <c r="BK322" i="3"/>
  <c r="BI322" i="3"/>
  <c r="BH322" i="3"/>
  <c r="BG322" i="3"/>
  <c r="BF322" i="3"/>
  <c r="BE322" i="3"/>
  <c r="BD322" i="3"/>
  <c r="BC322" i="3"/>
  <c r="BB322" i="3"/>
  <c r="BA322" i="3"/>
  <c r="AZ322" i="3"/>
  <c r="AY322" i="3"/>
  <c r="AX322" i="3"/>
  <c r="AW322" i="3"/>
  <c r="AV322" i="3"/>
  <c r="AU322" i="3"/>
  <c r="AT322" i="3"/>
  <c r="AS322" i="3"/>
  <c r="AR322" i="3"/>
  <c r="AQ322" i="3"/>
  <c r="AO322" i="3"/>
  <c r="AP322" i="3"/>
  <c r="AN322" i="3"/>
  <c r="AM322" i="3"/>
  <c r="BK321" i="3"/>
  <c r="AM321" i="3"/>
  <c r="BI321" i="3"/>
  <c r="BH321" i="3"/>
  <c r="BG321" i="3"/>
  <c r="BF321" i="3"/>
  <c r="BE321" i="3"/>
  <c r="BD321" i="3"/>
  <c r="BC321" i="3"/>
  <c r="BB321" i="3"/>
  <c r="BA321" i="3"/>
  <c r="AZ321" i="3"/>
  <c r="AY321" i="3"/>
  <c r="AX321" i="3"/>
  <c r="AW321" i="3"/>
  <c r="AV321" i="3"/>
  <c r="AU321" i="3"/>
  <c r="AT321" i="3"/>
  <c r="AS321" i="3"/>
  <c r="AR321" i="3"/>
  <c r="AQ321" i="3"/>
  <c r="AO321" i="3"/>
  <c r="AP321" i="3"/>
  <c r="AN321" i="3"/>
  <c r="BK320" i="3"/>
  <c r="AM320" i="3"/>
  <c r="BI320" i="3"/>
  <c r="BH320" i="3"/>
  <c r="BG320" i="3"/>
  <c r="BF320" i="3"/>
  <c r="BE320" i="3"/>
  <c r="BD320" i="3"/>
  <c r="BC320" i="3"/>
  <c r="BB320" i="3"/>
  <c r="BA320" i="3"/>
  <c r="AZ320" i="3"/>
  <c r="AY320" i="3"/>
  <c r="AX320" i="3"/>
  <c r="AW320" i="3"/>
  <c r="AV320" i="3"/>
  <c r="AU320" i="3"/>
  <c r="AT320" i="3"/>
  <c r="AS320" i="3"/>
  <c r="AR320" i="3"/>
  <c r="AQ320" i="3"/>
  <c r="AO320" i="3"/>
  <c r="AP320" i="3"/>
  <c r="AN320" i="3"/>
  <c r="BK319" i="3"/>
  <c r="AM319" i="3"/>
  <c r="BI319" i="3"/>
  <c r="BH319" i="3"/>
  <c r="BG319" i="3"/>
  <c r="BF319" i="3"/>
  <c r="BE319" i="3"/>
  <c r="BD319" i="3"/>
  <c r="BC319" i="3"/>
  <c r="BB319" i="3"/>
  <c r="BA319" i="3"/>
  <c r="AZ319" i="3"/>
  <c r="AY319" i="3"/>
  <c r="AX319" i="3"/>
  <c r="AW319" i="3"/>
  <c r="AV319" i="3"/>
  <c r="AU319" i="3"/>
  <c r="AT319" i="3"/>
  <c r="AS319" i="3"/>
  <c r="AR319" i="3"/>
  <c r="AQ319" i="3"/>
  <c r="AO319" i="3"/>
  <c r="AP319" i="3"/>
  <c r="BK318" i="3"/>
  <c r="AM318" i="3"/>
  <c r="BI318" i="3"/>
  <c r="BH318" i="3"/>
  <c r="BG318" i="3"/>
  <c r="BF318" i="3"/>
  <c r="BE318" i="3"/>
  <c r="BD318" i="3"/>
  <c r="BC318" i="3"/>
  <c r="BB318" i="3"/>
  <c r="BA318" i="3"/>
  <c r="AZ318" i="3"/>
  <c r="AY318" i="3"/>
  <c r="AX318" i="3"/>
  <c r="AW318" i="3"/>
  <c r="AV318" i="3"/>
  <c r="AU318" i="3"/>
  <c r="AT318" i="3"/>
  <c r="AS318" i="3"/>
  <c r="AR318" i="3"/>
  <c r="AQ318" i="3"/>
  <c r="AO318" i="3"/>
  <c r="AP318" i="3"/>
  <c r="BK317" i="3"/>
  <c r="BI317" i="3"/>
  <c r="BH317" i="3"/>
  <c r="BG317" i="3"/>
  <c r="BF317" i="3"/>
  <c r="BE317" i="3"/>
  <c r="BD317" i="3"/>
  <c r="BC317" i="3"/>
  <c r="BB317" i="3"/>
  <c r="BA317" i="3"/>
  <c r="AZ317" i="3"/>
  <c r="AY317" i="3"/>
  <c r="AX317" i="3"/>
  <c r="AW317" i="3"/>
  <c r="AV317" i="3"/>
  <c r="AU317" i="3"/>
  <c r="AT317" i="3"/>
  <c r="AS317" i="3"/>
  <c r="AR317" i="3"/>
  <c r="AQ317" i="3"/>
  <c r="AO317" i="3"/>
  <c r="AP317" i="3"/>
  <c r="AN317" i="3"/>
  <c r="AM317" i="3"/>
  <c r="BK316" i="3"/>
  <c r="BI316" i="3"/>
  <c r="BH316" i="3"/>
  <c r="BG316" i="3"/>
  <c r="BF316" i="3"/>
  <c r="BE316" i="3"/>
  <c r="BD316" i="3"/>
  <c r="BC316" i="3"/>
  <c r="BB316" i="3"/>
  <c r="BA316" i="3"/>
  <c r="AZ316" i="3"/>
  <c r="AY316" i="3"/>
  <c r="AX316" i="3"/>
  <c r="AW316" i="3"/>
  <c r="AV316" i="3"/>
  <c r="AU316" i="3"/>
  <c r="AT316" i="3"/>
  <c r="AS316" i="3"/>
  <c r="AR316" i="3"/>
  <c r="AQ316" i="3"/>
  <c r="AO316" i="3"/>
  <c r="AP316" i="3"/>
  <c r="AM316" i="3"/>
  <c r="BK315" i="3"/>
  <c r="BI315" i="3"/>
  <c r="BH315" i="3"/>
  <c r="BG315" i="3"/>
  <c r="BF315" i="3"/>
  <c r="BE315" i="3"/>
  <c r="BD315" i="3"/>
  <c r="BC315" i="3"/>
  <c r="BB315" i="3"/>
  <c r="BA315" i="3"/>
  <c r="AZ315" i="3"/>
  <c r="AY315" i="3"/>
  <c r="AX315" i="3"/>
  <c r="AW315" i="3"/>
  <c r="AV315" i="3"/>
  <c r="AU315" i="3"/>
  <c r="AT315" i="3"/>
  <c r="AS315" i="3"/>
  <c r="AR315" i="3"/>
  <c r="AQ315" i="3"/>
  <c r="AO315" i="3"/>
  <c r="AP315" i="3"/>
  <c r="AM315" i="3"/>
  <c r="BK314" i="3"/>
  <c r="AM314" i="3"/>
  <c r="BI314" i="3"/>
  <c r="BH314" i="3"/>
  <c r="BG314" i="3"/>
  <c r="BF314" i="3"/>
  <c r="BE314" i="3"/>
  <c r="BD314" i="3"/>
  <c r="BC314" i="3"/>
  <c r="BB314" i="3"/>
  <c r="BA314" i="3"/>
  <c r="AZ314" i="3"/>
  <c r="AY314" i="3"/>
  <c r="AX314" i="3"/>
  <c r="AW314" i="3"/>
  <c r="AV314" i="3"/>
  <c r="AU314" i="3"/>
  <c r="AT314" i="3"/>
  <c r="AS314" i="3"/>
  <c r="AR314" i="3"/>
  <c r="AQ314" i="3"/>
  <c r="AO314" i="3"/>
  <c r="AP314" i="3"/>
  <c r="BK313" i="3"/>
  <c r="AM313" i="3"/>
  <c r="BI313" i="3"/>
  <c r="BH313" i="3"/>
  <c r="BG313" i="3"/>
  <c r="BF313" i="3"/>
  <c r="BE313" i="3"/>
  <c r="BD313" i="3"/>
  <c r="BC313" i="3"/>
  <c r="BB313" i="3"/>
  <c r="BA313" i="3"/>
  <c r="AZ313" i="3"/>
  <c r="AY313" i="3"/>
  <c r="AX313" i="3"/>
  <c r="AW313" i="3"/>
  <c r="AV313" i="3"/>
  <c r="AU313" i="3"/>
  <c r="AT313" i="3"/>
  <c r="AS313" i="3"/>
  <c r="AR313" i="3"/>
  <c r="AQ313" i="3"/>
  <c r="AO313" i="3"/>
  <c r="AP313" i="3"/>
  <c r="AN313" i="3"/>
  <c r="BK312" i="3"/>
  <c r="AM312" i="3"/>
  <c r="BI312" i="3"/>
  <c r="BH312" i="3"/>
  <c r="BG312" i="3"/>
  <c r="BF312" i="3"/>
  <c r="BE312" i="3"/>
  <c r="BD312" i="3"/>
  <c r="BC312" i="3"/>
  <c r="BB312" i="3"/>
  <c r="BA312" i="3"/>
  <c r="AZ312" i="3"/>
  <c r="AY312" i="3"/>
  <c r="AX312" i="3"/>
  <c r="AW312" i="3"/>
  <c r="AV312" i="3"/>
  <c r="AU312" i="3"/>
  <c r="AT312" i="3"/>
  <c r="AS312" i="3"/>
  <c r="AR312" i="3"/>
  <c r="AQ312" i="3"/>
  <c r="AO312" i="3"/>
  <c r="AP312" i="3"/>
  <c r="BK311" i="3"/>
  <c r="BI311" i="3"/>
  <c r="BH311" i="3"/>
  <c r="BG311" i="3"/>
  <c r="BF311" i="3"/>
  <c r="BE311" i="3"/>
  <c r="BD311" i="3"/>
  <c r="BC311" i="3"/>
  <c r="BB311" i="3"/>
  <c r="BA311" i="3"/>
  <c r="AZ311" i="3"/>
  <c r="AY311" i="3"/>
  <c r="AX311" i="3"/>
  <c r="AW311" i="3"/>
  <c r="AV311" i="3"/>
  <c r="AU311" i="3"/>
  <c r="AT311" i="3"/>
  <c r="AS311" i="3"/>
  <c r="AR311" i="3"/>
  <c r="AQ311" i="3"/>
  <c r="AO311" i="3"/>
  <c r="AP311" i="3"/>
  <c r="AM311" i="3"/>
  <c r="BK310" i="3"/>
  <c r="BI310" i="3"/>
  <c r="BH310" i="3"/>
  <c r="BG310" i="3"/>
  <c r="BF310" i="3"/>
  <c r="BE310" i="3"/>
  <c r="BD310" i="3"/>
  <c r="BC310" i="3"/>
  <c r="BB310" i="3"/>
  <c r="BA310" i="3"/>
  <c r="AZ310" i="3"/>
  <c r="AY310" i="3"/>
  <c r="AX310" i="3"/>
  <c r="AW310" i="3"/>
  <c r="AV310" i="3"/>
  <c r="AU310" i="3"/>
  <c r="AT310" i="3"/>
  <c r="AS310" i="3"/>
  <c r="AR310" i="3"/>
  <c r="AQ310" i="3"/>
  <c r="AO310" i="3"/>
  <c r="AP310" i="3"/>
  <c r="AM310" i="3"/>
  <c r="BK309" i="3"/>
  <c r="BI309" i="3"/>
  <c r="BH309" i="3"/>
  <c r="BG309" i="3"/>
  <c r="BF309" i="3"/>
  <c r="BE309" i="3"/>
  <c r="BD309" i="3"/>
  <c r="BC309" i="3"/>
  <c r="BB309" i="3"/>
  <c r="BA309" i="3"/>
  <c r="AZ309" i="3"/>
  <c r="AY309" i="3"/>
  <c r="AX309" i="3"/>
  <c r="AW309" i="3"/>
  <c r="AV309" i="3"/>
  <c r="AU309" i="3"/>
  <c r="AT309" i="3"/>
  <c r="AS309" i="3"/>
  <c r="AR309" i="3"/>
  <c r="AQ309" i="3"/>
  <c r="AO309" i="3"/>
  <c r="AP309" i="3"/>
  <c r="AM309" i="3"/>
  <c r="BK308" i="3"/>
  <c r="AM308" i="3"/>
  <c r="BI308" i="3"/>
  <c r="BH308" i="3"/>
  <c r="BG308" i="3"/>
  <c r="BF308" i="3"/>
  <c r="BE308" i="3"/>
  <c r="BD308" i="3"/>
  <c r="BC308" i="3"/>
  <c r="BB308" i="3"/>
  <c r="BA308" i="3"/>
  <c r="AZ308" i="3"/>
  <c r="AY308" i="3"/>
  <c r="AX308" i="3"/>
  <c r="AW308" i="3"/>
  <c r="AV308" i="3"/>
  <c r="AU308" i="3"/>
  <c r="AT308" i="3"/>
  <c r="AS308" i="3"/>
  <c r="AR308" i="3"/>
  <c r="AQ308" i="3"/>
  <c r="AO308" i="3"/>
  <c r="AP308" i="3"/>
  <c r="BK307" i="3"/>
  <c r="AM307" i="3"/>
  <c r="BI307" i="3"/>
  <c r="BH307" i="3"/>
  <c r="BG307" i="3"/>
  <c r="BF307" i="3"/>
  <c r="BE307" i="3"/>
  <c r="BD307" i="3"/>
  <c r="BC307" i="3"/>
  <c r="BB307" i="3"/>
  <c r="BA307" i="3"/>
  <c r="AZ307" i="3"/>
  <c r="AY307" i="3"/>
  <c r="AX307" i="3"/>
  <c r="AW307" i="3"/>
  <c r="AV307" i="3"/>
  <c r="AU307" i="3"/>
  <c r="AT307" i="3"/>
  <c r="AS307" i="3"/>
  <c r="AR307" i="3"/>
  <c r="AQ307" i="3"/>
  <c r="AO307" i="3"/>
  <c r="AP307" i="3"/>
  <c r="BK306" i="3"/>
  <c r="BI306" i="3"/>
  <c r="BH306" i="3"/>
  <c r="BG306" i="3"/>
  <c r="BF306" i="3"/>
  <c r="BE306" i="3"/>
  <c r="BD306" i="3"/>
  <c r="BC306" i="3"/>
  <c r="BB306" i="3"/>
  <c r="BA306" i="3"/>
  <c r="AZ306" i="3"/>
  <c r="AY306" i="3"/>
  <c r="AX306" i="3"/>
  <c r="AW306" i="3"/>
  <c r="AV306" i="3"/>
  <c r="AU306" i="3"/>
  <c r="AT306" i="3"/>
  <c r="AS306" i="3"/>
  <c r="AR306" i="3"/>
  <c r="AQ306" i="3"/>
  <c r="AO306" i="3"/>
  <c r="AP306" i="3"/>
  <c r="AM306" i="3"/>
  <c r="BK305" i="3"/>
  <c r="BI305" i="3"/>
  <c r="BH305" i="3"/>
  <c r="BG305" i="3"/>
  <c r="BF305" i="3"/>
  <c r="BE305" i="3"/>
  <c r="BD305" i="3"/>
  <c r="BC305" i="3"/>
  <c r="BB305" i="3"/>
  <c r="BA305" i="3"/>
  <c r="AZ305" i="3"/>
  <c r="AY305" i="3"/>
  <c r="AX305" i="3"/>
  <c r="AW305" i="3"/>
  <c r="AV305" i="3"/>
  <c r="AU305" i="3"/>
  <c r="AT305" i="3"/>
  <c r="AS305" i="3"/>
  <c r="AR305" i="3"/>
  <c r="AQ305" i="3"/>
  <c r="AO305" i="3"/>
  <c r="AP305" i="3"/>
  <c r="AM305" i="3"/>
  <c r="BK304" i="3"/>
  <c r="BI304" i="3"/>
  <c r="BH304" i="3"/>
  <c r="BG304" i="3"/>
  <c r="BF304" i="3"/>
  <c r="BE304" i="3"/>
  <c r="BD304" i="3"/>
  <c r="BC304" i="3"/>
  <c r="BB304" i="3"/>
  <c r="BA304" i="3"/>
  <c r="AZ304" i="3"/>
  <c r="AY304" i="3"/>
  <c r="AX304" i="3"/>
  <c r="AW304" i="3"/>
  <c r="AV304" i="3"/>
  <c r="AU304" i="3"/>
  <c r="AT304" i="3"/>
  <c r="AS304" i="3"/>
  <c r="AR304" i="3"/>
  <c r="AQ304" i="3"/>
  <c r="AO304" i="3"/>
  <c r="AP304" i="3"/>
  <c r="AM304" i="3"/>
  <c r="BK303" i="3"/>
  <c r="AM303" i="3"/>
  <c r="BI303" i="3"/>
  <c r="BH303" i="3"/>
  <c r="BG303" i="3"/>
  <c r="BF303" i="3"/>
  <c r="BE303" i="3"/>
  <c r="BD303" i="3"/>
  <c r="BC303" i="3"/>
  <c r="BB303" i="3"/>
  <c r="BA303" i="3"/>
  <c r="AZ303" i="3"/>
  <c r="AY303" i="3"/>
  <c r="AX303" i="3"/>
  <c r="AW303" i="3"/>
  <c r="AV303" i="3"/>
  <c r="AU303" i="3"/>
  <c r="AT303" i="3"/>
  <c r="AS303" i="3"/>
  <c r="AR303" i="3"/>
  <c r="AQ303" i="3"/>
  <c r="AO303" i="3"/>
  <c r="AP303" i="3"/>
  <c r="BK302" i="3"/>
  <c r="AM302" i="3"/>
  <c r="BI302" i="3"/>
  <c r="BH302" i="3"/>
  <c r="BG302" i="3"/>
  <c r="BF302" i="3"/>
  <c r="BE302" i="3"/>
  <c r="BD302" i="3"/>
  <c r="BC302" i="3"/>
  <c r="BB302" i="3"/>
  <c r="BA302" i="3"/>
  <c r="AZ302" i="3"/>
  <c r="AY302" i="3"/>
  <c r="AX302" i="3"/>
  <c r="AW302" i="3"/>
  <c r="AV302" i="3"/>
  <c r="AU302" i="3"/>
  <c r="AT302" i="3"/>
  <c r="AS302" i="3"/>
  <c r="AR302" i="3"/>
  <c r="AQ302" i="3"/>
  <c r="AO302" i="3"/>
  <c r="AP302" i="3"/>
  <c r="BK301" i="3"/>
  <c r="BI301" i="3"/>
  <c r="BH301" i="3"/>
  <c r="BG301" i="3"/>
  <c r="BF301" i="3"/>
  <c r="BE301" i="3"/>
  <c r="BD301" i="3"/>
  <c r="BC301" i="3"/>
  <c r="BB301" i="3"/>
  <c r="BA301" i="3"/>
  <c r="AZ301" i="3"/>
  <c r="AY301" i="3"/>
  <c r="AX301" i="3"/>
  <c r="AW301" i="3"/>
  <c r="AV301" i="3"/>
  <c r="AU301" i="3"/>
  <c r="AT301" i="3"/>
  <c r="AS301" i="3"/>
  <c r="AR301" i="3"/>
  <c r="AQ301" i="3"/>
  <c r="AO301" i="3"/>
  <c r="AP301" i="3"/>
  <c r="AN301" i="3"/>
  <c r="AM301" i="3"/>
  <c r="BK300" i="3"/>
  <c r="BI300" i="3"/>
  <c r="BH300" i="3"/>
  <c r="BG300" i="3"/>
  <c r="BF300" i="3"/>
  <c r="BE300" i="3"/>
  <c r="BD300" i="3"/>
  <c r="BC300" i="3"/>
  <c r="BB300" i="3"/>
  <c r="BA300" i="3"/>
  <c r="AZ300" i="3"/>
  <c r="AY300" i="3"/>
  <c r="AX300" i="3"/>
  <c r="AW300" i="3"/>
  <c r="AV300" i="3"/>
  <c r="AU300" i="3"/>
  <c r="AT300" i="3"/>
  <c r="AS300" i="3"/>
  <c r="AR300" i="3"/>
  <c r="AO300" i="3"/>
  <c r="AP300" i="3"/>
  <c r="AQ300" i="3"/>
  <c r="AN300" i="3"/>
  <c r="AM300" i="3"/>
  <c r="BK299" i="3"/>
  <c r="BI299" i="3"/>
  <c r="BH299" i="3"/>
  <c r="BG299" i="3"/>
  <c r="BF299" i="3"/>
  <c r="BE299" i="3"/>
  <c r="BD299" i="3"/>
  <c r="BC299" i="3"/>
  <c r="BB299" i="3"/>
  <c r="BA299" i="3"/>
  <c r="AZ299" i="3"/>
  <c r="AY299" i="3"/>
  <c r="AX299" i="3"/>
  <c r="AW299" i="3"/>
  <c r="AV299" i="3"/>
  <c r="AU299" i="3"/>
  <c r="AT299" i="3"/>
  <c r="AS299" i="3"/>
  <c r="AR299" i="3"/>
  <c r="AQ299" i="3"/>
  <c r="AO299" i="3"/>
  <c r="AP299" i="3"/>
  <c r="AM299" i="3"/>
  <c r="BK298" i="3"/>
  <c r="AM298" i="3"/>
  <c r="BI298" i="3"/>
  <c r="BH298" i="3"/>
  <c r="BG298" i="3"/>
  <c r="BF298" i="3"/>
  <c r="BE298" i="3"/>
  <c r="BD298" i="3"/>
  <c r="BC298" i="3"/>
  <c r="BB298" i="3"/>
  <c r="BA298" i="3"/>
  <c r="AZ298" i="3"/>
  <c r="AY298" i="3"/>
  <c r="AX298" i="3"/>
  <c r="AW298" i="3"/>
  <c r="AV298" i="3"/>
  <c r="AU298" i="3"/>
  <c r="AT298" i="3"/>
  <c r="AS298" i="3"/>
  <c r="AR298" i="3"/>
  <c r="AQ298" i="3"/>
  <c r="AO298" i="3"/>
  <c r="AP298" i="3"/>
  <c r="AN298" i="3"/>
  <c r="BK297" i="3"/>
  <c r="AM297" i="3"/>
  <c r="BI297" i="3"/>
  <c r="BH297" i="3"/>
  <c r="BG297" i="3"/>
  <c r="BF297" i="3"/>
  <c r="BE297" i="3"/>
  <c r="BD297" i="3"/>
  <c r="BC297" i="3"/>
  <c r="BB297" i="3"/>
  <c r="BA297" i="3"/>
  <c r="AZ297" i="3"/>
  <c r="AY297" i="3"/>
  <c r="AX297" i="3"/>
  <c r="AW297" i="3"/>
  <c r="AV297" i="3"/>
  <c r="AU297" i="3"/>
  <c r="AT297" i="3"/>
  <c r="AS297" i="3"/>
  <c r="AR297" i="3"/>
  <c r="AQ297" i="3"/>
  <c r="AO297" i="3"/>
  <c r="AP297" i="3"/>
  <c r="AN297" i="3"/>
  <c r="BK296" i="3"/>
  <c r="AM296" i="3"/>
  <c r="BI296" i="3"/>
  <c r="BH296" i="3"/>
  <c r="BG296" i="3"/>
  <c r="BF296" i="3"/>
  <c r="BE296" i="3"/>
  <c r="BD296" i="3"/>
  <c r="BC296" i="3"/>
  <c r="BB296" i="3"/>
  <c r="BA296" i="3"/>
  <c r="AZ296" i="3"/>
  <c r="AY296" i="3"/>
  <c r="AX296" i="3"/>
  <c r="AW296" i="3"/>
  <c r="AV296" i="3"/>
  <c r="AU296" i="3"/>
  <c r="AT296" i="3"/>
  <c r="AS296" i="3"/>
  <c r="AR296" i="3"/>
  <c r="AQ296" i="3"/>
  <c r="AO296" i="3"/>
  <c r="AP296" i="3"/>
  <c r="BK295" i="3"/>
  <c r="BI295" i="3"/>
  <c r="BH295" i="3"/>
  <c r="BG295" i="3"/>
  <c r="BF295" i="3"/>
  <c r="BE295" i="3"/>
  <c r="BD295" i="3"/>
  <c r="BC295" i="3"/>
  <c r="BB295" i="3"/>
  <c r="BA295" i="3"/>
  <c r="AZ295" i="3"/>
  <c r="AY295" i="3"/>
  <c r="AX295" i="3"/>
  <c r="AW295" i="3"/>
  <c r="AV295" i="3"/>
  <c r="AU295" i="3"/>
  <c r="AT295" i="3"/>
  <c r="AS295" i="3"/>
  <c r="AR295" i="3"/>
  <c r="AO295" i="3"/>
  <c r="AP295" i="3"/>
  <c r="AQ295" i="3"/>
  <c r="AN295" i="3"/>
  <c r="AM295" i="3"/>
  <c r="BK294" i="3"/>
  <c r="BI294" i="3"/>
  <c r="BH294" i="3"/>
  <c r="BG294" i="3"/>
  <c r="BF294" i="3"/>
  <c r="BE294" i="3"/>
  <c r="BD294" i="3"/>
  <c r="BC294" i="3"/>
  <c r="BB294" i="3"/>
  <c r="BA294" i="3"/>
  <c r="AZ294" i="3"/>
  <c r="AY294" i="3"/>
  <c r="AX294" i="3"/>
  <c r="AW294" i="3"/>
  <c r="AV294" i="3"/>
  <c r="AU294" i="3"/>
  <c r="AT294" i="3"/>
  <c r="AS294" i="3"/>
  <c r="AR294" i="3"/>
  <c r="AQ294" i="3"/>
  <c r="AO294" i="3"/>
  <c r="AP294" i="3"/>
  <c r="AM294" i="3"/>
  <c r="BK293" i="3"/>
  <c r="AM293" i="3"/>
  <c r="BI293" i="3"/>
  <c r="BH293" i="3"/>
  <c r="BG293" i="3"/>
  <c r="BF293" i="3"/>
  <c r="BE293" i="3"/>
  <c r="BD293" i="3"/>
  <c r="BC293" i="3"/>
  <c r="BB293" i="3"/>
  <c r="BA293" i="3"/>
  <c r="AZ293" i="3"/>
  <c r="AY293" i="3"/>
  <c r="AX293" i="3"/>
  <c r="AW293" i="3"/>
  <c r="AV293" i="3"/>
  <c r="AU293" i="3"/>
  <c r="AT293" i="3"/>
  <c r="AS293" i="3"/>
  <c r="AR293" i="3"/>
  <c r="AQ293" i="3"/>
  <c r="AO293" i="3"/>
  <c r="AP293" i="3"/>
  <c r="AN293" i="3"/>
  <c r="BK292" i="3"/>
  <c r="AM292" i="3"/>
  <c r="BI292" i="3"/>
  <c r="BH292" i="3"/>
  <c r="BG292" i="3"/>
  <c r="BF292" i="3"/>
  <c r="BE292" i="3"/>
  <c r="BD292" i="3"/>
  <c r="BC292" i="3"/>
  <c r="BB292" i="3"/>
  <c r="BA292" i="3"/>
  <c r="AZ292" i="3"/>
  <c r="AY292" i="3"/>
  <c r="AX292" i="3"/>
  <c r="AW292" i="3"/>
  <c r="AV292" i="3"/>
  <c r="AU292" i="3"/>
  <c r="AT292" i="3"/>
  <c r="AS292" i="3"/>
  <c r="AR292" i="3"/>
  <c r="AQ292" i="3"/>
  <c r="AO292" i="3"/>
  <c r="AP292" i="3"/>
  <c r="BK291" i="3"/>
  <c r="AM291" i="3"/>
  <c r="BI291" i="3"/>
  <c r="BH291" i="3"/>
  <c r="BG291" i="3"/>
  <c r="BF291" i="3"/>
  <c r="BE291" i="3"/>
  <c r="BD291" i="3"/>
  <c r="BC291" i="3"/>
  <c r="BB291" i="3"/>
  <c r="BA291" i="3"/>
  <c r="AZ291" i="3"/>
  <c r="AY291" i="3"/>
  <c r="AX291" i="3"/>
  <c r="AW291" i="3"/>
  <c r="AV291" i="3"/>
  <c r="AU291" i="3"/>
  <c r="AT291" i="3"/>
  <c r="AS291" i="3"/>
  <c r="AR291" i="3"/>
  <c r="AQ291" i="3"/>
  <c r="AO291" i="3"/>
  <c r="AP291" i="3"/>
  <c r="BK290" i="3"/>
  <c r="BI290" i="3"/>
  <c r="BH290" i="3"/>
  <c r="BG290" i="3"/>
  <c r="BF290" i="3"/>
  <c r="BE290" i="3"/>
  <c r="BD290" i="3"/>
  <c r="BC290" i="3"/>
  <c r="BB290" i="3"/>
  <c r="BA290" i="3"/>
  <c r="AZ290" i="3"/>
  <c r="AY290" i="3"/>
  <c r="AX290" i="3"/>
  <c r="AW290" i="3"/>
  <c r="AV290" i="3"/>
  <c r="AU290" i="3"/>
  <c r="AT290" i="3"/>
  <c r="AS290" i="3"/>
  <c r="AR290" i="3"/>
  <c r="AQ290" i="3"/>
  <c r="AO290" i="3"/>
  <c r="AP290" i="3"/>
  <c r="AM290" i="3"/>
  <c r="BK289" i="3"/>
  <c r="AM289" i="3"/>
  <c r="BI289" i="3"/>
  <c r="BH289" i="3"/>
  <c r="BG289" i="3"/>
  <c r="BF289" i="3"/>
  <c r="BE289" i="3"/>
  <c r="BD289" i="3"/>
  <c r="BC289" i="3"/>
  <c r="BB289" i="3"/>
  <c r="BA289" i="3"/>
  <c r="AZ289" i="3"/>
  <c r="AY289" i="3"/>
  <c r="AX289" i="3"/>
  <c r="AW289" i="3"/>
  <c r="AV289" i="3"/>
  <c r="AU289" i="3"/>
  <c r="AT289" i="3"/>
  <c r="AS289" i="3"/>
  <c r="AR289" i="3"/>
  <c r="AQ289" i="3"/>
  <c r="AO289" i="3"/>
  <c r="AP289" i="3"/>
  <c r="AN289" i="3"/>
  <c r="BK288" i="3"/>
  <c r="AM288" i="3"/>
  <c r="BI288" i="3"/>
  <c r="BH288" i="3"/>
  <c r="BG288" i="3"/>
  <c r="BF288" i="3"/>
  <c r="BE288" i="3"/>
  <c r="BD288" i="3"/>
  <c r="BC288" i="3"/>
  <c r="BB288" i="3"/>
  <c r="BA288" i="3"/>
  <c r="AZ288" i="3"/>
  <c r="AY288" i="3"/>
  <c r="AX288" i="3"/>
  <c r="AW288" i="3"/>
  <c r="AV288" i="3"/>
  <c r="AU288" i="3"/>
  <c r="AT288" i="3"/>
  <c r="AS288" i="3"/>
  <c r="AR288" i="3"/>
  <c r="AQ288" i="3"/>
  <c r="AO288" i="3"/>
  <c r="AP288" i="3"/>
  <c r="BK287" i="3"/>
  <c r="AM287" i="3"/>
  <c r="BI287" i="3"/>
  <c r="BH287" i="3"/>
  <c r="BG287" i="3"/>
  <c r="BF287" i="3"/>
  <c r="BE287" i="3"/>
  <c r="BD287" i="3"/>
  <c r="BC287" i="3"/>
  <c r="BB287" i="3"/>
  <c r="BA287" i="3"/>
  <c r="AZ287" i="3"/>
  <c r="AY287" i="3"/>
  <c r="AX287" i="3"/>
  <c r="AW287" i="3"/>
  <c r="AV287" i="3"/>
  <c r="AU287" i="3"/>
  <c r="AT287" i="3"/>
  <c r="AS287" i="3"/>
  <c r="AR287" i="3"/>
  <c r="AQ287" i="3"/>
  <c r="AO287" i="3"/>
  <c r="AP287" i="3"/>
  <c r="BK286" i="3"/>
  <c r="AM286" i="3"/>
  <c r="BI286" i="3"/>
  <c r="BH286" i="3"/>
  <c r="BG286" i="3"/>
  <c r="BF286" i="3"/>
  <c r="BE286" i="3"/>
  <c r="BD286" i="3"/>
  <c r="BC286" i="3"/>
  <c r="BB286" i="3"/>
  <c r="BA286" i="3"/>
  <c r="AZ286" i="3"/>
  <c r="AY286" i="3"/>
  <c r="AX286" i="3"/>
  <c r="AW286" i="3"/>
  <c r="AV286" i="3"/>
  <c r="AU286" i="3"/>
  <c r="AT286" i="3"/>
  <c r="AS286" i="3"/>
  <c r="AR286" i="3"/>
  <c r="AQ286" i="3"/>
  <c r="AO286" i="3"/>
  <c r="AP286" i="3"/>
  <c r="BK285" i="3"/>
  <c r="AM285" i="3"/>
  <c r="BI285" i="3"/>
  <c r="BH285" i="3"/>
  <c r="BG285" i="3"/>
  <c r="BF285" i="3"/>
  <c r="BE285" i="3"/>
  <c r="BD285" i="3"/>
  <c r="BC285" i="3"/>
  <c r="BB285" i="3"/>
  <c r="BA285" i="3"/>
  <c r="AZ285" i="3"/>
  <c r="AY285" i="3"/>
  <c r="AX285" i="3"/>
  <c r="AW285" i="3"/>
  <c r="AV285" i="3"/>
  <c r="AU285" i="3"/>
  <c r="AT285" i="3"/>
  <c r="AS285" i="3"/>
  <c r="AR285" i="3"/>
  <c r="AQ285" i="3"/>
  <c r="AO285" i="3"/>
  <c r="AP285" i="3"/>
  <c r="AN285" i="3"/>
  <c r="BK284" i="3"/>
  <c r="AM284" i="3"/>
  <c r="BI284" i="3"/>
  <c r="BH284" i="3"/>
  <c r="BG284" i="3"/>
  <c r="BF284" i="3"/>
  <c r="BE284" i="3"/>
  <c r="BD284" i="3"/>
  <c r="BC284" i="3"/>
  <c r="BB284" i="3"/>
  <c r="BA284" i="3"/>
  <c r="AZ284" i="3"/>
  <c r="AY284" i="3"/>
  <c r="AX284" i="3"/>
  <c r="AW284" i="3"/>
  <c r="AV284" i="3"/>
  <c r="AU284" i="3"/>
  <c r="AT284" i="3"/>
  <c r="AS284" i="3"/>
  <c r="AR284" i="3"/>
  <c r="AQ284" i="3"/>
  <c r="AO284" i="3"/>
  <c r="AP284" i="3"/>
  <c r="BK283" i="3"/>
  <c r="BI283" i="3"/>
  <c r="BH283" i="3"/>
  <c r="BG283" i="3"/>
  <c r="BF283" i="3"/>
  <c r="BE283" i="3"/>
  <c r="BD283" i="3"/>
  <c r="BC283" i="3"/>
  <c r="BB283" i="3"/>
  <c r="BA283" i="3"/>
  <c r="AZ283" i="3"/>
  <c r="AY283" i="3"/>
  <c r="AX283" i="3"/>
  <c r="AW283" i="3"/>
  <c r="AV283" i="3"/>
  <c r="AU283" i="3"/>
  <c r="AT283" i="3"/>
  <c r="AS283" i="3"/>
  <c r="AR283" i="3"/>
  <c r="AQ283" i="3"/>
  <c r="AO283" i="3"/>
  <c r="AP283" i="3"/>
  <c r="AM283" i="3"/>
  <c r="BK282" i="3"/>
  <c r="AM282" i="3"/>
  <c r="BI282" i="3"/>
  <c r="BH282" i="3"/>
  <c r="BG282" i="3"/>
  <c r="BF282" i="3"/>
  <c r="BE282" i="3"/>
  <c r="BD282" i="3"/>
  <c r="BC282" i="3"/>
  <c r="BB282" i="3"/>
  <c r="BA282" i="3"/>
  <c r="AZ282" i="3"/>
  <c r="AY282" i="3"/>
  <c r="AX282" i="3"/>
  <c r="AW282" i="3"/>
  <c r="AV282" i="3"/>
  <c r="AU282" i="3"/>
  <c r="AT282" i="3"/>
  <c r="AS282" i="3"/>
  <c r="AR282" i="3"/>
  <c r="AQ282" i="3"/>
  <c r="AO282" i="3"/>
  <c r="AP282" i="3"/>
  <c r="BK281" i="3"/>
  <c r="AM281" i="3"/>
  <c r="BI281" i="3"/>
  <c r="BH281" i="3"/>
  <c r="BG281" i="3"/>
  <c r="BF281" i="3"/>
  <c r="BE281" i="3"/>
  <c r="BD281" i="3"/>
  <c r="BC281" i="3"/>
  <c r="BB281" i="3"/>
  <c r="BA281" i="3"/>
  <c r="AZ281" i="3"/>
  <c r="AY281" i="3"/>
  <c r="AX281" i="3"/>
  <c r="AW281" i="3"/>
  <c r="AV281" i="3"/>
  <c r="AU281" i="3"/>
  <c r="AT281" i="3"/>
  <c r="AS281" i="3"/>
  <c r="AR281" i="3"/>
  <c r="AQ281" i="3"/>
  <c r="AO281" i="3"/>
  <c r="AP281" i="3"/>
  <c r="AN281" i="3"/>
  <c r="BK280" i="3"/>
  <c r="AM280" i="3"/>
  <c r="BI280" i="3"/>
  <c r="BH280" i="3"/>
  <c r="BG280" i="3"/>
  <c r="BF280" i="3"/>
  <c r="BE280" i="3"/>
  <c r="BD280" i="3"/>
  <c r="BC280" i="3"/>
  <c r="BB280" i="3"/>
  <c r="BA280" i="3"/>
  <c r="AZ280" i="3"/>
  <c r="AY280" i="3"/>
  <c r="AX280" i="3"/>
  <c r="AW280" i="3"/>
  <c r="AV280" i="3"/>
  <c r="AU280" i="3"/>
  <c r="AT280" i="3"/>
  <c r="AS280" i="3"/>
  <c r="AR280" i="3"/>
  <c r="AQ280" i="3"/>
  <c r="AO280" i="3"/>
  <c r="AP280" i="3"/>
  <c r="BK279" i="3"/>
  <c r="BI279" i="3"/>
  <c r="BH279" i="3"/>
  <c r="BG279" i="3"/>
  <c r="BF279" i="3"/>
  <c r="BE279" i="3"/>
  <c r="BD279" i="3"/>
  <c r="BC279" i="3"/>
  <c r="BB279" i="3"/>
  <c r="BA279" i="3"/>
  <c r="AZ279" i="3"/>
  <c r="AY279" i="3"/>
  <c r="AX279" i="3"/>
  <c r="AW279" i="3"/>
  <c r="AV279" i="3"/>
  <c r="AU279" i="3"/>
  <c r="AT279" i="3"/>
  <c r="AS279" i="3"/>
  <c r="AR279" i="3"/>
  <c r="AQ279" i="3"/>
  <c r="AO279" i="3"/>
  <c r="AP279" i="3"/>
  <c r="AM279" i="3"/>
  <c r="BK278" i="3"/>
  <c r="BI278" i="3"/>
  <c r="BH278" i="3"/>
  <c r="BG278" i="3"/>
  <c r="BF278" i="3"/>
  <c r="BE278" i="3"/>
  <c r="BD278" i="3"/>
  <c r="BC278" i="3"/>
  <c r="BB278" i="3"/>
  <c r="BA278" i="3"/>
  <c r="AZ278" i="3"/>
  <c r="AY278" i="3"/>
  <c r="AX278" i="3"/>
  <c r="AW278" i="3"/>
  <c r="AV278" i="3"/>
  <c r="AU278" i="3"/>
  <c r="AT278" i="3"/>
  <c r="AS278" i="3"/>
  <c r="AR278" i="3"/>
  <c r="AQ278" i="3"/>
  <c r="AO278" i="3"/>
  <c r="AP278" i="3"/>
  <c r="AM278" i="3"/>
  <c r="BK277" i="3"/>
  <c r="AM277" i="3"/>
  <c r="BI277" i="3"/>
  <c r="BH277" i="3"/>
  <c r="BG277" i="3"/>
  <c r="BF277" i="3"/>
  <c r="BE277" i="3"/>
  <c r="BD277" i="3"/>
  <c r="BC277" i="3"/>
  <c r="BB277" i="3"/>
  <c r="BA277" i="3"/>
  <c r="AZ277" i="3"/>
  <c r="AY277" i="3"/>
  <c r="AX277" i="3"/>
  <c r="AW277" i="3"/>
  <c r="AV277" i="3"/>
  <c r="AU277" i="3"/>
  <c r="AT277" i="3"/>
  <c r="AS277" i="3"/>
  <c r="AR277" i="3"/>
  <c r="AQ277" i="3"/>
  <c r="AO277" i="3"/>
  <c r="AP277" i="3"/>
  <c r="BK276" i="3"/>
  <c r="AM276" i="3"/>
  <c r="BI276" i="3"/>
  <c r="BH276" i="3"/>
  <c r="BG276" i="3"/>
  <c r="BF276" i="3"/>
  <c r="BE276" i="3"/>
  <c r="BD276" i="3"/>
  <c r="BC276" i="3"/>
  <c r="BB276" i="3"/>
  <c r="BA276" i="3"/>
  <c r="AZ276" i="3"/>
  <c r="AY276" i="3"/>
  <c r="AX276" i="3"/>
  <c r="AW276" i="3"/>
  <c r="AV276" i="3"/>
  <c r="AU276" i="3"/>
  <c r="AT276" i="3"/>
  <c r="AS276" i="3"/>
  <c r="AR276" i="3"/>
  <c r="AQ276" i="3"/>
  <c r="AO276" i="3"/>
  <c r="AP276" i="3"/>
  <c r="BK275" i="3"/>
  <c r="AM275" i="3"/>
  <c r="BI275" i="3"/>
  <c r="BH275" i="3"/>
  <c r="BG275" i="3"/>
  <c r="BF275" i="3"/>
  <c r="BE275" i="3"/>
  <c r="BD275" i="3"/>
  <c r="BC275" i="3"/>
  <c r="BB275" i="3"/>
  <c r="BA275" i="3"/>
  <c r="AZ275" i="3"/>
  <c r="AY275" i="3"/>
  <c r="AX275" i="3"/>
  <c r="AW275" i="3"/>
  <c r="AV275" i="3"/>
  <c r="AU275" i="3"/>
  <c r="AT275" i="3"/>
  <c r="AS275" i="3"/>
  <c r="AR275" i="3"/>
  <c r="AQ275" i="3"/>
  <c r="AO275" i="3"/>
  <c r="AP275" i="3"/>
  <c r="BK274" i="3"/>
  <c r="BI274" i="3"/>
  <c r="BH274" i="3"/>
  <c r="BG274" i="3"/>
  <c r="BF274" i="3"/>
  <c r="BE274" i="3"/>
  <c r="BD274" i="3"/>
  <c r="BC274" i="3"/>
  <c r="BB274" i="3"/>
  <c r="BA274" i="3"/>
  <c r="AZ274" i="3"/>
  <c r="AY274" i="3"/>
  <c r="AX274" i="3"/>
  <c r="AW274" i="3"/>
  <c r="AV274" i="3"/>
  <c r="AU274" i="3"/>
  <c r="AT274" i="3"/>
  <c r="AS274" i="3"/>
  <c r="AR274" i="3"/>
  <c r="AQ274" i="3"/>
  <c r="AO274" i="3"/>
  <c r="AP274" i="3"/>
  <c r="AM274" i="3"/>
  <c r="BK273" i="3"/>
  <c r="AM273" i="3"/>
  <c r="BI273" i="3"/>
  <c r="BH273" i="3"/>
  <c r="BG273" i="3"/>
  <c r="BF273" i="3"/>
  <c r="BE273" i="3"/>
  <c r="BD273" i="3"/>
  <c r="BC273" i="3"/>
  <c r="BB273" i="3"/>
  <c r="BA273" i="3"/>
  <c r="AZ273" i="3"/>
  <c r="AY273" i="3"/>
  <c r="AX273" i="3"/>
  <c r="AW273" i="3"/>
  <c r="AV273" i="3"/>
  <c r="AU273" i="3"/>
  <c r="AT273" i="3"/>
  <c r="AS273" i="3"/>
  <c r="AR273" i="3"/>
  <c r="AQ273" i="3"/>
  <c r="AO273" i="3"/>
  <c r="AP273" i="3"/>
  <c r="AN273" i="3"/>
  <c r="BK272" i="3"/>
  <c r="AM272" i="3"/>
  <c r="BI272" i="3"/>
  <c r="BH272" i="3"/>
  <c r="BG272" i="3"/>
  <c r="BF272" i="3"/>
  <c r="BE272" i="3"/>
  <c r="BD272" i="3"/>
  <c r="BC272" i="3"/>
  <c r="BB272" i="3"/>
  <c r="BA272" i="3"/>
  <c r="AZ272" i="3"/>
  <c r="AY272" i="3"/>
  <c r="AX272" i="3"/>
  <c r="AW272" i="3"/>
  <c r="AV272" i="3"/>
  <c r="AU272" i="3"/>
  <c r="AT272" i="3"/>
  <c r="AS272" i="3"/>
  <c r="AR272" i="3"/>
  <c r="AQ272" i="3"/>
  <c r="AO272" i="3"/>
  <c r="AP272" i="3"/>
  <c r="BK271" i="3"/>
  <c r="AM271" i="3"/>
  <c r="BI271" i="3"/>
  <c r="BH271" i="3"/>
  <c r="BG271" i="3"/>
  <c r="BF271" i="3"/>
  <c r="BE271" i="3"/>
  <c r="BD271" i="3"/>
  <c r="BC271" i="3"/>
  <c r="BB271" i="3"/>
  <c r="BA271" i="3"/>
  <c r="AZ271" i="3"/>
  <c r="AY271" i="3"/>
  <c r="AX271" i="3"/>
  <c r="AW271" i="3"/>
  <c r="AV271" i="3"/>
  <c r="AU271" i="3"/>
  <c r="AT271" i="3"/>
  <c r="AS271" i="3"/>
  <c r="AR271" i="3"/>
  <c r="AQ271" i="3"/>
  <c r="AO271" i="3"/>
  <c r="AP271" i="3"/>
  <c r="BK270" i="3"/>
  <c r="AM270" i="3"/>
  <c r="BI270" i="3"/>
  <c r="BH270" i="3"/>
  <c r="BG270" i="3"/>
  <c r="BF270" i="3"/>
  <c r="BE270" i="3"/>
  <c r="BD270" i="3"/>
  <c r="BC270" i="3"/>
  <c r="BB270" i="3"/>
  <c r="BA270" i="3"/>
  <c r="AZ270" i="3"/>
  <c r="AY270" i="3"/>
  <c r="AX270" i="3"/>
  <c r="AW270" i="3"/>
  <c r="AV270" i="3"/>
  <c r="AU270" i="3"/>
  <c r="AT270" i="3"/>
  <c r="AS270" i="3"/>
  <c r="AR270" i="3"/>
  <c r="AQ270" i="3"/>
  <c r="AO270" i="3"/>
  <c r="AP270" i="3"/>
  <c r="BK269" i="3"/>
  <c r="AM269" i="3"/>
  <c r="BI269" i="3"/>
  <c r="BH269" i="3"/>
  <c r="BG269" i="3"/>
  <c r="BF269" i="3"/>
  <c r="BE269" i="3"/>
  <c r="BD269" i="3"/>
  <c r="BC269" i="3"/>
  <c r="BB269" i="3"/>
  <c r="BA269" i="3"/>
  <c r="AZ269" i="3"/>
  <c r="AY269" i="3"/>
  <c r="AX269" i="3"/>
  <c r="AW269" i="3"/>
  <c r="AV269" i="3"/>
  <c r="AU269" i="3"/>
  <c r="AT269" i="3"/>
  <c r="AS269" i="3"/>
  <c r="AR269" i="3"/>
  <c r="AQ269" i="3"/>
  <c r="AO269" i="3"/>
  <c r="AP269" i="3"/>
  <c r="AN269" i="3"/>
  <c r="BK268" i="3"/>
  <c r="AM268" i="3"/>
  <c r="BI268" i="3"/>
  <c r="BH268" i="3"/>
  <c r="BG268" i="3"/>
  <c r="BF268" i="3"/>
  <c r="BE268" i="3"/>
  <c r="BD268" i="3"/>
  <c r="BC268" i="3"/>
  <c r="BB268" i="3"/>
  <c r="BA268" i="3"/>
  <c r="AZ268" i="3"/>
  <c r="AY268" i="3"/>
  <c r="AX268" i="3"/>
  <c r="AW268" i="3"/>
  <c r="AV268" i="3"/>
  <c r="AU268" i="3"/>
  <c r="AT268" i="3"/>
  <c r="AS268" i="3"/>
  <c r="AR268" i="3"/>
  <c r="AQ268" i="3"/>
  <c r="AO268" i="3"/>
  <c r="AP268" i="3"/>
  <c r="BK267" i="3"/>
  <c r="BI267" i="3"/>
  <c r="BH267" i="3"/>
  <c r="BG267" i="3"/>
  <c r="BF267" i="3"/>
  <c r="BE267" i="3"/>
  <c r="BD267" i="3"/>
  <c r="BC267" i="3"/>
  <c r="BB267" i="3"/>
  <c r="BA267" i="3"/>
  <c r="AZ267" i="3"/>
  <c r="AY267" i="3"/>
  <c r="AX267" i="3"/>
  <c r="AW267" i="3"/>
  <c r="AV267" i="3"/>
  <c r="AU267" i="3"/>
  <c r="AT267" i="3"/>
  <c r="AS267" i="3"/>
  <c r="AR267" i="3"/>
  <c r="AQ267" i="3"/>
  <c r="AO267" i="3"/>
  <c r="AP267" i="3"/>
  <c r="AM267" i="3"/>
  <c r="BK266" i="3"/>
  <c r="AM266" i="3"/>
  <c r="BI266" i="3"/>
  <c r="BH266" i="3"/>
  <c r="BG266" i="3"/>
  <c r="BF266" i="3"/>
  <c r="BE266" i="3"/>
  <c r="BD266" i="3"/>
  <c r="BC266" i="3"/>
  <c r="BB266" i="3"/>
  <c r="BA266" i="3"/>
  <c r="AZ266" i="3"/>
  <c r="AY266" i="3"/>
  <c r="AX266" i="3"/>
  <c r="AW266" i="3"/>
  <c r="AV266" i="3"/>
  <c r="AU266" i="3"/>
  <c r="AT266" i="3"/>
  <c r="AS266" i="3"/>
  <c r="AR266" i="3"/>
  <c r="AQ266" i="3"/>
  <c r="AO266" i="3"/>
  <c r="AP266" i="3"/>
  <c r="BK265" i="3"/>
  <c r="AM265" i="3"/>
  <c r="BI265" i="3"/>
  <c r="BH265" i="3"/>
  <c r="BG265" i="3"/>
  <c r="BF265" i="3"/>
  <c r="BE265" i="3"/>
  <c r="BD265" i="3"/>
  <c r="BC265" i="3"/>
  <c r="BB265" i="3"/>
  <c r="BA265" i="3"/>
  <c r="AZ265" i="3"/>
  <c r="AY265" i="3"/>
  <c r="AX265" i="3"/>
  <c r="AW265" i="3"/>
  <c r="AV265" i="3"/>
  <c r="AU265" i="3"/>
  <c r="AT265" i="3"/>
  <c r="AS265" i="3"/>
  <c r="AR265" i="3"/>
  <c r="AQ265" i="3"/>
  <c r="AO265" i="3"/>
  <c r="AP265" i="3"/>
  <c r="AN265" i="3"/>
  <c r="BK264" i="3"/>
  <c r="AM264" i="3"/>
  <c r="BI264" i="3"/>
  <c r="BH264" i="3"/>
  <c r="BG264" i="3"/>
  <c r="BF264" i="3"/>
  <c r="BE264" i="3"/>
  <c r="BD264" i="3"/>
  <c r="BC264" i="3"/>
  <c r="BB264" i="3"/>
  <c r="BA264" i="3"/>
  <c r="AZ264" i="3"/>
  <c r="AY264" i="3"/>
  <c r="AX264" i="3"/>
  <c r="AW264" i="3"/>
  <c r="AV264" i="3"/>
  <c r="AU264" i="3"/>
  <c r="AT264" i="3"/>
  <c r="AS264" i="3"/>
  <c r="AR264" i="3"/>
  <c r="AQ264" i="3"/>
  <c r="AO264" i="3"/>
  <c r="AP264" i="3"/>
  <c r="BK263" i="3"/>
  <c r="AM263" i="3"/>
  <c r="BI263" i="3"/>
  <c r="BH263" i="3"/>
  <c r="BG263" i="3"/>
  <c r="BF263" i="3"/>
  <c r="BE263" i="3"/>
  <c r="BD263" i="3"/>
  <c r="BC263" i="3"/>
  <c r="BB263" i="3"/>
  <c r="BA263" i="3"/>
  <c r="AZ263" i="3"/>
  <c r="AY263" i="3"/>
  <c r="AX263" i="3"/>
  <c r="AW263" i="3"/>
  <c r="AV263" i="3"/>
  <c r="AU263" i="3"/>
  <c r="AT263" i="3"/>
  <c r="AS263" i="3"/>
  <c r="AR263" i="3"/>
  <c r="AQ263" i="3"/>
  <c r="AO263" i="3"/>
  <c r="AP263" i="3"/>
  <c r="AN263" i="3"/>
  <c r="BK262" i="3"/>
  <c r="AM262" i="3"/>
  <c r="BI262" i="3"/>
  <c r="BH262" i="3"/>
  <c r="BG262" i="3"/>
  <c r="BF262" i="3"/>
  <c r="BE262" i="3"/>
  <c r="BD262" i="3"/>
  <c r="BC262" i="3"/>
  <c r="BB262" i="3"/>
  <c r="BA262" i="3"/>
  <c r="AZ262" i="3"/>
  <c r="AY262" i="3"/>
  <c r="AX262" i="3"/>
  <c r="AW262" i="3"/>
  <c r="AV262" i="3"/>
  <c r="AU262" i="3"/>
  <c r="AT262" i="3"/>
  <c r="AS262" i="3"/>
  <c r="AR262" i="3"/>
  <c r="AQ262" i="3"/>
  <c r="AO262" i="3"/>
  <c r="AP262" i="3"/>
  <c r="AN262" i="3"/>
  <c r="BK261" i="3"/>
  <c r="AM261" i="3"/>
  <c r="BI261" i="3"/>
  <c r="BH261" i="3"/>
  <c r="BG261" i="3"/>
  <c r="BF261" i="3"/>
  <c r="BE261" i="3"/>
  <c r="BD261" i="3"/>
  <c r="BC261" i="3"/>
  <c r="BB261" i="3"/>
  <c r="BA261" i="3"/>
  <c r="AZ261" i="3"/>
  <c r="AY261" i="3"/>
  <c r="AX261" i="3"/>
  <c r="AW261" i="3"/>
  <c r="AV261" i="3"/>
  <c r="AU261" i="3"/>
  <c r="AT261" i="3"/>
  <c r="AS261" i="3"/>
  <c r="AR261" i="3"/>
  <c r="AQ261" i="3"/>
  <c r="AO261" i="3"/>
  <c r="AP261" i="3"/>
  <c r="AN261" i="3"/>
  <c r="BK260" i="3"/>
  <c r="AM260" i="3"/>
  <c r="BI260" i="3"/>
  <c r="BH260" i="3"/>
  <c r="BG260" i="3"/>
  <c r="BF260" i="3"/>
  <c r="BE260" i="3"/>
  <c r="BD260" i="3"/>
  <c r="BC260" i="3"/>
  <c r="BB260" i="3"/>
  <c r="BA260" i="3"/>
  <c r="AZ260" i="3"/>
  <c r="AY260" i="3"/>
  <c r="AX260" i="3"/>
  <c r="AW260" i="3"/>
  <c r="AV260" i="3"/>
  <c r="AU260" i="3"/>
  <c r="AT260" i="3"/>
  <c r="AS260" i="3"/>
  <c r="AR260" i="3"/>
  <c r="AQ260" i="3"/>
  <c r="AO260" i="3"/>
  <c r="AP260" i="3"/>
  <c r="AN260" i="3"/>
  <c r="BK259" i="3"/>
  <c r="AM259" i="3"/>
  <c r="BI259" i="3"/>
  <c r="BH259" i="3"/>
  <c r="BG259" i="3"/>
  <c r="BF259" i="3"/>
  <c r="BE259" i="3"/>
  <c r="BD259" i="3"/>
  <c r="BC259" i="3"/>
  <c r="BB259" i="3"/>
  <c r="BA259" i="3"/>
  <c r="AZ259" i="3"/>
  <c r="AY259" i="3"/>
  <c r="AX259" i="3"/>
  <c r="AW259" i="3"/>
  <c r="AV259" i="3"/>
  <c r="AU259" i="3"/>
  <c r="AT259" i="3"/>
  <c r="AS259" i="3"/>
  <c r="AR259" i="3"/>
  <c r="AQ259" i="3"/>
  <c r="AO259" i="3"/>
  <c r="AP259" i="3"/>
  <c r="AN259" i="3"/>
  <c r="BK258" i="3"/>
  <c r="AM258" i="3"/>
  <c r="BI258" i="3"/>
  <c r="BH258" i="3"/>
  <c r="BG258" i="3"/>
  <c r="BF258" i="3"/>
  <c r="BE258" i="3"/>
  <c r="BD258" i="3"/>
  <c r="BC258" i="3"/>
  <c r="BB258" i="3"/>
  <c r="BA258" i="3"/>
  <c r="AZ258" i="3"/>
  <c r="AY258" i="3"/>
  <c r="AX258" i="3"/>
  <c r="AW258" i="3"/>
  <c r="AV258" i="3"/>
  <c r="AU258" i="3"/>
  <c r="AT258" i="3"/>
  <c r="AS258" i="3"/>
  <c r="AR258" i="3"/>
  <c r="AQ258" i="3"/>
  <c r="AO258" i="3"/>
  <c r="AP258" i="3"/>
  <c r="AN258" i="3"/>
  <c r="BK257" i="3"/>
  <c r="BI257" i="3"/>
  <c r="BH257" i="3"/>
  <c r="BG257" i="3"/>
  <c r="BF257" i="3"/>
  <c r="BE257" i="3"/>
  <c r="BD257" i="3"/>
  <c r="BC257" i="3"/>
  <c r="BB257" i="3"/>
  <c r="BA257" i="3"/>
  <c r="AZ257" i="3"/>
  <c r="AY257" i="3"/>
  <c r="AX257" i="3"/>
  <c r="AW257" i="3"/>
  <c r="AV257" i="3"/>
  <c r="AU257" i="3"/>
  <c r="AT257" i="3"/>
  <c r="AS257" i="3"/>
  <c r="AR257" i="3"/>
  <c r="AQ257" i="3"/>
  <c r="AO257" i="3"/>
  <c r="AP257" i="3"/>
  <c r="AN257" i="3"/>
  <c r="AM257" i="3"/>
  <c r="BK256" i="3"/>
  <c r="BI256" i="3"/>
  <c r="BH256" i="3"/>
  <c r="BG256" i="3"/>
  <c r="BF256" i="3"/>
  <c r="BE256" i="3"/>
  <c r="BD256" i="3"/>
  <c r="BC256" i="3"/>
  <c r="BB256" i="3"/>
  <c r="BA256" i="3"/>
  <c r="AZ256" i="3"/>
  <c r="AY256" i="3"/>
  <c r="AX256" i="3"/>
  <c r="AW256" i="3"/>
  <c r="AV256" i="3"/>
  <c r="AU256" i="3"/>
  <c r="AT256" i="3"/>
  <c r="AS256" i="3"/>
  <c r="AR256" i="3"/>
  <c r="AQ256" i="3"/>
  <c r="AO256" i="3"/>
  <c r="AP256" i="3"/>
  <c r="AN256" i="3"/>
  <c r="AM256" i="3"/>
  <c r="BK255" i="3"/>
  <c r="BI255" i="3"/>
  <c r="BH255" i="3"/>
  <c r="BG255" i="3"/>
  <c r="BF255" i="3"/>
  <c r="BE255" i="3"/>
  <c r="BD255" i="3"/>
  <c r="BC255" i="3"/>
  <c r="BB255" i="3"/>
  <c r="BA255" i="3"/>
  <c r="AZ255" i="3"/>
  <c r="AY255" i="3"/>
  <c r="AX255" i="3"/>
  <c r="AW255" i="3"/>
  <c r="AV255" i="3"/>
  <c r="AU255" i="3"/>
  <c r="AT255" i="3"/>
  <c r="AS255" i="3"/>
  <c r="AR255" i="3"/>
  <c r="AQ255" i="3"/>
  <c r="AO255" i="3"/>
  <c r="AP255" i="3"/>
  <c r="AN255" i="3"/>
  <c r="AM255" i="3"/>
  <c r="BK254" i="3"/>
  <c r="BI254" i="3"/>
  <c r="BH254" i="3"/>
  <c r="BG254" i="3"/>
  <c r="BF254" i="3"/>
  <c r="BE254" i="3"/>
  <c r="BD254" i="3"/>
  <c r="BC254" i="3"/>
  <c r="BB254" i="3"/>
  <c r="BA254" i="3"/>
  <c r="AZ254" i="3"/>
  <c r="AY254" i="3"/>
  <c r="AX254" i="3"/>
  <c r="AW254" i="3"/>
  <c r="AV254" i="3"/>
  <c r="AU254" i="3"/>
  <c r="AT254" i="3"/>
  <c r="AS254" i="3"/>
  <c r="AR254" i="3"/>
  <c r="AQ254" i="3"/>
  <c r="AO254" i="3"/>
  <c r="AP254" i="3"/>
  <c r="AN254" i="3"/>
  <c r="AM254" i="3"/>
  <c r="BK253" i="3"/>
  <c r="BI253" i="3"/>
  <c r="BH253" i="3"/>
  <c r="BG253" i="3"/>
  <c r="BF253" i="3"/>
  <c r="BE253" i="3"/>
  <c r="BD253" i="3"/>
  <c r="BC253" i="3"/>
  <c r="BB253" i="3"/>
  <c r="BA253" i="3"/>
  <c r="AZ253" i="3"/>
  <c r="AY253" i="3"/>
  <c r="AX253" i="3"/>
  <c r="AW253" i="3"/>
  <c r="AV253" i="3"/>
  <c r="AU253" i="3"/>
  <c r="AT253" i="3"/>
  <c r="AS253" i="3"/>
  <c r="AR253" i="3"/>
  <c r="AQ253" i="3"/>
  <c r="AO253" i="3"/>
  <c r="AP253" i="3"/>
  <c r="AN253" i="3"/>
  <c r="AM253" i="3"/>
  <c r="BK252" i="3"/>
  <c r="BI252" i="3"/>
  <c r="BH252" i="3"/>
  <c r="BG252" i="3"/>
  <c r="BF252" i="3"/>
  <c r="BE252" i="3"/>
  <c r="BD252" i="3"/>
  <c r="BC252" i="3"/>
  <c r="BB252" i="3"/>
  <c r="BA252" i="3"/>
  <c r="AZ252" i="3"/>
  <c r="AY252" i="3"/>
  <c r="AX252" i="3"/>
  <c r="AW252" i="3"/>
  <c r="AV252" i="3"/>
  <c r="AU252" i="3"/>
  <c r="AT252" i="3"/>
  <c r="AS252" i="3"/>
  <c r="AR252" i="3"/>
  <c r="AQ252" i="3"/>
  <c r="AO252" i="3"/>
  <c r="AP252" i="3"/>
  <c r="AN252" i="3"/>
  <c r="AM252" i="3"/>
  <c r="BK251" i="3"/>
  <c r="BI251" i="3"/>
  <c r="BH251" i="3"/>
  <c r="BG251" i="3"/>
  <c r="BF251" i="3"/>
  <c r="BE251" i="3"/>
  <c r="BD251" i="3"/>
  <c r="BC251" i="3"/>
  <c r="BB251" i="3"/>
  <c r="BA251" i="3"/>
  <c r="AZ251" i="3"/>
  <c r="AY251" i="3"/>
  <c r="AX251" i="3"/>
  <c r="AW251" i="3"/>
  <c r="AV251" i="3"/>
  <c r="AU251" i="3"/>
  <c r="AT251" i="3"/>
  <c r="AS251" i="3"/>
  <c r="AR251" i="3"/>
  <c r="AQ251" i="3"/>
  <c r="AO251" i="3"/>
  <c r="AP251" i="3"/>
  <c r="AN251" i="3"/>
  <c r="AM251" i="3"/>
  <c r="BK250" i="3"/>
  <c r="BI250" i="3"/>
  <c r="BH250" i="3"/>
  <c r="BG250" i="3"/>
  <c r="BF250" i="3"/>
  <c r="BE250" i="3"/>
  <c r="BD250" i="3"/>
  <c r="BC250" i="3"/>
  <c r="BB250" i="3"/>
  <c r="BA250" i="3"/>
  <c r="AZ250" i="3"/>
  <c r="AY250" i="3"/>
  <c r="AX250" i="3"/>
  <c r="AW250" i="3"/>
  <c r="AV250" i="3"/>
  <c r="AU250" i="3"/>
  <c r="AT250" i="3"/>
  <c r="AS250" i="3"/>
  <c r="AR250" i="3"/>
  <c r="AQ250" i="3"/>
  <c r="AO250" i="3"/>
  <c r="AP250" i="3"/>
  <c r="AN250" i="3"/>
  <c r="AM250" i="3"/>
  <c r="BK249" i="3"/>
  <c r="BI249" i="3"/>
  <c r="BH249" i="3"/>
  <c r="BG249" i="3"/>
  <c r="BF249" i="3"/>
  <c r="BE249" i="3"/>
  <c r="BD249" i="3"/>
  <c r="BC249" i="3"/>
  <c r="BB249" i="3"/>
  <c r="BA249" i="3"/>
  <c r="AZ249" i="3"/>
  <c r="AY249" i="3"/>
  <c r="AX249" i="3"/>
  <c r="AW249" i="3"/>
  <c r="AV249" i="3"/>
  <c r="AU249" i="3"/>
  <c r="AT249" i="3"/>
  <c r="AS249" i="3"/>
  <c r="AR249" i="3"/>
  <c r="AQ249" i="3"/>
  <c r="AO249" i="3"/>
  <c r="AP249" i="3"/>
  <c r="AN249" i="3"/>
  <c r="AM249" i="3"/>
  <c r="BK248" i="3"/>
  <c r="BI248" i="3"/>
  <c r="BH248" i="3"/>
  <c r="BG248" i="3"/>
  <c r="BF248" i="3"/>
  <c r="BE248" i="3"/>
  <c r="BD248" i="3"/>
  <c r="BC248" i="3"/>
  <c r="BB248" i="3"/>
  <c r="BA248" i="3"/>
  <c r="AZ248" i="3"/>
  <c r="AY248" i="3"/>
  <c r="AX248" i="3"/>
  <c r="AW248" i="3"/>
  <c r="AV248" i="3"/>
  <c r="AU248" i="3"/>
  <c r="AT248" i="3"/>
  <c r="AS248" i="3"/>
  <c r="AR248" i="3"/>
  <c r="AQ248" i="3"/>
  <c r="AO248" i="3"/>
  <c r="AP248" i="3"/>
  <c r="AN248" i="3"/>
  <c r="AM248" i="3"/>
  <c r="BK247" i="3"/>
  <c r="BI247" i="3"/>
  <c r="BH247" i="3"/>
  <c r="BG247" i="3"/>
  <c r="BF247" i="3"/>
  <c r="BE247" i="3"/>
  <c r="BD247" i="3"/>
  <c r="BC247" i="3"/>
  <c r="BB247" i="3"/>
  <c r="BA247" i="3"/>
  <c r="AZ247" i="3"/>
  <c r="AY247" i="3"/>
  <c r="AX247" i="3"/>
  <c r="AW247" i="3"/>
  <c r="AV247" i="3"/>
  <c r="AU247" i="3"/>
  <c r="AT247" i="3"/>
  <c r="AS247" i="3"/>
  <c r="AR247" i="3"/>
  <c r="AQ247" i="3"/>
  <c r="AO247" i="3"/>
  <c r="AP247" i="3"/>
  <c r="AN247" i="3"/>
  <c r="AM247" i="3"/>
  <c r="BK246" i="3"/>
  <c r="BI246" i="3"/>
  <c r="BH246" i="3"/>
  <c r="BG246" i="3"/>
  <c r="BF246" i="3"/>
  <c r="BE246" i="3"/>
  <c r="BD246" i="3"/>
  <c r="BC246" i="3"/>
  <c r="BB246" i="3"/>
  <c r="BA246" i="3"/>
  <c r="AZ246" i="3"/>
  <c r="AY246" i="3"/>
  <c r="AX246" i="3"/>
  <c r="AW246" i="3"/>
  <c r="AV246" i="3"/>
  <c r="AU246" i="3"/>
  <c r="AT246" i="3"/>
  <c r="AS246" i="3"/>
  <c r="AR246" i="3"/>
  <c r="AQ246" i="3"/>
  <c r="AO246" i="3"/>
  <c r="AP246" i="3"/>
  <c r="AN246" i="3"/>
  <c r="AM246" i="3"/>
  <c r="BK245" i="3"/>
  <c r="BI245" i="3"/>
  <c r="BH245" i="3"/>
  <c r="BG245" i="3"/>
  <c r="BF245" i="3"/>
  <c r="BE245" i="3"/>
  <c r="BD245" i="3"/>
  <c r="BC245" i="3"/>
  <c r="BB245" i="3"/>
  <c r="BA245" i="3"/>
  <c r="AZ245" i="3"/>
  <c r="AY245" i="3"/>
  <c r="AX245" i="3"/>
  <c r="AW245" i="3"/>
  <c r="AV245" i="3"/>
  <c r="AU245" i="3"/>
  <c r="AT245" i="3"/>
  <c r="AS245" i="3"/>
  <c r="AR245" i="3"/>
  <c r="AQ245" i="3"/>
  <c r="AO245" i="3"/>
  <c r="AP245" i="3"/>
  <c r="AN245" i="3"/>
  <c r="AM245" i="3"/>
  <c r="BK244" i="3"/>
  <c r="BI244" i="3"/>
  <c r="BH244" i="3"/>
  <c r="BG244" i="3"/>
  <c r="BF244" i="3"/>
  <c r="BE244" i="3"/>
  <c r="BD244" i="3"/>
  <c r="BC244" i="3"/>
  <c r="BB244" i="3"/>
  <c r="BA244" i="3"/>
  <c r="AZ244" i="3"/>
  <c r="AY244" i="3"/>
  <c r="AX244" i="3"/>
  <c r="AW244" i="3"/>
  <c r="AV244" i="3"/>
  <c r="AU244" i="3"/>
  <c r="AT244" i="3"/>
  <c r="AS244" i="3"/>
  <c r="AR244" i="3"/>
  <c r="AQ244" i="3"/>
  <c r="AO244" i="3"/>
  <c r="AP244" i="3"/>
  <c r="AN244" i="3"/>
  <c r="AM244" i="3"/>
  <c r="BK243" i="3"/>
  <c r="BI243" i="3"/>
  <c r="BH243" i="3"/>
  <c r="BG243" i="3"/>
  <c r="BF243" i="3"/>
  <c r="BE243" i="3"/>
  <c r="BD243" i="3"/>
  <c r="BC243" i="3"/>
  <c r="BB243" i="3"/>
  <c r="BA243" i="3"/>
  <c r="AZ243" i="3"/>
  <c r="AY243" i="3"/>
  <c r="AX243" i="3"/>
  <c r="AW243" i="3"/>
  <c r="AV243" i="3"/>
  <c r="AU243" i="3"/>
  <c r="AT243" i="3"/>
  <c r="AS243" i="3"/>
  <c r="AR243" i="3"/>
  <c r="AQ243" i="3"/>
  <c r="AO243" i="3"/>
  <c r="AP243" i="3"/>
  <c r="AN243" i="3"/>
  <c r="AM243" i="3"/>
  <c r="BK242" i="3"/>
  <c r="BI242" i="3"/>
  <c r="BH242" i="3"/>
  <c r="BG242" i="3"/>
  <c r="BF242" i="3"/>
  <c r="BE242" i="3"/>
  <c r="BD242" i="3"/>
  <c r="BC242" i="3"/>
  <c r="BB242" i="3"/>
  <c r="BA242" i="3"/>
  <c r="AZ242" i="3"/>
  <c r="AY242" i="3"/>
  <c r="AX242" i="3"/>
  <c r="AW242" i="3"/>
  <c r="AV242" i="3"/>
  <c r="AU242" i="3"/>
  <c r="AT242" i="3"/>
  <c r="AS242" i="3"/>
  <c r="AR242" i="3"/>
  <c r="AQ242" i="3"/>
  <c r="AO242" i="3"/>
  <c r="AP242" i="3"/>
  <c r="AN242" i="3"/>
  <c r="AM242" i="3"/>
  <c r="BK241" i="3"/>
  <c r="BI241" i="3"/>
  <c r="BH241" i="3"/>
  <c r="BG241" i="3"/>
  <c r="BF241" i="3"/>
  <c r="BE241" i="3"/>
  <c r="BD241" i="3"/>
  <c r="BC241" i="3"/>
  <c r="BB241" i="3"/>
  <c r="BA241" i="3"/>
  <c r="AZ241" i="3"/>
  <c r="AY241" i="3"/>
  <c r="AX241" i="3"/>
  <c r="AW241" i="3"/>
  <c r="AV241" i="3"/>
  <c r="AU241" i="3"/>
  <c r="AT241" i="3"/>
  <c r="AS241" i="3"/>
  <c r="AR241" i="3"/>
  <c r="AQ241" i="3"/>
  <c r="AO241" i="3"/>
  <c r="AP241" i="3"/>
  <c r="AN241" i="3"/>
  <c r="AM241" i="3"/>
  <c r="BK240" i="3"/>
  <c r="BI240" i="3"/>
  <c r="BH240" i="3"/>
  <c r="BG240" i="3"/>
  <c r="BF240" i="3"/>
  <c r="BE240" i="3"/>
  <c r="BD240" i="3"/>
  <c r="BC240" i="3"/>
  <c r="BB240" i="3"/>
  <c r="BA240" i="3"/>
  <c r="AZ240" i="3"/>
  <c r="AY240" i="3"/>
  <c r="AX240" i="3"/>
  <c r="AW240" i="3"/>
  <c r="AV240" i="3"/>
  <c r="AU240" i="3"/>
  <c r="AT240" i="3"/>
  <c r="AS240" i="3"/>
  <c r="AR240" i="3"/>
  <c r="AQ240" i="3"/>
  <c r="AO240" i="3"/>
  <c r="AP240" i="3"/>
  <c r="AN240" i="3"/>
  <c r="AM240" i="3"/>
  <c r="BK239" i="3"/>
  <c r="BI239" i="3"/>
  <c r="BH239" i="3"/>
  <c r="BG239" i="3"/>
  <c r="BF239" i="3"/>
  <c r="BE239" i="3"/>
  <c r="BD239" i="3"/>
  <c r="BC239" i="3"/>
  <c r="BB239" i="3"/>
  <c r="BA239" i="3"/>
  <c r="AZ239" i="3"/>
  <c r="AY239" i="3"/>
  <c r="AX239" i="3"/>
  <c r="AW239" i="3"/>
  <c r="AV239" i="3"/>
  <c r="AU239" i="3"/>
  <c r="AT239" i="3"/>
  <c r="AS239" i="3"/>
  <c r="AR239" i="3"/>
  <c r="AQ239" i="3"/>
  <c r="AO239" i="3"/>
  <c r="AP239" i="3"/>
  <c r="AN239" i="3"/>
  <c r="AM239" i="3"/>
  <c r="BK238" i="3"/>
  <c r="BI238" i="3"/>
  <c r="BH238" i="3"/>
  <c r="BG238" i="3"/>
  <c r="BF238" i="3"/>
  <c r="BE238" i="3"/>
  <c r="BD238" i="3"/>
  <c r="BC238" i="3"/>
  <c r="BB238" i="3"/>
  <c r="BA238" i="3"/>
  <c r="AZ238" i="3"/>
  <c r="AY238" i="3"/>
  <c r="AX238" i="3"/>
  <c r="AW238" i="3"/>
  <c r="AV238" i="3"/>
  <c r="AU238" i="3"/>
  <c r="AT238" i="3"/>
  <c r="AS238" i="3"/>
  <c r="AR238" i="3"/>
  <c r="AQ238" i="3"/>
  <c r="AO238" i="3"/>
  <c r="AP238" i="3"/>
  <c r="AN238" i="3"/>
  <c r="AM238" i="3"/>
  <c r="BK237" i="3"/>
  <c r="BI237" i="3"/>
  <c r="BH237" i="3"/>
  <c r="BG237" i="3"/>
  <c r="BF237" i="3"/>
  <c r="BE237" i="3"/>
  <c r="BD237" i="3"/>
  <c r="BC237" i="3"/>
  <c r="BB237" i="3"/>
  <c r="BA237" i="3"/>
  <c r="AZ237" i="3"/>
  <c r="AY237" i="3"/>
  <c r="AX237" i="3"/>
  <c r="AW237" i="3"/>
  <c r="AV237" i="3"/>
  <c r="AU237" i="3"/>
  <c r="AT237" i="3"/>
  <c r="AS237" i="3"/>
  <c r="AR237" i="3"/>
  <c r="AQ237" i="3"/>
  <c r="AO237" i="3"/>
  <c r="AP237" i="3"/>
  <c r="AN237" i="3"/>
  <c r="AM237" i="3"/>
  <c r="BK236" i="3"/>
  <c r="BI236" i="3"/>
  <c r="BH236" i="3"/>
  <c r="BG236" i="3"/>
  <c r="BF236" i="3"/>
  <c r="BE236" i="3"/>
  <c r="BD236" i="3"/>
  <c r="BC236" i="3"/>
  <c r="BB236" i="3"/>
  <c r="BA236" i="3"/>
  <c r="AZ236" i="3"/>
  <c r="AY236" i="3"/>
  <c r="AX236" i="3"/>
  <c r="AW236" i="3"/>
  <c r="AV236" i="3"/>
  <c r="AU236" i="3"/>
  <c r="AT236" i="3"/>
  <c r="AS236" i="3"/>
  <c r="AR236" i="3"/>
  <c r="AQ236" i="3"/>
  <c r="AO236" i="3"/>
  <c r="AP236" i="3"/>
  <c r="AN236" i="3"/>
  <c r="AM236" i="3"/>
  <c r="BK235" i="3"/>
  <c r="BI235" i="3"/>
  <c r="BH235" i="3"/>
  <c r="BG235" i="3"/>
  <c r="BF235" i="3"/>
  <c r="BE235" i="3"/>
  <c r="BD235" i="3"/>
  <c r="BC235" i="3"/>
  <c r="BB235" i="3"/>
  <c r="BA235" i="3"/>
  <c r="AZ235" i="3"/>
  <c r="AY235" i="3"/>
  <c r="AX235" i="3"/>
  <c r="AW235" i="3"/>
  <c r="AV235" i="3"/>
  <c r="AU235" i="3"/>
  <c r="AT235" i="3"/>
  <c r="AS235" i="3"/>
  <c r="AR235" i="3"/>
  <c r="AQ235" i="3"/>
  <c r="AO235" i="3"/>
  <c r="AP235" i="3"/>
  <c r="AN235" i="3"/>
  <c r="AM235" i="3"/>
  <c r="BK234" i="3"/>
  <c r="BI234" i="3"/>
  <c r="BH234" i="3"/>
  <c r="BG234" i="3"/>
  <c r="BF234" i="3"/>
  <c r="BE234" i="3"/>
  <c r="BD234" i="3"/>
  <c r="BC234" i="3"/>
  <c r="BB234" i="3"/>
  <c r="BA234" i="3"/>
  <c r="AZ234" i="3"/>
  <c r="AY234" i="3"/>
  <c r="AX234" i="3"/>
  <c r="AW234" i="3"/>
  <c r="AV234" i="3"/>
  <c r="AU234" i="3"/>
  <c r="AT234" i="3"/>
  <c r="AS234" i="3"/>
  <c r="AR234" i="3"/>
  <c r="AQ234" i="3"/>
  <c r="AO234" i="3"/>
  <c r="AP234" i="3"/>
  <c r="AN234" i="3"/>
  <c r="AM234" i="3"/>
  <c r="BK233" i="3"/>
  <c r="BI233" i="3"/>
  <c r="BH233" i="3"/>
  <c r="BG233" i="3"/>
  <c r="BF233" i="3"/>
  <c r="BE233" i="3"/>
  <c r="BD233" i="3"/>
  <c r="BC233" i="3"/>
  <c r="BB233" i="3"/>
  <c r="BA233" i="3"/>
  <c r="AZ233" i="3"/>
  <c r="AY233" i="3"/>
  <c r="AX233" i="3"/>
  <c r="AW233" i="3"/>
  <c r="AV233" i="3"/>
  <c r="AU233" i="3"/>
  <c r="AT233" i="3"/>
  <c r="AS233" i="3"/>
  <c r="AR233" i="3"/>
  <c r="AQ233" i="3"/>
  <c r="AO233" i="3"/>
  <c r="AP233" i="3"/>
  <c r="AN233" i="3"/>
  <c r="AM233" i="3"/>
  <c r="BK232" i="3"/>
  <c r="BI232" i="3"/>
  <c r="BH232" i="3"/>
  <c r="BG232" i="3"/>
  <c r="BF232" i="3"/>
  <c r="BE232" i="3"/>
  <c r="BD232" i="3"/>
  <c r="BC232" i="3"/>
  <c r="BB232" i="3"/>
  <c r="BA232" i="3"/>
  <c r="AZ232" i="3"/>
  <c r="AY232" i="3"/>
  <c r="AX232" i="3"/>
  <c r="AW232" i="3"/>
  <c r="AV232" i="3"/>
  <c r="AU232" i="3"/>
  <c r="AT232" i="3"/>
  <c r="AS232" i="3"/>
  <c r="AR232" i="3"/>
  <c r="AQ232" i="3"/>
  <c r="AO232" i="3"/>
  <c r="AP232" i="3"/>
  <c r="AN232" i="3"/>
  <c r="AM232" i="3"/>
  <c r="BK231" i="3"/>
  <c r="BI231" i="3"/>
  <c r="BH231" i="3"/>
  <c r="BG231" i="3"/>
  <c r="BF231" i="3"/>
  <c r="BE231" i="3"/>
  <c r="BD231" i="3"/>
  <c r="BC231" i="3"/>
  <c r="BB231" i="3"/>
  <c r="BA231" i="3"/>
  <c r="AZ231" i="3"/>
  <c r="AY231" i="3"/>
  <c r="AX231" i="3"/>
  <c r="AW231" i="3"/>
  <c r="AV231" i="3"/>
  <c r="AU231" i="3"/>
  <c r="AT231" i="3"/>
  <c r="AS231" i="3"/>
  <c r="AR231" i="3"/>
  <c r="AQ231" i="3"/>
  <c r="AO231" i="3"/>
  <c r="AP231" i="3"/>
  <c r="AN231" i="3"/>
  <c r="AM231" i="3"/>
  <c r="BK230" i="3"/>
  <c r="BI230" i="3"/>
  <c r="BH230" i="3"/>
  <c r="BG230" i="3"/>
  <c r="BF230" i="3"/>
  <c r="BE230" i="3"/>
  <c r="BD230" i="3"/>
  <c r="BC230" i="3"/>
  <c r="BB230" i="3"/>
  <c r="BA230" i="3"/>
  <c r="AZ230" i="3"/>
  <c r="AY230" i="3"/>
  <c r="AX230" i="3"/>
  <c r="AW230" i="3"/>
  <c r="AV230" i="3"/>
  <c r="AU230" i="3"/>
  <c r="AT230" i="3"/>
  <c r="AS230" i="3"/>
  <c r="AR230" i="3"/>
  <c r="AQ230" i="3"/>
  <c r="AO230" i="3"/>
  <c r="AP230" i="3"/>
  <c r="AN230" i="3"/>
  <c r="AM230" i="3"/>
  <c r="BK229" i="3"/>
  <c r="BI229" i="3"/>
  <c r="BH229" i="3"/>
  <c r="BG229" i="3"/>
  <c r="BF229" i="3"/>
  <c r="BE229" i="3"/>
  <c r="BD229" i="3"/>
  <c r="BC229" i="3"/>
  <c r="BB229" i="3"/>
  <c r="BA229" i="3"/>
  <c r="AZ229" i="3"/>
  <c r="AY229" i="3"/>
  <c r="AX229" i="3"/>
  <c r="AW229" i="3"/>
  <c r="AV229" i="3"/>
  <c r="AU229" i="3"/>
  <c r="AT229" i="3"/>
  <c r="AS229" i="3"/>
  <c r="AR229" i="3"/>
  <c r="AQ229" i="3"/>
  <c r="AO229" i="3"/>
  <c r="AP229" i="3"/>
  <c r="AN229" i="3"/>
  <c r="AM229" i="3"/>
  <c r="BK228" i="3"/>
  <c r="BI228" i="3"/>
  <c r="BH228" i="3"/>
  <c r="BG228" i="3"/>
  <c r="BF228" i="3"/>
  <c r="BE228" i="3"/>
  <c r="BD228" i="3"/>
  <c r="BC228" i="3"/>
  <c r="BB228" i="3"/>
  <c r="BA228" i="3"/>
  <c r="AZ228" i="3"/>
  <c r="AY228" i="3"/>
  <c r="AX228" i="3"/>
  <c r="AW228" i="3"/>
  <c r="AV228" i="3"/>
  <c r="AU228" i="3"/>
  <c r="AT228" i="3"/>
  <c r="AS228" i="3"/>
  <c r="AR228" i="3"/>
  <c r="AQ228" i="3"/>
  <c r="AO228" i="3"/>
  <c r="AP228" i="3"/>
  <c r="AN228" i="3"/>
  <c r="AM228" i="3"/>
  <c r="BK227" i="3"/>
  <c r="BI227" i="3"/>
  <c r="BH227" i="3"/>
  <c r="BG227" i="3"/>
  <c r="BF227" i="3"/>
  <c r="BE227" i="3"/>
  <c r="BD227" i="3"/>
  <c r="BC227" i="3"/>
  <c r="BB227" i="3"/>
  <c r="BA227" i="3"/>
  <c r="AZ227" i="3"/>
  <c r="AY227" i="3"/>
  <c r="AX227" i="3"/>
  <c r="AW227" i="3"/>
  <c r="AV227" i="3"/>
  <c r="AU227" i="3"/>
  <c r="AT227" i="3"/>
  <c r="AS227" i="3"/>
  <c r="AR227" i="3"/>
  <c r="AQ227" i="3"/>
  <c r="AO227" i="3"/>
  <c r="AP227" i="3"/>
  <c r="AN227" i="3"/>
  <c r="AM227" i="3"/>
  <c r="BK226" i="3"/>
  <c r="BI226" i="3"/>
  <c r="BH226" i="3"/>
  <c r="BG226" i="3"/>
  <c r="BF226" i="3"/>
  <c r="BE226" i="3"/>
  <c r="BD226" i="3"/>
  <c r="BC226" i="3"/>
  <c r="BB226" i="3"/>
  <c r="BA226" i="3"/>
  <c r="AZ226" i="3"/>
  <c r="AY226" i="3"/>
  <c r="AX226" i="3"/>
  <c r="AW226" i="3"/>
  <c r="AV226" i="3"/>
  <c r="AU226" i="3"/>
  <c r="AT226" i="3"/>
  <c r="AS226" i="3"/>
  <c r="AR226" i="3"/>
  <c r="AQ226" i="3"/>
  <c r="AO226" i="3"/>
  <c r="AP226" i="3"/>
  <c r="AN226" i="3"/>
  <c r="AM226" i="3"/>
  <c r="BK225" i="3"/>
  <c r="BI225" i="3"/>
  <c r="BH225" i="3"/>
  <c r="BG225" i="3"/>
  <c r="BF225" i="3"/>
  <c r="BE225" i="3"/>
  <c r="BD225" i="3"/>
  <c r="BC225" i="3"/>
  <c r="BB225" i="3"/>
  <c r="BA225" i="3"/>
  <c r="AZ225" i="3"/>
  <c r="AY225" i="3"/>
  <c r="AX225" i="3"/>
  <c r="AW225" i="3"/>
  <c r="AV225" i="3"/>
  <c r="AU225" i="3"/>
  <c r="AT225" i="3"/>
  <c r="AS225" i="3"/>
  <c r="AR225" i="3"/>
  <c r="AQ225" i="3"/>
  <c r="AO225" i="3"/>
  <c r="AP225" i="3"/>
  <c r="AN225" i="3"/>
  <c r="AM225" i="3"/>
  <c r="BK224" i="3"/>
  <c r="BI224" i="3"/>
  <c r="BH224" i="3"/>
  <c r="BG224" i="3"/>
  <c r="BF224" i="3"/>
  <c r="BE224" i="3"/>
  <c r="BD224" i="3"/>
  <c r="BC224" i="3"/>
  <c r="BB224" i="3"/>
  <c r="BA224" i="3"/>
  <c r="AZ224" i="3"/>
  <c r="AY224" i="3"/>
  <c r="AX224" i="3"/>
  <c r="AW224" i="3"/>
  <c r="AV224" i="3"/>
  <c r="AU224" i="3"/>
  <c r="AT224" i="3"/>
  <c r="AS224" i="3"/>
  <c r="AR224" i="3"/>
  <c r="AQ224" i="3"/>
  <c r="AO224" i="3"/>
  <c r="AP224" i="3"/>
  <c r="AN224" i="3"/>
  <c r="AM224" i="3"/>
  <c r="BK223" i="3"/>
  <c r="BI223" i="3"/>
  <c r="BH223" i="3"/>
  <c r="BG223" i="3"/>
  <c r="BF223" i="3"/>
  <c r="BE223" i="3"/>
  <c r="BD223" i="3"/>
  <c r="BC223" i="3"/>
  <c r="BB223" i="3"/>
  <c r="BA223" i="3"/>
  <c r="AZ223" i="3"/>
  <c r="AY223" i="3"/>
  <c r="AX223" i="3"/>
  <c r="AW223" i="3"/>
  <c r="AV223" i="3"/>
  <c r="AU223" i="3"/>
  <c r="AT223" i="3"/>
  <c r="AS223" i="3"/>
  <c r="AR223" i="3"/>
  <c r="AQ223" i="3"/>
  <c r="AO223" i="3"/>
  <c r="AP223" i="3"/>
  <c r="AN223" i="3"/>
  <c r="AM223" i="3"/>
  <c r="BK222" i="3"/>
  <c r="BI222" i="3"/>
  <c r="BH222" i="3"/>
  <c r="BG222" i="3"/>
  <c r="BF222" i="3"/>
  <c r="BE222" i="3"/>
  <c r="BD222" i="3"/>
  <c r="BC222" i="3"/>
  <c r="BB222" i="3"/>
  <c r="BA222" i="3"/>
  <c r="AZ222" i="3"/>
  <c r="AY222" i="3"/>
  <c r="AX222" i="3"/>
  <c r="AW222" i="3"/>
  <c r="AV222" i="3"/>
  <c r="AU222" i="3"/>
  <c r="AT222" i="3"/>
  <c r="AS222" i="3"/>
  <c r="AR222" i="3"/>
  <c r="AQ222" i="3"/>
  <c r="AO222" i="3"/>
  <c r="AP222" i="3"/>
  <c r="AN222" i="3"/>
  <c r="AM222" i="3"/>
  <c r="BK221" i="3"/>
  <c r="BI221" i="3"/>
  <c r="BH221" i="3"/>
  <c r="BG221" i="3"/>
  <c r="BF221" i="3"/>
  <c r="BE221" i="3"/>
  <c r="BD221" i="3"/>
  <c r="BC221" i="3"/>
  <c r="BB221" i="3"/>
  <c r="BA221" i="3"/>
  <c r="AZ221" i="3"/>
  <c r="AY221" i="3"/>
  <c r="AX221" i="3"/>
  <c r="AW221" i="3"/>
  <c r="AV221" i="3"/>
  <c r="AU221" i="3"/>
  <c r="AT221" i="3"/>
  <c r="AS221" i="3"/>
  <c r="AR221" i="3"/>
  <c r="AQ221" i="3"/>
  <c r="AO221" i="3"/>
  <c r="AP221" i="3"/>
  <c r="AN221" i="3"/>
  <c r="AM221" i="3"/>
  <c r="BK220" i="3"/>
  <c r="BI220" i="3"/>
  <c r="BH220" i="3"/>
  <c r="BG220" i="3"/>
  <c r="BF220" i="3"/>
  <c r="BE220" i="3"/>
  <c r="BD220" i="3"/>
  <c r="BC220" i="3"/>
  <c r="BB220" i="3"/>
  <c r="BA220" i="3"/>
  <c r="AZ220" i="3"/>
  <c r="AY220" i="3"/>
  <c r="AX220" i="3"/>
  <c r="AW220" i="3"/>
  <c r="AV220" i="3"/>
  <c r="AU220" i="3"/>
  <c r="AT220" i="3"/>
  <c r="AS220" i="3"/>
  <c r="AR220" i="3"/>
  <c r="AQ220" i="3"/>
  <c r="AO220" i="3"/>
  <c r="AP220" i="3"/>
  <c r="AN220" i="3"/>
  <c r="AM220" i="3"/>
  <c r="BK219" i="3"/>
  <c r="BI219" i="3"/>
  <c r="BH219" i="3"/>
  <c r="BG219" i="3"/>
  <c r="BF219" i="3"/>
  <c r="BE219" i="3"/>
  <c r="BD219" i="3"/>
  <c r="BC219" i="3"/>
  <c r="BB219" i="3"/>
  <c r="BA219" i="3"/>
  <c r="AZ219" i="3"/>
  <c r="AY219" i="3"/>
  <c r="AX219" i="3"/>
  <c r="AW219" i="3"/>
  <c r="AV219" i="3"/>
  <c r="AU219" i="3"/>
  <c r="AT219" i="3"/>
  <c r="AS219" i="3"/>
  <c r="AR219" i="3"/>
  <c r="AQ219" i="3"/>
  <c r="AO219" i="3"/>
  <c r="AP219" i="3"/>
  <c r="AN219" i="3"/>
  <c r="AM219" i="3"/>
  <c r="BK218" i="3"/>
  <c r="BI218" i="3"/>
  <c r="BH218" i="3"/>
  <c r="BG218" i="3"/>
  <c r="BF218" i="3"/>
  <c r="BE218" i="3"/>
  <c r="BD218" i="3"/>
  <c r="BC218" i="3"/>
  <c r="BB218" i="3"/>
  <c r="BA218" i="3"/>
  <c r="AZ218" i="3"/>
  <c r="AY218" i="3"/>
  <c r="AX218" i="3"/>
  <c r="AW218" i="3"/>
  <c r="AV218" i="3"/>
  <c r="AU218" i="3"/>
  <c r="AT218" i="3"/>
  <c r="AS218" i="3"/>
  <c r="AR218" i="3"/>
  <c r="AQ218" i="3"/>
  <c r="AO218" i="3"/>
  <c r="AP218" i="3"/>
  <c r="AN218" i="3"/>
  <c r="AM218" i="3"/>
  <c r="BK217" i="3"/>
  <c r="BI217" i="3"/>
  <c r="BH217" i="3"/>
  <c r="BG217" i="3"/>
  <c r="BF217" i="3"/>
  <c r="BE217" i="3"/>
  <c r="BD217" i="3"/>
  <c r="BC217" i="3"/>
  <c r="BB217" i="3"/>
  <c r="BA217" i="3"/>
  <c r="AZ217" i="3"/>
  <c r="AY217" i="3"/>
  <c r="AX217" i="3"/>
  <c r="AW217" i="3"/>
  <c r="AV217" i="3"/>
  <c r="AU217" i="3"/>
  <c r="AT217" i="3"/>
  <c r="AS217" i="3"/>
  <c r="AR217" i="3"/>
  <c r="AQ217" i="3"/>
  <c r="AO217" i="3"/>
  <c r="AP217" i="3"/>
  <c r="AN217" i="3"/>
  <c r="AM217" i="3"/>
  <c r="BK216" i="3"/>
  <c r="BI216" i="3"/>
  <c r="BH216" i="3"/>
  <c r="BG216" i="3"/>
  <c r="BF216" i="3"/>
  <c r="BE216" i="3"/>
  <c r="BD216" i="3"/>
  <c r="BC216" i="3"/>
  <c r="BB216" i="3"/>
  <c r="BA216" i="3"/>
  <c r="AZ216" i="3"/>
  <c r="AY216" i="3"/>
  <c r="AX216" i="3"/>
  <c r="AW216" i="3"/>
  <c r="AV216" i="3"/>
  <c r="AU216" i="3"/>
  <c r="AT216" i="3"/>
  <c r="AS216" i="3"/>
  <c r="AR216" i="3"/>
  <c r="AQ216" i="3"/>
  <c r="AO216" i="3"/>
  <c r="AP216" i="3"/>
  <c r="AN216" i="3"/>
  <c r="AM216" i="3"/>
  <c r="BK215" i="3"/>
  <c r="BI215" i="3"/>
  <c r="BH215" i="3"/>
  <c r="BG215" i="3"/>
  <c r="BF215" i="3"/>
  <c r="BE215" i="3"/>
  <c r="BD215" i="3"/>
  <c r="BC215" i="3"/>
  <c r="BB215" i="3"/>
  <c r="BA215" i="3"/>
  <c r="AZ215" i="3"/>
  <c r="AY215" i="3"/>
  <c r="AX215" i="3"/>
  <c r="AW215" i="3"/>
  <c r="AV215" i="3"/>
  <c r="AU215" i="3"/>
  <c r="AT215" i="3"/>
  <c r="AS215" i="3"/>
  <c r="AR215" i="3"/>
  <c r="AQ215" i="3"/>
  <c r="AO215" i="3"/>
  <c r="AP215" i="3"/>
  <c r="AN215" i="3"/>
  <c r="AM215" i="3"/>
  <c r="BK214" i="3"/>
  <c r="BI214" i="3"/>
  <c r="BH214" i="3"/>
  <c r="BG214" i="3"/>
  <c r="BF214" i="3"/>
  <c r="BE214" i="3"/>
  <c r="BD214" i="3"/>
  <c r="BC214" i="3"/>
  <c r="BB214" i="3"/>
  <c r="BA214" i="3"/>
  <c r="AZ214" i="3"/>
  <c r="AY214" i="3"/>
  <c r="AX214" i="3"/>
  <c r="AW214" i="3"/>
  <c r="AV214" i="3"/>
  <c r="AU214" i="3"/>
  <c r="AT214" i="3"/>
  <c r="AS214" i="3"/>
  <c r="AR214" i="3"/>
  <c r="AQ214" i="3"/>
  <c r="AO214" i="3"/>
  <c r="AP214" i="3"/>
  <c r="AN214" i="3"/>
  <c r="AM214" i="3"/>
  <c r="BK213" i="3"/>
  <c r="BI213" i="3"/>
  <c r="BH213" i="3"/>
  <c r="BG213" i="3"/>
  <c r="BF213" i="3"/>
  <c r="BE213" i="3"/>
  <c r="BD213" i="3"/>
  <c r="BC213" i="3"/>
  <c r="BB213" i="3"/>
  <c r="BA213" i="3"/>
  <c r="AZ213" i="3"/>
  <c r="AY213" i="3"/>
  <c r="AX213" i="3"/>
  <c r="AW213" i="3"/>
  <c r="AV213" i="3"/>
  <c r="AU213" i="3"/>
  <c r="AT213" i="3"/>
  <c r="AS213" i="3"/>
  <c r="AR213" i="3"/>
  <c r="AQ213" i="3"/>
  <c r="AO213" i="3"/>
  <c r="AP213" i="3"/>
  <c r="AN213" i="3"/>
  <c r="AM213" i="3"/>
  <c r="BI212" i="3"/>
  <c r="BH212" i="3"/>
  <c r="BG212" i="3"/>
  <c r="BF212" i="3"/>
  <c r="BE212" i="3"/>
  <c r="BD212" i="3"/>
  <c r="BC212" i="3"/>
  <c r="BB212" i="3"/>
  <c r="BA212" i="3"/>
  <c r="AZ212" i="3"/>
  <c r="AY212" i="3"/>
  <c r="AX212" i="3"/>
  <c r="AW212" i="3"/>
  <c r="AV212" i="3"/>
  <c r="AU212" i="3"/>
  <c r="AT212" i="3"/>
  <c r="AS212" i="3"/>
  <c r="AR212" i="3"/>
  <c r="AQ212" i="3"/>
  <c r="AP212" i="3"/>
  <c r="AO212" i="3"/>
  <c r="AM212" i="3"/>
  <c r="BK210" i="3"/>
  <c r="AM210" i="3"/>
  <c r="BI210" i="3"/>
  <c r="BH210" i="3"/>
  <c r="BG210" i="3"/>
  <c r="BF210" i="3"/>
  <c r="BE210" i="3"/>
  <c r="BD210" i="3"/>
  <c r="BC210" i="3"/>
  <c r="BB210" i="3"/>
  <c r="BA210" i="3"/>
  <c r="AZ210" i="3"/>
  <c r="AY210" i="3"/>
  <c r="AX210" i="3"/>
  <c r="AW210" i="3"/>
  <c r="AV210" i="3"/>
  <c r="AU210" i="3"/>
  <c r="AT210" i="3"/>
  <c r="AS210" i="3"/>
  <c r="AR210" i="3"/>
  <c r="AQ210" i="3"/>
  <c r="AP210" i="3"/>
  <c r="AO210" i="3"/>
  <c r="BK209" i="3"/>
  <c r="AM209" i="3"/>
  <c r="BI209" i="3"/>
  <c r="BH209" i="3"/>
  <c r="BG209" i="3"/>
  <c r="BF209" i="3"/>
  <c r="BE209" i="3"/>
  <c r="BD209" i="3"/>
  <c r="BC209" i="3"/>
  <c r="BB209" i="3"/>
  <c r="BA209" i="3"/>
  <c r="AZ209" i="3"/>
  <c r="AY209" i="3"/>
  <c r="AX209" i="3"/>
  <c r="AW209" i="3"/>
  <c r="AV209" i="3"/>
  <c r="AU209" i="3"/>
  <c r="AT209" i="3"/>
  <c r="AS209" i="3"/>
  <c r="AR209" i="3"/>
  <c r="AQ209" i="3"/>
  <c r="AP209" i="3"/>
  <c r="AO209" i="3"/>
  <c r="AN209" i="3"/>
  <c r="BK208" i="3"/>
  <c r="AM208" i="3"/>
  <c r="BI208" i="3"/>
  <c r="BH208" i="3"/>
  <c r="BG208" i="3"/>
  <c r="BF208" i="3"/>
  <c r="BE208" i="3"/>
  <c r="BD208" i="3"/>
  <c r="BC208" i="3"/>
  <c r="BB208" i="3"/>
  <c r="BA208" i="3"/>
  <c r="AZ208" i="3"/>
  <c r="AY208" i="3"/>
  <c r="AX208" i="3"/>
  <c r="AW208" i="3"/>
  <c r="AV208" i="3"/>
  <c r="AU208" i="3"/>
  <c r="AT208" i="3"/>
  <c r="AS208" i="3"/>
  <c r="AR208" i="3"/>
  <c r="AQ208" i="3"/>
  <c r="AP208" i="3"/>
  <c r="AO208" i="3"/>
  <c r="AK207" i="3"/>
  <c r="BK207" i="3"/>
  <c r="AM207" i="3"/>
  <c r="BI207" i="3"/>
  <c r="BH207" i="3"/>
  <c r="BG207" i="3"/>
  <c r="BF207" i="3"/>
  <c r="BE207" i="3"/>
  <c r="BD207" i="3"/>
  <c r="BC207" i="3"/>
  <c r="BB207" i="3"/>
  <c r="BA207" i="3"/>
  <c r="AZ207" i="3"/>
  <c r="AY207" i="3"/>
  <c r="AX207" i="3"/>
  <c r="AW207" i="3"/>
  <c r="AV207" i="3"/>
  <c r="AU207" i="3"/>
  <c r="AT207" i="3"/>
  <c r="AS207" i="3"/>
  <c r="AR207" i="3"/>
  <c r="AQ207" i="3"/>
  <c r="AP207" i="3"/>
  <c r="AO207" i="3"/>
  <c r="BK206" i="3"/>
  <c r="AM206" i="3"/>
  <c r="BI206" i="3"/>
  <c r="BH206" i="3"/>
  <c r="BG206" i="3"/>
  <c r="BF206" i="3"/>
  <c r="BE206" i="3"/>
  <c r="BD206" i="3"/>
  <c r="BC206" i="3"/>
  <c r="BB206" i="3"/>
  <c r="BA206" i="3"/>
  <c r="AZ206" i="3"/>
  <c r="AY206" i="3"/>
  <c r="AX206" i="3"/>
  <c r="AW206" i="3"/>
  <c r="AV206" i="3"/>
  <c r="AU206" i="3"/>
  <c r="AT206" i="3"/>
  <c r="AS206" i="3"/>
  <c r="AR206" i="3"/>
  <c r="AQ206" i="3"/>
  <c r="AP206" i="3"/>
  <c r="AO206" i="3"/>
  <c r="BK205" i="3"/>
  <c r="AM205" i="3"/>
  <c r="BI205" i="3"/>
  <c r="BH205" i="3"/>
  <c r="BG205" i="3"/>
  <c r="BF205" i="3"/>
  <c r="BE205" i="3"/>
  <c r="BD205" i="3"/>
  <c r="BC205" i="3"/>
  <c r="BB205" i="3"/>
  <c r="BA205" i="3"/>
  <c r="AZ205" i="3"/>
  <c r="AY205" i="3"/>
  <c r="AX205" i="3"/>
  <c r="AW205" i="3"/>
  <c r="AV205" i="3"/>
  <c r="AU205" i="3"/>
  <c r="AT205" i="3"/>
  <c r="AS205" i="3"/>
  <c r="AR205" i="3"/>
  <c r="AQ205" i="3"/>
  <c r="AP205" i="3"/>
  <c r="AO205" i="3"/>
  <c r="BI204" i="3"/>
  <c r="BH204" i="3"/>
  <c r="BG204" i="3"/>
  <c r="BF204" i="3"/>
  <c r="BE204" i="3"/>
  <c r="BD204" i="3"/>
  <c r="BC204" i="3"/>
  <c r="BB204" i="3"/>
  <c r="BA204" i="3"/>
  <c r="AZ204" i="3"/>
  <c r="AY204" i="3"/>
  <c r="AX204" i="3"/>
  <c r="AW204" i="3"/>
  <c r="AV204" i="3"/>
  <c r="AU204" i="3"/>
  <c r="AT204" i="3"/>
  <c r="AS204" i="3"/>
  <c r="AR204" i="3"/>
  <c r="AQ204" i="3"/>
  <c r="AO204" i="3"/>
  <c r="AP204" i="3"/>
  <c r="AN204" i="3"/>
  <c r="AK204" i="3"/>
  <c r="BK204" i="3"/>
  <c r="AM204" i="3"/>
  <c r="BI203" i="3"/>
  <c r="BH203" i="3"/>
  <c r="BG203" i="3"/>
  <c r="BF203" i="3"/>
  <c r="BE203" i="3"/>
  <c r="BD203" i="3"/>
  <c r="BC203" i="3"/>
  <c r="BB203" i="3"/>
  <c r="BA203" i="3"/>
  <c r="AZ203" i="3"/>
  <c r="AY203" i="3"/>
  <c r="AX203" i="3"/>
  <c r="AW203" i="3"/>
  <c r="AV203" i="3"/>
  <c r="AU203" i="3"/>
  <c r="AT203" i="3"/>
  <c r="AS203" i="3"/>
  <c r="AR203" i="3"/>
  <c r="AQ203" i="3"/>
  <c r="AP203" i="3"/>
  <c r="AO203" i="3"/>
  <c r="AK203" i="3"/>
  <c r="BK203" i="3"/>
  <c r="AM203" i="3"/>
  <c r="BK202" i="3"/>
  <c r="AM202" i="3"/>
  <c r="BI202" i="3"/>
  <c r="BH202" i="3"/>
  <c r="BG202" i="3"/>
  <c r="BF202" i="3"/>
  <c r="BE202" i="3"/>
  <c r="BD202" i="3"/>
  <c r="BC202" i="3"/>
  <c r="BB202" i="3"/>
  <c r="BA202" i="3"/>
  <c r="AZ202" i="3"/>
  <c r="AY202" i="3"/>
  <c r="AX202" i="3"/>
  <c r="AW202" i="3"/>
  <c r="AV202" i="3"/>
  <c r="AU202" i="3"/>
  <c r="AT202" i="3"/>
  <c r="AS202" i="3"/>
  <c r="AR202" i="3"/>
  <c r="AQ202" i="3"/>
  <c r="AP202" i="3"/>
  <c r="AO202" i="3"/>
  <c r="BK201" i="3"/>
  <c r="AM201" i="3"/>
  <c r="BI201" i="3"/>
  <c r="BH201" i="3"/>
  <c r="BG201" i="3"/>
  <c r="BF201" i="3"/>
  <c r="BE201" i="3"/>
  <c r="BD201" i="3"/>
  <c r="BC201" i="3"/>
  <c r="BB201" i="3"/>
  <c r="BA201" i="3"/>
  <c r="AZ201" i="3"/>
  <c r="AY201" i="3"/>
  <c r="AX201" i="3"/>
  <c r="AW201" i="3"/>
  <c r="AV201" i="3"/>
  <c r="AU201" i="3"/>
  <c r="AT201" i="3"/>
  <c r="AS201" i="3"/>
  <c r="AR201" i="3"/>
  <c r="AQ201" i="3"/>
  <c r="AP201" i="3"/>
  <c r="AO201" i="3"/>
  <c r="AK200" i="3"/>
  <c r="BK200" i="3"/>
  <c r="AM200" i="3"/>
  <c r="BI200" i="3"/>
  <c r="BH200" i="3"/>
  <c r="BG200" i="3"/>
  <c r="BF200" i="3"/>
  <c r="BE200" i="3"/>
  <c r="BD200" i="3"/>
  <c r="BC200" i="3"/>
  <c r="BB200" i="3"/>
  <c r="BA200" i="3"/>
  <c r="AZ200" i="3"/>
  <c r="AY200" i="3"/>
  <c r="AX200" i="3"/>
  <c r="AW200" i="3"/>
  <c r="AV200" i="3"/>
  <c r="AU200" i="3"/>
  <c r="AT200" i="3"/>
  <c r="AS200" i="3"/>
  <c r="AR200" i="3"/>
  <c r="AQ200" i="3"/>
  <c r="AP200" i="3"/>
  <c r="AO200" i="3"/>
  <c r="AK199" i="3"/>
  <c r="BK199" i="3"/>
  <c r="AM199" i="3"/>
  <c r="BI199" i="3"/>
  <c r="BH199" i="3"/>
  <c r="BG199" i="3"/>
  <c r="BF199" i="3"/>
  <c r="BE199" i="3"/>
  <c r="BD199" i="3"/>
  <c r="BC199" i="3"/>
  <c r="BB199" i="3"/>
  <c r="BA199" i="3"/>
  <c r="AZ199" i="3"/>
  <c r="AY199" i="3"/>
  <c r="AX199" i="3"/>
  <c r="AW199" i="3"/>
  <c r="AV199" i="3"/>
  <c r="AU199" i="3"/>
  <c r="AT199" i="3"/>
  <c r="AS199" i="3"/>
  <c r="AR199" i="3"/>
  <c r="AQ199" i="3"/>
  <c r="AP199" i="3"/>
  <c r="AO199" i="3"/>
  <c r="AN199" i="3"/>
  <c r="BK198" i="3"/>
  <c r="BI198" i="3"/>
  <c r="BH198" i="3"/>
  <c r="BG198" i="3"/>
  <c r="BF198" i="3"/>
  <c r="BE198" i="3"/>
  <c r="BD198" i="3"/>
  <c r="BC198" i="3"/>
  <c r="BB198" i="3"/>
  <c r="BA198" i="3"/>
  <c r="AZ198" i="3"/>
  <c r="AY198" i="3"/>
  <c r="AX198" i="3"/>
  <c r="AW198" i="3"/>
  <c r="AV198" i="3"/>
  <c r="AU198" i="3"/>
  <c r="AT198" i="3"/>
  <c r="AS198" i="3"/>
  <c r="AR198" i="3"/>
  <c r="AQ198" i="3"/>
  <c r="AO198" i="3"/>
  <c r="AP198" i="3"/>
  <c r="AM198" i="3"/>
  <c r="BK197" i="3"/>
  <c r="AM197" i="3"/>
  <c r="BI197" i="3"/>
  <c r="BH197" i="3"/>
  <c r="BG197" i="3"/>
  <c r="BF197" i="3"/>
  <c r="BE197" i="3"/>
  <c r="BD197" i="3"/>
  <c r="BC197" i="3"/>
  <c r="BB197" i="3"/>
  <c r="BA197" i="3"/>
  <c r="AZ197" i="3"/>
  <c r="AY197" i="3"/>
  <c r="AX197" i="3"/>
  <c r="AW197" i="3"/>
  <c r="AV197" i="3"/>
  <c r="AU197" i="3"/>
  <c r="AT197" i="3"/>
  <c r="AS197" i="3"/>
  <c r="AR197" i="3"/>
  <c r="AQ197" i="3"/>
  <c r="AO197" i="3"/>
  <c r="AP197" i="3"/>
  <c r="BK196" i="3"/>
  <c r="AM196" i="3"/>
  <c r="BI196" i="3"/>
  <c r="BH196" i="3"/>
  <c r="BG196" i="3"/>
  <c r="BF196" i="3"/>
  <c r="BE196" i="3"/>
  <c r="BD196" i="3"/>
  <c r="BC196" i="3"/>
  <c r="BB196" i="3"/>
  <c r="BA196" i="3"/>
  <c r="AZ196" i="3"/>
  <c r="AY196" i="3"/>
  <c r="AX196" i="3"/>
  <c r="AW196" i="3"/>
  <c r="AV196" i="3"/>
  <c r="AU196" i="3"/>
  <c r="AT196" i="3"/>
  <c r="AS196" i="3"/>
  <c r="AR196" i="3"/>
  <c r="AQ196" i="3"/>
  <c r="AO196" i="3"/>
  <c r="AP196" i="3"/>
  <c r="AN196" i="3"/>
  <c r="BI195" i="3"/>
  <c r="BH195" i="3"/>
  <c r="BG195" i="3"/>
  <c r="BF195" i="3"/>
  <c r="BE195" i="3"/>
  <c r="BD195" i="3"/>
  <c r="BC195" i="3"/>
  <c r="BB195" i="3"/>
  <c r="BA195" i="3"/>
  <c r="AZ195" i="3"/>
  <c r="AY195" i="3"/>
  <c r="AX195" i="3"/>
  <c r="AW195" i="3"/>
  <c r="AV195" i="3"/>
  <c r="AU195" i="3"/>
  <c r="AT195" i="3"/>
  <c r="AS195" i="3"/>
  <c r="AR195" i="3"/>
  <c r="AQ195" i="3"/>
  <c r="AP195" i="3"/>
  <c r="AO195" i="3"/>
  <c r="AK195" i="3"/>
  <c r="BK195" i="3"/>
  <c r="AM195" i="3"/>
  <c r="BK194" i="3"/>
  <c r="AM194" i="3"/>
  <c r="BI194" i="3"/>
  <c r="BH194" i="3"/>
  <c r="BG194" i="3"/>
  <c r="BF194" i="3"/>
  <c r="BE194" i="3"/>
  <c r="BD194" i="3"/>
  <c r="BC194" i="3"/>
  <c r="BB194" i="3"/>
  <c r="BA194" i="3"/>
  <c r="AZ194" i="3"/>
  <c r="AY194" i="3"/>
  <c r="AX194" i="3"/>
  <c r="AW194" i="3"/>
  <c r="AV194" i="3"/>
  <c r="AU194" i="3"/>
  <c r="AT194" i="3"/>
  <c r="AS194" i="3"/>
  <c r="AR194" i="3"/>
  <c r="AQ194" i="3"/>
  <c r="AO194" i="3"/>
  <c r="AP194" i="3"/>
  <c r="AN194" i="3"/>
  <c r="BK193" i="3"/>
  <c r="AM193" i="3"/>
  <c r="BI193" i="3"/>
  <c r="BH193" i="3"/>
  <c r="BG193" i="3"/>
  <c r="BF193" i="3"/>
  <c r="BE193" i="3"/>
  <c r="BD193" i="3"/>
  <c r="BC193" i="3"/>
  <c r="BB193" i="3"/>
  <c r="BA193" i="3"/>
  <c r="AZ193" i="3"/>
  <c r="AY193" i="3"/>
  <c r="AX193" i="3"/>
  <c r="AW193" i="3"/>
  <c r="AV193" i="3"/>
  <c r="AU193" i="3"/>
  <c r="AT193" i="3"/>
  <c r="AS193" i="3"/>
  <c r="AR193" i="3"/>
  <c r="AQ193" i="3"/>
  <c r="AP193" i="3"/>
  <c r="AO193" i="3"/>
  <c r="AN193" i="3"/>
  <c r="AK192" i="3"/>
  <c r="BK192" i="3"/>
  <c r="AM192" i="3"/>
  <c r="BI192" i="3"/>
  <c r="BH192" i="3"/>
  <c r="BG192" i="3"/>
  <c r="BF192" i="3"/>
  <c r="BE192" i="3"/>
  <c r="BD192" i="3"/>
  <c r="BC192" i="3"/>
  <c r="BB192" i="3"/>
  <c r="BA192" i="3"/>
  <c r="AZ192" i="3"/>
  <c r="AY192" i="3"/>
  <c r="AX192" i="3"/>
  <c r="AW192" i="3"/>
  <c r="AV192" i="3"/>
  <c r="AU192" i="3"/>
  <c r="AT192" i="3"/>
  <c r="AS192" i="3"/>
  <c r="AR192" i="3"/>
  <c r="AQ192" i="3"/>
  <c r="AP192" i="3"/>
  <c r="AO192" i="3"/>
  <c r="AN192" i="3"/>
  <c r="AK191" i="3"/>
  <c r="BK191" i="3"/>
  <c r="AM191" i="3"/>
  <c r="BI191" i="3"/>
  <c r="BH191" i="3"/>
  <c r="BG191" i="3"/>
  <c r="BF191" i="3"/>
  <c r="BE191" i="3"/>
  <c r="BD191" i="3"/>
  <c r="BC191" i="3"/>
  <c r="BB191" i="3"/>
  <c r="BA191" i="3"/>
  <c r="AZ191" i="3"/>
  <c r="AY191" i="3"/>
  <c r="AX191" i="3"/>
  <c r="AW191" i="3"/>
  <c r="AV191" i="3"/>
  <c r="AU191" i="3"/>
  <c r="AT191" i="3"/>
  <c r="AS191" i="3"/>
  <c r="AR191" i="3"/>
  <c r="AQ191" i="3"/>
  <c r="AP191" i="3"/>
  <c r="AO191" i="3"/>
  <c r="BI190" i="3"/>
  <c r="BH190" i="3"/>
  <c r="BG190" i="3"/>
  <c r="BF190" i="3"/>
  <c r="BE190" i="3"/>
  <c r="BD190" i="3"/>
  <c r="BC190" i="3"/>
  <c r="BB190" i="3"/>
  <c r="BA190" i="3"/>
  <c r="AZ190" i="3"/>
  <c r="AY190" i="3"/>
  <c r="AX190" i="3"/>
  <c r="AW190" i="3"/>
  <c r="AV190" i="3"/>
  <c r="AU190" i="3"/>
  <c r="AT190" i="3"/>
  <c r="AS190" i="3"/>
  <c r="AR190" i="3"/>
  <c r="AQ190" i="3"/>
  <c r="AP190" i="3"/>
  <c r="AO190" i="3"/>
  <c r="AN190" i="3"/>
  <c r="AK190" i="3"/>
  <c r="BK190" i="3"/>
  <c r="AM190" i="3"/>
  <c r="BK189" i="3"/>
  <c r="AM189" i="3"/>
  <c r="BI189" i="3"/>
  <c r="BH189" i="3"/>
  <c r="BG189" i="3"/>
  <c r="BF189" i="3"/>
  <c r="BE189" i="3"/>
  <c r="BD189" i="3"/>
  <c r="BC189" i="3"/>
  <c r="BB189" i="3"/>
  <c r="BA189" i="3"/>
  <c r="AZ189" i="3"/>
  <c r="AY189" i="3"/>
  <c r="AX189" i="3"/>
  <c r="AW189" i="3"/>
  <c r="AV189" i="3"/>
  <c r="AU189" i="3"/>
  <c r="AT189" i="3"/>
  <c r="AS189" i="3"/>
  <c r="AR189" i="3"/>
  <c r="AQ189" i="3"/>
  <c r="AP189" i="3"/>
  <c r="AO189" i="3"/>
  <c r="BK188" i="3"/>
  <c r="AM188" i="3"/>
  <c r="BI188" i="3"/>
  <c r="BH188" i="3"/>
  <c r="BG188" i="3"/>
  <c r="BF188" i="3"/>
  <c r="BE188" i="3"/>
  <c r="BD188" i="3"/>
  <c r="BC188" i="3"/>
  <c r="BB188" i="3"/>
  <c r="BA188" i="3"/>
  <c r="AZ188" i="3"/>
  <c r="AY188" i="3"/>
  <c r="AX188" i="3"/>
  <c r="AW188" i="3"/>
  <c r="AV188" i="3"/>
  <c r="AU188" i="3"/>
  <c r="AT188" i="3"/>
  <c r="AS188" i="3"/>
  <c r="AR188" i="3"/>
  <c r="AQ188" i="3"/>
  <c r="AP188" i="3"/>
  <c r="AO188" i="3"/>
  <c r="AN188" i="3"/>
  <c r="BK187" i="3"/>
  <c r="AM187" i="3"/>
  <c r="BI187" i="3"/>
  <c r="BH187" i="3"/>
  <c r="BG187" i="3"/>
  <c r="BF187" i="3"/>
  <c r="BE187" i="3"/>
  <c r="BD187" i="3"/>
  <c r="BC187" i="3"/>
  <c r="BB187" i="3"/>
  <c r="BA187" i="3"/>
  <c r="AZ187" i="3"/>
  <c r="AY187" i="3"/>
  <c r="AX187" i="3"/>
  <c r="AW187" i="3"/>
  <c r="AV187" i="3"/>
  <c r="AU187" i="3"/>
  <c r="AT187" i="3"/>
  <c r="AS187" i="3"/>
  <c r="AR187" i="3"/>
  <c r="AQ187" i="3"/>
  <c r="AP187" i="3"/>
  <c r="AO187" i="3"/>
  <c r="AN187" i="3"/>
  <c r="BK186" i="3"/>
  <c r="AM186" i="3"/>
  <c r="BI186" i="3"/>
  <c r="BH186" i="3"/>
  <c r="BG186" i="3"/>
  <c r="BF186" i="3"/>
  <c r="BE186" i="3"/>
  <c r="BD186" i="3"/>
  <c r="BC186" i="3"/>
  <c r="BB186" i="3"/>
  <c r="BA186" i="3"/>
  <c r="AZ186" i="3"/>
  <c r="AY186" i="3"/>
  <c r="AX186" i="3"/>
  <c r="AW186" i="3"/>
  <c r="AV186" i="3"/>
  <c r="AU186" i="3"/>
  <c r="AT186" i="3"/>
  <c r="AS186" i="3"/>
  <c r="AR186" i="3"/>
  <c r="AQ186" i="3"/>
  <c r="AP186" i="3"/>
  <c r="AO186" i="3"/>
  <c r="AN186" i="3"/>
  <c r="BI185" i="3"/>
  <c r="BH185" i="3"/>
  <c r="BG185" i="3"/>
  <c r="BF185" i="3"/>
  <c r="BE185" i="3"/>
  <c r="BD185" i="3"/>
  <c r="BC185" i="3"/>
  <c r="BB185" i="3"/>
  <c r="BA185" i="3"/>
  <c r="AZ185" i="3"/>
  <c r="AY185" i="3"/>
  <c r="AX185" i="3"/>
  <c r="AW185" i="3"/>
  <c r="AV185" i="3"/>
  <c r="AU185" i="3"/>
  <c r="AT185" i="3"/>
  <c r="AS185" i="3"/>
  <c r="AR185" i="3"/>
  <c r="AQ185" i="3"/>
  <c r="AP185" i="3"/>
  <c r="AO185" i="3"/>
  <c r="AK185" i="3"/>
  <c r="BK185" i="3"/>
  <c r="AM185" i="3"/>
  <c r="BK184" i="3"/>
  <c r="AM184" i="3"/>
  <c r="BI184" i="3"/>
  <c r="BH184" i="3"/>
  <c r="BG184" i="3"/>
  <c r="BF184" i="3"/>
  <c r="BE184" i="3"/>
  <c r="BD184" i="3"/>
  <c r="BC184" i="3"/>
  <c r="BB184" i="3"/>
  <c r="BA184" i="3"/>
  <c r="AZ184" i="3"/>
  <c r="AY184" i="3"/>
  <c r="AX184" i="3"/>
  <c r="AW184" i="3"/>
  <c r="AV184" i="3"/>
  <c r="AU184" i="3"/>
  <c r="AT184" i="3"/>
  <c r="AS184" i="3"/>
  <c r="AR184" i="3"/>
  <c r="AQ184" i="3"/>
  <c r="AP184" i="3"/>
  <c r="AO184" i="3"/>
  <c r="BK183" i="3"/>
  <c r="AM183" i="3"/>
  <c r="BI183" i="3"/>
  <c r="BH183" i="3"/>
  <c r="BG183" i="3"/>
  <c r="BF183" i="3"/>
  <c r="BE183" i="3"/>
  <c r="BD183" i="3"/>
  <c r="BC183" i="3"/>
  <c r="BB183" i="3"/>
  <c r="BA183" i="3"/>
  <c r="AZ183" i="3"/>
  <c r="AY183" i="3"/>
  <c r="AX183" i="3"/>
  <c r="AW183" i="3"/>
  <c r="AV183" i="3"/>
  <c r="AU183" i="3"/>
  <c r="AT183" i="3"/>
  <c r="AS183" i="3"/>
  <c r="AR183" i="3"/>
  <c r="AQ183" i="3"/>
  <c r="AP183" i="3"/>
  <c r="AO183" i="3"/>
  <c r="AN183" i="3"/>
  <c r="BK182" i="3"/>
  <c r="AM182" i="3"/>
  <c r="BI182" i="3"/>
  <c r="BH182" i="3"/>
  <c r="BG182" i="3"/>
  <c r="BF182" i="3"/>
  <c r="BE182" i="3"/>
  <c r="BD182" i="3"/>
  <c r="BC182" i="3"/>
  <c r="BB182" i="3"/>
  <c r="BA182" i="3"/>
  <c r="AZ182" i="3"/>
  <c r="AY182" i="3"/>
  <c r="AX182" i="3"/>
  <c r="AW182" i="3"/>
  <c r="AV182" i="3"/>
  <c r="AU182" i="3"/>
  <c r="AT182" i="3"/>
  <c r="AS182" i="3"/>
  <c r="AR182" i="3"/>
  <c r="AQ182" i="3"/>
  <c r="AP182" i="3"/>
  <c r="AO182" i="3"/>
  <c r="AN182" i="3"/>
  <c r="BK181" i="3"/>
  <c r="AM181" i="3"/>
  <c r="BI181" i="3"/>
  <c r="BH181" i="3"/>
  <c r="BG181" i="3"/>
  <c r="BF181" i="3"/>
  <c r="BE181" i="3"/>
  <c r="BD181" i="3"/>
  <c r="BC181" i="3"/>
  <c r="BB181" i="3"/>
  <c r="BA181" i="3"/>
  <c r="AZ181" i="3"/>
  <c r="AY181" i="3"/>
  <c r="AX181" i="3"/>
  <c r="AW181" i="3"/>
  <c r="AV181" i="3"/>
  <c r="AU181" i="3"/>
  <c r="AT181" i="3"/>
  <c r="AS181" i="3"/>
  <c r="AR181" i="3"/>
  <c r="AQ181" i="3"/>
  <c r="AP181" i="3"/>
  <c r="AO181" i="3"/>
  <c r="AN181" i="3"/>
  <c r="AK180" i="3"/>
  <c r="BK180" i="3"/>
  <c r="AM180" i="3"/>
  <c r="BI180" i="3"/>
  <c r="BH180" i="3"/>
  <c r="BG180" i="3"/>
  <c r="BF180" i="3"/>
  <c r="BE180" i="3"/>
  <c r="BD180" i="3"/>
  <c r="BC180" i="3"/>
  <c r="BB180" i="3"/>
  <c r="BA180" i="3"/>
  <c r="AZ180" i="3"/>
  <c r="AY180" i="3"/>
  <c r="AX180" i="3"/>
  <c r="AW180" i="3"/>
  <c r="AV180" i="3"/>
  <c r="AU180" i="3"/>
  <c r="AT180" i="3"/>
  <c r="AS180" i="3"/>
  <c r="AR180" i="3"/>
  <c r="AQ180" i="3"/>
  <c r="AP180" i="3"/>
  <c r="AO180" i="3"/>
  <c r="AK179" i="3"/>
  <c r="BK179" i="3"/>
  <c r="AM179" i="3"/>
  <c r="BI179" i="3"/>
  <c r="BH179" i="3"/>
  <c r="BG179" i="3"/>
  <c r="BF179" i="3"/>
  <c r="BE179" i="3"/>
  <c r="BD179" i="3"/>
  <c r="BC179" i="3"/>
  <c r="BB179" i="3"/>
  <c r="BA179" i="3"/>
  <c r="AZ179" i="3"/>
  <c r="AY179" i="3"/>
  <c r="AX179" i="3"/>
  <c r="AW179" i="3"/>
  <c r="AV179" i="3"/>
  <c r="AU179" i="3"/>
  <c r="AT179" i="3"/>
  <c r="AS179" i="3"/>
  <c r="AR179" i="3"/>
  <c r="AQ179" i="3"/>
  <c r="AP179" i="3"/>
  <c r="AO179" i="3"/>
  <c r="BK178" i="3"/>
  <c r="AM178" i="3"/>
  <c r="BI178" i="3"/>
  <c r="BH178" i="3"/>
  <c r="BG178" i="3"/>
  <c r="BF178" i="3"/>
  <c r="BE178" i="3"/>
  <c r="BD178" i="3"/>
  <c r="BC178" i="3"/>
  <c r="BB178" i="3"/>
  <c r="BA178" i="3"/>
  <c r="AZ178" i="3"/>
  <c r="AY178" i="3"/>
  <c r="AX178" i="3"/>
  <c r="AW178" i="3"/>
  <c r="AV178" i="3"/>
  <c r="AU178" i="3"/>
  <c r="AT178" i="3"/>
  <c r="AS178" i="3"/>
  <c r="AR178" i="3"/>
  <c r="AQ178" i="3"/>
  <c r="AP178" i="3"/>
  <c r="AO178" i="3"/>
  <c r="AN178" i="3"/>
  <c r="BK177" i="3"/>
  <c r="AM177" i="3"/>
  <c r="BI177" i="3"/>
  <c r="BH177" i="3"/>
  <c r="BG177" i="3"/>
  <c r="BF177" i="3"/>
  <c r="BE177" i="3"/>
  <c r="BD177" i="3"/>
  <c r="BC177" i="3"/>
  <c r="BB177" i="3"/>
  <c r="BA177" i="3"/>
  <c r="AZ177" i="3"/>
  <c r="AY177" i="3"/>
  <c r="AX177" i="3"/>
  <c r="AW177" i="3"/>
  <c r="AV177" i="3"/>
  <c r="AU177" i="3"/>
  <c r="AT177" i="3"/>
  <c r="AS177" i="3"/>
  <c r="AR177" i="3"/>
  <c r="AQ177" i="3"/>
  <c r="AP177" i="3"/>
  <c r="AO177" i="3"/>
  <c r="AN177" i="3"/>
  <c r="AK176" i="3"/>
  <c r="BK176" i="3"/>
  <c r="AM176" i="3"/>
  <c r="BI176" i="3"/>
  <c r="BH176" i="3"/>
  <c r="BG176" i="3"/>
  <c r="BF176" i="3"/>
  <c r="BE176" i="3"/>
  <c r="BD176" i="3"/>
  <c r="BC176" i="3"/>
  <c r="BB176" i="3"/>
  <c r="BA176" i="3"/>
  <c r="AZ176" i="3"/>
  <c r="AY176" i="3"/>
  <c r="AX176" i="3"/>
  <c r="AW176" i="3"/>
  <c r="AV176" i="3"/>
  <c r="AU176" i="3"/>
  <c r="AT176" i="3"/>
  <c r="AS176" i="3"/>
  <c r="AR176" i="3"/>
  <c r="AQ176" i="3"/>
  <c r="AP176" i="3"/>
  <c r="AO176" i="3"/>
  <c r="BI175" i="3"/>
  <c r="BH175" i="3"/>
  <c r="BG175" i="3"/>
  <c r="BF175" i="3"/>
  <c r="BE175" i="3"/>
  <c r="BD175" i="3"/>
  <c r="BC175" i="3"/>
  <c r="BB175" i="3"/>
  <c r="BA175" i="3"/>
  <c r="AZ175" i="3"/>
  <c r="AY175" i="3"/>
  <c r="AX175" i="3"/>
  <c r="AW175" i="3"/>
  <c r="AV175" i="3"/>
  <c r="AU175" i="3"/>
  <c r="AT175" i="3"/>
  <c r="AS175" i="3"/>
  <c r="AR175" i="3"/>
  <c r="AQ175" i="3"/>
  <c r="AP175" i="3"/>
  <c r="AO175" i="3"/>
  <c r="AN175" i="3"/>
  <c r="AK175" i="3"/>
  <c r="BK175" i="3"/>
  <c r="AM175" i="3"/>
  <c r="AK174" i="3"/>
  <c r="BK174" i="3"/>
  <c r="AM174" i="3"/>
  <c r="BI174" i="3"/>
  <c r="BH174" i="3"/>
  <c r="BG174" i="3"/>
  <c r="BF174" i="3"/>
  <c r="BE174" i="3"/>
  <c r="BD174" i="3"/>
  <c r="BC174" i="3"/>
  <c r="BB174" i="3"/>
  <c r="BA174" i="3"/>
  <c r="AZ174" i="3"/>
  <c r="AY174" i="3"/>
  <c r="AX174" i="3"/>
  <c r="AW174" i="3"/>
  <c r="AV174" i="3"/>
  <c r="AU174" i="3"/>
  <c r="AT174" i="3"/>
  <c r="AS174" i="3"/>
  <c r="AR174" i="3"/>
  <c r="AQ174" i="3"/>
  <c r="AO174" i="3"/>
  <c r="AP174" i="3"/>
  <c r="AN174" i="3"/>
  <c r="AK173" i="3"/>
  <c r="BK173" i="3"/>
  <c r="AM173" i="3"/>
  <c r="BI173" i="3"/>
  <c r="BH173" i="3"/>
  <c r="BG173" i="3"/>
  <c r="BF173" i="3"/>
  <c r="BE173" i="3"/>
  <c r="BD173" i="3"/>
  <c r="BC173" i="3"/>
  <c r="BB173" i="3"/>
  <c r="BA173" i="3"/>
  <c r="AZ173" i="3"/>
  <c r="AY173" i="3"/>
  <c r="AX173" i="3"/>
  <c r="AW173" i="3"/>
  <c r="AV173" i="3"/>
  <c r="AU173" i="3"/>
  <c r="AT173" i="3"/>
  <c r="AS173" i="3"/>
  <c r="AR173" i="3"/>
  <c r="AQ173" i="3"/>
  <c r="AP173" i="3"/>
  <c r="AO173" i="3"/>
  <c r="BK172" i="3"/>
  <c r="AM172" i="3"/>
  <c r="BI172" i="3"/>
  <c r="BH172" i="3"/>
  <c r="BG172" i="3"/>
  <c r="BF172" i="3"/>
  <c r="BE172" i="3"/>
  <c r="BD172" i="3"/>
  <c r="BC172" i="3"/>
  <c r="BB172" i="3"/>
  <c r="BA172" i="3"/>
  <c r="AZ172" i="3"/>
  <c r="AY172" i="3"/>
  <c r="AX172" i="3"/>
  <c r="AW172" i="3"/>
  <c r="AV172" i="3"/>
  <c r="AU172" i="3"/>
  <c r="AT172" i="3"/>
  <c r="AS172" i="3"/>
  <c r="AR172" i="3"/>
  <c r="AQ172" i="3"/>
  <c r="AP172" i="3"/>
  <c r="AO172" i="3"/>
  <c r="BK171" i="3"/>
  <c r="AM171" i="3"/>
  <c r="BI171" i="3"/>
  <c r="BH171" i="3"/>
  <c r="BG171" i="3"/>
  <c r="BF171" i="3"/>
  <c r="BE171" i="3"/>
  <c r="BD171" i="3"/>
  <c r="BC171" i="3"/>
  <c r="BB171" i="3"/>
  <c r="BA171" i="3"/>
  <c r="AZ171" i="3"/>
  <c r="AY171" i="3"/>
  <c r="AX171" i="3"/>
  <c r="AW171" i="3"/>
  <c r="AV171" i="3"/>
  <c r="AU171" i="3"/>
  <c r="AT171" i="3"/>
  <c r="AS171" i="3"/>
  <c r="AR171" i="3"/>
  <c r="AQ171" i="3"/>
  <c r="AP171" i="3"/>
  <c r="AO171" i="3"/>
  <c r="BI170" i="3"/>
  <c r="BH170" i="3"/>
  <c r="BG170" i="3"/>
  <c r="BF170" i="3"/>
  <c r="BE170" i="3"/>
  <c r="BD170" i="3"/>
  <c r="BC170" i="3"/>
  <c r="BB170" i="3"/>
  <c r="BA170" i="3"/>
  <c r="AZ170" i="3"/>
  <c r="AY170" i="3"/>
  <c r="AX170" i="3"/>
  <c r="AW170" i="3"/>
  <c r="AV170" i="3"/>
  <c r="AU170" i="3"/>
  <c r="AT170" i="3"/>
  <c r="AS170" i="3"/>
  <c r="AR170" i="3"/>
  <c r="AQ170" i="3"/>
  <c r="AP170" i="3"/>
  <c r="AO170" i="3"/>
  <c r="AK170" i="3"/>
  <c r="BK170" i="3"/>
  <c r="AM170" i="3"/>
  <c r="BK169" i="3"/>
  <c r="AM169" i="3"/>
  <c r="BI169" i="3"/>
  <c r="BH169" i="3"/>
  <c r="BG169" i="3"/>
  <c r="BF169" i="3"/>
  <c r="BE169" i="3"/>
  <c r="BD169" i="3"/>
  <c r="BC169" i="3"/>
  <c r="BB169" i="3"/>
  <c r="BA169" i="3"/>
  <c r="AZ169" i="3"/>
  <c r="AY169" i="3"/>
  <c r="AX169" i="3"/>
  <c r="AW169" i="3"/>
  <c r="AV169" i="3"/>
  <c r="AU169" i="3"/>
  <c r="AT169" i="3"/>
  <c r="AS169" i="3"/>
  <c r="AR169" i="3"/>
  <c r="AQ169" i="3"/>
  <c r="AO169" i="3"/>
  <c r="AP169" i="3"/>
  <c r="AN169" i="3"/>
  <c r="BK168" i="3"/>
  <c r="AM168" i="3"/>
  <c r="BI168" i="3"/>
  <c r="BH168" i="3"/>
  <c r="BG168" i="3"/>
  <c r="BF168" i="3"/>
  <c r="BE168" i="3"/>
  <c r="BD168" i="3"/>
  <c r="BC168" i="3"/>
  <c r="BB168" i="3"/>
  <c r="BA168" i="3"/>
  <c r="AZ168" i="3"/>
  <c r="AY168" i="3"/>
  <c r="AX168" i="3"/>
  <c r="AW168" i="3"/>
  <c r="AV168" i="3"/>
  <c r="AU168" i="3"/>
  <c r="AT168" i="3"/>
  <c r="AS168" i="3"/>
  <c r="AR168" i="3"/>
  <c r="AQ168" i="3"/>
  <c r="AO168" i="3"/>
  <c r="AP168" i="3"/>
  <c r="AN168" i="3"/>
  <c r="BK167" i="3"/>
  <c r="AM167" i="3"/>
  <c r="BI167" i="3"/>
  <c r="BH167" i="3"/>
  <c r="BG167" i="3"/>
  <c r="BF167" i="3"/>
  <c r="BE167" i="3"/>
  <c r="BD167" i="3"/>
  <c r="BC167" i="3"/>
  <c r="BB167" i="3"/>
  <c r="BA167" i="3"/>
  <c r="AZ167" i="3"/>
  <c r="AY167" i="3"/>
  <c r="AX167" i="3"/>
  <c r="AW167" i="3"/>
  <c r="AV167" i="3"/>
  <c r="AU167" i="3"/>
  <c r="AT167" i="3"/>
  <c r="AS167" i="3"/>
  <c r="AR167" i="3"/>
  <c r="AQ167" i="3"/>
  <c r="AO167" i="3"/>
  <c r="AP167" i="3"/>
  <c r="AN167" i="3"/>
  <c r="BK166" i="3"/>
  <c r="AM166" i="3"/>
  <c r="BI166" i="3"/>
  <c r="BH166" i="3"/>
  <c r="BG166" i="3"/>
  <c r="BF166" i="3"/>
  <c r="BE166" i="3"/>
  <c r="BD166" i="3"/>
  <c r="BC166" i="3"/>
  <c r="BB166" i="3"/>
  <c r="BA166" i="3"/>
  <c r="AZ166" i="3"/>
  <c r="AY166" i="3"/>
  <c r="AX166" i="3"/>
  <c r="AW166" i="3"/>
  <c r="AV166" i="3"/>
  <c r="AU166" i="3"/>
  <c r="AT166" i="3"/>
  <c r="AS166" i="3"/>
  <c r="AR166" i="3"/>
  <c r="AQ166" i="3"/>
  <c r="AO166" i="3"/>
  <c r="AP166" i="3"/>
  <c r="AN166" i="3"/>
  <c r="BK165" i="3"/>
  <c r="AM165" i="3"/>
  <c r="BI165" i="3"/>
  <c r="BH165" i="3"/>
  <c r="BG165" i="3"/>
  <c r="BF165" i="3"/>
  <c r="BE165" i="3"/>
  <c r="BD165" i="3"/>
  <c r="BC165" i="3"/>
  <c r="BB165" i="3"/>
  <c r="BA165" i="3"/>
  <c r="AZ165" i="3"/>
  <c r="AY165" i="3"/>
  <c r="AX165" i="3"/>
  <c r="AW165" i="3"/>
  <c r="AV165" i="3"/>
  <c r="AU165" i="3"/>
  <c r="AT165" i="3"/>
  <c r="AS165" i="3"/>
  <c r="AR165" i="3"/>
  <c r="AQ165" i="3"/>
  <c r="AO165" i="3"/>
  <c r="AP165" i="3"/>
  <c r="AN165" i="3"/>
  <c r="BK164" i="3"/>
  <c r="AM164" i="3"/>
  <c r="BI164" i="3"/>
  <c r="BH164" i="3"/>
  <c r="BG164" i="3"/>
  <c r="BF164" i="3"/>
  <c r="BE164" i="3"/>
  <c r="BD164" i="3"/>
  <c r="BC164" i="3"/>
  <c r="BB164" i="3"/>
  <c r="BA164" i="3"/>
  <c r="AZ164" i="3"/>
  <c r="AY164" i="3"/>
  <c r="AX164" i="3"/>
  <c r="AW164" i="3"/>
  <c r="AV164" i="3"/>
  <c r="AU164" i="3"/>
  <c r="AT164" i="3"/>
  <c r="AS164" i="3"/>
  <c r="AR164" i="3"/>
  <c r="AQ164" i="3"/>
  <c r="AO164" i="3"/>
  <c r="AP164" i="3"/>
  <c r="AN164" i="3"/>
  <c r="BK163" i="3"/>
  <c r="AM163" i="3"/>
  <c r="BI163" i="3"/>
  <c r="BH163" i="3"/>
  <c r="BG163" i="3"/>
  <c r="BF163" i="3"/>
  <c r="BE163" i="3"/>
  <c r="BD163" i="3"/>
  <c r="BC163" i="3"/>
  <c r="BB163" i="3"/>
  <c r="BA163" i="3"/>
  <c r="AZ163" i="3"/>
  <c r="AY163" i="3"/>
  <c r="AX163" i="3"/>
  <c r="AW163" i="3"/>
  <c r="AV163" i="3"/>
  <c r="AU163" i="3"/>
  <c r="AT163" i="3"/>
  <c r="AS163" i="3"/>
  <c r="AR163" i="3"/>
  <c r="AQ163" i="3"/>
  <c r="AO163" i="3"/>
  <c r="AP163" i="3"/>
  <c r="AN163" i="3"/>
  <c r="BK162" i="3"/>
  <c r="AM162" i="3"/>
  <c r="BI162" i="3"/>
  <c r="BH162" i="3"/>
  <c r="BG162" i="3"/>
  <c r="BF162" i="3"/>
  <c r="BE162" i="3"/>
  <c r="BD162" i="3"/>
  <c r="BC162" i="3"/>
  <c r="BB162" i="3"/>
  <c r="BA162" i="3"/>
  <c r="AZ162" i="3"/>
  <c r="AY162" i="3"/>
  <c r="AX162" i="3"/>
  <c r="AW162" i="3"/>
  <c r="AV162" i="3"/>
  <c r="AU162" i="3"/>
  <c r="AT162" i="3"/>
  <c r="AS162" i="3"/>
  <c r="AR162" i="3"/>
  <c r="AQ162" i="3"/>
  <c r="AO162" i="3"/>
  <c r="AP162" i="3"/>
  <c r="AN162" i="3"/>
  <c r="BK161" i="3"/>
  <c r="AM161" i="3"/>
  <c r="BI161" i="3"/>
  <c r="BH161" i="3"/>
  <c r="BG161" i="3"/>
  <c r="BF161" i="3"/>
  <c r="BE161" i="3"/>
  <c r="BD161" i="3"/>
  <c r="BC161" i="3"/>
  <c r="BB161" i="3"/>
  <c r="BA161" i="3"/>
  <c r="AZ161" i="3"/>
  <c r="AY161" i="3"/>
  <c r="AX161" i="3"/>
  <c r="AW161" i="3"/>
  <c r="AV161" i="3"/>
  <c r="AU161" i="3"/>
  <c r="AT161" i="3"/>
  <c r="AS161" i="3"/>
  <c r="AR161" i="3"/>
  <c r="AQ161" i="3"/>
  <c r="AO161" i="3"/>
  <c r="AP161" i="3"/>
  <c r="AN161" i="3"/>
  <c r="BK160" i="3"/>
  <c r="AM160" i="3"/>
  <c r="BI160" i="3"/>
  <c r="BH160" i="3"/>
  <c r="BG160" i="3"/>
  <c r="BF160" i="3"/>
  <c r="BE160" i="3"/>
  <c r="BD160" i="3"/>
  <c r="BC160" i="3"/>
  <c r="BB160" i="3"/>
  <c r="BA160" i="3"/>
  <c r="AZ160" i="3"/>
  <c r="AY160" i="3"/>
  <c r="AX160" i="3"/>
  <c r="AW160" i="3"/>
  <c r="AV160" i="3"/>
  <c r="AU160" i="3"/>
  <c r="AT160" i="3"/>
  <c r="AS160" i="3"/>
  <c r="AR160" i="3"/>
  <c r="AQ160" i="3"/>
  <c r="AO160" i="3"/>
  <c r="AP160" i="3"/>
  <c r="AN160" i="3"/>
  <c r="BI159" i="3"/>
  <c r="BH159" i="3"/>
  <c r="BG159" i="3"/>
  <c r="BF159" i="3"/>
  <c r="BE159" i="3"/>
  <c r="BD159" i="3"/>
  <c r="BC159" i="3"/>
  <c r="BB159" i="3"/>
  <c r="BA159" i="3"/>
  <c r="AZ159" i="3"/>
  <c r="AY159" i="3"/>
  <c r="AX159" i="3"/>
  <c r="AW159" i="3"/>
  <c r="AV159" i="3"/>
  <c r="AU159" i="3"/>
  <c r="AT159" i="3"/>
  <c r="AS159" i="3"/>
  <c r="AR159" i="3"/>
  <c r="AQ159" i="3"/>
  <c r="AO159" i="3"/>
  <c r="AP159" i="3"/>
  <c r="AN159" i="3"/>
  <c r="AK159" i="3"/>
  <c r="BK159" i="3"/>
  <c r="AM159" i="3"/>
  <c r="BK158" i="3"/>
  <c r="AM158" i="3"/>
  <c r="BI158" i="3"/>
  <c r="BH158" i="3"/>
  <c r="BG158" i="3"/>
  <c r="BF158" i="3"/>
  <c r="BE158" i="3"/>
  <c r="BD158" i="3"/>
  <c r="BC158" i="3"/>
  <c r="BB158" i="3"/>
  <c r="BA158" i="3"/>
  <c r="AZ158" i="3"/>
  <c r="AY158" i="3"/>
  <c r="AX158" i="3"/>
  <c r="AW158" i="3"/>
  <c r="AV158" i="3"/>
  <c r="AU158" i="3"/>
  <c r="AT158" i="3"/>
  <c r="AS158" i="3"/>
  <c r="AR158" i="3"/>
  <c r="AQ158" i="3"/>
  <c r="AP158" i="3"/>
  <c r="AO158" i="3"/>
  <c r="BI157" i="3"/>
  <c r="BH157" i="3"/>
  <c r="BG157" i="3"/>
  <c r="BF157" i="3"/>
  <c r="BE157" i="3"/>
  <c r="BD157" i="3"/>
  <c r="BC157" i="3"/>
  <c r="BB157" i="3"/>
  <c r="BA157" i="3"/>
  <c r="AZ157" i="3"/>
  <c r="AY157" i="3"/>
  <c r="AX157" i="3"/>
  <c r="AW157" i="3"/>
  <c r="AV157" i="3"/>
  <c r="AU157" i="3"/>
  <c r="AT157" i="3"/>
  <c r="AS157" i="3"/>
  <c r="AR157" i="3"/>
  <c r="AQ157" i="3"/>
  <c r="AP157" i="3"/>
  <c r="AO157" i="3"/>
  <c r="AK157" i="3"/>
  <c r="BK157" i="3"/>
  <c r="AM157" i="3"/>
  <c r="BI156" i="3"/>
  <c r="BH156" i="3"/>
  <c r="BG156" i="3"/>
  <c r="BF156" i="3"/>
  <c r="BE156" i="3"/>
  <c r="BD156" i="3"/>
  <c r="BC156" i="3"/>
  <c r="BB156" i="3"/>
  <c r="BA156" i="3"/>
  <c r="AZ156" i="3"/>
  <c r="AY156" i="3"/>
  <c r="AX156" i="3"/>
  <c r="AW156" i="3"/>
  <c r="AV156" i="3"/>
  <c r="AU156" i="3"/>
  <c r="AT156" i="3"/>
  <c r="AS156" i="3"/>
  <c r="AR156" i="3"/>
  <c r="AQ156" i="3"/>
  <c r="AP156" i="3"/>
  <c r="AO156" i="3"/>
  <c r="AK156" i="3"/>
  <c r="BK156" i="3"/>
  <c r="AM156" i="3"/>
  <c r="BK155" i="3"/>
  <c r="AM155" i="3"/>
  <c r="BI155" i="3"/>
  <c r="BH155" i="3"/>
  <c r="BG155" i="3"/>
  <c r="BF155" i="3"/>
  <c r="BE155" i="3"/>
  <c r="BD155" i="3"/>
  <c r="BC155" i="3"/>
  <c r="BB155" i="3"/>
  <c r="BA155" i="3"/>
  <c r="AZ155" i="3"/>
  <c r="AY155" i="3"/>
  <c r="AX155" i="3"/>
  <c r="AW155" i="3"/>
  <c r="AV155" i="3"/>
  <c r="AU155" i="3"/>
  <c r="AT155" i="3"/>
  <c r="AS155" i="3"/>
  <c r="AR155" i="3"/>
  <c r="AQ155" i="3"/>
  <c r="AP155" i="3"/>
  <c r="AO155" i="3"/>
  <c r="AK154" i="3"/>
  <c r="BK154" i="3"/>
  <c r="AM154" i="3"/>
  <c r="BI154" i="3"/>
  <c r="BH154" i="3"/>
  <c r="BG154" i="3"/>
  <c r="BF154" i="3"/>
  <c r="BE154" i="3"/>
  <c r="BD154" i="3"/>
  <c r="BC154" i="3"/>
  <c r="BB154" i="3"/>
  <c r="BA154" i="3"/>
  <c r="AZ154" i="3"/>
  <c r="AY154" i="3"/>
  <c r="AX154" i="3"/>
  <c r="AW154" i="3"/>
  <c r="AV154" i="3"/>
  <c r="AU154" i="3"/>
  <c r="AT154" i="3"/>
  <c r="AS154" i="3"/>
  <c r="AR154" i="3"/>
  <c r="AQ154" i="3"/>
  <c r="AP154" i="3"/>
  <c r="AO154" i="3"/>
  <c r="AN154" i="3"/>
  <c r="BK153" i="3"/>
  <c r="AM153" i="3"/>
  <c r="BI153" i="3"/>
  <c r="BH153" i="3"/>
  <c r="BG153" i="3"/>
  <c r="BF153" i="3"/>
  <c r="BE153" i="3"/>
  <c r="BD153" i="3"/>
  <c r="BC153" i="3"/>
  <c r="BB153" i="3"/>
  <c r="BA153" i="3"/>
  <c r="AZ153" i="3"/>
  <c r="AY153" i="3"/>
  <c r="AX153" i="3"/>
  <c r="AW153" i="3"/>
  <c r="AV153" i="3"/>
  <c r="AU153" i="3"/>
  <c r="AT153" i="3"/>
  <c r="AS153" i="3"/>
  <c r="AR153" i="3"/>
  <c r="AQ153" i="3"/>
  <c r="AP153" i="3"/>
  <c r="AO153" i="3"/>
  <c r="AN153" i="3"/>
  <c r="BK152" i="3"/>
  <c r="AM152" i="3"/>
  <c r="BI152" i="3"/>
  <c r="BH152" i="3"/>
  <c r="BG152" i="3"/>
  <c r="BF152" i="3"/>
  <c r="BE152" i="3"/>
  <c r="BD152" i="3"/>
  <c r="BC152" i="3"/>
  <c r="BB152" i="3"/>
  <c r="BA152" i="3"/>
  <c r="AZ152" i="3"/>
  <c r="AY152" i="3"/>
  <c r="AX152" i="3"/>
  <c r="AW152" i="3"/>
  <c r="AV152" i="3"/>
  <c r="AU152" i="3"/>
  <c r="AT152" i="3"/>
  <c r="AS152" i="3"/>
  <c r="AR152" i="3"/>
  <c r="AQ152" i="3"/>
  <c r="AP152" i="3"/>
  <c r="AO152" i="3"/>
  <c r="AN152" i="3"/>
  <c r="BK151" i="3"/>
  <c r="AM151" i="3"/>
  <c r="BI151" i="3"/>
  <c r="BH151" i="3"/>
  <c r="BG151" i="3"/>
  <c r="BF151" i="3"/>
  <c r="BE151" i="3"/>
  <c r="BD151" i="3"/>
  <c r="BC151" i="3"/>
  <c r="BB151" i="3"/>
  <c r="BA151" i="3"/>
  <c r="AZ151" i="3"/>
  <c r="AY151" i="3"/>
  <c r="AX151" i="3"/>
  <c r="AW151" i="3"/>
  <c r="AV151" i="3"/>
  <c r="AU151" i="3"/>
  <c r="AT151" i="3"/>
  <c r="AS151" i="3"/>
  <c r="AR151" i="3"/>
  <c r="AQ151" i="3"/>
  <c r="AP151" i="3"/>
  <c r="AO151" i="3"/>
  <c r="AN151" i="3"/>
  <c r="BK150" i="3"/>
  <c r="AM150" i="3"/>
  <c r="BI150" i="3"/>
  <c r="BH150" i="3"/>
  <c r="BG150" i="3"/>
  <c r="BF150" i="3"/>
  <c r="BE150" i="3"/>
  <c r="BD150" i="3"/>
  <c r="BC150" i="3"/>
  <c r="BB150" i="3"/>
  <c r="BA150" i="3"/>
  <c r="AZ150" i="3"/>
  <c r="AY150" i="3"/>
  <c r="AX150" i="3"/>
  <c r="AW150" i="3"/>
  <c r="AV150" i="3"/>
  <c r="AU150" i="3"/>
  <c r="AT150" i="3"/>
  <c r="AS150" i="3"/>
  <c r="AR150" i="3"/>
  <c r="AQ150" i="3"/>
  <c r="AP150" i="3"/>
  <c r="AO150" i="3"/>
  <c r="AN150" i="3"/>
  <c r="BI149" i="3"/>
  <c r="BH149" i="3"/>
  <c r="BG149" i="3"/>
  <c r="BF149" i="3"/>
  <c r="BE149" i="3"/>
  <c r="BD149" i="3"/>
  <c r="BC149" i="3"/>
  <c r="BB149" i="3"/>
  <c r="BA149" i="3"/>
  <c r="AZ149" i="3"/>
  <c r="AY149" i="3"/>
  <c r="AX149" i="3"/>
  <c r="AW149" i="3"/>
  <c r="AV149" i="3"/>
  <c r="AU149" i="3"/>
  <c r="AT149" i="3"/>
  <c r="AS149" i="3"/>
  <c r="AR149" i="3"/>
  <c r="AQ149" i="3"/>
  <c r="AO149" i="3"/>
  <c r="AP149" i="3"/>
  <c r="AK149" i="3"/>
  <c r="BK149" i="3"/>
  <c r="AM149" i="3"/>
  <c r="BK148" i="3"/>
  <c r="AM148" i="3"/>
  <c r="BI148" i="3"/>
  <c r="BH148" i="3"/>
  <c r="BG148" i="3"/>
  <c r="BF148" i="3"/>
  <c r="BE148" i="3"/>
  <c r="BD148" i="3"/>
  <c r="BC148" i="3"/>
  <c r="BB148" i="3"/>
  <c r="BA148" i="3"/>
  <c r="AZ148" i="3"/>
  <c r="AY148" i="3"/>
  <c r="AX148" i="3"/>
  <c r="AW148" i="3"/>
  <c r="AV148" i="3"/>
  <c r="AU148" i="3"/>
  <c r="AT148" i="3"/>
  <c r="AS148" i="3"/>
  <c r="AR148" i="3"/>
  <c r="AQ148" i="3"/>
  <c r="AP148" i="3"/>
  <c r="AO148" i="3"/>
  <c r="BI147" i="3"/>
  <c r="BH147" i="3"/>
  <c r="BG147" i="3"/>
  <c r="BF147" i="3"/>
  <c r="BE147" i="3"/>
  <c r="BD147" i="3"/>
  <c r="BC147" i="3"/>
  <c r="BB147" i="3"/>
  <c r="BA147" i="3"/>
  <c r="AZ147" i="3"/>
  <c r="AY147" i="3"/>
  <c r="AX147" i="3"/>
  <c r="AW147" i="3"/>
  <c r="AV147" i="3"/>
  <c r="AU147" i="3"/>
  <c r="AT147" i="3"/>
  <c r="AS147" i="3"/>
  <c r="AR147" i="3"/>
  <c r="AQ147" i="3"/>
  <c r="AP147" i="3"/>
  <c r="AO147" i="3"/>
  <c r="AN147" i="3"/>
  <c r="AK147" i="3"/>
  <c r="BK147" i="3"/>
  <c r="AM147" i="3"/>
  <c r="BI146" i="3"/>
  <c r="BH146" i="3"/>
  <c r="BG146" i="3"/>
  <c r="BF146" i="3"/>
  <c r="BE146" i="3"/>
  <c r="BD146" i="3"/>
  <c r="BC146" i="3"/>
  <c r="BB146" i="3"/>
  <c r="BA146" i="3"/>
  <c r="AZ146" i="3"/>
  <c r="AY146" i="3"/>
  <c r="AX146" i="3"/>
  <c r="AW146" i="3"/>
  <c r="AV146" i="3"/>
  <c r="AU146" i="3"/>
  <c r="AT146" i="3"/>
  <c r="AS146" i="3"/>
  <c r="AR146" i="3"/>
  <c r="AQ146" i="3"/>
  <c r="AP146" i="3"/>
  <c r="AO146" i="3"/>
  <c r="AN146" i="3"/>
  <c r="AK146" i="3"/>
  <c r="BK146" i="3"/>
  <c r="AM146" i="3"/>
  <c r="BK145" i="3"/>
  <c r="AM145" i="3"/>
  <c r="BI145" i="3"/>
  <c r="BH145" i="3"/>
  <c r="BG145" i="3"/>
  <c r="BF145" i="3"/>
  <c r="BE145" i="3"/>
  <c r="BD145" i="3"/>
  <c r="BC145" i="3"/>
  <c r="BB145" i="3"/>
  <c r="BA145" i="3"/>
  <c r="AZ145" i="3"/>
  <c r="AY145" i="3"/>
  <c r="AX145" i="3"/>
  <c r="AW145" i="3"/>
  <c r="AV145" i="3"/>
  <c r="AU145" i="3"/>
  <c r="AT145" i="3"/>
  <c r="AS145" i="3"/>
  <c r="AR145" i="3"/>
  <c r="AQ145" i="3"/>
  <c r="AP145" i="3"/>
  <c r="AO145" i="3"/>
  <c r="BK144" i="3"/>
  <c r="AM144" i="3"/>
  <c r="BI144" i="3"/>
  <c r="BH144" i="3"/>
  <c r="BG144" i="3"/>
  <c r="BF144" i="3"/>
  <c r="BE144" i="3"/>
  <c r="BD144" i="3"/>
  <c r="BC144" i="3"/>
  <c r="BB144" i="3"/>
  <c r="BA144" i="3"/>
  <c r="AZ144" i="3"/>
  <c r="AY144" i="3"/>
  <c r="AX144" i="3"/>
  <c r="AW144" i="3"/>
  <c r="AV144" i="3"/>
  <c r="AU144" i="3"/>
  <c r="AT144" i="3"/>
  <c r="AS144" i="3"/>
  <c r="AR144" i="3"/>
  <c r="AQ144" i="3"/>
  <c r="AO144" i="3"/>
  <c r="AP144" i="3"/>
  <c r="AN144" i="3"/>
  <c r="BK143" i="3"/>
  <c r="AM143" i="3"/>
  <c r="BI143" i="3"/>
  <c r="BH143" i="3"/>
  <c r="BG143" i="3"/>
  <c r="BF143" i="3"/>
  <c r="BE143" i="3"/>
  <c r="BD143" i="3"/>
  <c r="BC143" i="3"/>
  <c r="BB143" i="3"/>
  <c r="BA143" i="3"/>
  <c r="AZ143" i="3"/>
  <c r="AY143" i="3"/>
  <c r="AX143" i="3"/>
  <c r="AW143" i="3"/>
  <c r="AV143" i="3"/>
  <c r="AU143" i="3"/>
  <c r="AT143" i="3"/>
  <c r="AS143" i="3"/>
  <c r="AR143" i="3"/>
  <c r="AQ143" i="3"/>
  <c r="AP143" i="3"/>
  <c r="AO143" i="3"/>
  <c r="AN143" i="3"/>
  <c r="BK142" i="3"/>
  <c r="AM142" i="3"/>
  <c r="BI142" i="3"/>
  <c r="BH142" i="3"/>
  <c r="BG142" i="3"/>
  <c r="BF142" i="3"/>
  <c r="BE142" i="3"/>
  <c r="BD142" i="3"/>
  <c r="BC142" i="3"/>
  <c r="BB142" i="3"/>
  <c r="BA142" i="3"/>
  <c r="AZ142" i="3"/>
  <c r="AY142" i="3"/>
  <c r="AX142" i="3"/>
  <c r="AW142" i="3"/>
  <c r="AV142" i="3"/>
  <c r="AU142" i="3"/>
  <c r="AT142" i="3"/>
  <c r="AS142" i="3"/>
  <c r="AR142" i="3"/>
  <c r="AQ142" i="3"/>
  <c r="AP142" i="3"/>
  <c r="AO142" i="3"/>
  <c r="BK141" i="3"/>
  <c r="BI141" i="3"/>
  <c r="BH141" i="3"/>
  <c r="BG141" i="3"/>
  <c r="BF141" i="3"/>
  <c r="BE141" i="3"/>
  <c r="BD141" i="3"/>
  <c r="BC141" i="3"/>
  <c r="BB141" i="3"/>
  <c r="BA141" i="3"/>
  <c r="AZ141" i="3"/>
  <c r="AY141" i="3"/>
  <c r="AX141" i="3"/>
  <c r="AW141" i="3"/>
  <c r="AV141" i="3"/>
  <c r="AU141" i="3"/>
  <c r="AT141" i="3"/>
  <c r="AS141" i="3"/>
  <c r="AR141" i="3"/>
  <c r="AQ141" i="3"/>
  <c r="AP141" i="3"/>
  <c r="AO141" i="3"/>
  <c r="AN141" i="3"/>
  <c r="AM141" i="3"/>
  <c r="BK140" i="3"/>
  <c r="AM140" i="3"/>
  <c r="BI140" i="3"/>
  <c r="BH140" i="3"/>
  <c r="BG140" i="3"/>
  <c r="BF140" i="3"/>
  <c r="BE140" i="3"/>
  <c r="BD140" i="3"/>
  <c r="BC140" i="3"/>
  <c r="BB140" i="3"/>
  <c r="BA140" i="3"/>
  <c r="AZ140" i="3"/>
  <c r="AY140" i="3"/>
  <c r="AX140" i="3"/>
  <c r="AW140" i="3"/>
  <c r="AV140" i="3"/>
  <c r="AU140" i="3"/>
  <c r="AT140" i="3"/>
  <c r="AS140" i="3"/>
  <c r="AR140" i="3"/>
  <c r="AQ140" i="3"/>
  <c r="AP140" i="3"/>
  <c r="AO140" i="3"/>
  <c r="BK139" i="3"/>
  <c r="AM139" i="3"/>
  <c r="BI139" i="3"/>
  <c r="BH139" i="3"/>
  <c r="BG139" i="3"/>
  <c r="BF139" i="3"/>
  <c r="BE139" i="3"/>
  <c r="BD139" i="3"/>
  <c r="BC139" i="3"/>
  <c r="BB139" i="3"/>
  <c r="BA139" i="3"/>
  <c r="AZ139" i="3"/>
  <c r="AY139" i="3"/>
  <c r="AX139" i="3"/>
  <c r="AW139" i="3"/>
  <c r="AV139" i="3"/>
  <c r="AU139" i="3"/>
  <c r="AT139" i="3"/>
  <c r="AS139" i="3"/>
  <c r="AR139" i="3"/>
  <c r="AQ139" i="3"/>
  <c r="AP139" i="3"/>
  <c r="AO139" i="3"/>
  <c r="AN139" i="3"/>
  <c r="BK138" i="3"/>
  <c r="BI138" i="3"/>
  <c r="BH138" i="3"/>
  <c r="BG138" i="3"/>
  <c r="BF138" i="3"/>
  <c r="BE138" i="3"/>
  <c r="BD138" i="3"/>
  <c r="BC138" i="3"/>
  <c r="BB138" i="3"/>
  <c r="BA138" i="3"/>
  <c r="AZ138" i="3"/>
  <c r="AY138" i="3"/>
  <c r="AX138" i="3"/>
  <c r="AW138" i="3"/>
  <c r="AV138" i="3"/>
  <c r="AU138" i="3"/>
  <c r="AT138" i="3"/>
  <c r="AS138" i="3"/>
  <c r="AR138" i="3"/>
  <c r="AO138" i="3"/>
  <c r="AP138" i="3"/>
  <c r="AQ138" i="3"/>
  <c r="AN138" i="3"/>
  <c r="AM138" i="3"/>
  <c r="AK137" i="3"/>
  <c r="BK137" i="3"/>
  <c r="AM137" i="3"/>
  <c r="BI137" i="3"/>
  <c r="BH137" i="3"/>
  <c r="BG137" i="3"/>
  <c r="BF137" i="3"/>
  <c r="BE137" i="3"/>
  <c r="BD137" i="3"/>
  <c r="BC137" i="3"/>
  <c r="BB137" i="3"/>
  <c r="BA137" i="3"/>
  <c r="AZ137" i="3"/>
  <c r="AY137" i="3"/>
  <c r="AX137" i="3"/>
  <c r="AW137" i="3"/>
  <c r="AV137" i="3"/>
  <c r="AU137" i="3"/>
  <c r="AT137" i="3"/>
  <c r="AS137" i="3"/>
  <c r="AR137" i="3"/>
  <c r="AQ137" i="3"/>
  <c r="AP137" i="3"/>
  <c r="AO137" i="3"/>
  <c r="AN137" i="3"/>
  <c r="BK136" i="3"/>
  <c r="BI136" i="3"/>
  <c r="BH136" i="3"/>
  <c r="BG136" i="3"/>
  <c r="BF136" i="3"/>
  <c r="BE136" i="3"/>
  <c r="BD136" i="3"/>
  <c r="BC136" i="3"/>
  <c r="BB136" i="3"/>
  <c r="BA136" i="3"/>
  <c r="AZ136" i="3"/>
  <c r="AY136" i="3"/>
  <c r="AX136" i="3"/>
  <c r="AW136" i="3"/>
  <c r="AV136" i="3"/>
  <c r="AU136" i="3"/>
  <c r="AT136" i="3"/>
  <c r="AS136" i="3"/>
  <c r="AR136" i="3"/>
  <c r="AQ136" i="3"/>
  <c r="AP136" i="3"/>
  <c r="AO136" i="3"/>
  <c r="AM136" i="3"/>
  <c r="BI135" i="3"/>
  <c r="BH135" i="3"/>
  <c r="BG135" i="3"/>
  <c r="BF135" i="3"/>
  <c r="BE135" i="3"/>
  <c r="BD135" i="3"/>
  <c r="BC135" i="3"/>
  <c r="BB135" i="3"/>
  <c r="BA135" i="3"/>
  <c r="AZ135" i="3"/>
  <c r="AY135" i="3"/>
  <c r="AX135" i="3"/>
  <c r="AW135" i="3"/>
  <c r="AV135" i="3"/>
  <c r="AU135" i="3"/>
  <c r="AT135" i="3"/>
  <c r="AS135" i="3"/>
  <c r="AR135" i="3"/>
  <c r="AQ135" i="3"/>
  <c r="AO135" i="3"/>
  <c r="AP135" i="3"/>
  <c r="AN135" i="3"/>
  <c r="AK135" i="3"/>
  <c r="BK135" i="3"/>
  <c r="AM135" i="3"/>
  <c r="BK134" i="3"/>
  <c r="AM134" i="3"/>
  <c r="BI134" i="3"/>
  <c r="BH134" i="3"/>
  <c r="BG134" i="3"/>
  <c r="BF134" i="3"/>
  <c r="BE134" i="3"/>
  <c r="BD134" i="3"/>
  <c r="BC134" i="3"/>
  <c r="BB134" i="3"/>
  <c r="BA134" i="3"/>
  <c r="AZ134" i="3"/>
  <c r="AY134" i="3"/>
  <c r="AX134" i="3"/>
  <c r="AW134" i="3"/>
  <c r="AV134" i="3"/>
  <c r="AU134" i="3"/>
  <c r="AT134" i="3"/>
  <c r="AS134" i="3"/>
  <c r="AR134" i="3"/>
  <c r="AQ134" i="3"/>
  <c r="AP134" i="3"/>
  <c r="AO134" i="3"/>
  <c r="AN134" i="3"/>
  <c r="BI133" i="3"/>
  <c r="BH133" i="3"/>
  <c r="BG133" i="3"/>
  <c r="BF133" i="3"/>
  <c r="BE133" i="3"/>
  <c r="BD133" i="3"/>
  <c r="BC133" i="3"/>
  <c r="BB133" i="3"/>
  <c r="BA133" i="3"/>
  <c r="AZ133" i="3"/>
  <c r="AY133" i="3"/>
  <c r="AX133" i="3"/>
  <c r="AW133" i="3"/>
  <c r="AV133" i="3"/>
  <c r="AU133" i="3"/>
  <c r="AT133" i="3"/>
  <c r="AS133" i="3"/>
  <c r="AR133" i="3"/>
  <c r="AQ133" i="3"/>
  <c r="AP133" i="3"/>
  <c r="AO133" i="3"/>
  <c r="AK133" i="3"/>
  <c r="BK133" i="3"/>
  <c r="AM133" i="3"/>
  <c r="BK132" i="3"/>
  <c r="AM132" i="3"/>
  <c r="BI132" i="3"/>
  <c r="BH132" i="3"/>
  <c r="BG132" i="3"/>
  <c r="BF132" i="3"/>
  <c r="BE132" i="3"/>
  <c r="BD132" i="3"/>
  <c r="BC132" i="3"/>
  <c r="BB132" i="3"/>
  <c r="BA132" i="3"/>
  <c r="AZ132" i="3"/>
  <c r="AY132" i="3"/>
  <c r="AX132" i="3"/>
  <c r="AW132" i="3"/>
  <c r="AV132" i="3"/>
  <c r="AU132" i="3"/>
  <c r="AT132" i="3"/>
  <c r="AS132" i="3"/>
  <c r="AR132" i="3"/>
  <c r="AQ132" i="3"/>
  <c r="AP132" i="3"/>
  <c r="AO132" i="3"/>
  <c r="AK131" i="3"/>
  <c r="BK131" i="3"/>
  <c r="AM131" i="3"/>
  <c r="BI131" i="3"/>
  <c r="BH131" i="3"/>
  <c r="BG131" i="3"/>
  <c r="BF131" i="3"/>
  <c r="BE131" i="3"/>
  <c r="BD131" i="3"/>
  <c r="BC131" i="3"/>
  <c r="BB131" i="3"/>
  <c r="BA131" i="3"/>
  <c r="AZ131" i="3"/>
  <c r="AY131" i="3"/>
  <c r="AX131" i="3"/>
  <c r="AW131" i="3"/>
  <c r="AV131" i="3"/>
  <c r="AU131" i="3"/>
  <c r="AT131" i="3"/>
  <c r="AS131" i="3"/>
  <c r="AR131" i="3"/>
  <c r="AQ131" i="3"/>
  <c r="AP131" i="3"/>
  <c r="AO131" i="3"/>
  <c r="BI130" i="3"/>
  <c r="BH130" i="3"/>
  <c r="BG130" i="3"/>
  <c r="BF130" i="3"/>
  <c r="BE130" i="3"/>
  <c r="BD130" i="3"/>
  <c r="BC130" i="3"/>
  <c r="BB130" i="3"/>
  <c r="BA130" i="3"/>
  <c r="AZ130" i="3"/>
  <c r="AY130" i="3"/>
  <c r="AX130" i="3"/>
  <c r="AW130" i="3"/>
  <c r="AV130" i="3"/>
  <c r="AU130" i="3"/>
  <c r="AT130" i="3"/>
  <c r="AS130" i="3"/>
  <c r="AR130" i="3"/>
  <c r="AQ130" i="3"/>
  <c r="AO130" i="3"/>
  <c r="AP130" i="3"/>
  <c r="AN130" i="3"/>
  <c r="AK130" i="3"/>
  <c r="BK130" i="3"/>
  <c r="AM130" i="3"/>
  <c r="BK129" i="3"/>
  <c r="AM129" i="3"/>
  <c r="BI129" i="3"/>
  <c r="BH129" i="3"/>
  <c r="BG129" i="3"/>
  <c r="BF129" i="3"/>
  <c r="BE129" i="3"/>
  <c r="BD129" i="3"/>
  <c r="BC129" i="3"/>
  <c r="BB129" i="3"/>
  <c r="BA129" i="3"/>
  <c r="AZ129" i="3"/>
  <c r="AY129" i="3"/>
  <c r="AX129" i="3"/>
  <c r="AW129" i="3"/>
  <c r="AV129" i="3"/>
  <c r="AU129" i="3"/>
  <c r="AT129" i="3"/>
  <c r="AS129" i="3"/>
  <c r="AR129" i="3"/>
  <c r="AQ129" i="3"/>
  <c r="AO129" i="3"/>
  <c r="AP129" i="3"/>
  <c r="AN129" i="3"/>
  <c r="BI128" i="3"/>
  <c r="BH128" i="3"/>
  <c r="BG128" i="3"/>
  <c r="BF128" i="3"/>
  <c r="BE128" i="3"/>
  <c r="BD128" i="3"/>
  <c r="BC128" i="3"/>
  <c r="BB128" i="3"/>
  <c r="BA128" i="3"/>
  <c r="AZ128" i="3"/>
  <c r="AY128" i="3"/>
  <c r="AX128" i="3"/>
  <c r="AW128" i="3"/>
  <c r="AV128" i="3"/>
  <c r="AU128" i="3"/>
  <c r="AT128" i="3"/>
  <c r="AS128" i="3"/>
  <c r="AR128" i="3"/>
  <c r="AQ128" i="3"/>
  <c r="AP128" i="3"/>
  <c r="AO128" i="3"/>
  <c r="AN128" i="3"/>
  <c r="AK128" i="3"/>
  <c r="BK128" i="3"/>
  <c r="AM128" i="3"/>
  <c r="BK127" i="3"/>
  <c r="AM127" i="3"/>
  <c r="BI127" i="3"/>
  <c r="BH127" i="3"/>
  <c r="BG127" i="3"/>
  <c r="BF127" i="3"/>
  <c r="BE127" i="3"/>
  <c r="BD127" i="3"/>
  <c r="BC127" i="3"/>
  <c r="BB127" i="3"/>
  <c r="BA127" i="3"/>
  <c r="AZ127" i="3"/>
  <c r="AY127" i="3"/>
  <c r="AX127" i="3"/>
  <c r="AW127" i="3"/>
  <c r="AV127" i="3"/>
  <c r="AU127" i="3"/>
  <c r="AT127" i="3"/>
  <c r="AS127" i="3"/>
  <c r="AR127" i="3"/>
  <c r="AQ127" i="3"/>
  <c r="AO127" i="3"/>
  <c r="AP127" i="3"/>
  <c r="AN127" i="3"/>
  <c r="BK126" i="3"/>
  <c r="AM126" i="3"/>
  <c r="BI126" i="3"/>
  <c r="BH126" i="3"/>
  <c r="BG126" i="3"/>
  <c r="BF126" i="3"/>
  <c r="BE126" i="3"/>
  <c r="BD126" i="3"/>
  <c r="BC126" i="3"/>
  <c r="BB126" i="3"/>
  <c r="BA126" i="3"/>
  <c r="AZ126" i="3"/>
  <c r="AY126" i="3"/>
  <c r="AX126" i="3"/>
  <c r="AW126" i="3"/>
  <c r="AV126" i="3"/>
  <c r="AU126" i="3"/>
  <c r="AT126" i="3"/>
  <c r="AS126" i="3"/>
  <c r="AR126" i="3"/>
  <c r="AQ126" i="3"/>
  <c r="AP126" i="3"/>
  <c r="AO126" i="3"/>
  <c r="BK125" i="3"/>
  <c r="AM125" i="3"/>
  <c r="BI125" i="3"/>
  <c r="BH125" i="3"/>
  <c r="BG125" i="3"/>
  <c r="BF125" i="3"/>
  <c r="BE125" i="3"/>
  <c r="BD125" i="3"/>
  <c r="BC125" i="3"/>
  <c r="BB125" i="3"/>
  <c r="BA125" i="3"/>
  <c r="AZ125" i="3"/>
  <c r="AY125" i="3"/>
  <c r="AX125" i="3"/>
  <c r="AW125" i="3"/>
  <c r="AV125" i="3"/>
  <c r="AU125" i="3"/>
  <c r="AT125" i="3"/>
  <c r="AS125" i="3"/>
  <c r="AR125" i="3"/>
  <c r="AQ125" i="3"/>
  <c r="AP125" i="3"/>
  <c r="AO125" i="3"/>
  <c r="AN125" i="3"/>
  <c r="BK124" i="3"/>
  <c r="AM124" i="3"/>
  <c r="BI124" i="3"/>
  <c r="BH124" i="3"/>
  <c r="BG124" i="3"/>
  <c r="BF124" i="3"/>
  <c r="BE124" i="3"/>
  <c r="BD124" i="3"/>
  <c r="BC124" i="3"/>
  <c r="BB124" i="3"/>
  <c r="BA124" i="3"/>
  <c r="AZ124" i="3"/>
  <c r="AY124" i="3"/>
  <c r="AX124" i="3"/>
  <c r="AW124" i="3"/>
  <c r="AV124" i="3"/>
  <c r="AU124" i="3"/>
  <c r="AT124" i="3"/>
  <c r="AS124" i="3"/>
  <c r="AR124" i="3"/>
  <c r="AQ124" i="3"/>
  <c r="AP124" i="3"/>
  <c r="AO124" i="3"/>
  <c r="AK123" i="3"/>
  <c r="BK123" i="3"/>
  <c r="AM123" i="3"/>
  <c r="BI123" i="3"/>
  <c r="BH123" i="3"/>
  <c r="BG123" i="3"/>
  <c r="BF123" i="3"/>
  <c r="BE123" i="3"/>
  <c r="BD123" i="3"/>
  <c r="BC123" i="3"/>
  <c r="BB123" i="3"/>
  <c r="BA123" i="3"/>
  <c r="AZ123" i="3"/>
  <c r="AY123" i="3"/>
  <c r="AX123" i="3"/>
  <c r="AW123" i="3"/>
  <c r="AV123" i="3"/>
  <c r="AU123" i="3"/>
  <c r="AT123" i="3"/>
  <c r="AS123" i="3"/>
  <c r="AR123" i="3"/>
  <c r="AQ123" i="3"/>
  <c r="AO123" i="3"/>
  <c r="AP123" i="3"/>
  <c r="AN123" i="3"/>
  <c r="AK122" i="3"/>
  <c r="BK122" i="3"/>
  <c r="AM122" i="3"/>
  <c r="BI122" i="3"/>
  <c r="BH122" i="3"/>
  <c r="BG122" i="3"/>
  <c r="BF122" i="3"/>
  <c r="BE122" i="3"/>
  <c r="BD122" i="3"/>
  <c r="BC122" i="3"/>
  <c r="BB122" i="3"/>
  <c r="BA122" i="3"/>
  <c r="AZ122" i="3"/>
  <c r="AY122" i="3"/>
  <c r="AX122" i="3"/>
  <c r="AW122" i="3"/>
  <c r="AV122" i="3"/>
  <c r="AU122" i="3"/>
  <c r="AT122" i="3"/>
  <c r="AS122" i="3"/>
  <c r="AR122" i="3"/>
  <c r="AQ122" i="3"/>
  <c r="AP122" i="3"/>
  <c r="AO122" i="3"/>
  <c r="AN122" i="3"/>
  <c r="BK121" i="3"/>
  <c r="AM121" i="3"/>
  <c r="BI121" i="3"/>
  <c r="BH121" i="3"/>
  <c r="BG121" i="3"/>
  <c r="BF121" i="3"/>
  <c r="BE121" i="3"/>
  <c r="BD121" i="3"/>
  <c r="BC121" i="3"/>
  <c r="BB121" i="3"/>
  <c r="BA121" i="3"/>
  <c r="AZ121" i="3"/>
  <c r="AY121" i="3"/>
  <c r="AX121" i="3"/>
  <c r="AW121" i="3"/>
  <c r="AV121" i="3"/>
  <c r="AU121" i="3"/>
  <c r="AT121" i="3"/>
  <c r="AS121" i="3"/>
  <c r="AR121" i="3"/>
  <c r="AQ121" i="3"/>
  <c r="AP121" i="3"/>
  <c r="AO121" i="3"/>
  <c r="AN121" i="3"/>
  <c r="BI120" i="3"/>
  <c r="BH120" i="3"/>
  <c r="BG120" i="3"/>
  <c r="BF120" i="3"/>
  <c r="BE120" i="3"/>
  <c r="BD120" i="3"/>
  <c r="BC120" i="3"/>
  <c r="BB120" i="3"/>
  <c r="BA120" i="3"/>
  <c r="AZ120" i="3"/>
  <c r="AY120" i="3"/>
  <c r="AX120" i="3"/>
  <c r="AW120" i="3"/>
  <c r="AV120" i="3"/>
  <c r="AU120" i="3"/>
  <c r="AT120" i="3"/>
  <c r="AS120" i="3"/>
  <c r="AR120" i="3"/>
  <c r="AQ120" i="3"/>
  <c r="AP120" i="3"/>
  <c r="AO120" i="3"/>
  <c r="AK120" i="3"/>
  <c r="BK120" i="3"/>
  <c r="AM120" i="3"/>
  <c r="BK119" i="3"/>
  <c r="AM119" i="3"/>
  <c r="BI119" i="3"/>
  <c r="BH119" i="3"/>
  <c r="BG119" i="3"/>
  <c r="BF119" i="3"/>
  <c r="BE119" i="3"/>
  <c r="BD119" i="3"/>
  <c r="BC119" i="3"/>
  <c r="BB119" i="3"/>
  <c r="BA119" i="3"/>
  <c r="AZ119" i="3"/>
  <c r="AY119" i="3"/>
  <c r="AX119" i="3"/>
  <c r="AW119" i="3"/>
  <c r="AV119" i="3"/>
  <c r="AU119" i="3"/>
  <c r="AT119" i="3"/>
  <c r="AS119" i="3"/>
  <c r="AR119" i="3"/>
  <c r="AQ119" i="3"/>
  <c r="AO119" i="3"/>
  <c r="AP119" i="3"/>
  <c r="BK118" i="3"/>
  <c r="AM118" i="3"/>
  <c r="BI118" i="3"/>
  <c r="BH118" i="3"/>
  <c r="BG118" i="3"/>
  <c r="BF118" i="3"/>
  <c r="BE118" i="3"/>
  <c r="BD118" i="3"/>
  <c r="BC118" i="3"/>
  <c r="BB118" i="3"/>
  <c r="BA118" i="3"/>
  <c r="AZ118" i="3"/>
  <c r="AY118" i="3"/>
  <c r="AX118" i="3"/>
  <c r="AW118" i="3"/>
  <c r="AV118" i="3"/>
  <c r="AU118" i="3"/>
  <c r="AT118" i="3"/>
  <c r="AS118" i="3"/>
  <c r="AR118" i="3"/>
  <c r="AQ118" i="3"/>
  <c r="AO118" i="3"/>
  <c r="AP118" i="3"/>
  <c r="AN118" i="3"/>
  <c r="BK117" i="3"/>
  <c r="AM117" i="3"/>
  <c r="BI117" i="3"/>
  <c r="BH117" i="3"/>
  <c r="BG117" i="3"/>
  <c r="BF117" i="3"/>
  <c r="BE117" i="3"/>
  <c r="BD117" i="3"/>
  <c r="BC117" i="3"/>
  <c r="BB117" i="3"/>
  <c r="BA117" i="3"/>
  <c r="AZ117" i="3"/>
  <c r="AY117" i="3"/>
  <c r="AX117" i="3"/>
  <c r="AW117" i="3"/>
  <c r="AV117" i="3"/>
  <c r="AU117" i="3"/>
  <c r="AT117" i="3"/>
  <c r="AS117" i="3"/>
  <c r="AR117" i="3"/>
  <c r="AQ117" i="3"/>
  <c r="AO117" i="3"/>
  <c r="AP117" i="3"/>
  <c r="BK116" i="3"/>
  <c r="AM116" i="3"/>
  <c r="BI116" i="3"/>
  <c r="BH116" i="3"/>
  <c r="BG116" i="3"/>
  <c r="BF116" i="3"/>
  <c r="BE116" i="3"/>
  <c r="BD116" i="3"/>
  <c r="BC116" i="3"/>
  <c r="BB116" i="3"/>
  <c r="BA116" i="3"/>
  <c r="AZ116" i="3"/>
  <c r="AY116" i="3"/>
  <c r="AX116" i="3"/>
  <c r="AW116" i="3"/>
  <c r="AV116" i="3"/>
  <c r="AU116" i="3"/>
  <c r="AT116" i="3"/>
  <c r="AS116" i="3"/>
  <c r="AR116" i="3"/>
  <c r="AQ116" i="3"/>
  <c r="AO116" i="3"/>
  <c r="AP116" i="3"/>
  <c r="AN116" i="3"/>
  <c r="BK115" i="3"/>
  <c r="AM115" i="3"/>
  <c r="BI115" i="3"/>
  <c r="BH115" i="3"/>
  <c r="BG115" i="3"/>
  <c r="BF115" i="3"/>
  <c r="BE115" i="3"/>
  <c r="BD115" i="3"/>
  <c r="BC115" i="3"/>
  <c r="BB115" i="3"/>
  <c r="BA115" i="3"/>
  <c r="AZ115" i="3"/>
  <c r="AY115" i="3"/>
  <c r="AX115" i="3"/>
  <c r="AW115" i="3"/>
  <c r="AV115" i="3"/>
  <c r="AU115" i="3"/>
  <c r="AT115" i="3"/>
  <c r="AS115" i="3"/>
  <c r="AR115" i="3"/>
  <c r="AQ115" i="3"/>
  <c r="AO115" i="3"/>
  <c r="AP115" i="3"/>
  <c r="AN115" i="3"/>
  <c r="BK114" i="3"/>
  <c r="AM114" i="3"/>
  <c r="BI114" i="3"/>
  <c r="BH114" i="3"/>
  <c r="BG114" i="3"/>
  <c r="BF114" i="3"/>
  <c r="BE114" i="3"/>
  <c r="BD114" i="3"/>
  <c r="BC114" i="3"/>
  <c r="BB114" i="3"/>
  <c r="BA114" i="3"/>
  <c r="AZ114" i="3"/>
  <c r="AY114" i="3"/>
  <c r="AX114" i="3"/>
  <c r="AW114" i="3"/>
  <c r="AV114" i="3"/>
  <c r="AU114" i="3"/>
  <c r="AT114" i="3"/>
  <c r="AS114" i="3"/>
  <c r="AR114" i="3"/>
  <c r="AQ114" i="3"/>
  <c r="AO114" i="3"/>
  <c r="AP114" i="3"/>
  <c r="AN114" i="3"/>
  <c r="BK113" i="3"/>
  <c r="AM113" i="3"/>
  <c r="BI113" i="3"/>
  <c r="BH113" i="3"/>
  <c r="BG113" i="3"/>
  <c r="BF113" i="3"/>
  <c r="BE113" i="3"/>
  <c r="BD113" i="3"/>
  <c r="BC113" i="3"/>
  <c r="BB113" i="3"/>
  <c r="BA113" i="3"/>
  <c r="AZ113" i="3"/>
  <c r="AY113" i="3"/>
  <c r="AX113" i="3"/>
  <c r="AW113" i="3"/>
  <c r="AV113" i="3"/>
  <c r="AU113" i="3"/>
  <c r="AT113" i="3"/>
  <c r="AS113" i="3"/>
  <c r="AR113" i="3"/>
  <c r="AQ113" i="3"/>
  <c r="AO113" i="3"/>
  <c r="AP113" i="3"/>
  <c r="AN113" i="3"/>
  <c r="BI112" i="3"/>
  <c r="BH112" i="3"/>
  <c r="BG112" i="3"/>
  <c r="BF112" i="3"/>
  <c r="BE112" i="3"/>
  <c r="BD112" i="3"/>
  <c r="BC112" i="3"/>
  <c r="BB112" i="3"/>
  <c r="BA112" i="3"/>
  <c r="AZ112" i="3"/>
  <c r="AY112" i="3"/>
  <c r="AX112" i="3"/>
  <c r="AW112" i="3"/>
  <c r="AV112" i="3"/>
  <c r="AU112" i="3"/>
  <c r="AT112" i="3"/>
  <c r="AS112" i="3"/>
  <c r="AR112" i="3"/>
  <c r="AQ112" i="3"/>
  <c r="AP112" i="3"/>
  <c r="AO112" i="3"/>
  <c r="AK112" i="3"/>
  <c r="BK112" i="3"/>
  <c r="AM112" i="3"/>
  <c r="BI111" i="3"/>
  <c r="BH111" i="3"/>
  <c r="BG111" i="3"/>
  <c r="BF111" i="3"/>
  <c r="BE111" i="3"/>
  <c r="BD111" i="3"/>
  <c r="BC111" i="3"/>
  <c r="BB111" i="3"/>
  <c r="BA111" i="3"/>
  <c r="AZ111" i="3"/>
  <c r="AY111" i="3"/>
  <c r="AX111" i="3"/>
  <c r="AW111" i="3"/>
  <c r="AV111" i="3"/>
  <c r="AU111" i="3"/>
  <c r="AT111" i="3"/>
  <c r="AS111" i="3"/>
  <c r="AR111" i="3"/>
  <c r="AQ111" i="3"/>
  <c r="AP111" i="3"/>
  <c r="AO111" i="3"/>
  <c r="AK111" i="3"/>
  <c r="BK111" i="3"/>
  <c r="AM111" i="3"/>
  <c r="BK110" i="3"/>
  <c r="AM110" i="3"/>
  <c r="BI110" i="3"/>
  <c r="BH110" i="3"/>
  <c r="BG110" i="3"/>
  <c r="BF110" i="3"/>
  <c r="BE110" i="3"/>
  <c r="BD110" i="3"/>
  <c r="BC110" i="3"/>
  <c r="BB110" i="3"/>
  <c r="BA110" i="3"/>
  <c r="AZ110" i="3"/>
  <c r="AY110" i="3"/>
  <c r="AX110" i="3"/>
  <c r="AW110" i="3"/>
  <c r="AV110" i="3"/>
  <c r="AU110" i="3"/>
  <c r="AT110" i="3"/>
  <c r="AS110" i="3"/>
  <c r="AR110" i="3"/>
  <c r="AQ110" i="3"/>
  <c r="AO110" i="3"/>
  <c r="AP110" i="3"/>
  <c r="AN110" i="3"/>
  <c r="BK109" i="3"/>
  <c r="AM109" i="3"/>
  <c r="BI109" i="3"/>
  <c r="BH109" i="3"/>
  <c r="BG109" i="3"/>
  <c r="BF109" i="3"/>
  <c r="BE109" i="3"/>
  <c r="BD109" i="3"/>
  <c r="BC109" i="3"/>
  <c r="BB109" i="3"/>
  <c r="BA109" i="3"/>
  <c r="AZ109" i="3"/>
  <c r="AY109" i="3"/>
  <c r="AX109" i="3"/>
  <c r="AW109" i="3"/>
  <c r="AV109" i="3"/>
  <c r="AU109" i="3"/>
  <c r="AT109" i="3"/>
  <c r="AS109" i="3"/>
  <c r="AR109" i="3"/>
  <c r="AQ109" i="3"/>
  <c r="AP109" i="3"/>
  <c r="AO109" i="3"/>
  <c r="AN109" i="3"/>
  <c r="BI108" i="3"/>
  <c r="BH108" i="3"/>
  <c r="BG108" i="3"/>
  <c r="BF108" i="3"/>
  <c r="BE108" i="3"/>
  <c r="BD108" i="3"/>
  <c r="BC108" i="3"/>
  <c r="BB108" i="3"/>
  <c r="BA108" i="3"/>
  <c r="AZ108" i="3"/>
  <c r="AY108" i="3"/>
  <c r="AX108" i="3"/>
  <c r="AW108" i="3"/>
  <c r="AV108" i="3"/>
  <c r="AU108" i="3"/>
  <c r="AT108" i="3"/>
  <c r="AS108" i="3"/>
  <c r="AR108" i="3"/>
  <c r="AQ108" i="3"/>
  <c r="AO108" i="3"/>
  <c r="AP108" i="3"/>
  <c r="AN108" i="3"/>
  <c r="AK108" i="3"/>
  <c r="BK108" i="3"/>
  <c r="AM108" i="3"/>
  <c r="BK107" i="3"/>
  <c r="BI107" i="3"/>
  <c r="BH107" i="3"/>
  <c r="BG107" i="3"/>
  <c r="BF107" i="3"/>
  <c r="BE107" i="3"/>
  <c r="BD107" i="3"/>
  <c r="BC107" i="3"/>
  <c r="BB107" i="3"/>
  <c r="BA107" i="3"/>
  <c r="AZ107" i="3"/>
  <c r="AY107" i="3"/>
  <c r="AX107" i="3"/>
  <c r="AW107" i="3"/>
  <c r="AV107" i="3"/>
  <c r="AU107" i="3"/>
  <c r="AT107" i="3"/>
  <c r="AS107" i="3"/>
  <c r="AR107" i="3"/>
  <c r="AQ107" i="3"/>
  <c r="AP107" i="3"/>
  <c r="AO107" i="3"/>
  <c r="AM107" i="3"/>
  <c r="AK106" i="3"/>
  <c r="BK106" i="3"/>
  <c r="AM106" i="3"/>
  <c r="BI106" i="3"/>
  <c r="BH106" i="3"/>
  <c r="BG106" i="3"/>
  <c r="BF106" i="3"/>
  <c r="BE106" i="3"/>
  <c r="BD106" i="3"/>
  <c r="BC106" i="3"/>
  <c r="BB106" i="3"/>
  <c r="BA106" i="3"/>
  <c r="AZ106" i="3"/>
  <c r="AY106" i="3"/>
  <c r="AX106" i="3"/>
  <c r="AW106" i="3"/>
  <c r="AV106" i="3"/>
  <c r="AU106" i="3"/>
  <c r="AT106" i="3"/>
  <c r="AS106" i="3"/>
  <c r="AR106" i="3"/>
  <c r="AQ106" i="3"/>
  <c r="AP106" i="3"/>
  <c r="AO106" i="3"/>
  <c r="AN106" i="3"/>
  <c r="BK105" i="3"/>
  <c r="BI105" i="3"/>
  <c r="BH105" i="3"/>
  <c r="BG105" i="3"/>
  <c r="BF105" i="3"/>
  <c r="BE105" i="3"/>
  <c r="BD105" i="3"/>
  <c r="BC105" i="3"/>
  <c r="BB105" i="3"/>
  <c r="BA105" i="3"/>
  <c r="AZ105" i="3"/>
  <c r="AY105" i="3"/>
  <c r="AX105" i="3"/>
  <c r="AW105" i="3"/>
  <c r="AV105" i="3"/>
  <c r="AU105" i="3"/>
  <c r="AT105" i="3"/>
  <c r="AS105" i="3"/>
  <c r="AR105" i="3"/>
  <c r="AQ105" i="3"/>
  <c r="AP105" i="3"/>
  <c r="AO105" i="3"/>
  <c r="AN105" i="3"/>
  <c r="AM105" i="3"/>
  <c r="BK104" i="3"/>
  <c r="BI104" i="3"/>
  <c r="BH104" i="3"/>
  <c r="BG104" i="3"/>
  <c r="BF104" i="3"/>
  <c r="BE104" i="3"/>
  <c r="BD104" i="3"/>
  <c r="BC104" i="3"/>
  <c r="BB104" i="3"/>
  <c r="BA104" i="3"/>
  <c r="AZ104" i="3"/>
  <c r="AY104" i="3"/>
  <c r="AX104" i="3"/>
  <c r="AW104" i="3"/>
  <c r="AV104" i="3"/>
  <c r="AU104" i="3"/>
  <c r="AT104" i="3"/>
  <c r="AS104" i="3"/>
  <c r="AR104" i="3"/>
  <c r="AQ104" i="3"/>
  <c r="AP104" i="3"/>
  <c r="AO104" i="3"/>
  <c r="AM104" i="3"/>
  <c r="BI103" i="3"/>
  <c r="BH103" i="3"/>
  <c r="BG103" i="3"/>
  <c r="BF103" i="3"/>
  <c r="BE103" i="3"/>
  <c r="BD103" i="3"/>
  <c r="BC103" i="3"/>
  <c r="BB103" i="3"/>
  <c r="BA103" i="3"/>
  <c r="AZ103" i="3"/>
  <c r="AY103" i="3"/>
  <c r="AX103" i="3"/>
  <c r="AW103" i="3"/>
  <c r="AV103" i="3"/>
  <c r="AU103" i="3"/>
  <c r="AT103" i="3"/>
  <c r="AS103" i="3"/>
  <c r="AR103" i="3"/>
  <c r="AQ103" i="3"/>
  <c r="AP103" i="3"/>
  <c r="AO103" i="3"/>
  <c r="AK103" i="3"/>
  <c r="BK103" i="3"/>
  <c r="AM103" i="3"/>
  <c r="BI102" i="3"/>
  <c r="BH102" i="3"/>
  <c r="BG102" i="3"/>
  <c r="BF102" i="3"/>
  <c r="BE102" i="3"/>
  <c r="BD102" i="3"/>
  <c r="BC102" i="3"/>
  <c r="BB102" i="3"/>
  <c r="BA102" i="3"/>
  <c r="AZ102" i="3"/>
  <c r="AY102" i="3"/>
  <c r="AX102" i="3"/>
  <c r="AW102" i="3"/>
  <c r="AV102" i="3"/>
  <c r="AU102" i="3"/>
  <c r="AT102" i="3"/>
  <c r="AS102" i="3"/>
  <c r="AR102" i="3"/>
  <c r="AQ102" i="3"/>
  <c r="AP102" i="3"/>
  <c r="AO102" i="3"/>
  <c r="AN102" i="3"/>
  <c r="AK102" i="3"/>
  <c r="BK102" i="3"/>
  <c r="AM102" i="3"/>
  <c r="BK101" i="3"/>
  <c r="AM101" i="3"/>
  <c r="BI101" i="3"/>
  <c r="BH101" i="3"/>
  <c r="BG101" i="3"/>
  <c r="BF101" i="3"/>
  <c r="BE101" i="3"/>
  <c r="BD101" i="3"/>
  <c r="BC101" i="3"/>
  <c r="BB101" i="3"/>
  <c r="BA101" i="3"/>
  <c r="AZ101" i="3"/>
  <c r="AY101" i="3"/>
  <c r="AX101" i="3"/>
  <c r="AW101" i="3"/>
  <c r="AV101" i="3"/>
  <c r="AU101" i="3"/>
  <c r="AT101" i="3"/>
  <c r="AS101" i="3"/>
  <c r="AR101" i="3"/>
  <c r="AQ101" i="3"/>
  <c r="AP101" i="3"/>
  <c r="AO101" i="3"/>
  <c r="BK100" i="3"/>
  <c r="AM100" i="3"/>
  <c r="BI100" i="3"/>
  <c r="BH100" i="3"/>
  <c r="BG100" i="3"/>
  <c r="BF100" i="3"/>
  <c r="BE100" i="3"/>
  <c r="BD100" i="3"/>
  <c r="BC100" i="3"/>
  <c r="BB100" i="3"/>
  <c r="BA100" i="3"/>
  <c r="AZ100" i="3"/>
  <c r="AY100" i="3"/>
  <c r="AX100" i="3"/>
  <c r="AW100" i="3"/>
  <c r="AV100" i="3"/>
  <c r="AU100" i="3"/>
  <c r="AT100" i="3"/>
  <c r="AS100" i="3"/>
  <c r="AR100" i="3"/>
  <c r="AQ100" i="3"/>
  <c r="AP100" i="3"/>
  <c r="AO100" i="3"/>
  <c r="BK99" i="3"/>
  <c r="AM99" i="3"/>
  <c r="BI99" i="3"/>
  <c r="BH99" i="3"/>
  <c r="BG99" i="3"/>
  <c r="BF99" i="3"/>
  <c r="BE99" i="3"/>
  <c r="BD99" i="3"/>
  <c r="BC99" i="3"/>
  <c r="BB99" i="3"/>
  <c r="BA99" i="3"/>
  <c r="AZ99" i="3"/>
  <c r="AY99" i="3"/>
  <c r="AX99" i="3"/>
  <c r="AW99" i="3"/>
  <c r="AV99" i="3"/>
  <c r="AU99" i="3"/>
  <c r="AT99" i="3"/>
  <c r="AS99" i="3"/>
  <c r="AR99" i="3"/>
  <c r="AQ99" i="3"/>
  <c r="AP99" i="3"/>
  <c r="AO99" i="3"/>
  <c r="BK98" i="3"/>
  <c r="AM98" i="3"/>
  <c r="BI98" i="3"/>
  <c r="BH98" i="3"/>
  <c r="BG98" i="3"/>
  <c r="BF98" i="3"/>
  <c r="BE98" i="3"/>
  <c r="BD98" i="3"/>
  <c r="BC98" i="3"/>
  <c r="BB98" i="3"/>
  <c r="BA98" i="3"/>
  <c r="AZ98" i="3"/>
  <c r="AY98" i="3"/>
  <c r="AX98" i="3"/>
  <c r="AW98" i="3"/>
  <c r="AV98" i="3"/>
  <c r="AU98" i="3"/>
  <c r="AT98" i="3"/>
  <c r="AS98" i="3"/>
  <c r="AR98" i="3"/>
  <c r="AQ98" i="3"/>
  <c r="AP98" i="3"/>
  <c r="AO98" i="3"/>
  <c r="AN98" i="3"/>
  <c r="BK97" i="3"/>
  <c r="AM97" i="3"/>
  <c r="BI97" i="3"/>
  <c r="BH97" i="3"/>
  <c r="BG97" i="3"/>
  <c r="BF97" i="3"/>
  <c r="BE97" i="3"/>
  <c r="BD97" i="3"/>
  <c r="BC97" i="3"/>
  <c r="BB97" i="3"/>
  <c r="BA97" i="3"/>
  <c r="AZ97" i="3"/>
  <c r="AY97" i="3"/>
  <c r="AX97" i="3"/>
  <c r="AW97" i="3"/>
  <c r="AV97" i="3"/>
  <c r="AU97" i="3"/>
  <c r="AT97" i="3"/>
  <c r="AS97" i="3"/>
  <c r="AR97" i="3"/>
  <c r="AQ97" i="3"/>
  <c r="AP97" i="3"/>
  <c r="AO97" i="3"/>
  <c r="BK96" i="3"/>
  <c r="AM96" i="3"/>
  <c r="BI96" i="3"/>
  <c r="BH96" i="3"/>
  <c r="BG96" i="3"/>
  <c r="BF96" i="3"/>
  <c r="BE96" i="3"/>
  <c r="BD96" i="3"/>
  <c r="BC96" i="3"/>
  <c r="BB96" i="3"/>
  <c r="BA96" i="3"/>
  <c r="AZ96" i="3"/>
  <c r="AY96" i="3"/>
  <c r="AX96" i="3"/>
  <c r="AW96" i="3"/>
  <c r="AV96" i="3"/>
  <c r="AU96" i="3"/>
  <c r="AT96" i="3"/>
  <c r="AS96" i="3"/>
  <c r="AR96" i="3"/>
  <c r="AQ96" i="3"/>
  <c r="AP96" i="3"/>
  <c r="AO96" i="3"/>
  <c r="BK95" i="3"/>
  <c r="AM95" i="3"/>
  <c r="BI95" i="3"/>
  <c r="BH95" i="3"/>
  <c r="BG95" i="3"/>
  <c r="BF95" i="3"/>
  <c r="BE95" i="3"/>
  <c r="BD95" i="3"/>
  <c r="BC95" i="3"/>
  <c r="BB95" i="3"/>
  <c r="BA95" i="3"/>
  <c r="AZ95" i="3"/>
  <c r="AY95" i="3"/>
  <c r="AX95" i="3"/>
  <c r="AW95" i="3"/>
  <c r="AV95" i="3"/>
  <c r="AU95" i="3"/>
  <c r="AT95" i="3"/>
  <c r="AS95" i="3"/>
  <c r="AR95" i="3"/>
  <c r="AQ95" i="3"/>
  <c r="AP95" i="3"/>
  <c r="AO95" i="3"/>
  <c r="AN95" i="3"/>
  <c r="BI94" i="3"/>
  <c r="BH94" i="3"/>
  <c r="BG94" i="3"/>
  <c r="BF94" i="3"/>
  <c r="BE94" i="3"/>
  <c r="BD94" i="3"/>
  <c r="BC94" i="3"/>
  <c r="BB94" i="3"/>
  <c r="BA94" i="3"/>
  <c r="AZ94" i="3"/>
  <c r="AY94" i="3"/>
  <c r="AX94" i="3"/>
  <c r="AW94" i="3"/>
  <c r="AV94" i="3"/>
  <c r="AU94" i="3"/>
  <c r="AT94" i="3"/>
  <c r="AS94" i="3"/>
  <c r="AR94" i="3"/>
  <c r="AQ94" i="3"/>
  <c r="AP94" i="3"/>
  <c r="AO94" i="3"/>
  <c r="AK94" i="3"/>
  <c r="BK94" i="3"/>
  <c r="AM94" i="3"/>
  <c r="BK93" i="3"/>
  <c r="BI93" i="3"/>
  <c r="BH93" i="3"/>
  <c r="BG93" i="3"/>
  <c r="BF93" i="3"/>
  <c r="BE93" i="3"/>
  <c r="BD93" i="3"/>
  <c r="BC93" i="3"/>
  <c r="BB93" i="3"/>
  <c r="BA93" i="3"/>
  <c r="AZ93" i="3"/>
  <c r="AY93" i="3"/>
  <c r="AX93" i="3"/>
  <c r="AW93" i="3"/>
  <c r="AV93" i="3"/>
  <c r="AU93" i="3"/>
  <c r="AT93" i="3"/>
  <c r="AS93" i="3"/>
  <c r="AR93" i="3"/>
  <c r="AQ93" i="3"/>
  <c r="AO93" i="3"/>
  <c r="AP93" i="3"/>
  <c r="AN93" i="3"/>
  <c r="AM93" i="3"/>
  <c r="BK92" i="3"/>
  <c r="BI92" i="3"/>
  <c r="BH92" i="3"/>
  <c r="BG92" i="3"/>
  <c r="BF92" i="3"/>
  <c r="BE92" i="3"/>
  <c r="BD92" i="3"/>
  <c r="BC92" i="3"/>
  <c r="BB92" i="3"/>
  <c r="BA92" i="3"/>
  <c r="AZ92" i="3"/>
  <c r="AY92" i="3"/>
  <c r="AX92" i="3"/>
  <c r="AW92" i="3"/>
  <c r="AV92" i="3"/>
  <c r="AU92" i="3"/>
  <c r="AT92" i="3"/>
  <c r="AS92" i="3"/>
  <c r="AR92" i="3"/>
  <c r="AQ92" i="3"/>
  <c r="AO92" i="3"/>
  <c r="AP92" i="3"/>
  <c r="AN92" i="3"/>
  <c r="AM92" i="3"/>
  <c r="BI91" i="3"/>
  <c r="BH91" i="3"/>
  <c r="BG91" i="3"/>
  <c r="BF91" i="3"/>
  <c r="BE91" i="3"/>
  <c r="BD91" i="3"/>
  <c r="BC91" i="3"/>
  <c r="BB91" i="3"/>
  <c r="BA91" i="3"/>
  <c r="AZ91" i="3"/>
  <c r="AY91" i="3"/>
  <c r="AX91" i="3"/>
  <c r="AW91" i="3"/>
  <c r="AV91" i="3"/>
  <c r="AU91" i="3"/>
  <c r="AT91" i="3"/>
  <c r="AS91" i="3"/>
  <c r="AR91" i="3"/>
  <c r="AQ91" i="3"/>
  <c r="AP91" i="3"/>
  <c r="AO91" i="3"/>
  <c r="AN91" i="3"/>
  <c r="AK91" i="3"/>
  <c r="BK91" i="3"/>
  <c r="AM91" i="3"/>
  <c r="BK90" i="3"/>
  <c r="AM90" i="3"/>
  <c r="BI90" i="3"/>
  <c r="BH90" i="3"/>
  <c r="BG90" i="3"/>
  <c r="BF90" i="3"/>
  <c r="BE90" i="3"/>
  <c r="BD90" i="3"/>
  <c r="BC90" i="3"/>
  <c r="BB90" i="3"/>
  <c r="BA90" i="3"/>
  <c r="AZ90" i="3"/>
  <c r="AY90" i="3"/>
  <c r="AX90" i="3"/>
  <c r="AW90" i="3"/>
  <c r="AV90" i="3"/>
  <c r="AU90" i="3"/>
  <c r="AT90" i="3"/>
  <c r="AS90" i="3"/>
  <c r="AR90" i="3"/>
  <c r="AQ90" i="3"/>
  <c r="AP90" i="3"/>
  <c r="AO90" i="3"/>
  <c r="AN90" i="3"/>
  <c r="BI89" i="3"/>
  <c r="BH89" i="3"/>
  <c r="BG89" i="3"/>
  <c r="BF89" i="3"/>
  <c r="BE89" i="3"/>
  <c r="BD89" i="3"/>
  <c r="BC89" i="3"/>
  <c r="BB89" i="3"/>
  <c r="BA89" i="3"/>
  <c r="AZ89" i="3"/>
  <c r="AY89" i="3"/>
  <c r="AX89" i="3"/>
  <c r="AW89" i="3"/>
  <c r="AV89" i="3"/>
  <c r="AU89" i="3"/>
  <c r="AT89" i="3"/>
  <c r="AS89" i="3"/>
  <c r="AR89" i="3"/>
  <c r="AQ89" i="3"/>
  <c r="AP89" i="3"/>
  <c r="AO89" i="3"/>
  <c r="AN89" i="3"/>
  <c r="AK89" i="3"/>
  <c r="BK89" i="3"/>
  <c r="AM89" i="3"/>
  <c r="BK88" i="3"/>
  <c r="AM88" i="3"/>
  <c r="BI88" i="3"/>
  <c r="BH88" i="3"/>
  <c r="BG88" i="3"/>
  <c r="BF88" i="3"/>
  <c r="BE88" i="3"/>
  <c r="BD88" i="3"/>
  <c r="BC88" i="3"/>
  <c r="BB88" i="3"/>
  <c r="BA88" i="3"/>
  <c r="AZ88" i="3"/>
  <c r="AY88" i="3"/>
  <c r="AX88" i="3"/>
  <c r="AW88" i="3"/>
  <c r="AV88" i="3"/>
  <c r="AU88" i="3"/>
  <c r="AT88" i="3"/>
  <c r="AS88" i="3"/>
  <c r="AR88" i="3"/>
  <c r="AQ88" i="3"/>
  <c r="AP88" i="3"/>
  <c r="AO88" i="3"/>
  <c r="AN88" i="3"/>
  <c r="BK87" i="3"/>
  <c r="AM87" i="3"/>
  <c r="BI87" i="3"/>
  <c r="BH87" i="3"/>
  <c r="BG87" i="3"/>
  <c r="BF87" i="3"/>
  <c r="BE87" i="3"/>
  <c r="BD87" i="3"/>
  <c r="BC87" i="3"/>
  <c r="BB87" i="3"/>
  <c r="BA87" i="3"/>
  <c r="AZ87" i="3"/>
  <c r="AY87" i="3"/>
  <c r="AX87" i="3"/>
  <c r="AW87" i="3"/>
  <c r="AV87" i="3"/>
  <c r="AU87" i="3"/>
  <c r="AT87" i="3"/>
  <c r="AS87" i="3"/>
  <c r="AR87" i="3"/>
  <c r="AQ87" i="3"/>
  <c r="AP87" i="3"/>
  <c r="AO87" i="3"/>
  <c r="AN87" i="3"/>
  <c r="BK86" i="3"/>
  <c r="AM86" i="3"/>
  <c r="BI86" i="3"/>
  <c r="AO86" i="3"/>
  <c r="AP86" i="3"/>
  <c r="AQ86" i="3"/>
  <c r="AR86" i="3"/>
  <c r="AS86" i="3"/>
  <c r="AT86" i="3"/>
  <c r="AU86" i="3"/>
  <c r="AV86" i="3"/>
  <c r="AW86" i="3"/>
  <c r="AX86" i="3"/>
  <c r="AY86" i="3"/>
  <c r="AZ86" i="3"/>
  <c r="BA86" i="3"/>
  <c r="BB86" i="3"/>
  <c r="BC86" i="3"/>
  <c r="BD86" i="3"/>
  <c r="BE86" i="3"/>
  <c r="BF86" i="3"/>
  <c r="BG86" i="3"/>
  <c r="BH86" i="3"/>
  <c r="AN86" i="3"/>
  <c r="BK85" i="3"/>
  <c r="AM85" i="3"/>
  <c r="BI85" i="3"/>
  <c r="BH85" i="3"/>
  <c r="BG85" i="3"/>
  <c r="BF85" i="3"/>
  <c r="BE85" i="3"/>
  <c r="BD85" i="3"/>
  <c r="BC85" i="3"/>
  <c r="BB85" i="3"/>
  <c r="BA85" i="3"/>
  <c r="AZ85" i="3"/>
  <c r="AY85" i="3"/>
  <c r="AX85" i="3"/>
  <c r="AW85" i="3"/>
  <c r="AV85" i="3"/>
  <c r="AU85" i="3"/>
  <c r="AT85" i="3"/>
  <c r="AS85" i="3"/>
  <c r="AR85" i="3"/>
  <c r="AQ85" i="3"/>
  <c r="AP85" i="3"/>
  <c r="AO85" i="3"/>
  <c r="AN85" i="3"/>
  <c r="BK84" i="3"/>
  <c r="AM84" i="3"/>
  <c r="BI84" i="3"/>
  <c r="BH84" i="3"/>
  <c r="BG84" i="3"/>
  <c r="BF84" i="3"/>
  <c r="BE84" i="3"/>
  <c r="BD84" i="3"/>
  <c r="BC84" i="3"/>
  <c r="BB84" i="3"/>
  <c r="BA84" i="3"/>
  <c r="AZ84" i="3"/>
  <c r="AY84" i="3"/>
  <c r="AX84" i="3"/>
  <c r="AW84" i="3"/>
  <c r="AV84" i="3"/>
  <c r="AU84" i="3"/>
  <c r="AT84" i="3"/>
  <c r="AS84" i="3"/>
  <c r="AR84" i="3"/>
  <c r="AQ84" i="3"/>
  <c r="AP84" i="3"/>
  <c r="AO84" i="3"/>
  <c r="AN84" i="3"/>
  <c r="BK83" i="3"/>
  <c r="AM83" i="3"/>
  <c r="BI83" i="3"/>
  <c r="BH83" i="3"/>
  <c r="BG83" i="3"/>
  <c r="BF83" i="3"/>
  <c r="BE83" i="3"/>
  <c r="BD83" i="3"/>
  <c r="BC83" i="3"/>
  <c r="BB83" i="3"/>
  <c r="BA83" i="3"/>
  <c r="AZ83" i="3"/>
  <c r="AY83" i="3"/>
  <c r="AX83" i="3"/>
  <c r="AW83" i="3"/>
  <c r="AV83" i="3"/>
  <c r="AU83" i="3"/>
  <c r="AT83" i="3"/>
  <c r="AS83" i="3"/>
  <c r="AR83" i="3"/>
  <c r="AQ83" i="3"/>
  <c r="AP83" i="3"/>
  <c r="AO83" i="3"/>
  <c r="AN83" i="3"/>
  <c r="BK82" i="3"/>
  <c r="AM82" i="3"/>
  <c r="BI82" i="3"/>
  <c r="BH82" i="3"/>
  <c r="BG82" i="3"/>
  <c r="BF82" i="3"/>
  <c r="BE82" i="3"/>
  <c r="BD82" i="3"/>
  <c r="BC82" i="3"/>
  <c r="BB82" i="3"/>
  <c r="BA82" i="3"/>
  <c r="AZ82" i="3"/>
  <c r="AY82" i="3"/>
  <c r="AX82" i="3"/>
  <c r="AW82" i="3"/>
  <c r="AV82" i="3"/>
  <c r="AU82" i="3"/>
  <c r="AT82" i="3"/>
  <c r="AS82" i="3"/>
  <c r="AR82" i="3"/>
  <c r="AQ82" i="3"/>
  <c r="AP82" i="3"/>
  <c r="AO82" i="3"/>
  <c r="AN82" i="3"/>
  <c r="BK81" i="3"/>
  <c r="AM81" i="3"/>
  <c r="BI81" i="3"/>
  <c r="BH81" i="3"/>
  <c r="BG81" i="3"/>
  <c r="BF81" i="3"/>
  <c r="BE81" i="3"/>
  <c r="BD81" i="3"/>
  <c r="BC81" i="3"/>
  <c r="BB81" i="3"/>
  <c r="BA81" i="3"/>
  <c r="AZ81" i="3"/>
  <c r="AY81" i="3"/>
  <c r="AX81" i="3"/>
  <c r="AW81" i="3"/>
  <c r="AV81" i="3"/>
  <c r="AU81" i="3"/>
  <c r="AT81" i="3"/>
  <c r="AS81" i="3"/>
  <c r="AR81" i="3"/>
  <c r="AQ81" i="3"/>
  <c r="AP81" i="3"/>
  <c r="AO81" i="3"/>
  <c r="AN81" i="3"/>
  <c r="AK80" i="3"/>
  <c r="BK80" i="3"/>
  <c r="AM80" i="3"/>
  <c r="BI80" i="3"/>
  <c r="BH80" i="3"/>
  <c r="BG80" i="3"/>
  <c r="BF80" i="3"/>
  <c r="BE80" i="3"/>
  <c r="BD80" i="3"/>
  <c r="BC80" i="3"/>
  <c r="BB80" i="3"/>
  <c r="BA80" i="3"/>
  <c r="AZ80" i="3"/>
  <c r="AY80" i="3"/>
  <c r="AX80" i="3"/>
  <c r="AW80" i="3"/>
  <c r="AV80" i="3"/>
  <c r="AU80" i="3"/>
  <c r="AT80" i="3"/>
  <c r="AS80" i="3"/>
  <c r="AR80" i="3"/>
  <c r="AQ80" i="3"/>
  <c r="AP80" i="3"/>
  <c r="AO80" i="3"/>
  <c r="AN80" i="3"/>
  <c r="AK79" i="3"/>
  <c r="BK79" i="3"/>
  <c r="AM79" i="3"/>
  <c r="BI79" i="3"/>
  <c r="BH79" i="3"/>
  <c r="BG79" i="3"/>
  <c r="BF79" i="3"/>
  <c r="BE79" i="3"/>
  <c r="BD79" i="3"/>
  <c r="BC79" i="3"/>
  <c r="BB79" i="3"/>
  <c r="BA79" i="3"/>
  <c r="AZ79" i="3"/>
  <c r="AY79" i="3"/>
  <c r="AX79" i="3"/>
  <c r="AW79" i="3"/>
  <c r="AV79" i="3"/>
  <c r="AU79" i="3"/>
  <c r="AT79" i="3"/>
  <c r="AS79" i="3"/>
  <c r="AR79" i="3"/>
  <c r="AQ79" i="3"/>
  <c r="AP79" i="3"/>
  <c r="AO79" i="3"/>
  <c r="AN79" i="3"/>
  <c r="BI78" i="3"/>
  <c r="BH78" i="3"/>
  <c r="BG78" i="3"/>
  <c r="BF78" i="3"/>
  <c r="BE78" i="3"/>
  <c r="BD78" i="3"/>
  <c r="BC78" i="3"/>
  <c r="BB78" i="3"/>
  <c r="BA78" i="3"/>
  <c r="AZ78" i="3"/>
  <c r="AY78" i="3"/>
  <c r="AX78" i="3"/>
  <c r="AW78" i="3"/>
  <c r="AV78" i="3"/>
  <c r="AU78" i="3"/>
  <c r="AT78" i="3"/>
  <c r="AS78" i="3"/>
  <c r="AR78" i="3"/>
  <c r="AQ78" i="3"/>
  <c r="AO78" i="3"/>
  <c r="AP78" i="3"/>
  <c r="AN78" i="3"/>
  <c r="AK78" i="3"/>
  <c r="BK78" i="3"/>
  <c r="AM78" i="3"/>
  <c r="BK77" i="3"/>
  <c r="BI77" i="3"/>
  <c r="BH77" i="3"/>
  <c r="BG77" i="3"/>
  <c r="BF77" i="3"/>
  <c r="BE77" i="3"/>
  <c r="BD77" i="3"/>
  <c r="BC77" i="3"/>
  <c r="BB77" i="3"/>
  <c r="BA77" i="3"/>
  <c r="AZ77" i="3"/>
  <c r="AY77" i="3"/>
  <c r="AX77" i="3"/>
  <c r="AW77" i="3"/>
  <c r="AV77" i="3"/>
  <c r="AU77" i="3"/>
  <c r="AT77" i="3"/>
  <c r="AS77" i="3"/>
  <c r="AR77" i="3"/>
  <c r="AQ77" i="3"/>
  <c r="AP77" i="3"/>
  <c r="AO77" i="3"/>
  <c r="AN77" i="3"/>
  <c r="AM77" i="3"/>
  <c r="BI76" i="3"/>
  <c r="BH76" i="3"/>
  <c r="BG76" i="3"/>
  <c r="BF76" i="3"/>
  <c r="BE76" i="3"/>
  <c r="BD76" i="3"/>
  <c r="BC76" i="3"/>
  <c r="BB76" i="3"/>
  <c r="BA76" i="3"/>
  <c r="AZ76" i="3"/>
  <c r="AY76" i="3"/>
  <c r="AX76" i="3"/>
  <c r="AW76" i="3"/>
  <c r="AV76" i="3"/>
  <c r="AU76" i="3"/>
  <c r="AT76" i="3"/>
  <c r="AS76" i="3"/>
  <c r="AR76" i="3"/>
  <c r="AQ76" i="3"/>
  <c r="AP76" i="3"/>
  <c r="AO76" i="3"/>
  <c r="AN76" i="3"/>
  <c r="AK76" i="3"/>
  <c r="BK76" i="3"/>
  <c r="AM76" i="3"/>
  <c r="BI75" i="3"/>
  <c r="BH75" i="3"/>
  <c r="BG75" i="3"/>
  <c r="BF75" i="3"/>
  <c r="BE75" i="3"/>
  <c r="BD75" i="3"/>
  <c r="BC75" i="3"/>
  <c r="BB75" i="3"/>
  <c r="BA75" i="3"/>
  <c r="AZ75" i="3"/>
  <c r="AY75" i="3"/>
  <c r="AX75" i="3"/>
  <c r="AW75" i="3"/>
  <c r="AV75" i="3"/>
  <c r="AU75" i="3"/>
  <c r="AT75" i="3"/>
  <c r="AS75" i="3"/>
  <c r="AR75" i="3"/>
  <c r="AQ75" i="3"/>
  <c r="AP75" i="3"/>
  <c r="AO75" i="3"/>
  <c r="AN75" i="3"/>
  <c r="AK75" i="3"/>
  <c r="BK75" i="3"/>
  <c r="AM75" i="3"/>
  <c r="BK74" i="3"/>
  <c r="AM74" i="3"/>
  <c r="BI74" i="3"/>
  <c r="BH74" i="3"/>
  <c r="BG74" i="3"/>
  <c r="BF74" i="3"/>
  <c r="BE74" i="3"/>
  <c r="BD74" i="3"/>
  <c r="BC74" i="3"/>
  <c r="BB74" i="3"/>
  <c r="BA74" i="3"/>
  <c r="AZ74" i="3"/>
  <c r="AY74" i="3"/>
  <c r="AX74" i="3"/>
  <c r="AW74" i="3"/>
  <c r="AV74" i="3"/>
  <c r="AU74" i="3"/>
  <c r="AT74" i="3"/>
  <c r="AS74" i="3"/>
  <c r="AR74" i="3"/>
  <c r="AQ74" i="3"/>
  <c r="AP74" i="3"/>
  <c r="AO74" i="3"/>
  <c r="BK73" i="3"/>
  <c r="AM73" i="3"/>
  <c r="BI73" i="3"/>
  <c r="BH73" i="3"/>
  <c r="BG73" i="3"/>
  <c r="BF73" i="3"/>
  <c r="BE73" i="3"/>
  <c r="BD73" i="3"/>
  <c r="BC73" i="3"/>
  <c r="BB73" i="3"/>
  <c r="BA73" i="3"/>
  <c r="AZ73" i="3"/>
  <c r="AY73" i="3"/>
  <c r="AX73" i="3"/>
  <c r="AW73" i="3"/>
  <c r="AV73" i="3"/>
  <c r="AU73" i="3"/>
  <c r="AT73" i="3"/>
  <c r="AS73" i="3"/>
  <c r="AR73" i="3"/>
  <c r="AQ73" i="3"/>
  <c r="AP73" i="3"/>
  <c r="AO73" i="3"/>
  <c r="BI72" i="3"/>
  <c r="BH72" i="3"/>
  <c r="BG72" i="3"/>
  <c r="BF72" i="3"/>
  <c r="BE72" i="3"/>
  <c r="BD72" i="3"/>
  <c r="BC72" i="3"/>
  <c r="BB72" i="3"/>
  <c r="BA72" i="3"/>
  <c r="AZ72" i="3"/>
  <c r="AY72" i="3"/>
  <c r="AX72" i="3"/>
  <c r="AW72" i="3"/>
  <c r="AV72" i="3"/>
  <c r="AU72" i="3"/>
  <c r="AT72" i="3"/>
  <c r="AS72" i="3"/>
  <c r="AR72" i="3"/>
  <c r="AQ72" i="3"/>
  <c r="AP72" i="3"/>
  <c r="AO72" i="3"/>
  <c r="AK72" i="3"/>
  <c r="BK72" i="3"/>
  <c r="AM72" i="3"/>
  <c r="BK71" i="3"/>
  <c r="BI71" i="3"/>
  <c r="BH71" i="3"/>
  <c r="BG71" i="3"/>
  <c r="BF71" i="3"/>
  <c r="BE71" i="3"/>
  <c r="BD71" i="3"/>
  <c r="BC71" i="3"/>
  <c r="BB71" i="3"/>
  <c r="BA71" i="3"/>
  <c r="AZ71" i="3"/>
  <c r="AY71" i="3"/>
  <c r="AX71" i="3"/>
  <c r="AW71" i="3"/>
  <c r="AV71" i="3"/>
  <c r="AU71" i="3"/>
  <c r="AT71" i="3"/>
  <c r="AS71" i="3"/>
  <c r="AR71" i="3"/>
  <c r="AQ71" i="3"/>
  <c r="AP71" i="3"/>
  <c r="AO71" i="3"/>
  <c r="AN71" i="3"/>
  <c r="AM71" i="3"/>
  <c r="BK70" i="3"/>
  <c r="BI70" i="3"/>
  <c r="BH70" i="3"/>
  <c r="BG70" i="3"/>
  <c r="BF70" i="3"/>
  <c r="BE70" i="3"/>
  <c r="BD70" i="3"/>
  <c r="BC70" i="3"/>
  <c r="BB70" i="3"/>
  <c r="BA70" i="3"/>
  <c r="AZ70" i="3"/>
  <c r="AY70" i="3"/>
  <c r="AX70" i="3"/>
  <c r="AW70" i="3"/>
  <c r="AV70" i="3"/>
  <c r="AU70" i="3"/>
  <c r="AT70" i="3"/>
  <c r="AS70" i="3"/>
  <c r="AR70" i="3"/>
  <c r="AQ70" i="3"/>
  <c r="AP70" i="3"/>
  <c r="AO70" i="3"/>
  <c r="AM70" i="3"/>
  <c r="BK69" i="3"/>
  <c r="AM69" i="3"/>
  <c r="BI69" i="3"/>
  <c r="BH69" i="3"/>
  <c r="BG69" i="3"/>
  <c r="BF69" i="3"/>
  <c r="BE69" i="3"/>
  <c r="BD69" i="3"/>
  <c r="BC69" i="3"/>
  <c r="BB69" i="3"/>
  <c r="BA69" i="3"/>
  <c r="AZ69" i="3"/>
  <c r="AY69" i="3"/>
  <c r="AX69" i="3"/>
  <c r="AW69" i="3"/>
  <c r="AV69" i="3"/>
  <c r="AU69" i="3"/>
  <c r="AT69" i="3"/>
  <c r="AS69" i="3"/>
  <c r="AR69" i="3"/>
  <c r="AQ69" i="3"/>
  <c r="AP69" i="3"/>
  <c r="AO69" i="3"/>
  <c r="BK68" i="3"/>
  <c r="BI68" i="3"/>
  <c r="BH68" i="3"/>
  <c r="BG68" i="3"/>
  <c r="BF68" i="3"/>
  <c r="BE68" i="3"/>
  <c r="BD68" i="3"/>
  <c r="BC68" i="3"/>
  <c r="BB68" i="3"/>
  <c r="BA68" i="3"/>
  <c r="AZ68" i="3"/>
  <c r="AY68" i="3"/>
  <c r="AX68" i="3"/>
  <c r="AW68" i="3"/>
  <c r="AV68" i="3"/>
  <c r="AU68" i="3"/>
  <c r="AT68" i="3"/>
  <c r="AS68" i="3"/>
  <c r="AR68" i="3"/>
  <c r="AQ68" i="3"/>
  <c r="AP68" i="3"/>
  <c r="AO68" i="3"/>
  <c r="AN68" i="3"/>
  <c r="AM68" i="3"/>
  <c r="BK67" i="3"/>
  <c r="BI67" i="3"/>
  <c r="BH67" i="3"/>
  <c r="BG67" i="3"/>
  <c r="BF67" i="3"/>
  <c r="BE67" i="3"/>
  <c r="BD67" i="3"/>
  <c r="BC67" i="3"/>
  <c r="BB67" i="3"/>
  <c r="BA67" i="3"/>
  <c r="AZ67" i="3"/>
  <c r="AY67" i="3"/>
  <c r="AX67" i="3"/>
  <c r="AW67" i="3"/>
  <c r="AV67" i="3"/>
  <c r="AU67" i="3"/>
  <c r="AT67" i="3"/>
  <c r="AS67" i="3"/>
  <c r="AR67" i="3"/>
  <c r="AQ67" i="3"/>
  <c r="AP67" i="3"/>
  <c r="AO67" i="3"/>
  <c r="AM67" i="3"/>
  <c r="BI66" i="3"/>
  <c r="BH66" i="3"/>
  <c r="BG66" i="3"/>
  <c r="BF66" i="3"/>
  <c r="BE66" i="3"/>
  <c r="BD66" i="3"/>
  <c r="BC66" i="3"/>
  <c r="BB66" i="3"/>
  <c r="BA66" i="3"/>
  <c r="AZ66" i="3"/>
  <c r="AY66" i="3"/>
  <c r="AX66" i="3"/>
  <c r="AW66" i="3"/>
  <c r="AV66" i="3"/>
  <c r="AU66" i="3"/>
  <c r="AT66" i="3"/>
  <c r="AS66" i="3"/>
  <c r="AR66" i="3"/>
  <c r="AQ66" i="3"/>
  <c r="AO66" i="3"/>
  <c r="AP66" i="3"/>
  <c r="AN66" i="3"/>
  <c r="AK66" i="3"/>
  <c r="BK66" i="3"/>
  <c r="AM66" i="3"/>
  <c r="BI65" i="3"/>
  <c r="BH65" i="3"/>
  <c r="BG65" i="3"/>
  <c r="BF65" i="3"/>
  <c r="BE65" i="3"/>
  <c r="BD65" i="3"/>
  <c r="BC65" i="3"/>
  <c r="BB65" i="3"/>
  <c r="BA65" i="3"/>
  <c r="AZ65" i="3"/>
  <c r="AY65" i="3"/>
  <c r="AX65" i="3"/>
  <c r="AW65" i="3"/>
  <c r="AV65" i="3"/>
  <c r="AU65" i="3"/>
  <c r="AT65" i="3"/>
  <c r="AS65" i="3"/>
  <c r="AR65" i="3"/>
  <c r="AQ65" i="3"/>
  <c r="AP65" i="3"/>
  <c r="AO65" i="3"/>
  <c r="AK65" i="3"/>
  <c r="BK65" i="3"/>
  <c r="AM65" i="3"/>
  <c r="BK64" i="3"/>
  <c r="AM64" i="3"/>
  <c r="BI64" i="3"/>
  <c r="BH64" i="3"/>
  <c r="BG64" i="3"/>
  <c r="BF64" i="3"/>
  <c r="BE64" i="3"/>
  <c r="BD64" i="3"/>
  <c r="BC64" i="3"/>
  <c r="BB64" i="3"/>
  <c r="BA64" i="3"/>
  <c r="AZ64" i="3"/>
  <c r="AY64" i="3"/>
  <c r="AX64" i="3"/>
  <c r="AW64" i="3"/>
  <c r="AV64" i="3"/>
  <c r="AU64" i="3"/>
  <c r="AT64" i="3"/>
  <c r="AS64" i="3"/>
  <c r="AR64" i="3"/>
  <c r="AQ64" i="3"/>
  <c r="AP64" i="3"/>
  <c r="AO64" i="3"/>
  <c r="AN64" i="3"/>
  <c r="BI63" i="3"/>
  <c r="BH63" i="3"/>
  <c r="BG63" i="3"/>
  <c r="BF63" i="3"/>
  <c r="BE63" i="3"/>
  <c r="BD63" i="3"/>
  <c r="BC63" i="3"/>
  <c r="BB63" i="3"/>
  <c r="BA63" i="3"/>
  <c r="AZ63" i="3"/>
  <c r="AY63" i="3"/>
  <c r="AX63" i="3"/>
  <c r="AW63" i="3"/>
  <c r="AV63" i="3"/>
  <c r="AU63" i="3"/>
  <c r="AT63" i="3"/>
  <c r="AS63" i="3"/>
  <c r="AR63" i="3"/>
  <c r="AQ63" i="3"/>
  <c r="AP63" i="3"/>
  <c r="AO63" i="3"/>
  <c r="AK63" i="3"/>
  <c r="AK20" i="3"/>
  <c r="AK21" i="3"/>
  <c r="AK23" i="3"/>
  <c r="AK47" i="3"/>
  <c r="AK51" i="3"/>
  <c r="AK55" i="3"/>
  <c r="AK56" i="3"/>
  <c r="AK62" i="3"/>
  <c r="AK323" i="3"/>
  <c r="N1" i="3"/>
  <c r="AK324" i="3" a="1"/>
  <c r="AK324" i="3"/>
  <c r="BI62" i="3"/>
  <c r="BH62" i="3"/>
  <c r="BG62" i="3"/>
  <c r="BF62" i="3"/>
  <c r="BE62" i="3"/>
  <c r="BD62" i="3"/>
  <c r="BC62" i="3"/>
  <c r="BB62" i="3"/>
  <c r="BA62" i="3"/>
  <c r="AZ62" i="3"/>
  <c r="AY62" i="3"/>
  <c r="AX62" i="3"/>
  <c r="AW62" i="3"/>
  <c r="AV62" i="3"/>
  <c r="AU62" i="3"/>
  <c r="AT62" i="3"/>
  <c r="AS62" i="3"/>
  <c r="AR62" i="3"/>
  <c r="AQ62" i="3"/>
  <c r="AO62" i="3"/>
  <c r="AP62" i="3"/>
  <c r="AN62" i="3"/>
  <c r="BK62" i="3"/>
  <c r="AM62" i="3"/>
  <c r="BK61" i="3"/>
  <c r="AM61" i="3"/>
  <c r="BI61" i="3"/>
  <c r="BH61" i="3"/>
  <c r="BG61" i="3"/>
  <c r="BF61" i="3"/>
  <c r="BE61" i="3"/>
  <c r="BD61" i="3"/>
  <c r="BC61" i="3"/>
  <c r="BB61" i="3"/>
  <c r="BA61" i="3"/>
  <c r="AZ61" i="3"/>
  <c r="AY61" i="3"/>
  <c r="AX61" i="3"/>
  <c r="AW61" i="3"/>
  <c r="AV61" i="3"/>
  <c r="AU61" i="3"/>
  <c r="AT61" i="3"/>
  <c r="AS61" i="3"/>
  <c r="AR61" i="3"/>
  <c r="AQ61" i="3"/>
  <c r="AO61" i="3"/>
  <c r="AP61" i="3"/>
  <c r="AN61" i="3"/>
  <c r="BK60" i="3"/>
  <c r="AM60" i="3"/>
  <c r="BI60" i="3"/>
  <c r="BH60" i="3"/>
  <c r="BG60" i="3"/>
  <c r="BF60" i="3"/>
  <c r="BE60" i="3"/>
  <c r="BD60" i="3"/>
  <c r="BC60" i="3"/>
  <c r="BB60" i="3"/>
  <c r="BA60" i="3"/>
  <c r="AZ60" i="3"/>
  <c r="AY60" i="3"/>
  <c r="AX60" i="3"/>
  <c r="AW60" i="3"/>
  <c r="AV60" i="3"/>
  <c r="AU60" i="3"/>
  <c r="AT60" i="3"/>
  <c r="AS60" i="3"/>
  <c r="AR60" i="3"/>
  <c r="AQ60" i="3"/>
  <c r="AO60" i="3"/>
  <c r="AP60" i="3"/>
  <c r="AN60" i="3"/>
  <c r="BK59" i="3"/>
  <c r="AM59" i="3"/>
  <c r="BI59" i="3"/>
  <c r="BH59" i="3"/>
  <c r="BG59" i="3"/>
  <c r="BF59" i="3"/>
  <c r="BE59" i="3"/>
  <c r="BD59" i="3"/>
  <c r="BC59" i="3"/>
  <c r="BB59" i="3"/>
  <c r="BA59" i="3"/>
  <c r="AZ59" i="3"/>
  <c r="AY59" i="3"/>
  <c r="AX59" i="3"/>
  <c r="AW59" i="3"/>
  <c r="AV59" i="3"/>
  <c r="AU59" i="3"/>
  <c r="AT59" i="3"/>
  <c r="AS59" i="3"/>
  <c r="AR59" i="3"/>
  <c r="AQ59" i="3"/>
  <c r="AO59" i="3"/>
  <c r="AP59" i="3"/>
  <c r="AN59" i="3"/>
  <c r="BK58" i="3"/>
  <c r="AM58" i="3"/>
  <c r="BI58" i="3"/>
  <c r="BH58" i="3"/>
  <c r="BG58" i="3"/>
  <c r="BF58" i="3"/>
  <c r="BE58" i="3"/>
  <c r="BD58" i="3"/>
  <c r="BC58" i="3"/>
  <c r="BB58" i="3"/>
  <c r="BA58" i="3"/>
  <c r="AZ58" i="3"/>
  <c r="AY58" i="3"/>
  <c r="AX58" i="3"/>
  <c r="AW58" i="3"/>
  <c r="AV58" i="3"/>
  <c r="AU58" i="3"/>
  <c r="AT58" i="3"/>
  <c r="AS58" i="3"/>
  <c r="AR58" i="3"/>
  <c r="AQ58" i="3"/>
  <c r="AO58" i="3"/>
  <c r="AP58" i="3"/>
  <c r="AN58" i="3"/>
  <c r="BK57" i="3"/>
  <c r="AM57" i="3"/>
  <c r="BI57" i="3"/>
  <c r="BH57" i="3"/>
  <c r="BG57" i="3"/>
  <c r="BF57" i="3"/>
  <c r="BE57" i="3"/>
  <c r="BD57" i="3"/>
  <c r="BC57" i="3"/>
  <c r="BB57" i="3"/>
  <c r="BA57" i="3"/>
  <c r="AZ57" i="3"/>
  <c r="AY57" i="3"/>
  <c r="AX57" i="3"/>
  <c r="AW57" i="3"/>
  <c r="AV57" i="3"/>
  <c r="AU57" i="3"/>
  <c r="AT57" i="3"/>
  <c r="AS57" i="3"/>
  <c r="AR57" i="3"/>
  <c r="AQ57" i="3"/>
  <c r="AO57" i="3"/>
  <c r="AP57" i="3"/>
  <c r="AN57" i="3"/>
  <c r="BI56" i="3"/>
  <c r="BH56" i="3"/>
  <c r="BG56" i="3"/>
  <c r="BF56" i="3"/>
  <c r="BE56" i="3"/>
  <c r="BD56" i="3"/>
  <c r="BC56" i="3"/>
  <c r="BB56" i="3"/>
  <c r="BA56" i="3"/>
  <c r="AZ56" i="3"/>
  <c r="AY56" i="3"/>
  <c r="AX56" i="3"/>
  <c r="AW56" i="3"/>
  <c r="AV56" i="3"/>
  <c r="AU56" i="3"/>
  <c r="AT56" i="3"/>
  <c r="AS56" i="3"/>
  <c r="AR56" i="3"/>
  <c r="AQ56" i="3"/>
  <c r="AP56" i="3"/>
  <c r="AO56" i="3"/>
  <c r="AN56" i="3"/>
  <c r="BK56" i="3"/>
  <c r="AM56" i="3"/>
  <c r="BI55" i="3"/>
  <c r="BH55" i="3"/>
  <c r="BG55" i="3"/>
  <c r="BF55" i="3"/>
  <c r="BE55" i="3"/>
  <c r="BD55" i="3"/>
  <c r="BC55" i="3"/>
  <c r="BB55" i="3"/>
  <c r="BA55" i="3"/>
  <c r="AZ55" i="3"/>
  <c r="AY55" i="3"/>
  <c r="AX55" i="3"/>
  <c r="AW55" i="3"/>
  <c r="AV55" i="3"/>
  <c r="AU55" i="3"/>
  <c r="AT55" i="3"/>
  <c r="AS55" i="3"/>
  <c r="AR55" i="3"/>
  <c r="AQ55" i="3"/>
  <c r="AP55" i="3"/>
  <c r="AO55" i="3"/>
  <c r="AN55" i="3"/>
  <c r="BK55" i="3"/>
  <c r="AM55" i="3"/>
  <c r="BK54" i="3"/>
  <c r="AM54" i="3"/>
  <c r="BI54" i="3"/>
  <c r="BH54" i="3"/>
  <c r="BG54" i="3"/>
  <c r="BF54" i="3"/>
  <c r="BE54" i="3"/>
  <c r="BD54" i="3"/>
  <c r="BC54" i="3"/>
  <c r="BB54" i="3"/>
  <c r="BA54" i="3"/>
  <c r="AZ54" i="3"/>
  <c r="AY54" i="3"/>
  <c r="AX54" i="3"/>
  <c r="AW54" i="3"/>
  <c r="AV54" i="3"/>
  <c r="AU54" i="3"/>
  <c r="AT54" i="3"/>
  <c r="AS54" i="3"/>
  <c r="AR54" i="3"/>
  <c r="AQ54" i="3"/>
  <c r="AP54" i="3"/>
  <c r="AO54" i="3"/>
  <c r="AN54" i="3"/>
  <c r="BK53" i="3"/>
  <c r="AM53" i="3"/>
  <c r="BI53" i="3"/>
  <c r="BH53" i="3"/>
  <c r="BG53" i="3"/>
  <c r="BF53" i="3"/>
  <c r="BE53" i="3"/>
  <c r="BD53" i="3"/>
  <c r="BC53" i="3"/>
  <c r="BB53" i="3"/>
  <c r="BA53" i="3"/>
  <c r="AZ53" i="3"/>
  <c r="AY53" i="3"/>
  <c r="AX53" i="3"/>
  <c r="AW53" i="3"/>
  <c r="AV53" i="3"/>
  <c r="AU53" i="3"/>
  <c r="AT53" i="3"/>
  <c r="AS53" i="3"/>
  <c r="AR53" i="3"/>
  <c r="AQ53" i="3"/>
  <c r="AO53" i="3"/>
  <c r="AP53" i="3"/>
  <c r="AN53" i="3"/>
  <c r="BK52" i="3"/>
  <c r="AM52" i="3"/>
  <c r="BI52" i="3"/>
  <c r="BH52" i="3"/>
  <c r="BG52" i="3"/>
  <c r="BF52" i="3"/>
  <c r="BE52" i="3"/>
  <c r="BD52" i="3"/>
  <c r="BC52" i="3"/>
  <c r="BB52" i="3"/>
  <c r="BA52" i="3"/>
  <c r="AZ52" i="3"/>
  <c r="AY52" i="3"/>
  <c r="AX52" i="3"/>
  <c r="AW52" i="3"/>
  <c r="AV52" i="3"/>
  <c r="AU52" i="3"/>
  <c r="AT52" i="3"/>
  <c r="AS52" i="3"/>
  <c r="AR52" i="3"/>
  <c r="AQ52" i="3"/>
  <c r="AP52" i="3"/>
  <c r="AO52" i="3"/>
  <c r="AN52" i="3"/>
  <c r="BK51" i="3"/>
  <c r="AM51" i="3"/>
  <c r="BI51" i="3"/>
  <c r="BH51" i="3"/>
  <c r="BG51" i="3"/>
  <c r="BF51" i="3"/>
  <c r="BE51" i="3"/>
  <c r="BD51" i="3"/>
  <c r="BC51" i="3"/>
  <c r="BB51" i="3"/>
  <c r="BA51" i="3"/>
  <c r="AZ51" i="3"/>
  <c r="AY51" i="3"/>
  <c r="AX51" i="3"/>
  <c r="AW51" i="3"/>
  <c r="AV51" i="3"/>
  <c r="AU51" i="3"/>
  <c r="AT51" i="3"/>
  <c r="AS51" i="3"/>
  <c r="AR51" i="3"/>
  <c r="AQ51" i="3"/>
  <c r="AP51" i="3"/>
  <c r="AO51" i="3"/>
  <c r="BK50" i="3"/>
  <c r="AM50" i="3"/>
  <c r="BI50" i="3"/>
  <c r="BH50" i="3"/>
  <c r="BG50" i="3"/>
  <c r="BF50" i="3"/>
  <c r="BE50" i="3"/>
  <c r="BD50" i="3"/>
  <c r="BC50" i="3"/>
  <c r="BB50" i="3"/>
  <c r="BA50" i="3"/>
  <c r="AZ50" i="3"/>
  <c r="AY50" i="3"/>
  <c r="AX50" i="3"/>
  <c r="AW50" i="3"/>
  <c r="AV50" i="3"/>
  <c r="AU50" i="3"/>
  <c r="AT50" i="3"/>
  <c r="AS50" i="3"/>
  <c r="AR50" i="3"/>
  <c r="AQ50" i="3"/>
  <c r="AO50" i="3"/>
  <c r="AP50" i="3"/>
  <c r="AN50" i="3"/>
  <c r="BK49" i="3"/>
  <c r="AM49" i="3"/>
  <c r="BI49" i="3"/>
  <c r="BH49" i="3"/>
  <c r="BG49" i="3"/>
  <c r="BF49" i="3"/>
  <c r="BE49" i="3"/>
  <c r="BD49" i="3"/>
  <c r="BC49" i="3"/>
  <c r="BB49" i="3"/>
  <c r="BA49" i="3"/>
  <c r="AZ49" i="3"/>
  <c r="AY49" i="3"/>
  <c r="AX49" i="3"/>
  <c r="AW49" i="3"/>
  <c r="AV49" i="3"/>
  <c r="AU49" i="3"/>
  <c r="AT49" i="3"/>
  <c r="AS49" i="3"/>
  <c r="AR49" i="3"/>
  <c r="AQ49" i="3"/>
  <c r="AO49" i="3"/>
  <c r="AP49" i="3"/>
  <c r="AN49" i="3"/>
  <c r="BK48" i="3"/>
  <c r="AM48" i="3"/>
  <c r="BI48" i="3"/>
  <c r="BH48" i="3"/>
  <c r="BG48" i="3"/>
  <c r="BF48" i="3"/>
  <c r="BE48" i="3"/>
  <c r="BD48" i="3"/>
  <c r="BC48" i="3"/>
  <c r="BB48" i="3"/>
  <c r="BA48" i="3"/>
  <c r="AZ48" i="3"/>
  <c r="AY48" i="3"/>
  <c r="AX48" i="3"/>
  <c r="AW48" i="3"/>
  <c r="AV48" i="3"/>
  <c r="AU48" i="3"/>
  <c r="AT48" i="3"/>
  <c r="AS48" i="3"/>
  <c r="AR48" i="3"/>
  <c r="AQ48" i="3"/>
  <c r="AP48" i="3"/>
  <c r="AO48" i="3"/>
  <c r="AN48" i="3"/>
  <c r="BI47" i="3"/>
  <c r="BH47" i="3"/>
  <c r="BG47" i="3"/>
  <c r="BF47" i="3"/>
  <c r="BE47" i="3"/>
  <c r="BD47" i="3"/>
  <c r="BC47" i="3"/>
  <c r="BB47" i="3"/>
  <c r="BA47" i="3"/>
  <c r="AZ47" i="3"/>
  <c r="AY47" i="3"/>
  <c r="AX47" i="3"/>
  <c r="AW47" i="3"/>
  <c r="AV47" i="3"/>
  <c r="AU47" i="3"/>
  <c r="AT47" i="3"/>
  <c r="AS47" i="3"/>
  <c r="AR47" i="3"/>
  <c r="AQ47" i="3"/>
  <c r="AP47" i="3"/>
  <c r="AO47" i="3"/>
  <c r="BK47" i="3"/>
  <c r="AM47" i="3"/>
  <c r="BK46" i="3"/>
  <c r="AM46" i="3"/>
  <c r="BI46" i="3"/>
  <c r="BH46" i="3"/>
  <c r="BG46" i="3"/>
  <c r="BF46" i="3"/>
  <c r="BE46" i="3"/>
  <c r="BD46" i="3"/>
  <c r="BC46" i="3"/>
  <c r="BB46" i="3"/>
  <c r="BA46" i="3"/>
  <c r="AZ46" i="3"/>
  <c r="AY46" i="3"/>
  <c r="AX46" i="3"/>
  <c r="AW46" i="3"/>
  <c r="AV46" i="3"/>
  <c r="AU46" i="3"/>
  <c r="AT46" i="3"/>
  <c r="AS46" i="3"/>
  <c r="AR46" i="3"/>
  <c r="AQ46" i="3"/>
  <c r="AO46" i="3"/>
  <c r="AP46" i="3"/>
  <c r="AN46" i="3"/>
  <c r="BK45" i="3"/>
  <c r="AM45" i="3"/>
  <c r="BI45" i="3"/>
  <c r="BH45" i="3"/>
  <c r="BG45" i="3"/>
  <c r="BF45" i="3"/>
  <c r="BE45" i="3"/>
  <c r="BD45" i="3"/>
  <c r="BC45" i="3"/>
  <c r="BB45" i="3"/>
  <c r="BA45" i="3"/>
  <c r="AZ45" i="3"/>
  <c r="AY45" i="3"/>
  <c r="AX45" i="3"/>
  <c r="AW45" i="3"/>
  <c r="AV45" i="3"/>
  <c r="AU45" i="3"/>
  <c r="AT45" i="3"/>
  <c r="AS45" i="3"/>
  <c r="AR45" i="3"/>
  <c r="AQ45" i="3"/>
  <c r="AO45" i="3"/>
  <c r="AP45" i="3"/>
  <c r="AN45" i="3"/>
  <c r="BK44" i="3"/>
  <c r="AM44" i="3"/>
  <c r="BI44" i="3"/>
  <c r="BH44" i="3"/>
  <c r="BG44" i="3"/>
  <c r="BF44" i="3"/>
  <c r="BE44" i="3"/>
  <c r="BD44" i="3"/>
  <c r="BC44" i="3"/>
  <c r="BB44" i="3"/>
  <c r="BA44" i="3"/>
  <c r="AZ44" i="3"/>
  <c r="AY44" i="3"/>
  <c r="AX44" i="3"/>
  <c r="AW44" i="3"/>
  <c r="AV44" i="3"/>
  <c r="AU44" i="3"/>
  <c r="AT44" i="3"/>
  <c r="AS44" i="3"/>
  <c r="AR44" i="3"/>
  <c r="AQ44" i="3"/>
  <c r="AO44" i="3"/>
  <c r="AP44" i="3"/>
  <c r="AN44" i="3"/>
  <c r="BK43" i="3"/>
  <c r="AM43" i="3"/>
  <c r="BI43" i="3"/>
  <c r="BH43" i="3"/>
  <c r="BG43" i="3"/>
  <c r="BF43" i="3"/>
  <c r="BE43" i="3"/>
  <c r="BD43" i="3"/>
  <c r="BC43" i="3"/>
  <c r="BB43" i="3"/>
  <c r="BA43" i="3"/>
  <c r="AZ43" i="3"/>
  <c r="AY43" i="3"/>
  <c r="AX43" i="3"/>
  <c r="AW43" i="3"/>
  <c r="AV43" i="3"/>
  <c r="AU43" i="3"/>
  <c r="AT43" i="3"/>
  <c r="AS43" i="3"/>
  <c r="AR43" i="3"/>
  <c r="AQ43" i="3"/>
  <c r="AO43" i="3"/>
  <c r="AP43" i="3"/>
  <c r="AN43" i="3"/>
  <c r="BK42" i="3"/>
  <c r="AM42" i="3"/>
  <c r="BI42" i="3"/>
  <c r="BH42" i="3"/>
  <c r="BG42" i="3"/>
  <c r="BF42" i="3"/>
  <c r="BE42" i="3"/>
  <c r="BD42" i="3"/>
  <c r="BC42" i="3"/>
  <c r="BB42" i="3"/>
  <c r="BA42" i="3"/>
  <c r="AZ42" i="3"/>
  <c r="AY42" i="3"/>
  <c r="AX42" i="3"/>
  <c r="AW42" i="3"/>
  <c r="AV42" i="3"/>
  <c r="AU42" i="3"/>
  <c r="AT42" i="3"/>
  <c r="AS42" i="3"/>
  <c r="AR42" i="3"/>
  <c r="AQ42" i="3"/>
  <c r="AO42" i="3"/>
  <c r="AP42" i="3"/>
  <c r="AN42" i="3"/>
  <c r="BK41" i="3"/>
  <c r="AM41" i="3"/>
  <c r="BI41" i="3"/>
  <c r="BH41" i="3"/>
  <c r="BG41" i="3"/>
  <c r="BF41" i="3"/>
  <c r="BE41" i="3"/>
  <c r="BD41" i="3"/>
  <c r="BC41" i="3"/>
  <c r="BB41" i="3"/>
  <c r="BA41" i="3"/>
  <c r="AZ41" i="3"/>
  <c r="AY41" i="3"/>
  <c r="AX41" i="3"/>
  <c r="AW41" i="3"/>
  <c r="AV41" i="3"/>
  <c r="AU41" i="3"/>
  <c r="AT41" i="3"/>
  <c r="AS41" i="3"/>
  <c r="AR41" i="3"/>
  <c r="AQ41" i="3"/>
  <c r="AO41" i="3"/>
  <c r="AP41" i="3"/>
  <c r="AN41" i="3"/>
  <c r="BK40" i="3"/>
  <c r="AM40" i="3"/>
  <c r="BI40" i="3"/>
  <c r="BH40" i="3"/>
  <c r="BG40" i="3"/>
  <c r="BF40" i="3"/>
  <c r="BE40" i="3"/>
  <c r="BD40" i="3"/>
  <c r="BC40" i="3"/>
  <c r="BB40" i="3"/>
  <c r="BA40" i="3"/>
  <c r="AZ40" i="3"/>
  <c r="AY40" i="3"/>
  <c r="AX40" i="3"/>
  <c r="AW40" i="3"/>
  <c r="AV40" i="3"/>
  <c r="AU40" i="3"/>
  <c r="AT40" i="3"/>
  <c r="AS40" i="3"/>
  <c r="AR40" i="3"/>
  <c r="AQ40" i="3"/>
  <c r="AO40" i="3"/>
  <c r="AP40" i="3"/>
  <c r="AN40" i="3"/>
  <c r="BK39" i="3"/>
  <c r="AM39" i="3"/>
  <c r="BI39" i="3"/>
  <c r="BH39" i="3"/>
  <c r="BG39" i="3"/>
  <c r="BF39" i="3"/>
  <c r="BE39" i="3"/>
  <c r="BD39" i="3"/>
  <c r="BC39" i="3"/>
  <c r="BB39" i="3"/>
  <c r="BA39" i="3"/>
  <c r="AZ39" i="3"/>
  <c r="AY39" i="3"/>
  <c r="AX39" i="3"/>
  <c r="AW39" i="3"/>
  <c r="AV39" i="3"/>
  <c r="AU39" i="3"/>
  <c r="AT39" i="3"/>
  <c r="AS39" i="3"/>
  <c r="AR39" i="3"/>
  <c r="AQ39" i="3"/>
  <c r="AO39" i="3"/>
  <c r="AP39" i="3"/>
  <c r="AN39" i="3"/>
  <c r="BK38" i="3"/>
  <c r="AM38" i="3"/>
  <c r="BI38" i="3"/>
  <c r="BH38" i="3"/>
  <c r="BG38" i="3"/>
  <c r="BF38" i="3"/>
  <c r="BE38" i="3"/>
  <c r="BD38" i="3"/>
  <c r="BC38" i="3"/>
  <c r="BB38" i="3"/>
  <c r="BA38" i="3"/>
  <c r="AZ38" i="3"/>
  <c r="AY38" i="3"/>
  <c r="AX38" i="3"/>
  <c r="AW38" i="3"/>
  <c r="AV38" i="3"/>
  <c r="AU38" i="3"/>
  <c r="AT38" i="3"/>
  <c r="AS38" i="3"/>
  <c r="AR38" i="3"/>
  <c r="AQ38" i="3"/>
  <c r="AO38" i="3"/>
  <c r="AP38" i="3"/>
  <c r="AN38" i="3"/>
  <c r="BK37" i="3"/>
  <c r="AM37" i="3"/>
  <c r="BI37" i="3"/>
  <c r="BH37" i="3"/>
  <c r="BG37" i="3"/>
  <c r="BF37" i="3"/>
  <c r="BE37" i="3"/>
  <c r="BD37" i="3"/>
  <c r="BC37" i="3"/>
  <c r="BB37" i="3"/>
  <c r="BA37" i="3"/>
  <c r="AZ37" i="3"/>
  <c r="AY37" i="3"/>
  <c r="AX37" i="3"/>
  <c r="AW37" i="3"/>
  <c r="AV37" i="3"/>
  <c r="AU37" i="3"/>
  <c r="AT37" i="3"/>
  <c r="AS37" i="3"/>
  <c r="AR37" i="3"/>
  <c r="AQ37" i="3"/>
  <c r="AO37" i="3"/>
  <c r="AP37" i="3"/>
  <c r="AN37" i="3"/>
  <c r="BK36" i="3"/>
  <c r="AM36" i="3"/>
  <c r="BI36" i="3"/>
  <c r="BH36" i="3"/>
  <c r="BG36" i="3"/>
  <c r="BF36" i="3"/>
  <c r="BE36" i="3"/>
  <c r="BD36" i="3"/>
  <c r="BC36" i="3"/>
  <c r="BB36" i="3"/>
  <c r="BA36" i="3"/>
  <c r="AZ36" i="3"/>
  <c r="AY36" i="3"/>
  <c r="AX36" i="3"/>
  <c r="AW36" i="3"/>
  <c r="AV36" i="3"/>
  <c r="AU36" i="3"/>
  <c r="AT36" i="3"/>
  <c r="AS36" i="3"/>
  <c r="AR36" i="3"/>
  <c r="AQ36" i="3"/>
  <c r="AO36" i="3"/>
  <c r="AP36" i="3"/>
  <c r="AN36" i="3"/>
  <c r="BK35" i="3"/>
  <c r="AM35" i="3"/>
  <c r="BI35" i="3"/>
  <c r="BH35" i="3"/>
  <c r="BG35" i="3"/>
  <c r="BF35" i="3"/>
  <c r="BE35" i="3"/>
  <c r="BD35" i="3"/>
  <c r="BC35" i="3"/>
  <c r="BB35" i="3"/>
  <c r="BA35" i="3"/>
  <c r="AZ35" i="3"/>
  <c r="AY35" i="3"/>
  <c r="AX35" i="3"/>
  <c r="AW35" i="3"/>
  <c r="AV35" i="3"/>
  <c r="AU35" i="3"/>
  <c r="AT35" i="3"/>
  <c r="AS35" i="3"/>
  <c r="AR35" i="3"/>
  <c r="AQ35" i="3"/>
  <c r="AO35" i="3"/>
  <c r="AP35" i="3"/>
  <c r="AN35" i="3"/>
  <c r="BK34" i="3"/>
  <c r="AM34" i="3"/>
  <c r="BI34" i="3"/>
  <c r="BH34" i="3"/>
  <c r="BG34" i="3"/>
  <c r="BF34" i="3"/>
  <c r="BE34" i="3"/>
  <c r="BD34" i="3"/>
  <c r="BC34" i="3"/>
  <c r="BB34" i="3"/>
  <c r="BA34" i="3"/>
  <c r="AZ34" i="3"/>
  <c r="AY34" i="3"/>
  <c r="AX34" i="3"/>
  <c r="AW34" i="3"/>
  <c r="AV34" i="3"/>
  <c r="AU34" i="3"/>
  <c r="AT34" i="3"/>
  <c r="AS34" i="3"/>
  <c r="AR34" i="3"/>
  <c r="AQ34" i="3"/>
  <c r="AO34" i="3"/>
  <c r="AP34" i="3"/>
  <c r="AN34" i="3"/>
  <c r="BK33" i="3"/>
  <c r="AM33" i="3"/>
  <c r="BI33" i="3"/>
  <c r="BH33" i="3"/>
  <c r="BG33" i="3"/>
  <c r="BF33" i="3"/>
  <c r="BE33" i="3"/>
  <c r="BD33" i="3"/>
  <c r="BC33" i="3"/>
  <c r="BB33" i="3"/>
  <c r="BA33" i="3"/>
  <c r="AZ33" i="3"/>
  <c r="AY33" i="3"/>
  <c r="AX33" i="3"/>
  <c r="AW33" i="3"/>
  <c r="AV33" i="3"/>
  <c r="AU33" i="3"/>
  <c r="AT33" i="3"/>
  <c r="AS33" i="3"/>
  <c r="AR33" i="3"/>
  <c r="AQ33" i="3"/>
  <c r="AO33" i="3"/>
  <c r="AP33" i="3"/>
  <c r="AN33" i="3"/>
  <c r="BK32" i="3"/>
  <c r="AM32" i="3"/>
  <c r="BI32" i="3"/>
  <c r="BH32" i="3"/>
  <c r="BG32" i="3"/>
  <c r="BF32" i="3"/>
  <c r="BE32" i="3"/>
  <c r="BD32" i="3"/>
  <c r="BC32" i="3"/>
  <c r="BB32" i="3"/>
  <c r="BA32" i="3"/>
  <c r="AZ32" i="3"/>
  <c r="AY32" i="3"/>
  <c r="AX32" i="3"/>
  <c r="AW32" i="3"/>
  <c r="AV32" i="3"/>
  <c r="AU32" i="3"/>
  <c r="AT32" i="3"/>
  <c r="AS32" i="3"/>
  <c r="AR32" i="3"/>
  <c r="AQ32" i="3"/>
  <c r="AO32" i="3"/>
  <c r="AP32" i="3"/>
  <c r="AN32" i="3"/>
  <c r="BK31" i="3"/>
  <c r="AM31" i="3"/>
  <c r="BI31" i="3"/>
  <c r="BH31" i="3"/>
  <c r="BG31" i="3"/>
  <c r="BF31" i="3"/>
  <c r="BE31" i="3"/>
  <c r="BD31" i="3"/>
  <c r="BC31" i="3"/>
  <c r="BB31" i="3"/>
  <c r="BA31" i="3"/>
  <c r="AZ31" i="3"/>
  <c r="AY31" i="3"/>
  <c r="AX31" i="3"/>
  <c r="AW31" i="3"/>
  <c r="AV31" i="3"/>
  <c r="AU31" i="3"/>
  <c r="AT31" i="3"/>
  <c r="AS31" i="3"/>
  <c r="AR31" i="3"/>
  <c r="AQ31" i="3"/>
  <c r="AO31" i="3"/>
  <c r="AP31" i="3"/>
  <c r="AN31" i="3"/>
  <c r="BK30" i="3"/>
  <c r="AM30" i="3"/>
  <c r="BI30" i="3"/>
  <c r="BH30" i="3"/>
  <c r="BG30" i="3"/>
  <c r="BF30" i="3"/>
  <c r="BE30" i="3"/>
  <c r="BD30" i="3"/>
  <c r="BC30" i="3"/>
  <c r="BB30" i="3"/>
  <c r="BA30" i="3"/>
  <c r="AZ30" i="3"/>
  <c r="AY30" i="3"/>
  <c r="AX30" i="3"/>
  <c r="AW30" i="3"/>
  <c r="AV30" i="3"/>
  <c r="AU30" i="3"/>
  <c r="AT30" i="3"/>
  <c r="AS30" i="3"/>
  <c r="AR30" i="3"/>
  <c r="AQ30" i="3"/>
  <c r="AO30" i="3"/>
  <c r="AP30" i="3"/>
  <c r="AN30" i="3"/>
  <c r="BK29" i="3"/>
  <c r="AM29" i="3"/>
  <c r="BI29" i="3"/>
  <c r="BH29" i="3"/>
  <c r="BG29" i="3"/>
  <c r="BF29" i="3"/>
  <c r="BE29" i="3"/>
  <c r="BD29" i="3"/>
  <c r="BC29" i="3"/>
  <c r="BB29" i="3"/>
  <c r="BA29" i="3"/>
  <c r="AZ29" i="3"/>
  <c r="AY29" i="3"/>
  <c r="AX29" i="3"/>
  <c r="AW29" i="3"/>
  <c r="AV29" i="3"/>
  <c r="AU29" i="3"/>
  <c r="AT29" i="3"/>
  <c r="AS29" i="3"/>
  <c r="AR29" i="3"/>
  <c r="AQ29" i="3"/>
  <c r="AO29" i="3"/>
  <c r="AP29" i="3"/>
  <c r="AN29" i="3"/>
  <c r="BK28" i="3"/>
  <c r="AM28" i="3"/>
  <c r="BI28" i="3"/>
  <c r="BH28" i="3"/>
  <c r="BG28" i="3"/>
  <c r="BF28" i="3"/>
  <c r="BE28" i="3"/>
  <c r="BD28" i="3"/>
  <c r="BC28" i="3"/>
  <c r="BB28" i="3"/>
  <c r="BA28" i="3"/>
  <c r="AZ28" i="3"/>
  <c r="AY28" i="3"/>
  <c r="AX28" i="3"/>
  <c r="AW28" i="3"/>
  <c r="AV28" i="3"/>
  <c r="AU28" i="3"/>
  <c r="AT28" i="3"/>
  <c r="AS28" i="3"/>
  <c r="AR28" i="3"/>
  <c r="AQ28" i="3"/>
  <c r="AO28" i="3"/>
  <c r="AP28" i="3"/>
  <c r="AN28" i="3"/>
  <c r="BK27" i="3"/>
  <c r="AM27" i="3"/>
  <c r="BI27" i="3"/>
  <c r="BH27" i="3"/>
  <c r="BG27" i="3"/>
  <c r="BF27" i="3"/>
  <c r="BE27" i="3"/>
  <c r="BD27" i="3"/>
  <c r="BC27" i="3"/>
  <c r="BB27" i="3"/>
  <c r="BA27" i="3"/>
  <c r="AZ27" i="3"/>
  <c r="AY27" i="3"/>
  <c r="AX27" i="3"/>
  <c r="AW27" i="3"/>
  <c r="AV27" i="3"/>
  <c r="AU27" i="3"/>
  <c r="AT27" i="3"/>
  <c r="AS27" i="3"/>
  <c r="AR27" i="3"/>
  <c r="AQ27" i="3"/>
  <c r="AO27" i="3"/>
  <c r="AP27" i="3"/>
  <c r="AN27" i="3"/>
  <c r="BK26" i="3"/>
  <c r="AM26" i="3"/>
  <c r="BI26" i="3"/>
  <c r="BH26" i="3"/>
  <c r="BG26" i="3"/>
  <c r="BF26" i="3"/>
  <c r="BE26" i="3"/>
  <c r="BD26" i="3"/>
  <c r="BC26" i="3"/>
  <c r="BB26" i="3"/>
  <c r="BA26" i="3"/>
  <c r="AZ26" i="3"/>
  <c r="AY26" i="3"/>
  <c r="AX26" i="3"/>
  <c r="AW26" i="3"/>
  <c r="AV26" i="3"/>
  <c r="AU26" i="3"/>
  <c r="AT26" i="3"/>
  <c r="AS26" i="3"/>
  <c r="AR26" i="3"/>
  <c r="AQ26" i="3"/>
  <c r="AO26" i="3"/>
  <c r="AP26" i="3"/>
  <c r="AN26" i="3"/>
  <c r="BK25" i="3"/>
  <c r="AM25" i="3"/>
  <c r="BI25" i="3"/>
  <c r="BH25" i="3"/>
  <c r="BG25" i="3"/>
  <c r="BF25" i="3"/>
  <c r="BE25" i="3"/>
  <c r="BD25" i="3"/>
  <c r="BC25" i="3"/>
  <c r="BB25" i="3"/>
  <c r="BA25" i="3"/>
  <c r="AZ25" i="3"/>
  <c r="AY25" i="3"/>
  <c r="AX25" i="3"/>
  <c r="AW25" i="3"/>
  <c r="AV25" i="3"/>
  <c r="AU25" i="3"/>
  <c r="AT25" i="3"/>
  <c r="AS25" i="3"/>
  <c r="AR25" i="3"/>
  <c r="AQ25" i="3"/>
  <c r="AO25" i="3"/>
  <c r="AP25" i="3"/>
  <c r="AN25" i="3"/>
  <c r="BK24" i="3"/>
  <c r="AM24" i="3"/>
  <c r="BI24" i="3"/>
  <c r="BH24" i="3"/>
  <c r="BG24" i="3"/>
  <c r="BF24" i="3"/>
  <c r="BE24" i="3"/>
  <c r="BD24" i="3"/>
  <c r="BC24" i="3"/>
  <c r="BB24" i="3"/>
  <c r="BA24" i="3"/>
  <c r="AZ24" i="3"/>
  <c r="AY24" i="3"/>
  <c r="AX24" i="3"/>
  <c r="AW24" i="3"/>
  <c r="AV24" i="3"/>
  <c r="AU24" i="3"/>
  <c r="AT24" i="3"/>
  <c r="AS24" i="3"/>
  <c r="AR24" i="3"/>
  <c r="AQ24" i="3"/>
  <c r="AO24" i="3"/>
  <c r="AP24" i="3"/>
  <c r="AN24" i="3"/>
  <c r="BI23" i="3"/>
  <c r="BH23" i="3"/>
  <c r="BG23" i="3"/>
  <c r="BF23" i="3"/>
  <c r="BE23" i="3"/>
  <c r="BD23" i="3"/>
  <c r="BC23" i="3"/>
  <c r="BB23" i="3"/>
  <c r="BA23" i="3"/>
  <c r="AZ23" i="3"/>
  <c r="AY23" i="3"/>
  <c r="AX23" i="3"/>
  <c r="AW23" i="3"/>
  <c r="AV23" i="3"/>
  <c r="AU23" i="3"/>
  <c r="AT23" i="3"/>
  <c r="AS23" i="3"/>
  <c r="AR23" i="3"/>
  <c r="AQ23" i="3"/>
  <c r="AO23" i="3"/>
  <c r="AP23" i="3"/>
  <c r="BK23" i="3"/>
  <c r="AM23" i="3"/>
  <c r="BK22" i="3"/>
  <c r="BI22" i="3"/>
  <c r="BH22" i="3"/>
  <c r="BG22" i="3"/>
  <c r="BF22" i="3"/>
  <c r="BE22" i="3"/>
  <c r="BD22" i="3"/>
  <c r="BC22" i="3"/>
  <c r="BB22" i="3"/>
  <c r="BA22" i="3"/>
  <c r="AZ22" i="3"/>
  <c r="AY22" i="3"/>
  <c r="AX22" i="3"/>
  <c r="AW22" i="3"/>
  <c r="AV22" i="3"/>
  <c r="AU22" i="3"/>
  <c r="AT22" i="3"/>
  <c r="AS22" i="3"/>
  <c r="AR22" i="3"/>
  <c r="AQ22" i="3"/>
  <c r="AP22" i="3"/>
  <c r="AO22" i="3"/>
  <c r="AN22" i="3"/>
  <c r="AM22" i="3"/>
  <c r="BI21" i="3"/>
  <c r="BH21" i="3"/>
  <c r="BG21" i="3"/>
  <c r="BF21" i="3"/>
  <c r="BE21" i="3"/>
  <c r="BD21" i="3"/>
  <c r="BC21" i="3"/>
  <c r="BB21" i="3"/>
  <c r="BA21" i="3"/>
  <c r="AZ21" i="3"/>
  <c r="AY21" i="3"/>
  <c r="AX21" i="3"/>
  <c r="AW21" i="3"/>
  <c r="AV21" i="3"/>
  <c r="AU21" i="3"/>
  <c r="AT21" i="3"/>
  <c r="AS21" i="3"/>
  <c r="AR21" i="3"/>
  <c r="AQ21" i="3"/>
  <c r="AP21" i="3"/>
  <c r="AO21" i="3"/>
  <c r="AN21" i="3"/>
  <c r="BK21" i="3"/>
  <c r="AM21" i="3"/>
  <c r="BK20" i="3"/>
  <c r="AM20" i="3"/>
  <c r="BI20" i="3"/>
  <c r="BH20" i="3"/>
  <c r="BG20" i="3"/>
  <c r="BF20" i="3"/>
  <c r="BE20" i="3"/>
  <c r="BD20" i="3"/>
  <c r="BC20" i="3"/>
  <c r="BB20" i="3"/>
  <c r="BA20" i="3"/>
  <c r="AZ20" i="3"/>
  <c r="AY20" i="3"/>
  <c r="AX20" i="3"/>
  <c r="AW20" i="3"/>
  <c r="AV20" i="3"/>
  <c r="AU20" i="3"/>
  <c r="AT20" i="3"/>
  <c r="AS20" i="3"/>
  <c r="AR20" i="3"/>
  <c r="AQ20" i="3"/>
  <c r="AP20" i="3"/>
  <c r="AO20" i="3"/>
  <c r="AN20" i="3"/>
  <c r="AJ18" i="3"/>
  <c r="AI18" i="3"/>
  <c r="AH18" i="3"/>
  <c r="AG18" i="3"/>
  <c r="AF18" i="3"/>
  <c r="AE18" i="3"/>
  <c r="AD18" i="3"/>
  <c r="AC18" i="3"/>
  <c r="AB18" i="3"/>
  <c r="AA18" i="3"/>
  <c r="Z18" i="3"/>
  <c r="Y18" i="3"/>
  <c r="X18" i="3"/>
  <c r="W18" i="3"/>
  <c r="V18" i="3"/>
  <c r="U18" i="3"/>
  <c r="T18" i="3"/>
  <c r="S18" i="3"/>
  <c r="R18" i="3"/>
  <c r="Q18" i="3"/>
  <c r="P18" i="3"/>
  <c r="O18" i="3"/>
  <c r="N18" i="3"/>
  <c r="M18" i="3"/>
  <c r="L18" i="3"/>
  <c r="K18" i="3"/>
  <c r="J18" i="3"/>
  <c r="I18" i="3"/>
  <c r="H18" i="3"/>
  <c r="G18" i="3"/>
  <c r="F18" i="3"/>
  <c r="E18" i="3"/>
  <c r="D18" i="3"/>
  <c r="C18" i="3"/>
  <c r="AI4" i="3"/>
  <c r="AI17" i="3"/>
  <c r="AG4" i="3"/>
  <c r="AG17" i="3"/>
  <c r="AE4" i="3"/>
  <c r="AE17" i="3"/>
  <c r="AD4" i="3"/>
  <c r="AD17" i="3"/>
  <c r="AA4" i="3"/>
  <c r="AA17" i="3"/>
  <c r="Y4" i="3"/>
  <c r="W4" i="3"/>
  <c r="W17" i="3"/>
  <c r="V4" i="3"/>
  <c r="V17" i="3"/>
  <c r="S4" i="3"/>
  <c r="S17" i="3"/>
  <c r="O4" i="3"/>
  <c r="O17" i="3"/>
  <c r="N4" i="3"/>
  <c r="N17" i="3"/>
  <c r="K4" i="3"/>
  <c r="K17" i="3"/>
  <c r="G4" i="3"/>
  <c r="G17" i="3"/>
  <c r="F4" i="3"/>
  <c r="F17" i="3"/>
  <c r="C4" i="3"/>
  <c r="C17" i="3"/>
  <c r="S14" i="3"/>
  <c r="S15" i="3"/>
  <c r="K14" i="3"/>
  <c r="K15" i="3"/>
  <c r="Q1" i="3"/>
  <c r="K10" i="3"/>
  <c r="C14" i="3"/>
  <c r="C15" i="3"/>
  <c r="U14" i="3"/>
  <c r="U4" i="3"/>
  <c r="U15" i="3"/>
  <c r="U10" i="3"/>
  <c r="AJ14" i="3"/>
  <c r="AJ4" i="3"/>
  <c r="AJ15" i="3"/>
  <c r="AJ10" i="3"/>
  <c r="AI14" i="3"/>
  <c r="AI15" i="3"/>
  <c r="AH14" i="3"/>
  <c r="AG14" i="3"/>
  <c r="AG15" i="3"/>
  <c r="AG10" i="3"/>
  <c r="AF14" i="3"/>
  <c r="AE14" i="3"/>
  <c r="AE15" i="3"/>
  <c r="AD14" i="3"/>
  <c r="AC14" i="3"/>
  <c r="AC4" i="3"/>
  <c r="AC15" i="3"/>
  <c r="AC10" i="3"/>
  <c r="AB14" i="3"/>
  <c r="AA14" i="3"/>
  <c r="AA15" i="3"/>
  <c r="Z14" i="3"/>
  <c r="Z4" i="3"/>
  <c r="Z15" i="3"/>
  <c r="Z10" i="3"/>
  <c r="Y14" i="3"/>
  <c r="X14" i="3"/>
  <c r="W14" i="3"/>
  <c r="W15" i="3"/>
  <c r="V14" i="3"/>
  <c r="T14" i="3"/>
  <c r="R14" i="3"/>
  <c r="Q14" i="3"/>
  <c r="Q4" i="3"/>
  <c r="Q15" i="3"/>
  <c r="P14" i="3"/>
  <c r="O14" i="3"/>
  <c r="O15" i="3"/>
  <c r="N14" i="3"/>
  <c r="M14" i="3"/>
  <c r="M4" i="3"/>
  <c r="L14" i="3"/>
  <c r="J14" i="3"/>
  <c r="I14" i="3"/>
  <c r="I4" i="3"/>
  <c r="I17" i="3"/>
  <c r="H14" i="3"/>
  <c r="G14" i="3"/>
  <c r="G15" i="3"/>
  <c r="F14" i="3"/>
  <c r="E14" i="3"/>
  <c r="E4" i="3"/>
  <c r="E15" i="3"/>
  <c r="E10" i="3"/>
  <c r="D14" i="3"/>
  <c r="AJ9" i="3"/>
  <c r="AI9" i="3"/>
  <c r="AH9" i="3"/>
  <c r="AG9" i="3"/>
  <c r="AF9" i="3"/>
  <c r="AE9" i="3"/>
  <c r="AD9" i="3"/>
  <c r="AC9" i="3"/>
  <c r="AB9" i="3"/>
  <c r="AA9" i="3"/>
  <c r="Z9" i="3"/>
  <c r="Y9" i="3"/>
  <c r="X9" i="3"/>
  <c r="W9" i="3"/>
  <c r="V9" i="3"/>
  <c r="U9" i="3"/>
  <c r="T9" i="3"/>
  <c r="S9" i="3"/>
  <c r="R9" i="3"/>
  <c r="Q9" i="3"/>
  <c r="P9" i="3"/>
  <c r="O9" i="3"/>
  <c r="N9" i="3"/>
  <c r="M9" i="3"/>
  <c r="L9" i="3"/>
  <c r="K9" i="3"/>
  <c r="J9" i="3"/>
  <c r="I9" i="3"/>
  <c r="H9" i="3"/>
  <c r="G9" i="3"/>
  <c r="F9" i="3"/>
  <c r="E9" i="3"/>
  <c r="D9" i="3"/>
  <c r="C9" i="3"/>
  <c r="AJ8" i="3"/>
  <c r="AI8" i="3"/>
  <c r="AH8" i="3"/>
  <c r="AG8" i="3"/>
  <c r="AF8" i="3"/>
  <c r="AE8" i="3"/>
  <c r="AD8" i="3"/>
  <c r="AC8" i="3"/>
  <c r="AB8" i="3"/>
  <c r="AA8" i="3"/>
  <c r="Z8" i="3"/>
  <c r="Y8" i="3"/>
  <c r="X8" i="3"/>
  <c r="W8" i="3"/>
  <c r="V8" i="3"/>
  <c r="U8" i="3"/>
  <c r="T8" i="3"/>
  <c r="S8" i="3"/>
  <c r="R8" i="3"/>
  <c r="Q8" i="3"/>
  <c r="P8" i="3"/>
  <c r="O8" i="3"/>
  <c r="N8" i="3"/>
  <c r="M8" i="3"/>
  <c r="L8" i="3"/>
  <c r="K8" i="3"/>
  <c r="J8" i="3"/>
  <c r="I8" i="3"/>
  <c r="H8" i="3"/>
  <c r="G8" i="3"/>
  <c r="F8" i="3"/>
  <c r="E8" i="3"/>
  <c r="D8" i="3"/>
  <c r="C8" i="3"/>
  <c r="AN6" i="3"/>
  <c r="AH4" i="3"/>
  <c r="AH17" i="3"/>
  <c r="AF4" i="3"/>
  <c r="AF17" i="3"/>
  <c r="AB4" i="3"/>
  <c r="Z17" i="3"/>
  <c r="X4" i="3"/>
  <c r="U17" i="3"/>
  <c r="T4" i="3"/>
  <c r="R4" i="3"/>
  <c r="R17" i="3"/>
  <c r="Q17" i="3"/>
  <c r="P4" i="3"/>
  <c r="P17" i="3"/>
  <c r="M17" i="3"/>
  <c r="L4" i="3"/>
  <c r="L17" i="3"/>
  <c r="J4" i="3"/>
  <c r="J17" i="3"/>
  <c r="H4" i="3"/>
  <c r="H17" i="3"/>
  <c r="E17" i="3"/>
  <c r="D4" i="3"/>
  <c r="B4" i="3"/>
  <c r="AK3" i="3"/>
  <c r="AJ3" i="3"/>
  <c r="AI3" i="3"/>
  <c r="AH3" i="3"/>
  <c r="AG3" i="3"/>
  <c r="AF3" i="3"/>
  <c r="AE3" i="3"/>
  <c r="AD3" i="3"/>
  <c r="AC3" i="3"/>
  <c r="AB3" i="3"/>
  <c r="AA3" i="3"/>
  <c r="Z3" i="3"/>
  <c r="Y3" i="3"/>
  <c r="X3" i="3"/>
  <c r="W3" i="3"/>
  <c r="V3" i="3"/>
  <c r="U3" i="3"/>
  <c r="T3" i="3"/>
  <c r="S3" i="3"/>
  <c r="R3" i="3"/>
  <c r="Q3" i="3"/>
  <c r="P3" i="3"/>
  <c r="O3" i="3"/>
  <c r="N3" i="3"/>
  <c r="M3" i="3"/>
  <c r="L3" i="3"/>
  <c r="K3" i="3"/>
  <c r="J3" i="3"/>
  <c r="I3" i="3"/>
  <c r="H3" i="3"/>
  <c r="G3" i="3"/>
  <c r="F3" i="3"/>
  <c r="E3" i="3"/>
  <c r="D3" i="3"/>
  <c r="C3" i="3"/>
  <c r="AL2" i="3"/>
  <c r="V1" i="3"/>
  <c r="B222" i="2"/>
  <c r="A222" i="2"/>
  <c r="C219" i="2"/>
  <c r="C218" i="2"/>
  <c r="C217" i="2"/>
  <c r="C215" i="2"/>
  <c r="C210" i="2"/>
  <c r="C209" i="2"/>
  <c r="C208" i="2"/>
  <c r="C207" i="2"/>
  <c r="C202" i="2"/>
  <c r="C199" i="2"/>
  <c r="C198" i="2"/>
  <c r="C197" i="2"/>
  <c r="C189" i="2"/>
  <c r="C187" i="2"/>
  <c r="C181" i="2"/>
  <c r="C178" i="2"/>
  <c r="C177" i="2"/>
  <c r="C176" i="2"/>
  <c r="C173" i="2"/>
  <c r="C172" i="2"/>
  <c r="C171" i="2"/>
  <c r="C170" i="2"/>
  <c r="C160" i="2"/>
  <c r="C158" i="2"/>
  <c r="C157" i="2"/>
  <c r="C156" i="2"/>
  <c r="C155" i="2"/>
  <c r="C147" i="2"/>
  <c r="C146" i="2"/>
  <c r="C145" i="2"/>
  <c r="C144" i="2"/>
  <c r="C141" i="2"/>
  <c r="C139" i="2"/>
  <c r="C134" i="2"/>
  <c r="C126" i="2"/>
  <c r="C125" i="2"/>
  <c r="C122" i="2"/>
  <c r="C121" i="2"/>
  <c r="C117" i="2"/>
  <c r="C116" i="2"/>
  <c r="C115" i="2"/>
  <c r="C112" i="2"/>
  <c r="C107" i="2"/>
  <c r="C106" i="2"/>
  <c r="C105" i="2"/>
  <c r="C102" i="2"/>
  <c r="C101" i="2"/>
  <c r="C95" i="2"/>
  <c r="C94" i="2"/>
  <c r="C93" i="2"/>
  <c r="C91" i="2"/>
  <c r="C88" i="2"/>
  <c r="C86" i="2"/>
  <c r="C85" i="2"/>
  <c r="C84" i="2"/>
  <c r="C82" i="2"/>
  <c r="C81" i="2"/>
  <c r="C78" i="2"/>
  <c r="C77" i="2"/>
  <c r="C71" i="2"/>
  <c r="C70" i="2"/>
  <c r="C66" i="2"/>
  <c r="C52" i="2"/>
  <c r="C47" i="2"/>
  <c r="C38" i="2"/>
  <c r="C36" i="2"/>
  <c r="C35" i="2"/>
  <c r="C31" i="2"/>
  <c r="C30" i="2"/>
  <c r="C27" i="2"/>
  <c r="C22" i="2"/>
  <c r="C18" i="2"/>
  <c r="C17" i="2"/>
  <c r="C12" i="2"/>
  <c r="C11" i="2"/>
  <c r="C10" i="2"/>
  <c r="C5" i="2"/>
  <c r="C4" i="2"/>
  <c r="C3" i="2"/>
  <c r="C222" i="2"/>
  <c r="CY353" i="1"/>
  <c r="CX353" i="1"/>
  <c r="CW353" i="1"/>
  <c r="CV353" i="1"/>
  <c r="CU353" i="1"/>
  <c r="CT353" i="1"/>
  <c r="CS353" i="1"/>
  <c r="CR353" i="1"/>
  <c r="CQ353" i="1"/>
  <c r="CP353" i="1"/>
  <c r="CO353" i="1"/>
  <c r="CN353" i="1"/>
  <c r="CM353" i="1"/>
  <c r="CL353" i="1"/>
  <c r="CK353" i="1"/>
  <c r="CJ353" i="1"/>
  <c r="CI353" i="1"/>
  <c r="CH353" i="1"/>
  <c r="CG353" i="1"/>
  <c r="CF353" i="1"/>
  <c r="CE353" i="1"/>
  <c r="CD353" i="1"/>
  <c r="CC353" i="1"/>
  <c r="CB353" i="1"/>
  <c r="BX353" i="1"/>
  <c r="BW353" i="1"/>
  <c r="BV353" i="1"/>
  <c r="BU353" i="1"/>
  <c r="BT353" i="1"/>
  <c r="BS353" i="1"/>
  <c r="BR353" i="1"/>
  <c r="BN353" i="1"/>
  <c r="BO353" i="1"/>
  <c r="BP353" i="1"/>
  <c r="BQ353" i="1"/>
  <c r="BY353" i="1"/>
  <c r="BZ353" i="1"/>
  <c r="AP353" i="1"/>
  <c r="AQ353" i="1"/>
  <c r="AR353" i="1"/>
  <c r="AS353" i="1"/>
  <c r="AT353" i="1"/>
  <c r="AU353" i="1"/>
  <c r="AV353" i="1"/>
  <c r="AW353" i="1"/>
  <c r="AX353" i="1"/>
  <c r="AY353" i="1"/>
  <c r="AZ353" i="1"/>
  <c r="BA353" i="1"/>
  <c r="BB353" i="1"/>
  <c r="BC353" i="1"/>
  <c r="BD353" i="1"/>
  <c r="BE353" i="1"/>
  <c r="BF353" i="1"/>
  <c r="BG353" i="1"/>
  <c r="BH353" i="1"/>
  <c r="BI353" i="1"/>
  <c r="BJ353" i="1"/>
  <c r="BK353" i="1"/>
  <c r="BL353" i="1"/>
  <c r="BM353" i="1"/>
  <c r="CY352" i="1"/>
  <c r="CX352" i="1"/>
  <c r="CW352" i="1"/>
  <c r="CV352" i="1"/>
  <c r="CU352" i="1"/>
  <c r="CT352" i="1"/>
  <c r="CS352" i="1"/>
  <c r="CR352" i="1"/>
  <c r="CQ352" i="1"/>
  <c r="CP352" i="1"/>
  <c r="CO352" i="1"/>
  <c r="CN352" i="1"/>
  <c r="CM352" i="1"/>
  <c r="CL352" i="1"/>
  <c r="CK352" i="1"/>
  <c r="CJ352" i="1"/>
  <c r="CI352" i="1"/>
  <c r="CH352" i="1"/>
  <c r="CG352" i="1"/>
  <c r="CF352" i="1"/>
  <c r="CE352" i="1"/>
  <c r="CC352" i="1"/>
  <c r="CD352" i="1"/>
  <c r="BX352" i="1"/>
  <c r="BW352" i="1"/>
  <c r="BV352" i="1"/>
  <c r="BU352" i="1"/>
  <c r="BT352" i="1"/>
  <c r="BS352" i="1"/>
  <c r="BR352" i="1"/>
  <c r="BQ352" i="1"/>
  <c r="BP352" i="1"/>
  <c r="BO352" i="1"/>
  <c r="BN352" i="1"/>
  <c r="BY352" i="1"/>
  <c r="BZ352" i="1"/>
  <c r="AP352" i="1"/>
  <c r="AQ352" i="1"/>
  <c r="AR352" i="1"/>
  <c r="AS352" i="1"/>
  <c r="AT352" i="1"/>
  <c r="AU352" i="1"/>
  <c r="AV352" i="1"/>
  <c r="AW352" i="1"/>
  <c r="AX352" i="1"/>
  <c r="AY352" i="1"/>
  <c r="AZ352" i="1"/>
  <c r="BA352" i="1"/>
  <c r="BB352" i="1"/>
  <c r="BC352" i="1"/>
  <c r="BD352" i="1"/>
  <c r="BE352" i="1"/>
  <c r="BF352" i="1"/>
  <c r="BG352" i="1"/>
  <c r="BH352" i="1"/>
  <c r="BI352" i="1"/>
  <c r="BJ352" i="1"/>
  <c r="BK352" i="1"/>
  <c r="BL352" i="1"/>
  <c r="BM352" i="1"/>
  <c r="CA352" i="1"/>
  <c r="AM352" i="1"/>
  <c r="CY351" i="1"/>
  <c r="CX351" i="1"/>
  <c r="CW351" i="1"/>
  <c r="CV351" i="1"/>
  <c r="CU351" i="1"/>
  <c r="CT351" i="1"/>
  <c r="CS351" i="1"/>
  <c r="CR351" i="1"/>
  <c r="CQ351" i="1"/>
  <c r="CP351" i="1"/>
  <c r="CO351" i="1"/>
  <c r="CN351" i="1"/>
  <c r="CM351" i="1"/>
  <c r="CL351" i="1"/>
  <c r="CK351" i="1"/>
  <c r="CJ351" i="1"/>
  <c r="CI351" i="1"/>
  <c r="CH351" i="1"/>
  <c r="CG351" i="1"/>
  <c r="CF351" i="1"/>
  <c r="CE351" i="1"/>
  <c r="CC351" i="1"/>
  <c r="CD351" i="1"/>
  <c r="CB351" i="1"/>
  <c r="BX351" i="1"/>
  <c r="BN351" i="1"/>
  <c r="BO351" i="1"/>
  <c r="BP351" i="1"/>
  <c r="BQ351" i="1"/>
  <c r="BR351" i="1"/>
  <c r="BS351" i="1"/>
  <c r="BT351" i="1"/>
  <c r="BU351" i="1"/>
  <c r="BV351" i="1"/>
  <c r="BW351" i="1"/>
  <c r="AP351" i="1"/>
  <c r="AQ351" i="1"/>
  <c r="AR351" i="1"/>
  <c r="AS351" i="1"/>
  <c r="AT351" i="1"/>
  <c r="AU351" i="1"/>
  <c r="AV351" i="1"/>
  <c r="AW351" i="1"/>
  <c r="AX351" i="1"/>
  <c r="AY351" i="1"/>
  <c r="AZ351" i="1"/>
  <c r="BA351" i="1"/>
  <c r="BB351" i="1"/>
  <c r="BC351" i="1"/>
  <c r="BD351" i="1"/>
  <c r="BE351" i="1"/>
  <c r="BF351" i="1"/>
  <c r="BG351" i="1"/>
  <c r="BH351" i="1"/>
  <c r="BI351" i="1"/>
  <c r="BJ351" i="1"/>
  <c r="BK351" i="1"/>
  <c r="BL351" i="1"/>
  <c r="BM351" i="1"/>
  <c r="CY350" i="1"/>
  <c r="CX350" i="1"/>
  <c r="CW350" i="1"/>
  <c r="CV350" i="1"/>
  <c r="CU350" i="1"/>
  <c r="CT350" i="1"/>
  <c r="CS350" i="1"/>
  <c r="CR350" i="1"/>
  <c r="CQ350" i="1"/>
  <c r="CP350" i="1"/>
  <c r="CO350" i="1"/>
  <c r="CN350" i="1"/>
  <c r="CM350" i="1"/>
  <c r="CL350" i="1"/>
  <c r="CK350" i="1"/>
  <c r="CJ350" i="1"/>
  <c r="CI350" i="1"/>
  <c r="CH350" i="1"/>
  <c r="CG350" i="1"/>
  <c r="CF350" i="1"/>
  <c r="CE350" i="1"/>
  <c r="CD350" i="1"/>
  <c r="CC350" i="1"/>
  <c r="BX350" i="1"/>
  <c r="BN350" i="1"/>
  <c r="BO350" i="1"/>
  <c r="BP350" i="1"/>
  <c r="BQ350" i="1"/>
  <c r="BR350" i="1"/>
  <c r="BS350" i="1"/>
  <c r="BT350" i="1"/>
  <c r="BU350" i="1"/>
  <c r="BV350" i="1"/>
  <c r="BW350" i="1"/>
  <c r="BY350" i="1"/>
  <c r="BZ350" i="1"/>
  <c r="AP350" i="1"/>
  <c r="AQ350" i="1"/>
  <c r="AR350" i="1"/>
  <c r="AS350" i="1"/>
  <c r="AT350" i="1"/>
  <c r="AU350" i="1"/>
  <c r="AV350" i="1"/>
  <c r="AW350" i="1"/>
  <c r="AX350" i="1"/>
  <c r="AY350" i="1"/>
  <c r="AZ350" i="1"/>
  <c r="BA350" i="1"/>
  <c r="BB350" i="1"/>
  <c r="BC350" i="1"/>
  <c r="BD350" i="1"/>
  <c r="BE350" i="1"/>
  <c r="BF350" i="1"/>
  <c r="BG350" i="1"/>
  <c r="BH350" i="1"/>
  <c r="BI350" i="1"/>
  <c r="BJ350" i="1"/>
  <c r="BK350" i="1"/>
  <c r="BL350" i="1"/>
  <c r="BM350" i="1"/>
  <c r="CA350" i="1"/>
  <c r="AM350" i="1"/>
  <c r="CY349" i="1"/>
  <c r="CX349" i="1"/>
  <c r="CW349" i="1"/>
  <c r="CV349" i="1"/>
  <c r="CU349" i="1"/>
  <c r="CT349" i="1"/>
  <c r="CS349" i="1"/>
  <c r="CR349" i="1"/>
  <c r="CQ349" i="1"/>
  <c r="CP349" i="1"/>
  <c r="CO349" i="1"/>
  <c r="CN349" i="1"/>
  <c r="CM349" i="1"/>
  <c r="CL349" i="1"/>
  <c r="CK349" i="1"/>
  <c r="CJ349" i="1"/>
  <c r="CI349" i="1"/>
  <c r="CH349" i="1"/>
  <c r="CG349" i="1"/>
  <c r="CF349" i="1"/>
  <c r="CE349" i="1"/>
  <c r="CC349" i="1"/>
  <c r="CD349" i="1"/>
  <c r="CB349" i="1"/>
  <c r="BX349" i="1"/>
  <c r="BW349" i="1"/>
  <c r="BV349" i="1"/>
  <c r="BU349" i="1"/>
  <c r="BT349" i="1"/>
  <c r="BS349" i="1"/>
  <c r="BR349" i="1"/>
  <c r="BQ349" i="1"/>
  <c r="BP349" i="1"/>
  <c r="BO349" i="1"/>
  <c r="BN349" i="1"/>
  <c r="BY349" i="1"/>
  <c r="BZ349" i="1"/>
  <c r="AP349" i="1"/>
  <c r="AQ349" i="1"/>
  <c r="AR349" i="1"/>
  <c r="AS349" i="1"/>
  <c r="AT349" i="1"/>
  <c r="AU349" i="1"/>
  <c r="AV349" i="1"/>
  <c r="AW349" i="1"/>
  <c r="AX349" i="1"/>
  <c r="AY349" i="1"/>
  <c r="AZ349" i="1"/>
  <c r="BA349" i="1"/>
  <c r="BB349" i="1"/>
  <c r="BC349" i="1"/>
  <c r="BD349" i="1"/>
  <c r="BE349" i="1"/>
  <c r="BF349" i="1"/>
  <c r="BG349" i="1"/>
  <c r="BH349" i="1"/>
  <c r="BI349" i="1"/>
  <c r="BJ349" i="1"/>
  <c r="BK349" i="1"/>
  <c r="BL349" i="1"/>
  <c r="BM349" i="1"/>
  <c r="CA349" i="1"/>
  <c r="AM349" i="1"/>
  <c r="CY348" i="1"/>
  <c r="CX348" i="1"/>
  <c r="CW348" i="1"/>
  <c r="CV348" i="1"/>
  <c r="CU348" i="1"/>
  <c r="CT348" i="1"/>
  <c r="CS348" i="1"/>
  <c r="CR348" i="1"/>
  <c r="CQ348" i="1"/>
  <c r="CP348" i="1"/>
  <c r="CO348" i="1"/>
  <c r="CN348" i="1"/>
  <c r="CM348" i="1"/>
  <c r="CL348" i="1"/>
  <c r="CK348" i="1"/>
  <c r="CJ348" i="1"/>
  <c r="CI348" i="1"/>
  <c r="CH348" i="1"/>
  <c r="CG348" i="1"/>
  <c r="CF348" i="1"/>
  <c r="CE348" i="1"/>
  <c r="CC348" i="1"/>
  <c r="CD348" i="1"/>
  <c r="CB348" i="1"/>
  <c r="BX348" i="1"/>
  <c r="BW348" i="1"/>
  <c r="BV348" i="1"/>
  <c r="BU348" i="1"/>
  <c r="BT348" i="1"/>
  <c r="BS348" i="1"/>
  <c r="BR348" i="1"/>
  <c r="BQ348" i="1"/>
  <c r="BP348" i="1"/>
  <c r="BO348" i="1"/>
  <c r="BN348" i="1"/>
  <c r="BY348" i="1"/>
  <c r="BZ348" i="1"/>
  <c r="AP348" i="1"/>
  <c r="AQ348" i="1"/>
  <c r="AR348" i="1"/>
  <c r="AS348" i="1"/>
  <c r="AT348" i="1"/>
  <c r="AU348" i="1"/>
  <c r="AV348" i="1"/>
  <c r="AW348" i="1"/>
  <c r="AX348" i="1"/>
  <c r="AY348" i="1"/>
  <c r="AZ348" i="1"/>
  <c r="BA348" i="1"/>
  <c r="BB348" i="1"/>
  <c r="BC348" i="1"/>
  <c r="BD348" i="1"/>
  <c r="BE348" i="1"/>
  <c r="BF348" i="1"/>
  <c r="BG348" i="1"/>
  <c r="BH348" i="1"/>
  <c r="BI348" i="1"/>
  <c r="BJ348" i="1"/>
  <c r="BK348" i="1"/>
  <c r="BL348" i="1"/>
  <c r="BM348" i="1"/>
  <c r="CA348" i="1"/>
  <c r="CY347" i="1"/>
  <c r="CX347" i="1"/>
  <c r="CW347" i="1"/>
  <c r="CV347" i="1"/>
  <c r="CU347" i="1"/>
  <c r="CT347" i="1"/>
  <c r="CS347" i="1"/>
  <c r="CR347" i="1"/>
  <c r="CQ347" i="1"/>
  <c r="CP347" i="1"/>
  <c r="CO347" i="1"/>
  <c r="CN347" i="1"/>
  <c r="CM347" i="1"/>
  <c r="CL347" i="1"/>
  <c r="CK347" i="1"/>
  <c r="CJ347" i="1"/>
  <c r="CI347" i="1"/>
  <c r="CH347" i="1"/>
  <c r="CG347" i="1"/>
  <c r="CF347" i="1"/>
  <c r="CE347" i="1"/>
  <c r="CD347" i="1"/>
  <c r="CC347" i="1"/>
  <c r="BX347" i="1"/>
  <c r="BW347" i="1"/>
  <c r="BV347" i="1"/>
  <c r="BU347" i="1"/>
  <c r="BT347" i="1"/>
  <c r="BS347" i="1"/>
  <c r="BR347" i="1"/>
  <c r="BQ347" i="1"/>
  <c r="BP347" i="1"/>
  <c r="BN347" i="1"/>
  <c r="BO347" i="1"/>
  <c r="AP347" i="1"/>
  <c r="AQ347" i="1"/>
  <c r="AR347" i="1"/>
  <c r="AS347" i="1"/>
  <c r="AT347" i="1"/>
  <c r="AU347" i="1"/>
  <c r="AV347" i="1"/>
  <c r="AW347" i="1"/>
  <c r="AX347" i="1"/>
  <c r="AY347" i="1"/>
  <c r="AZ347" i="1"/>
  <c r="BA347" i="1"/>
  <c r="BB347" i="1"/>
  <c r="BC347" i="1"/>
  <c r="BD347" i="1"/>
  <c r="BE347" i="1"/>
  <c r="BF347" i="1"/>
  <c r="BG347" i="1"/>
  <c r="BH347" i="1"/>
  <c r="BI347" i="1"/>
  <c r="BJ347" i="1"/>
  <c r="BK347" i="1"/>
  <c r="BL347" i="1"/>
  <c r="BM347" i="1"/>
  <c r="AM347" i="1"/>
  <c r="CY346" i="1"/>
  <c r="CX346" i="1"/>
  <c r="CW346" i="1"/>
  <c r="CV346" i="1"/>
  <c r="CU346" i="1"/>
  <c r="CT346" i="1"/>
  <c r="CS346" i="1"/>
  <c r="CR346" i="1"/>
  <c r="CQ346" i="1"/>
  <c r="CP346" i="1"/>
  <c r="CO346" i="1"/>
  <c r="CN346" i="1"/>
  <c r="CM346" i="1"/>
  <c r="CL346" i="1"/>
  <c r="CK346" i="1"/>
  <c r="CJ346" i="1"/>
  <c r="CI346" i="1"/>
  <c r="CH346" i="1"/>
  <c r="CG346" i="1"/>
  <c r="CF346" i="1"/>
  <c r="CE346" i="1"/>
  <c r="CC346" i="1"/>
  <c r="CD346" i="1"/>
  <c r="BX346" i="1"/>
  <c r="BW346" i="1"/>
  <c r="BV346" i="1"/>
  <c r="BU346" i="1"/>
  <c r="BT346" i="1"/>
  <c r="BS346" i="1"/>
  <c r="BR346" i="1"/>
  <c r="BQ346" i="1"/>
  <c r="BP346" i="1"/>
  <c r="BO346" i="1"/>
  <c r="BN346" i="1"/>
  <c r="BY346" i="1"/>
  <c r="BZ346" i="1"/>
  <c r="AP346" i="1"/>
  <c r="AQ346" i="1"/>
  <c r="AR346" i="1"/>
  <c r="AS346" i="1"/>
  <c r="AT346" i="1"/>
  <c r="AU346" i="1"/>
  <c r="AV346" i="1"/>
  <c r="AW346" i="1"/>
  <c r="AX346" i="1"/>
  <c r="AY346" i="1"/>
  <c r="AZ346" i="1"/>
  <c r="BA346" i="1"/>
  <c r="BB346" i="1"/>
  <c r="BC346" i="1"/>
  <c r="BD346" i="1"/>
  <c r="BE346" i="1"/>
  <c r="BF346" i="1"/>
  <c r="BG346" i="1"/>
  <c r="BH346" i="1"/>
  <c r="BI346" i="1"/>
  <c r="BJ346" i="1"/>
  <c r="BK346" i="1"/>
  <c r="BL346" i="1"/>
  <c r="BM346" i="1"/>
  <c r="CY345" i="1"/>
  <c r="CX345" i="1"/>
  <c r="CW345" i="1"/>
  <c r="CV345" i="1"/>
  <c r="CU345" i="1"/>
  <c r="CT345" i="1"/>
  <c r="CS345" i="1"/>
  <c r="CR345" i="1"/>
  <c r="CQ345" i="1"/>
  <c r="CP345" i="1"/>
  <c r="CO345" i="1"/>
  <c r="CN345" i="1"/>
  <c r="CM345" i="1"/>
  <c r="CL345" i="1"/>
  <c r="CK345" i="1"/>
  <c r="CJ345" i="1"/>
  <c r="CI345" i="1"/>
  <c r="CH345" i="1"/>
  <c r="CG345" i="1"/>
  <c r="CF345" i="1"/>
  <c r="CE345" i="1"/>
  <c r="CC345" i="1"/>
  <c r="CD345" i="1"/>
  <c r="CB345" i="1"/>
  <c r="BX345" i="1"/>
  <c r="BW345" i="1"/>
  <c r="BV345" i="1"/>
  <c r="BU345" i="1"/>
  <c r="BT345" i="1"/>
  <c r="BS345" i="1"/>
  <c r="BR345" i="1"/>
  <c r="BQ345" i="1"/>
  <c r="BN345" i="1"/>
  <c r="BO345" i="1"/>
  <c r="BP345" i="1"/>
  <c r="BY345" i="1"/>
  <c r="BZ345" i="1"/>
  <c r="AP345" i="1"/>
  <c r="AQ345" i="1"/>
  <c r="AR345" i="1"/>
  <c r="AS345" i="1"/>
  <c r="AT345" i="1"/>
  <c r="AU345" i="1"/>
  <c r="AV345" i="1"/>
  <c r="AW345" i="1"/>
  <c r="AX345" i="1"/>
  <c r="AY345" i="1"/>
  <c r="AZ345" i="1"/>
  <c r="BA345" i="1"/>
  <c r="BB345" i="1"/>
  <c r="BC345" i="1"/>
  <c r="BD345" i="1"/>
  <c r="BE345" i="1"/>
  <c r="BF345" i="1"/>
  <c r="BG345" i="1"/>
  <c r="BH345" i="1"/>
  <c r="BI345" i="1"/>
  <c r="BJ345" i="1"/>
  <c r="BK345" i="1"/>
  <c r="BL345" i="1"/>
  <c r="BM345" i="1"/>
  <c r="CA345" i="1"/>
  <c r="AM345" i="1"/>
  <c r="CY344" i="1"/>
  <c r="CX344" i="1"/>
  <c r="CW344" i="1"/>
  <c r="CV344" i="1"/>
  <c r="CU344" i="1"/>
  <c r="CT344" i="1"/>
  <c r="CS344" i="1"/>
  <c r="CR344" i="1"/>
  <c r="CQ344" i="1"/>
  <c r="CP344" i="1"/>
  <c r="CO344" i="1"/>
  <c r="CN344" i="1"/>
  <c r="CM344" i="1"/>
  <c r="CL344" i="1"/>
  <c r="CK344" i="1"/>
  <c r="CJ344" i="1"/>
  <c r="CI344" i="1"/>
  <c r="CH344" i="1"/>
  <c r="CG344" i="1"/>
  <c r="CF344" i="1"/>
  <c r="CE344" i="1"/>
  <c r="CC344" i="1"/>
  <c r="CD344" i="1"/>
  <c r="CB344" i="1"/>
  <c r="BX344" i="1"/>
  <c r="BW344" i="1"/>
  <c r="BV344" i="1"/>
  <c r="BU344" i="1"/>
  <c r="BT344" i="1"/>
  <c r="BS344" i="1"/>
  <c r="BR344" i="1"/>
  <c r="BQ344" i="1"/>
  <c r="BP344" i="1"/>
  <c r="BN344" i="1"/>
  <c r="BO344" i="1"/>
  <c r="BY344" i="1"/>
  <c r="BZ344" i="1"/>
  <c r="AP344" i="1"/>
  <c r="AQ344" i="1"/>
  <c r="AR344" i="1"/>
  <c r="AS344" i="1"/>
  <c r="AT344" i="1"/>
  <c r="AU344" i="1"/>
  <c r="AV344" i="1"/>
  <c r="AW344" i="1"/>
  <c r="AX344" i="1"/>
  <c r="AY344" i="1"/>
  <c r="AZ344" i="1"/>
  <c r="BA344" i="1"/>
  <c r="BB344" i="1"/>
  <c r="BC344" i="1"/>
  <c r="BD344" i="1"/>
  <c r="BE344" i="1"/>
  <c r="BF344" i="1"/>
  <c r="BG344" i="1"/>
  <c r="BH344" i="1"/>
  <c r="BI344" i="1"/>
  <c r="BJ344" i="1"/>
  <c r="BK344" i="1"/>
  <c r="BL344" i="1"/>
  <c r="BM344" i="1"/>
  <c r="CA344" i="1"/>
  <c r="AM344" i="1"/>
  <c r="CY343" i="1"/>
  <c r="CX343" i="1"/>
  <c r="CW343" i="1"/>
  <c r="CV343" i="1"/>
  <c r="CU343" i="1"/>
  <c r="CT343" i="1"/>
  <c r="CS343" i="1"/>
  <c r="CR343" i="1"/>
  <c r="CQ343" i="1"/>
  <c r="CP343" i="1"/>
  <c r="CO343" i="1"/>
  <c r="CN343" i="1"/>
  <c r="CM343" i="1"/>
  <c r="CL343" i="1"/>
  <c r="CK343" i="1"/>
  <c r="CJ343" i="1"/>
  <c r="CI343" i="1"/>
  <c r="CH343" i="1"/>
  <c r="CG343" i="1"/>
  <c r="CF343" i="1"/>
  <c r="CE343" i="1"/>
  <c r="CC343" i="1"/>
  <c r="CD343" i="1"/>
  <c r="CB343" i="1"/>
  <c r="BX343" i="1"/>
  <c r="BW343" i="1"/>
  <c r="BV343" i="1"/>
  <c r="BU343" i="1"/>
  <c r="BT343" i="1"/>
  <c r="BS343" i="1"/>
  <c r="BR343" i="1"/>
  <c r="BQ343" i="1"/>
  <c r="BP343" i="1"/>
  <c r="BO343" i="1"/>
  <c r="BN343" i="1"/>
  <c r="AP343" i="1"/>
  <c r="AQ343" i="1"/>
  <c r="AR343" i="1"/>
  <c r="AS343" i="1"/>
  <c r="AT343" i="1"/>
  <c r="AU343" i="1"/>
  <c r="AV343" i="1"/>
  <c r="AW343" i="1"/>
  <c r="AX343" i="1"/>
  <c r="AY343" i="1"/>
  <c r="AZ343" i="1"/>
  <c r="BA343" i="1"/>
  <c r="BB343" i="1"/>
  <c r="BC343" i="1"/>
  <c r="BD343" i="1"/>
  <c r="BE343" i="1"/>
  <c r="BF343" i="1"/>
  <c r="BG343" i="1"/>
  <c r="BH343" i="1"/>
  <c r="BI343" i="1"/>
  <c r="BJ343" i="1"/>
  <c r="BK343" i="1"/>
  <c r="BL343" i="1"/>
  <c r="BM343" i="1"/>
  <c r="AM343" i="1"/>
  <c r="CY342" i="1"/>
  <c r="CX342" i="1"/>
  <c r="CW342" i="1"/>
  <c r="CV342" i="1"/>
  <c r="CU342" i="1"/>
  <c r="CT342" i="1"/>
  <c r="CS342" i="1"/>
  <c r="CR342" i="1"/>
  <c r="CQ342" i="1"/>
  <c r="CP342" i="1"/>
  <c r="CO342" i="1"/>
  <c r="CN342" i="1"/>
  <c r="CM342" i="1"/>
  <c r="CL342" i="1"/>
  <c r="CK342" i="1"/>
  <c r="CJ342" i="1"/>
  <c r="CI342" i="1"/>
  <c r="CH342" i="1"/>
  <c r="CG342" i="1"/>
  <c r="CF342" i="1"/>
  <c r="CE342" i="1"/>
  <c r="CC342" i="1"/>
  <c r="CD342" i="1"/>
  <c r="BX342" i="1"/>
  <c r="BN342" i="1"/>
  <c r="BO342" i="1"/>
  <c r="BP342" i="1"/>
  <c r="BQ342" i="1"/>
  <c r="BR342" i="1"/>
  <c r="BS342" i="1"/>
  <c r="BT342" i="1"/>
  <c r="BU342" i="1"/>
  <c r="BV342" i="1"/>
  <c r="BW342" i="1"/>
  <c r="AP342" i="1"/>
  <c r="AQ342" i="1"/>
  <c r="AR342" i="1"/>
  <c r="AS342" i="1"/>
  <c r="AT342" i="1"/>
  <c r="AU342" i="1"/>
  <c r="AV342" i="1"/>
  <c r="AW342" i="1"/>
  <c r="AX342" i="1"/>
  <c r="AY342" i="1"/>
  <c r="AZ342" i="1"/>
  <c r="BA342" i="1"/>
  <c r="BB342" i="1"/>
  <c r="BC342" i="1"/>
  <c r="BD342" i="1"/>
  <c r="BE342" i="1"/>
  <c r="BF342" i="1"/>
  <c r="BG342" i="1"/>
  <c r="BH342" i="1"/>
  <c r="BI342" i="1"/>
  <c r="BJ342" i="1"/>
  <c r="BK342" i="1"/>
  <c r="BL342" i="1"/>
  <c r="BM342" i="1"/>
  <c r="CY341" i="1"/>
  <c r="CX341" i="1"/>
  <c r="CW341" i="1"/>
  <c r="CV341" i="1"/>
  <c r="CU341" i="1"/>
  <c r="CT341" i="1"/>
  <c r="CS341" i="1"/>
  <c r="CR341" i="1"/>
  <c r="CQ341" i="1"/>
  <c r="CP341" i="1"/>
  <c r="CO341" i="1"/>
  <c r="CN341" i="1"/>
  <c r="CM341" i="1"/>
  <c r="CL341" i="1"/>
  <c r="CK341" i="1"/>
  <c r="CJ341" i="1"/>
  <c r="CI341" i="1"/>
  <c r="CH341" i="1"/>
  <c r="CG341" i="1"/>
  <c r="CF341" i="1"/>
  <c r="CE341" i="1"/>
  <c r="CD341" i="1"/>
  <c r="CC341" i="1"/>
  <c r="BX341" i="1"/>
  <c r="BW341" i="1"/>
  <c r="BV341" i="1"/>
  <c r="BU341" i="1"/>
  <c r="BT341" i="1"/>
  <c r="BS341" i="1"/>
  <c r="BR341" i="1"/>
  <c r="BQ341" i="1"/>
  <c r="BP341" i="1"/>
  <c r="BN341" i="1"/>
  <c r="BO341" i="1"/>
  <c r="BY341" i="1"/>
  <c r="BZ341" i="1"/>
  <c r="AP341" i="1"/>
  <c r="AQ341" i="1"/>
  <c r="AR341" i="1"/>
  <c r="AS341" i="1"/>
  <c r="AT341" i="1"/>
  <c r="AU341" i="1"/>
  <c r="AV341" i="1"/>
  <c r="AW341" i="1"/>
  <c r="AX341" i="1"/>
  <c r="AY341" i="1"/>
  <c r="AZ341" i="1"/>
  <c r="BA341" i="1"/>
  <c r="BB341" i="1"/>
  <c r="BC341" i="1"/>
  <c r="BD341" i="1"/>
  <c r="BE341" i="1"/>
  <c r="BF341" i="1"/>
  <c r="BG341" i="1"/>
  <c r="BH341" i="1"/>
  <c r="BI341" i="1"/>
  <c r="BJ341" i="1"/>
  <c r="BK341" i="1"/>
  <c r="BL341" i="1"/>
  <c r="BM341" i="1"/>
  <c r="CA341" i="1"/>
  <c r="AM341" i="1"/>
  <c r="CY340" i="1"/>
  <c r="CX340" i="1"/>
  <c r="CW340" i="1"/>
  <c r="CV340" i="1"/>
  <c r="CU340" i="1"/>
  <c r="CT340" i="1"/>
  <c r="CS340" i="1"/>
  <c r="CR340" i="1"/>
  <c r="CQ340" i="1"/>
  <c r="CP340" i="1"/>
  <c r="CO340" i="1"/>
  <c r="CN340" i="1"/>
  <c r="CM340" i="1"/>
  <c r="CL340" i="1"/>
  <c r="CK340" i="1"/>
  <c r="CJ340" i="1"/>
  <c r="CI340" i="1"/>
  <c r="CH340" i="1"/>
  <c r="CG340" i="1"/>
  <c r="CF340" i="1"/>
  <c r="CE340" i="1"/>
  <c r="CC340" i="1"/>
  <c r="CD340" i="1"/>
  <c r="CB340" i="1"/>
  <c r="BX340" i="1"/>
  <c r="BW340" i="1"/>
  <c r="BV340" i="1"/>
  <c r="BU340" i="1"/>
  <c r="BT340" i="1"/>
  <c r="BS340" i="1"/>
  <c r="BR340" i="1"/>
  <c r="BQ340" i="1"/>
  <c r="BP340" i="1"/>
  <c r="BO340" i="1"/>
  <c r="BN340" i="1"/>
  <c r="BY340" i="1"/>
  <c r="BZ340" i="1"/>
  <c r="AP340" i="1"/>
  <c r="AQ340" i="1"/>
  <c r="AR340" i="1"/>
  <c r="AS340" i="1"/>
  <c r="AT340" i="1"/>
  <c r="AU340" i="1"/>
  <c r="AV340" i="1"/>
  <c r="AW340" i="1"/>
  <c r="AX340" i="1"/>
  <c r="AY340" i="1"/>
  <c r="AZ340" i="1"/>
  <c r="BA340" i="1"/>
  <c r="BB340" i="1"/>
  <c r="BC340" i="1"/>
  <c r="BD340" i="1"/>
  <c r="BE340" i="1"/>
  <c r="BF340" i="1"/>
  <c r="BG340" i="1"/>
  <c r="BH340" i="1"/>
  <c r="BI340" i="1"/>
  <c r="BJ340" i="1"/>
  <c r="BK340" i="1"/>
  <c r="BL340" i="1"/>
  <c r="BM340" i="1"/>
  <c r="CA340" i="1"/>
  <c r="AM340" i="1"/>
  <c r="CY339" i="1"/>
  <c r="CX339" i="1"/>
  <c r="CW339" i="1"/>
  <c r="CV339" i="1"/>
  <c r="CU339" i="1"/>
  <c r="CT339" i="1"/>
  <c r="CS339" i="1"/>
  <c r="CR339" i="1"/>
  <c r="CQ339" i="1"/>
  <c r="CP339" i="1"/>
  <c r="CO339" i="1"/>
  <c r="CN339" i="1"/>
  <c r="CM339" i="1"/>
  <c r="CL339" i="1"/>
  <c r="CK339" i="1"/>
  <c r="CJ339" i="1"/>
  <c r="CI339" i="1"/>
  <c r="CH339" i="1"/>
  <c r="CG339" i="1"/>
  <c r="CF339" i="1"/>
  <c r="CE339" i="1"/>
  <c r="CD339" i="1"/>
  <c r="CC339" i="1"/>
  <c r="CB339" i="1"/>
  <c r="BX339" i="1"/>
  <c r="BW339" i="1"/>
  <c r="BV339" i="1"/>
  <c r="BU339" i="1"/>
  <c r="BT339" i="1"/>
  <c r="BS339" i="1"/>
  <c r="BR339" i="1"/>
  <c r="BQ339" i="1"/>
  <c r="BP339" i="1"/>
  <c r="BO339" i="1"/>
  <c r="BN339" i="1"/>
  <c r="AP339" i="1"/>
  <c r="AQ339" i="1"/>
  <c r="AR339" i="1"/>
  <c r="AS339" i="1"/>
  <c r="AT339" i="1"/>
  <c r="AU339" i="1"/>
  <c r="AV339" i="1"/>
  <c r="AW339" i="1"/>
  <c r="AX339" i="1"/>
  <c r="AY339" i="1"/>
  <c r="AZ339" i="1"/>
  <c r="BA339" i="1"/>
  <c r="BB339" i="1"/>
  <c r="BC339" i="1"/>
  <c r="BD339" i="1"/>
  <c r="BE339" i="1"/>
  <c r="BF339" i="1"/>
  <c r="BG339" i="1"/>
  <c r="BH339" i="1"/>
  <c r="BI339" i="1"/>
  <c r="BJ339" i="1"/>
  <c r="BK339" i="1"/>
  <c r="BL339" i="1"/>
  <c r="BM339" i="1"/>
  <c r="CY338" i="1"/>
  <c r="CX338" i="1"/>
  <c r="CW338" i="1"/>
  <c r="CV338" i="1"/>
  <c r="CU338" i="1"/>
  <c r="CT338" i="1"/>
  <c r="CS338" i="1"/>
  <c r="CR338" i="1"/>
  <c r="CQ338" i="1"/>
  <c r="CP338" i="1"/>
  <c r="CO338" i="1"/>
  <c r="CN338" i="1"/>
  <c r="CM338" i="1"/>
  <c r="CL338" i="1"/>
  <c r="CK338" i="1"/>
  <c r="CJ338" i="1"/>
  <c r="CI338" i="1"/>
  <c r="CH338" i="1"/>
  <c r="CG338" i="1"/>
  <c r="CF338" i="1"/>
  <c r="CE338" i="1"/>
  <c r="CD338" i="1"/>
  <c r="CC338" i="1"/>
  <c r="BX338" i="1"/>
  <c r="BW338" i="1"/>
  <c r="BV338" i="1"/>
  <c r="BU338" i="1"/>
  <c r="BT338" i="1"/>
  <c r="BS338" i="1"/>
  <c r="BR338" i="1"/>
  <c r="BQ338" i="1"/>
  <c r="BP338" i="1"/>
  <c r="BN338" i="1"/>
  <c r="BO338" i="1"/>
  <c r="AP338" i="1"/>
  <c r="AQ338" i="1"/>
  <c r="AR338" i="1"/>
  <c r="AS338" i="1"/>
  <c r="AT338" i="1"/>
  <c r="AU338" i="1"/>
  <c r="AV338" i="1"/>
  <c r="AW338" i="1"/>
  <c r="AX338" i="1"/>
  <c r="AY338" i="1"/>
  <c r="AZ338" i="1"/>
  <c r="BA338" i="1"/>
  <c r="BB338" i="1"/>
  <c r="BC338" i="1"/>
  <c r="BD338" i="1"/>
  <c r="BE338" i="1"/>
  <c r="BF338" i="1"/>
  <c r="BG338" i="1"/>
  <c r="BH338" i="1"/>
  <c r="BI338" i="1"/>
  <c r="BJ338" i="1"/>
  <c r="BK338" i="1"/>
  <c r="BL338" i="1"/>
  <c r="BM338" i="1"/>
  <c r="AM338" i="1"/>
  <c r="CY337" i="1"/>
  <c r="CX337" i="1"/>
  <c r="CW337" i="1"/>
  <c r="CV337" i="1"/>
  <c r="CU337" i="1"/>
  <c r="CT337" i="1"/>
  <c r="CS337" i="1"/>
  <c r="CR337" i="1"/>
  <c r="CQ337" i="1"/>
  <c r="CP337" i="1"/>
  <c r="CO337" i="1"/>
  <c r="CN337" i="1"/>
  <c r="CM337" i="1"/>
  <c r="CL337" i="1"/>
  <c r="CK337" i="1"/>
  <c r="CJ337" i="1"/>
  <c r="CI337" i="1"/>
  <c r="CH337" i="1"/>
  <c r="CG337" i="1"/>
  <c r="CF337" i="1"/>
  <c r="CE337" i="1"/>
  <c r="CC337" i="1"/>
  <c r="CD337" i="1"/>
  <c r="CB337" i="1"/>
  <c r="BX337" i="1"/>
  <c r="BW337" i="1"/>
  <c r="BV337" i="1"/>
  <c r="BU337" i="1"/>
  <c r="BT337" i="1"/>
  <c r="BS337" i="1"/>
  <c r="BR337" i="1"/>
  <c r="BQ337" i="1"/>
  <c r="BP337" i="1"/>
  <c r="BO337" i="1"/>
  <c r="BN337" i="1"/>
  <c r="BY337" i="1"/>
  <c r="BZ337" i="1"/>
  <c r="AP337" i="1"/>
  <c r="AQ337" i="1"/>
  <c r="AR337" i="1"/>
  <c r="AS337" i="1"/>
  <c r="AT337" i="1"/>
  <c r="AU337" i="1"/>
  <c r="AV337" i="1"/>
  <c r="AW337" i="1"/>
  <c r="AX337" i="1"/>
  <c r="AY337" i="1"/>
  <c r="AZ337" i="1"/>
  <c r="BA337" i="1"/>
  <c r="BB337" i="1"/>
  <c r="BC337" i="1"/>
  <c r="BD337" i="1"/>
  <c r="BE337" i="1"/>
  <c r="BF337" i="1"/>
  <c r="BG337" i="1"/>
  <c r="BH337" i="1"/>
  <c r="BI337" i="1"/>
  <c r="BJ337" i="1"/>
  <c r="BK337" i="1"/>
  <c r="BL337" i="1"/>
  <c r="BM337" i="1"/>
  <c r="CA337" i="1"/>
  <c r="AM337" i="1"/>
  <c r="CY336" i="1"/>
  <c r="CX336" i="1"/>
  <c r="CW336" i="1"/>
  <c r="CV336" i="1"/>
  <c r="CU336" i="1"/>
  <c r="CT336" i="1"/>
  <c r="CS336" i="1"/>
  <c r="CR336" i="1"/>
  <c r="CQ336" i="1"/>
  <c r="CP336" i="1"/>
  <c r="CO336" i="1"/>
  <c r="CN336" i="1"/>
  <c r="CM336" i="1"/>
  <c r="CL336" i="1"/>
  <c r="CK336" i="1"/>
  <c r="CJ336" i="1"/>
  <c r="CI336" i="1"/>
  <c r="CH336" i="1"/>
  <c r="CG336" i="1"/>
  <c r="CF336" i="1"/>
  <c r="CE336" i="1"/>
  <c r="CC336" i="1"/>
  <c r="CD336" i="1"/>
  <c r="CB336" i="1"/>
  <c r="BX336" i="1"/>
  <c r="BN336" i="1"/>
  <c r="BO336" i="1"/>
  <c r="BP336" i="1"/>
  <c r="BQ336" i="1"/>
  <c r="BR336" i="1"/>
  <c r="BS336" i="1"/>
  <c r="BT336" i="1"/>
  <c r="BU336" i="1"/>
  <c r="BV336" i="1"/>
  <c r="BW336" i="1"/>
  <c r="AP336" i="1"/>
  <c r="AQ336" i="1"/>
  <c r="AR336" i="1"/>
  <c r="AS336" i="1"/>
  <c r="AT336" i="1"/>
  <c r="AU336" i="1"/>
  <c r="AV336" i="1"/>
  <c r="AW336" i="1"/>
  <c r="AX336" i="1"/>
  <c r="AY336" i="1"/>
  <c r="AZ336" i="1"/>
  <c r="BA336" i="1"/>
  <c r="BB336" i="1"/>
  <c r="BC336" i="1"/>
  <c r="BD336" i="1"/>
  <c r="BE336" i="1"/>
  <c r="BF336" i="1"/>
  <c r="BG336" i="1"/>
  <c r="BH336" i="1"/>
  <c r="BI336" i="1"/>
  <c r="BJ336" i="1"/>
  <c r="BK336" i="1"/>
  <c r="BL336" i="1"/>
  <c r="BM336" i="1"/>
  <c r="CY335" i="1"/>
  <c r="CX335" i="1"/>
  <c r="CW335" i="1"/>
  <c r="CV335" i="1"/>
  <c r="CU335" i="1"/>
  <c r="CT335" i="1"/>
  <c r="CS335" i="1"/>
  <c r="CR335" i="1"/>
  <c r="CQ335" i="1"/>
  <c r="CP335" i="1"/>
  <c r="CO335" i="1"/>
  <c r="CN335" i="1"/>
  <c r="CM335" i="1"/>
  <c r="CL335" i="1"/>
  <c r="CK335" i="1"/>
  <c r="CJ335" i="1"/>
  <c r="CI335" i="1"/>
  <c r="CH335" i="1"/>
  <c r="CG335" i="1"/>
  <c r="CF335" i="1"/>
  <c r="CE335" i="1"/>
  <c r="CC335" i="1"/>
  <c r="CD335" i="1"/>
  <c r="CB335" i="1"/>
  <c r="BX335" i="1"/>
  <c r="BN335" i="1"/>
  <c r="BO335" i="1"/>
  <c r="BP335" i="1"/>
  <c r="BQ335" i="1"/>
  <c r="BR335" i="1"/>
  <c r="BS335" i="1"/>
  <c r="BT335" i="1"/>
  <c r="BU335" i="1"/>
  <c r="BV335" i="1"/>
  <c r="BW335" i="1"/>
  <c r="BY335" i="1"/>
  <c r="BZ335" i="1"/>
  <c r="AP335" i="1"/>
  <c r="AQ335" i="1"/>
  <c r="AR335" i="1"/>
  <c r="AS335" i="1"/>
  <c r="AT335" i="1"/>
  <c r="AU335" i="1"/>
  <c r="AV335" i="1"/>
  <c r="AW335" i="1"/>
  <c r="AX335" i="1"/>
  <c r="AY335" i="1"/>
  <c r="AZ335" i="1"/>
  <c r="BA335" i="1"/>
  <c r="BB335" i="1"/>
  <c r="BC335" i="1"/>
  <c r="BD335" i="1"/>
  <c r="BE335" i="1"/>
  <c r="BF335" i="1"/>
  <c r="BG335" i="1"/>
  <c r="BH335" i="1"/>
  <c r="BI335" i="1"/>
  <c r="BJ335" i="1"/>
  <c r="BK335" i="1"/>
  <c r="BL335" i="1"/>
  <c r="BM335" i="1"/>
  <c r="CA335" i="1"/>
  <c r="CY334" i="1"/>
  <c r="CX334" i="1"/>
  <c r="CW334" i="1"/>
  <c r="CV334" i="1"/>
  <c r="CU334" i="1"/>
  <c r="CT334" i="1"/>
  <c r="CS334" i="1"/>
  <c r="CR334" i="1"/>
  <c r="CQ334" i="1"/>
  <c r="CP334" i="1"/>
  <c r="CO334" i="1"/>
  <c r="CN334" i="1"/>
  <c r="CM334" i="1"/>
  <c r="CL334" i="1"/>
  <c r="CK334" i="1"/>
  <c r="CJ334" i="1"/>
  <c r="CI334" i="1"/>
  <c r="CH334" i="1"/>
  <c r="CG334" i="1"/>
  <c r="CF334" i="1"/>
  <c r="CE334" i="1"/>
  <c r="CC334" i="1"/>
  <c r="CD334" i="1"/>
  <c r="BX334" i="1"/>
  <c r="BN334" i="1"/>
  <c r="BO334" i="1"/>
  <c r="BP334" i="1"/>
  <c r="BQ334" i="1"/>
  <c r="BR334" i="1"/>
  <c r="BS334" i="1"/>
  <c r="BT334" i="1"/>
  <c r="BU334" i="1"/>
  <c r="BV334" i="1"/>
  <c r="BW334" i="1"/>
  <c r="AP334" i="1"/>
  <c r="AQ334" i="1"/>
  <c r="AR334" i="1"/>
  <c r="AS334" i="1"/>
  <c r="AT334" i="1"/>
  <c r="AU334" i="1"/>
  <c r="AV334" i="1"/>
  <c r="AW334" i="1"/>
  <c r="AX334" i="1"/>
  <c r="AY334" i="1"/>
  <c r="AZ334" i="1"/>
  <c r="BA334" i="1"/>
  <c r="BB334" i="1"/>
  <c r="BC334" i="1"/>
  <c r="BD334" i="1"/>
  <c r="BE334" i="1"/>
  <c r="BF334" i="1"/>
  <c r="BG334" i="1"/>
  <c r="BH334" i="1"/>
  <c r="BI334" i="1"/>
  <c r="BJ334" i="1"/>
  <c r="BK334" i="1"/>
  <c r="BL334" i="1"/>
  <c r="BM334" i="1"/>
  <c r="AM334" i="1"/>
  <c r="CY333" i="1"/>
  <c r="CX333" i="1"/>
  <c r="CW333" i="1"/>
  <c r="CV333" i="1"/>
  <c r="CU333" i="1"/>
  <c r="CT333" i="1"/>
  <c r="CS333" i="1"/>
  <c r="CR333" i="1"/>
  <c r="CQ333" i="1"/>
  <c r="CP333" i="1"/>
  <c r="CO333" i="1"/>
  <c r="CN333" i="1"/>
  <c r="CM333" i="1"/>
  <c r="CL333" i="1"/>
  <c r="CK333" i="1"/>
  <c r="CJ333" i="1"/>
  <c r="CI333" i="1"/>
  <c r="CH333" i="1"/>
  <c r="CG333" i="1"/>
  <c r="CF333" i="1"/>
  <c r="CE333" i="1"/>
  <c r="CD333" i="1"/>
  <c r="CC333" i="1"/>
  <c r="BX333" i="1"/>
  <c r="BW333" i="1"/>
  <c r="BV333" i="1"/>
  <c r="BU333" i="1"/>
  <c r="BT333" i="1"/>
  <c r="BS333" i="1"/>
  <c r="BN333" i="1"/>
  <c r="BO333" i="1"/>
  <c r="BP333" i="1"/>
  <c r="BQ333" i="1"/>
  <c r="BR333" i="1"/>
  <c r="BY333" i="1"/>
  <c r="BZ333" i="1"/>
  <c r="AP333" i="1"/>
  <c r="AQ333" i="1"/>
  <c r="AR333" i="1"/>
  <c r="AS333" i="1"/>
  <c r="AT333" i="1"/>
  <c r="AU333" i="1"/>
  <c r="AV333" i="1"/>
  <c r="AW333" i="1"/>
  <c r="AX333" i="1"/>
  <c r="AY333" i="1"/>
  <c r="AZ333" i="1"/>
  <c r="BA333" i="1"/>
  <c r="BB333" i="1"/>
  <c r="BC333" i="1"/>
  <c r="BD333" i="1"/>
  <c r="BE333" i="1"/>
  <c r="BF333" i="1"/>
  <c r="BG333" i="1"/>
  <c r="BH333" i="1"/>
  <c r="BI333" i="1"/>
  <c r="BJ333" i="1"/>
  <c r="BK333" i="1"/>
  <c r="BL333" i="1"/>
  <c r="BM333" i="1"/>
  <c r="CA333" i="1"/>
  <c r="AM333" i="1"/>
  <c r="CY332" i="1"/>
  <c r="CX332" i="1"/>
  <c r="CW332" i="1"/>
  <c r="CV332" i="1"/>
  <c r="CU332" i="1"/>
  <c r="CT332" i="1"/>
  <c r="CS332" i="1"/>
  <c r="CR332" i="1"/>
  <c r="CQ332" i="1"/>
  <c r="CP332" i="1"/>
  <c r="CO332" i="1"/>
  <c r="CN332" i="1"/>
  <c r="CM332" i="1"/>
  <c r="CL332" i="1"/>
  <c r="CK332" i="1"/>
  <c r="CJ332" i="1"/>
  <c r="CI332" i="1"/>
  <c r="CH332" i="1"/>
  <c r="CG332" i="1"/>
  <c r="CF332" i="1"/>
  <c r="CC332" i="1"/>
  <c r="CD332" i="1"/>
  <c r="CE332" i="1"/>
  <c r="CB332" i="1"/>
  <c r="BX332" i="1"/>
  <c r="BW332" i="1"/>
  <c r="BV332" i="1"/>
  <c r="BU332" i="1"/>
  <c r="BT332" i="1"/>
  <c r="BS332" i="1"/>
  <c r="BR332" i="1"/>
  <c r="BQ332" i="1"/>
  <c r="BP332" i="1"/>
  <c r="BN332" i="1"/>
  <c r="BO332" i="1"/>
  <c r="BY332" i="1"/>
  <c r="BZ332" i="1"/>
  <c r="AP332" i="1"/>
  <c r="AQ332" i="1"/>
  <c r="AR332" i="1"/>
  <c r="AS332" i="1"/>
  <c r="AT332" i="1"/>
  <c r="AU332" i="1"/>
  <c r="AV332" i="1"/>
  <c r="AW332" i="1"/>
  <c r="AX332" i="1"/>
  <c r="AY332" i="1"/>
  <c r="AZ332" i="1"/>
  <c r="BA332" i="1"/>
  <c r="BB332" i="1"/>
  <c r="BC332" i="1"/>
  <c r="BD332" i="1"/>
  <c r="BE332" i="1"/>
  <c r="BF332" i="1"/>
  <c r="BG332" i="1"/>
  <c r="BH332" i="1"/>
  <c r="BI332" i="1"/>
  <c r="BJ332" i="1"/>
  <c r="BK332" i="1"/>
  <c r="BL332" i="1"/>
  <c r="BM332" i="1"/>
  <c r="CA332" i="1"/>
  <c r="AM332" i="1"/>
  <c r="CY331" i="1"/>
  <c r="CX331" i="1"/>
  <c r="CW331" i="1"/>
  <c r="CV331" i="1"/>
  <c r="CU331" i="1"/>
  <c r="CT331" i="1"/>
  <c r="CS331" i="1"/>
  <c r="CR331" i="1"/>
  <c r="CQ331" i="1"/>
  <c r="CP331" i="1"/>
  <c r="CO331" i="1"/>
  <c r="CN331" i="1"/>
  <c r="CM331" i="1"/>
  <c r="CL331" i="1"/>
  <c r="CK331" i="1"/>
  <c r="CJ331" i="1"/>
  <c r="CI331" i="1"/>
  <c r="CH331" i="1"/>
  <c r="CG331" i="1"/>
  <c r="CF331" i="1"/>
  <c r="CE331" i="1"/>
  <c r="CC331" i="1"/>
  <c r="CD331" i="1"/>
  <c r="BX331" i="1"/>
  <c r="BN331" i="1"/>
  <c r="BO331" i="1"/>
  <c r="BP331" i="1"/>
  <c r="BQ331" i="1"/>
  <c r="BR331" i="1"/>
  <c r="BS331" i="1"/>
  <c r="BT331" i="1"/>
  <c r="BU331" i="1"/>
  <c r="BV331" i="1"/>
  <c r="BW331" i="1"/>
  <c r="BY331" i="1"/>
  <c r="BZ331" i="1"/>
  <c r="AP331" i="1"/>
  <c r="AQ331" i="1"/>
  <c r="AR331" i="1"/>
  <c r="AS331" i="1"/>
  <c r="AT331" i="1"/>
  <c r="AU331" i="1"/>
  <c r="AV331" i="1"/>
  <c r="AW331" i="1"/>
  <c r="AX331" i="1"/>
  <c r="AY331" i="1"/>
  <c r="AZ331" i="1"/>
  <c r="BA331" i="1"/>
  <c r="BB331" i="1"/>
  <c r="BC331" i="1"/>
  <c r="BD331" i="1"/>
  <c r="BE331" i="1"/>
  <c r="BF331" i="1"/>
  <c r="BG331" i="1"/>
  <c r="BH331" i="1"/>
  <c r="BI331" i="1"/>
  <c r="BJ331" i="1"/>
  <c r="BK331" i="1"/>
  <c r="BL331" i="1"/>
  <c r="BM331" i="1"/>
  <c r="CA331" i="1"/>
  <c r="AM331" i="1"/>
  <c r="CY330" i="1"/>
  <c r="CX330" i="1"/>
  <c r="CW330" i="1"/>
  <c r="CV330" i="1"/>
  <c r="CU330" i="1"/>
  <c r="CT330" i="1"/>
  <c r="CS330" i="1"/>
  <c r="CR330" i="1"/>
  <c r="CQ330" i="1"/>
  <c r="CP330" i="1"/>
  <c r="CO330" i="1"/>
  <c r="CN330" i="1"/>
  <c r="CM330" i="1"/>
  <c r="CL330" i="1"/>
  <c r="CK330" i="1"/>
  <c r="CJ330" i="1"/>
  <c r="CI330" i="1"/>
  <c r="CH330" i="1"/>
  <c r="CG330" i="1"/>
  <c r="CF330" i="1"/>
  <c r="CE330" i="1"/>
  <c r="CC330" i="1"/>
  <c r="CD330" i="1"/>
  <c r="CB330" i="1"/>
  <c r="BX330" i="1"/>
  <c r="BN330" i="1"/>
  <c r="BO330" i="1"/>
  <c r="BP330" i="1"/>
  <c r="BQ330" i="1"/>
  <c r="BR330" i="1"/>
  <c r="BS330" i="1"/>
  <c r="BT330" i="1"/>
  <c r="BU330" i="1"/>
  <c r="BV330" i="1"/>
  <c r="BW330" i="1"/>
  <c r="BY330" i="1"/>
  <c r="BZ330" i="1"/>
  <c r="AP330" i="1"/>
  <c r="AQ330" i="1"/>
  <c r="AR330" i="1"/>
  <c r="AS330" i="1"/>
  <c r="AT330" i="1"/>
  <c r="AU330" i="1"/>
  <c r="AV330" i="1"/>
  <c r="AW330" i="1"/>
  <c r="AX330" i="1"/>
  <c r="AY330" i="1"/>
  <c r="AZ330" i="1"/>
  <c r="BA330" i="1"/>
  <c r="BB330" i="1"/>
  <c r="BC330" i="1"/>
  <c r="BD330" i="1"/>
  <c r="BE330" i="1"/>
  <c r="BF330" i="1"/>
  <c r="BG330" i="1"/>
  <c r="BH330" i="1"/>
  <c r="BI330" i="1"/>
  <c r="BJ330" i="1"/>
  <c r="BK330" i="1"/>
  <c r="BL330" i="1"/>
  <c r="BM330" i="1"/>
  <c r="CY329" i="1"/>
  <c r="CX329" i="1"/>
  <c r="CW329" i="1"/>
  <c r="CV329" i="1"/>
  <c r="CU329" i="1"/>
  <c r="CT329" i="1"/>
  <c r="CS329" i="1"/>
  <c r="CR329" i="1"/>
  <c r="CQ329" i="1"/>
  <c r="CP329" i="1"/>
  <c r="CO329" i="1"/>
  <c r="CN329" i="1"/>
  <c r="CM329" i="1"/>
  <c r="CL329" i="1"/>
  <c r="CK329" i="1"/>
  <c r="CJ329" i="1"/>
  <c r="CI329" i="1"/>
  <c r="CH329" i="1"/>
  <c r="CG329" i="1"/>
  <c r="CF329" i="1"/>
  <c r="CE329" i="1"/>
  <c r="CD329" i="1"/>
  <c r="CC329" i="1"/>
  <c r="CB329" i="1"/>
  <c r="BX329" i="1"/>
  <c r="BW329" i="1"/>
  <c r="BV329" i="1"/>
  <c r="BU329" i="1"/>
  <c r="BT329" i="1"/>
  <c r="BS329" i="1"/>
  <c r="BR329" i="1"/>
  <c r="BQ329" i="1"/>
  <c r="BP329" i="1"/>
  <c r="BN329" i="1"/>
  <c r="BO329" i="1"/>
  <c r="BY329" i="1"/>
  <c r="BZ329" i="1"/>
  <c r="AP329" i="1"/>
  <c r="AQ329" i="1"/>
  <c r="AR329" i="1"/>
  <c r="AS329" i="1"/>
  <c r="AT329" i="1"/>
  <c r="AU329" i="1"/>
  <c r="AV329" i="1"/>
  <c r="AW329" i="1"/>
  <c r="AX329" i="1"/>
  <c r="AY329" i="1"/>
  <c r="AZ329" i="1"/>
  <c r="BA329" i="1"/>
  <c r="BB329" i="1"/>
  <c r="BC329" i="1"/>
  <c r="BD329" i="1"/>
  <c r="BE329" i="1"/>
  <c r="BF329" i="1"/>
  <c r="BG329" i="1"/>
  <c r="BH329" i="1"/>
  <c r="BI329" i="1"/>
  <c r="BJ329" i="1"/>
  <c r="BK329" i="1"/>
  <c r="BL329" i="1"/>
  <c r="BM329" i="1"/>
  <c r="CA329" i="1"/>
  <c r="AM329" i="1"/>
  <c r="CY328" i="1"/>
  <c r="CX328" i="1"/>
  <c r="CW328" i="1"/>
  <c r="CV328" i="1"/>
  <c r="CU328" i="1"/>
  <c r="CT328" i="1"/>
  <c r="CS328" i="1"/>
  <c r="CR328" i="1"/>
  <c r="CQ328" i="1"/>
  <c r="CP328" i="1"/>
  <c r="CO328" i="1"/>
  <c r="CN328" i="1"/>
  <c r="CM328" i="1"/>
  <c r="CL328" i="1"/>
  <c r="CK328" i="1"/>
  <c r="CJ328" i="1"/>
  <c r="CI328" i="1"/>
  <c r="CH328" i="1"/>
  <c r="CG328" i="1"/>
  <c r="CF328" i="1"/>
  <c r="CE328" i="1"/>
  <c r="CC328" i="1"/>
  <c r="CD328" i="1"/>
  <c r="CB328" i="1"/>
  <c r="BX328" i="1"/>
  <c r="BW328" i="1"/>
  <c r="BV328" i="1"/>
  <c r="BU328" i="1"/>
  <c r="BT328" i="1"/>
  <c r="BS328" i="1"/>
  <c r="BR328" i="1"/>
  <c r="BQ328" i="1"/>
  <c r="BP328" i="1"/>
  <c r="BO328" i="1"/>
  <c r="BN328" i="1"/>
  <c r="BY328" i="1"/>
  <c r="BZ328" i="1"/>
  <c r="AP328" i="1"/>
  <c r="AQ328" i="1"/>
  <c r="AR328" i="1"/>
  <c r="AS328" i="1"/>
  <c r="AT328" i="1"/>
  <c r="AU328" i="1"/>
  <c r="AV328" i="1"/>
  <c r="AW328" i="1"/>
  <c r="AX328" i="1"/>
  <c r="AY328" i="1"/>
  <c r="AZ328" i="1"/>
  <c r="BA328" i="1"/>
  <c r="BB328" i="1"/>
  <c r="BC328" i="1"/>
  <c r="BD328" i="1"/>
  <c r="BE328" i="1"/>
  <c r="BF328" i="1"/>
  <c r="BG328" i="1"/>
  <c r="BH328" i="1"/>
  <c r="BI328" i="1"/>
  <c r="BJ328" i="1"/>
  <c r="BK328" i="1"/>
  <c r="BL328" i="1"/>
  <c r="BM328" i="1"/>
  <c r="CA328" i="1"/>
  <c r="CY327" i="1"/>
  <c r="CX327" i="1"/>
  <c r="CW327" i="1"/>
  <c r="CV327" i="1"/>
  <c r="CU327" i="1"/>
  <c r="CT327" i="1"/>
  <c r="CS327" i="1"/>
  <c r="CR327" i="1"/>
  <c r="CQ327" i="1"/>
  <c r="CP327" i="1"/>
  <c r="CO327" i="1"/>
  <c r="CN327" i="1"/>
  <c r="CM327" i="1"/>
  <c r="CL327" i="1"/>
  <c r="CK327" i="1"/>
  <c r="CJ327" i="1"/>
  <c r="CI327" i="1"/>
  <c r="CH327" i="1"/>
  <c r="CG327" i="1"/>
  <c r="CF327" i="1"/>
  <c r="CE327" i="1"/>
  <c r="CD327" i="1"/>
  <c r="CC327" i="1"/>
  <c r="BX327" i="1"/>
  <c r="BW327" i="1"/>
  <c r="BV327" i="1"/>
  <c r="BU327" i="1"/>
  <c r="BT327" i="1"/>
  <c r="BS327" i="1"/>
  <c r="BR327" i="1"/>
  <c r="BQ327" i="1"/>
  <c r="BN327" i="1"/>
  <c r="BO327" i="1"/>
  <c r="BP327" i="1"/>
  <c r="BY327" i="1"/>
  <c r="BZ327" i="1"/>
  <c r="AP327" i="1"/>
  <c r="AQ327" i="1"/>
  <c r="AR327" i="1"/>
  <c r="AS327" i="1"/>
  <c r="AT327" i="1"/>
  <c r="AU327" i="1"/>
  <c r="AV327" i="1"/>
  <c r="AW327" i="1"/>
  <c r="AX327" i="1"/>
  <c r="AY327" i="1"/>
  <c r="AZ327" i="1"/>
  <c r="BA327" i="1"/>
  <c r="BB327" i="1"/>
  <c r="BC327" i="1"/>
  <c r="BD327" i="1"/>
  <c r="BE327" i="1"/>
  <c r="BF327" i="1"/>
  <c r="BG327" i="1"/>
  <c r="BH327" i="1"/>
  <c r="BI327" i="1"/>
  <c r="BJ327" i="1"/>
  <c r="BK327" i="1"/>
  <c r="BL327" i="1"/>
  <c r="BM327" i="1"/>
  <c r="AM327" i="1"/>
  <c r="CY326" i="1"/>
  <c r="CX326" i="1"/>
  <c r="CW326" i="1"/>
  <c r="CV326" i="1"/>
  <c r="CU326" i="1"/>
  <c r="CT326" i="1"/>
  <c r="CS326" i="1"/>
  <c r="CR326" i="1"/>
  <c r="CQ326" i="1"/>
  <c r="CP326" i="1"/>
  <c r="CO326" i="1"/>
  <c r="CN326" i="1"/>
  <c r="CM326" i="1"/>
  <c r="CL326" i="1"/>
  <c r="CK326" i="1"/>
  <c r="CJ326" i="1"/>
  <c r="CI326" i="1"/>
  <c r="CH326" i="1"/>
  <c r="CG326" i="1"/>
  <c r="CF326" i="1"/>
  <c r="CE326" i="1"/>
  <c r="CD326" i="1"/>
  <c r="CC326" i="1"/>
  <c r="CB326" i="1"/>
  <c r="BX326" i="1"/>
  <c r="BW326" i="1"/>
  <c r="BV326" i="1"/>
  <c r="BU326" i="1"/>
  <c r="BT326" i="1"/>
  <c r="BS326" i="1"/>
  <c r="BR326" i="1"/>
  <c r="BQ326" i="1"/>
  <c r="BP326" i="1"/>
  <c r="BN326" i="1"/>
  <c r="BO326" i="1"/>
  <c r="AP326" i="1"/>
  <c r="AQ326" i="1"/>
  <c r="AR326" i="1"/>
  <c r="AS326" i="1"/>
  <c r="AT326" i="1"/>
  <c r="AU326" i="1"/>
  <c r="AV326" i="1"/>
  <c r="AW326" i="1"/>
  <c r="AX326" i="1"/>
  <c r="AY326" i="1"/>
  <c r="AZ326" i="1"/>
  <c r="BA326" i="1"/>
  <c r="BB326" i="1"/>
  <c r="BC326" i="1"/>
  <c r="BD326" i="1"/>
  <c r="BE326" i="1"/>
  <c r="BF326" i="1"/>
  <c r="BG326" i="1"/>
  <c r="BH326" i="1"/>
  <c r="BI326" i="1"/>
  <c r="BJ326" i="1"/>
  <c r="BK326" i="1"/>
  <c r="BL326" i="1"/>
  <c r="BM326" i="1"/>
  <c r="AM326" i="1"/>
  <c r="CY325" i="1"/>
  <c r="CX325" i="1"/>
  <c r="CW325" i="1"/>
  <c r="CV325" i="1"/>
  <c r="CU325" i="1"/>
  <c r="CT325" i="1"/>
  <c r="CS325" i="1"/>
  <c r="CR325" i="1"/>
  <c r="CQ325" i="1"/>
  <c r="CP325" i="1"/>
  <c r="CO325" i="1"/>
  <c r="CN325" i="1"/>
  <c r="CM325" i="1"/>
  <c r="CL325" i="1"/>
  <c r="CK325" i="1"/>
  <c r="CJ325" i="1"/>
  <c r="CI325" i="1"/>
  <c r="CH325" i="1"/>
  <c r="CG325" i="1"/>
  <c r="CF325" i="1"/>
  <c r="CE325" i="1"/>
  <c r="CC325" i="1"/>
  <c r="CD325" i="1"/>
  <c r="CB325" i="1"/>
  <c r="BX325" i="1"/>
  <c r="BW325" i="1"/>
  <c r="BV325" i="1"/>
  <c r="BU325" i="1"/>
  <c r="BT325" i="1"/>
  <c r="BS325" i="1"/>
  <c r="BR325" i="1"/>
  <c r="BQ325" i="1"/>
  <c r="BP325" i="1"/>
  <c r="BO325" i="1"/>
  <c r="BN325" i="1"/>
  <c r="BY325" i="1"/>
  <c r="BZ325" i="1"/>
  <c r="AP325" i="1"/>
  <c r="AQ325" i="1"/>
  <c r="AR325" i="1"/>
  <c r="AS325" i="1"/>
  <c r="AT325" i="1"/>
  <c r="AU325" i="1"/>
  <c r="AV325" i="1"/>
  <c r="AW325" i="1"/>
  <c r="AX325" i="1"/>
  <c r="AY325" i="1"/>
  <c r="AZ325" i="1"/>
  <c r="BA325" i="1"/>
  <c r="BB325" i="1"/>
  <c r="BC325" i="1"/>
  <c r="BD325" i="1"/>
  <c r="BE325" i="1"/>
  <c r="BF325" i="1"/>
  <c r="BG325" i="1"/>
  <c r="BH325" i="1"/>
  <c r="BI325" i="1"/>
  <c r="BJ325" i="1"/>
  <c r="BK325" i="1"/>
  <c r="BL325" i="1"/>
  <c r="BM325" i="1"/>
  <c r="CA325" i="1"/>
  <c r="AM325" i="1"/>
  <c r="CY324" i="1"/>
  <c r="CX324" i="1"/>
  <c r="CW324" i="1"/>
  <c r="CV324" i="1"/>
  <c r="CU324" i="1"/>
  <c r="CT324" i="1"/>
  <c r="CS324" i="1"/>
  <c r="CR324" i="1"/>
  <c r="CQ324" i="1"/>
  <c r="CP324" i="1"/>
  <c r="CO324" i="1"/>
  <c r="CN324" i="1"/>
  <c r="CM324" i="1"/>
  <c r="CL324" i="1"/>
  <c r="CK324" i="1"/>
  <c r="CJ324" i="1"/>
  <c r="CI324" i="1"/>
  <c r="CH324" i="1"/>
  <c r="CG324" i="1"/>
  <c r="CF324" i="1"/>
  <c r="CE324" i="1"/>
  <c r="CC324" i="1"/>
  <c r="CD324" i="1"/>
  <c r="CB324" i="1"/>
  <c r="BX324" i="1"/>
  <c r="BN324" i="1"/>
  <c r="BO324" i="1"/>
  <c r="BP324" i="1"/>
  <c r="BQ324" i="1"/>
  <c r="BR324" i="1"/>
  <c r="BS324" i="1"/>
  <c r="BT324" i="1"/>
  <c r="BU324" i="1"/>
  <c r="BV324" i="1"/>
  <c r="BW324" i="1"/>
  <c r="BY324" i="1"/>
  <c r="BZ324" i="1"/>
  <c r="AP324" i="1"/>
  <c r="AQ324" i="1"/>
  <c r="AR324" i="1"/>
  <c r="AS324" i="1"/>
  <c r="AT324" i="1"/>
  <c r="AU324" i="1"/>
  <c r="AV324" i="1"/>
  <c r="AW324" i="1"/>
  <c r="AX324" i="1"/>
  <c r="AY324" i="1"/>
  <c r="AZ324" i="1"/>
  <c r="BA324" i="1"/>
  <c r="BB324" i="1"/>
  <c r="BC324" i="1"/>
  <c r="BD324" i="1"/>
  <c r="BE324" i="1"/>
  <c r="BF324" i="1"/>
  <c r="BG324" i="1"/>
  <c r="BH324" i="1"/>
  <c r="BI324" i="1"/>
  <c r="BJ324" i="1"/>
  <c r="BK324" i="1"/>
  <c r="BL324" i="1"/>
  <c r="BM324" i="1"/>
  <c r="CA324" i="1"/>
  <c r="CY323" i="1"/>
  <c r="CX323" i="1"/>
  <c r="CW323" i="1"/>
  <c r="CV323" i="1"/>
  <c r="CU323" i="1"/>
  <c r="CT323" i="1"/>
  <c r="CS323" i="1"/>
  <c r="CR323" i="1"/>
  <c r="CQ323" i="1"/>
  <c r="CP323" i="1"/>
  <c r="CO323" i="1"/>
  <c r="CN323" i="1"/>
  <c r="CM323" i="1"/>
  <c r="CL323" i="1"/>
  <c r="CK323" i="1"/>
  <c r="CJ323" i="1"/>
  <c r="CI323" i="1"/>
  <c r="CH323" i="1"/>
  <c r="CG323" i="1"/>
  <c r="CF323" i="1"/>
  <c r="CE323" i="1"/>
  <c r="CD323" i="1"/>
  <c r="CC323" i="1"/>
  <c r="BX323" i="1"/>
  <c r="BW323" i="1"/>
  <c r="BV323" i="1"/>
  <c r="BU323" i="1"/>
  <c r="BT323" i="1"/>
  <c r="BS323" i="1"/>
  <c r="BR323" i="1"/>
  <c r="BQ323" i="1"/>
  <c r="BP323" i="1"/>
  <c r="BN323" i="1"/>
  <c r="BO323" i="1"/>
  <c r="BY323" i="1"/>
  <c r="BZ323" i="1"/>
  <c r="AP323" i="1"/>
  <c r="AQ323" i="1"/>
  <c r="AR323" i="1"/>
  <c r="AS323" i="1"/>
  <c r="AT323" i="1"/>
  <c r="AU323" i="1"/>
  <c r="AV323" i="1"/>
  <c r="AW323" i="1"/>
  <c r="AX323" i="1"/>
  <c r="AY323" i="1"/>
  <c r="AZ323" i="1"/>
  <c r="BA323" i="1"/>
  <c r="BB323" i="1"/>
  <c r="BC323" i="1"/>
  <c r="BD323" i="1"/>
  <c r="BE323" i="1"/>
  <c r="BF323" i="1"/>
  <c r="BG323" i="1"/>
  <c r="BH323" i="1"/>
  <c r="BI323" i="1"/>
  <c r="BJ323" i="1"/>
  <c r="BK323" i="1"/>
  <c r="BL323" i="1"/>
  <c r="BM323" i="1"/>
  <c r="CA323" i="1"/>
  <c r="CY322" i="1"/>
  <c r="CX322" i="1"/>
  <c r="CW322" i="1"/>
  <c r="CV322" i="1"/>
  <c r="CU322" i="1"/>
  <c r="CT322" i="1"/>
  <c r="CS322" i="1"/>
  <c r="CR322" i="1"/>
  <c r="CQ322" i="1"/>
  <c r="CP322" i="1"/>
  <c r="CO322" i="1"/>
  <c r="CN322" i="1"/>
  <c r="CM322" i="1"/>
  <c r="CL322" i="1"/>
  <c r="CK322" i="1"/>
  <c r="CJ322" i="1"/>
  <c r="CI322" i="1"/>
  <c r="CH322" i="1"/>
  <c r="CG322" i="1"/>
  <c r="CF322" i="1"/>
  <c r="CE322" i="1"/>
  <c r="CC322" i="1"/>
  <c r="CD322" i="1"/>
  <c r="CB322" i="1"/>
  <c r="BX322" i="1"/>
  <c r="BN322" i="1"/>
  <c r="BO322" i="1"/>
  <c r="BP322" i="1"/>
  <c r="BQ322" i="1"/>
  <c r="BR322" i="1"/>
  <c r="BS322" i="1"/>
  <c r="BT322" i="1"/>
  <c r="BU322" i="1"/>
  <c r="BV322" i="1"/>
  <c r="BW322" i="1"/>
  <c r="AP322" i="1"/>
  <c r="AQ322" i="1"/>
  <c r="AR322" i="1"/>
  <c r="AS322" i="1"/>
  <c r="AT322" i="1"/>
  <c r="AU322" i="1"/>
  <c r="AV322" i="1"/>
  <c r="AW322" i="1"/>
  <c r="AX322" i="1"/>
  <c r="AY322" i="1"/>
  <c r="AZ322" i="1"/>
  <c r="BA322" i="1"/>
  <c r="BB322" i="1"/>
  <c r="BC322" i="1"/>
  <c r="BD322" i="1"/>
  <c r="BE322" i="1"/>
  <c r="BF322" i="1"/>
  <c r="BG322" i="1"/>
  <c r="BH322" i="1"/>
  <c r="BI322" i="1"/>
  <c r="BJ322" i="1"/>
  <c r="BK322" i="1"/>
  <c r="BL322" i="1"/>
  <c r="BM322" i="1"/>
  <c r="AM322" i="1"/>
  <c r="CY321" i="1"/>
  <c r="CX321" i="1"/>
  <c r="CW321" i="1"/>
  <c r="CV321" i="1"/>
  <c r="CU321" i="1"/>
  <c r="CT321" i="1"/>
  <c r="CS321" i="1"/>
  <c r="CR321" i="1"/>
  <c r="CQ321" i="1"/>
  <c r="CP321" i="1"/>
  <c r="CO321" i="1"/>
  <c r="CN321" i="1"/>
  <c r="CM321" i="1"/>
  <c r="CL321" i="1"/>
  <c r="CK321" i="1"/>
  <c r="CJ321" i="1"/>
  <c r="CI321" i="1"/>
  <c r="CH321" i="1"/>
  <c r="CG321" i="1"/>
  <c r="CF321" i="1"/>
  <c r="CE321" i="1"/>
  <c r="CD321" i="1"/>
  <c r="CC321" i="1"/>
  <c r="CB321" i="1"/>
  <c r="BX321" i="1"/>
  <c r="BW321" i="1"/>
  <c r="BV321" i="1"/>
  <c r="BU321" i="1"/>
  <c r="BT321" i="1"/>
  <c r="BS321" i="1"/>
  <c r="BR321" i="1"/>
  <c r="BQ321" i="1"/>
  <c r="BN321" i="1"/>
  <c r="BO321" i="1"/>
  <c r="BP321" i="1"/>
  <c r="AP321" i="1"/>
  <c r="AQ321" i="1"/>
  <c r="AR321" i="1"/>
  <c r="AS321" i="1"/>
  <c r="AT321" i="1"/>
  <c r="AU321" i="1"/>
  <c r="AV321" i="1"/>
  <c r="AW321" i="1"/>
  <c r="AX321" i="1"/>
  <c r="AY321" i="1"/>
  <c r="AZ321" i="1"/>
  <c r="BA321" i="1"/>
  <c r="BB321" i="1"/>
  <c r="BC321" i="1"/>
  <c r="BD321" i="1"/>
  <c r="BE321" i="1"/>
  <c r="BF321" i="1"/>
  <c r="BG321" i="1"/>
  <c r="BH321" i="1"/>
  <c r="BI321" i="1"/>
  <c r="BJ321" i="1"/>
  <c r="BK321" i="1"/>
  <c r="BL321" i="1"/>
  <c r="BM321" i="1"/>
  <c r="AM321" i="1"/>
  <c r="CY319" i="1"/>
  <c r="CX319" i="1"/>
  <c r="CW319" i="1"/>
  <c r="CV319" i="1"/>
  <c r="CU319" i="1"/>
  <c r="CT319" i="1"/>
  <c r="CS319" i="1"/>
  <c r="CR319" i="1"/>
  <c r="CQ319" i="1"/>
  <c r="CP319" i="1"/>
  <c r="CO319" i="1"/>
  <c r="CN319" i="1"/>
  <c r="CM319" i="1"/>
  <c r="CL319" i="1"/>
  <c r="CK319" i="1"/>
  <c r="CJ319" i="1"/>
  <c r="CI319" i="1"/>
  <c r="CH319" i="1"/>
  <c r="CG319" i="1"/>
  <c r="CF319" i="1"/>
  <c r="CE319" i="1"/>
  <c r="CD319" i="1"/>
  <c r="CC319" i="1"/>
  <c r="CB319" i="1"/>
  <c r="BX319" i="1"/>
  <c r="BW319" i="1"/>
  <c r="BV319" i="1"/>
  <c r="BU319" i="1"/>
  <c r="BT319" i="1"/>
  <c r="BS319" i="1"/>
  <c r="BR319" i="1"/>
  <c r="BQ319" i="1"/>
  <c r="BP319" i="1"/>
  <c r="BN319" i="1"/>
  <c r="BO319" i="1"/>
  <c r="AP319" i="1"/>
  <c r="AQ319" i="1"/>
  <c r="AR319" i="1"/>
  <c r="AS319" i="1"/>
  <c r="AT319" i="1"/>
  <c r="AU319" i="1"/>
  <c r="AV319" i="1"/>
  <c r="AW319" i="1"/>
  <c r="AX319" i="1"/>
  <c r="AY319" i="1"/>
  <c r="AZ319" i="1"/>
  <c r="BA319" i="1"/>
  <c r="BB319" i="1"/>
  <c r="BC319" i="1"/>
  <c r="BD319" i="1"/>
  <c r="BE319" i="1"/>
  <c r="BF319" i="1"/>
  <c r="BG319" i="1"/>
  <c r="BH319" i="1"/>
  <c r="BI319" i="1"/>
  <c r="BJ319" i="1"/>
  <c r="BK319" i="1"/>
  <c r="BL319" i="1"/>
  <c r="BM319" i="1"/>
  <c r="AM319" i="1"/>
  <c r="CY318" i="1"/>
  <c r="CX318" i="1"/>
  <c r="CW318" i="1"/>
  <c r="CV318" i="1"/>
  <c r="CU318" i="1"/>
  <c r="CT318" i="1"/>
  <c r="CS318" i="1"/>
  <c r="CR318" i="1"/>
  <c r="CQ318" i="1"/>
  <c r="CP318" i="1"/>
  <c r="CO318" i="1"/>
  <c r="CN318" i="1"/>
  <c r="CM318" i="1"/>
  <c r="CL318" i="1"/>
  <c r="CK318" i="1"/>
  <c r="CJ318" i="1"/>
  <c r="CI318" i="1"/>
  <c r="CH318" i="1"/>
  <c r="CG318" i="1"/>
  <c r="CF318" i="1"/>
  <c r="CE318" i="1"/>
  <c r="CC318" i="1"/>
  <c r="CD318" i="1"/>
  <c r="BX318" i="1"/>
  <c r="BW318" i="1"/>
  <c r="BV318" i="1"/>
  <c r="BU318" i="1"/>
  <c r="BT318" i="1"/>
  <c r="BS318" i="1"/>
  <c r="BR318" i="1"/>
  <c r="BQ318" i="1"/>
  <c r="BP318" i="1"/>
  <c r="BN318" i="1"/>
  <c r="BO318" i="1"/>
  <c r="BY318" i="1"/>
  <c r="BZ318" i="1"/>
  <c r="AP318" i="1"/>
  <c r="AQ318" i="1"/>
  <c r="AR318" i="1"/>
  <c r="AS318" i="1"/>
  <c r="AT318" i="1"/>
  <c r="AU318" i="1"/>
  <c r="AV318" i="1"/>
  <c r="AW318" i="1"/>
  <c r="AX318" i="1"/>
  <c r="AY318" i="1"/>
  <c r="AZ318" i="1"/>
  <c r="BA318" i="1"/>
  <c r="BB318" i="1"/>
  <c r="BC318" i="1"/>
  <c r="BD318" i="1"/>
  <c r="BE318" i="1"/>
  <c r="BF318" i="1"/>
  <c r="BG318" i="1"/>
  <c r="BH318" i="1"/>
  <c r="BI318" i="1"/>
  <c r="BJ318" i="1"/>
  <c r="BK318" i="1"/>
  <c r="BL318" i="1"/>
  <c r="BM318" i="1"/>
  <c r="CA318" i="1"/>
  <c r="AM318" i="1"/>
  <c r="CY317" i="1"/>
  <c r="CX317" i="1"/>
  <c r="CW317" i="1"/>
  <c r="CV317" i="1"/>
  <c r="CU317" i="1"/>
  <c r="CT317" i="1"/>
  <c r="CS317" i="1"/>
  <c r="CR317" i="1"/>
  <c r="CQ317" i="1"/>
  <c r="CP317" i="1"/>
  <c r="CO317" i="1"/>
  <c r="CN317" i="1"/>
  <c r="CM317" i="1"/>
  <c r="CL317" i="1"/>
  <c r="CK317" i="1"/>
  <c r="CJ317" i="1"/>
  <c r="CI317" i="1"/>
  <c r="CH317" i="1"/>
  <c r="CG317" i="1"/>
  <c r="CF317" i="1"/>
  <c r="CE317" i="1"/>
  <c r="CC317" i="1"/>
  <c r="CD317" i="1"/>
  <c r="BX317" i="1"/>
  <c r="BW317" i="1"/>
  <c r="BV317" i="1"/>
  <c r="BU317" i="1"/>
  <c r="BT317" i="1"/>
  <c r="BS317" i="1"/>
  <c r="BR317" i="1"/>
  <c r="BQ317" i="1"/>
  <c r="BP317" i="1"/>
  <c r="BO317" i="1"/>
  <c r="BN317" i="1"/>
  <c r="BY317" i="1"/>
  <c r="BZ317" i="1"/>
  <c r="AP317" i="1"/>
  <c r="AQ317" i="1"/>
  <c r="AR317" i="1"/>
  <c r="AS317" i="1"/>
  <c r="AT317" i="1"/>
  <c r="AU317" i="1"/>
  <c r="AV317" i="1"/>
  <c r="AW317" i="1"/>
  <c r="AX317" i="1"/>
  <c r="AY317" i="1"/>
  <c r="AZ317" i="1"/>
  <c r="BA317" i="1"/>
  <c r="BB317" i="1"/>
  <c r="BC317" i="1"/>
  <c r="BD317" i="1"/>
  <c r="BE317" i="1"/>
  <c r="BF317" i="1"/>
  <c r="BG317" i="1"/>
  <c r="BH317" i="1"/>
  <c r="BI317" i="1"/>
  <c r="BJ317" i="1"/>
  <c r="BK317" i="1"/>
  <c r="BL317" i="1"/>
  <c r="BM317" i="1"/>
  <c r="CA317" i="1"/>
  <c r="CY316" i="1"/>
  <c r="CX316" i="1"/>
  <c r="CW316" i="1"/>
  <c r="CV316" i="1"/>
  <c r="CU316" i="1"/>
  <c r="CT316" i="1"/>
  <c r="CS316" i="1"/>
  <c r="CR316" i="1"/>
  <c r="CQ316" i="1"/>
  <c r="CP316" i="1"/>
  <c r="CO316" i="1"/>
  <c r="CN316" i="1"/>
  <c r="CM316" i="1"/>
  <c r="CL316" i="1"/>
  <c r="CK316" i="1"/>
  <c r="CJ316" i="1"/>
  <c r="CI316" i="1"/>
  <c r="CH316" i="1"/>
  <c r="CG316" i="1"/>
  <c r="CF316" i="1"/>
  <c r="CE316" i="1"/>
  <c r="CD316" i="1"/>
  <c r="CC316" i="1"/>
  <c r="CB316" i="1"/>
  <c r="BX316" i="1"/>
  <c r="BW316" i="1"/>
  <c r="BV316" i="1"/>
  <c r="BU316" i="1"/>
  <c r="BT316" i="1"/>
  <c r="BS316" i="1"/>
  <c r="BR316" i="1"/>
  <c r="BQ316" i="1"/>
  <c r="BP316" i="1"/>
  <c r="BO316" i="1"/>
  <c r="BN316" i="1"/>
  <c r="BY316" i="1"/>
  <c r="BZ316" i="1"/>
  <c r="AP316" i="1"/>
  <c r="AQ316" i="1"/>
  <c r="AR316" i="1"/>
  <c r="AS316" i="1"/>
  <c r="AT316" i="1"/>
  <c r="AU316" i="1"/>
  <c r="AV316" i="1"/>
  <c r="AW316" i="1"/>
  <c r="AX316" i="1"/>
  <c r="AY316" i="1"/>
  <c r="AZ316" i="1"/>
  <c r="BA316" i="1"/>
  <c r="BB316" i="1"/>
  <c r="BC316" i="1"/>
  <c r="BD316" i="1"/>
  <c r="BE316" i="1"/>
  <c r="BF316" i="1"/>
  <c r="BG316" i="1"/>
  <c r="BH316" i="1"/>
  <c r="BI316" i="1"/>
  <c r="BJ316" i="1"/>
  <c r="BK316" i="1"/>
  <c r="BL316" i="1"/>
  <c r="BM316" i="1"/>
  <c r="CA316" i="1"/>
  <c r="AM316" i="1"/>
  <c r="CY315" i="1"/>
  <c r="CX315" i="1"/>
  <c r="CW315" i="1"/>
  <c r="CV315" i="1"/>
  <c r="CU315" i="1"/>
  <c r="CT315" i="1"/>
  <c r="CS315" i="1"/>
  <c r="CR315" i="1"/>
  <c r="CQ315" i="1"/>
  <c r="CP315" i="1"/>
  <c r="CO315" i="1"/>
  <c r="CN315" i="1"/>
  <c r="CM315" i="1"/>
  <c r="CL315" i="1"/>
  <c r="CK315" i="1"/>
  <c r="CJ315" i="1"/>
  <c r="CI315" i="1"/>
  <c r="CH315" i="1"/>
  <c r="CG315" i="1"/>
  <c r="CF315" i="1"/>
  <c r="CE315" i="1"/>
  <c r="CD315" i="1"/>
  <c r="CC315" i="1"/>
  <c r="BX315" i="1"/>
  <c r="BW315" i="1"/>
  <c r="BV315" i="1"/>
  <c r="BU315" i="1"/>
  <c r="BT315" i="1"/>
  <c r="BS315" i="1"/>
  <c r="BR315" i="1"/>
  <c r="BN315" i="1"/>
  <c r="BO315" i="1"/>
  <c r="BP315" i="1"/>
  <c r="BQ315" i="1"/>
  <c r="BY315" i="1"/>
  <c r="BZ315" i="1"/>
  <c r="AP315" i="1"/>
  <c r="AQ315" i="1"/>
  <c r="AR315" i="1"/>
  <c r="AS315" i="1"/>
  <c r="AT315" i="1"/>
  <c r="AU315" i="1"/>
  <c r="AV315" i="1"/>
  <c r="AW315" i="1"/>
  <c r="AX315" i="1"/>
  <c r="AY315" i="1"/>
  <c r="AZ315" i="1"/>
  <c r="BA315" i="1"/>
  <c r="BB315" i="1"/>
  <c r="BC315" i="1"/>
  <c r="BD315" i="1"/>
  <c r="BE315" i="1"/>
  <c r="BF315" i="1"/>
  <c r="BG315" i="1"/>
  <c r="BH315" i="1"/>
  <c r="BI315" i="1"/>
  <c r="BJ315" i="1"/>
  <c r="BK315" i="1"/>
  <c r="BL315" i="1"/>
  <c r="BM315" i="1"/>
  <c r="CA315" i="1"/>
  <c r="AM315" i="1"/>
  <c r="CY314" i="1"/>
  <c r="CX314" i="1"/>
  <c r="CW314" i="1"/>
  <c r="CV314" i="1"/>
  <c r="CU314" i="1"/>
  <c r="CT314" i="1"/>
  <c r="CS314" i="1"/>
  <c r="CR314" i="1"/>
  <c r="CQ314" i="1"/>
  <c r="CP314" i="1"/>
  <c r="CO314" i="1"/>
  <c r="CN314" i="1"/>
  <c r="CM314" i="1"/>
  <c r="CL314" i="1"/>
  <c r="CK314" i="1"/>
  <c r="CJ314" i="1"/>
  <c r="CI314" i="1"/>
  <c r="CH314" i="1"/>
  <c r="CG314" i="1"/>
  <c r="CF314" i="1"/>
  <c r="CE314" i="1"/>
  <c r="CC314" i="1"/>
  <c r="CD314" i="1"/>
  <c r="CB314" i="1"/>
  <c r="BX314" i="1"/>
  <c r="BN314" i="1"/>
  <c r="BO314" i="1"/>
  <c r="BP314" i="1"/>
  <c r="BQ314" i="1"/>
  <c r="BR314" i="1"/>
  <c r="BS314" i="1"/>
  <c r="BT314" i="1"/>
  <c r="BU314" i="1"/>
  <c r="BV314" i="1"/>
  <c r="BW314" i="1"/>
  <c r="AP314" i="1"/>
  <c r="AQ314" i="1"/>
  <c r="AR314" i="1"/>
  <c r="AS314" i="1"/>
  <c r="AT314" i="1"/>
  <c r="AU314" i="1"/>
  <c r="AV314" i="1"/>
  <c r="AW314" i="1"/>
  <c r="AX314" i="1"/>
  <c r="AY314" i="1"/>
  <c r="AZ314" i="1"/>
  <c r="BA314" i="1"/>
  <c r="BB314" i="1"/>
  <c r="BC314" i="1"/>
  <c r="BD314" i="1"/>
  <c r="BE314" i="1"/>
  <c r="BF314" i="1"/>
  <c r="BG314" i="1"/>
  <c r="BH314" i="1"/>
  <c r="BI314" i="1"/>
  <c r="BJ314" i="1"/>
  <c r="BK314" i="1"/>
  <c r="BL314" i="1"/>
  <c r="BM314" i="1"/>
  <c r="AM314" i="1"/>
  <c r="CY313" i="1"/>
  <c r="CX313" i="1"/>
  <c r="CW313" i="1"/>
  <c r="CV313" i="1"/>
  <c r="CU313" i="1"/>
  <c r="CT313" i="1"/>
  <c r="CS313" i="1"/>
  <c r="CR313" i="1"/>
  <c r="CQ313" i="1"/>
  <c r="CP313" i="1"/>
  <c r="CO313" i="1"/>
  <c r="CN313" i="1"/>
  <c r="CM313" i="1"/>
  <c r="CL313" i="1"/>
  <c r="CK313" i="1"/>
  <c r="CJ313" i="1"/>
  <c r="CI313" i="1"/>
  <c r="CH313" i="1"/>
  <c r="CG313" i="1"/>
  <c r="CF313" i="1"/>
  <c r="CE313" i="1"/>
  <c r="CD313" i="1"/>
  <c r="CC313" i="1"/>
  <c r="BX313" i="1"/>
  <c r="BW313" i="1"/>
  <c r="BV313" i="1"/>
  <c r="BU313" i="1"/>
  <c r="BT313" i="1"/>
  <c r="BS313" i="1"/>
  <c r="BR313" i="1"/>
  <c r="BQ313" i="1"/>
  <c r="BP313" i="1"/>
  <c r="BO313" i="1"/>
  <c r="BN313" i="1"/>
  <c r="AP313" i="1"/>
  <c r="AQ313" i="1"/>
  <c r="AR313" i="1"/>
  <c r="AS313" i="1"/>
  <c r="AT313" i="1"/>
  <c r="AU313" i="1"/>
  <c r="AV313" i="1"/>
  <c r="AW313" i="1"/>
  <c r="AX313" i="1"/>
  <c r="AY313" i="1"/>
  <c r="AZ313" i="1"/>
  <c r="BA313" i="1"/>
  <c r="BB313" i="1"/>
  <c r="BC313" i="1"/>
  <c r="BD313" i="1"/>
  <c r="BE313" i="1"/>
  <c r="BF313" i="1"/>
  <c r="BG313" i="1"/>
  <c r="BH313" i="1"/>
  <c r="BI313" i="1"/>
  <c r="BJ313" i="1"/>
  <c r="BK313" i="1"/>
  <c r="BL313" i="1"/>
  <c r="BM313" i="1"/>
  <c r="CY312" i="1"/>
  <c r="CX312" i="1"/>
  <c r="CW312" i="1"/>
  <c r="CV312" i="1"/>
  <c r="CU312" i="1"/>
  <c r="CT312" i="1"/>
  <c r="CS312" i="1"/>
  <c r="CR312" i="1"/>
  <c r="CQ312" i="1"/>
  <c r="CP312" i="1"/>
  <c r="CO312" i="1"/>
  <c r="CN312" i="1"/>
  <c r="CM312" i="1"/>
  <c r="CL312" i="1"/>
  <c r="CK312" i="1"/>
  <c r="CJ312" i="1"/>
  <c r="CI312" i="1"/>
  <c r="CH312" i="1"/>
  <c r="CG312" i="1"/>
  <c r="CF312" i="1"/>
  <c r="CE312" i="1"/>
  <c r="CD312" i="1"/>
  <c r="CC312" i="1"/>
  <c r="BX312" i="1"/>
  <c r="BW312" i="1"/>
  <c r="BV312" i="1"/>
  <c r="BU312" i="1"/>
  <c r="BT312" i="1"/>
  <c r="BS312" i="1"/>
  <c r="BR312" i="1"/>
  <c r="BQ312" i="1"/>
  <c r="BN312" i="1"/>
  <c r="BO312" i="1"/>
  <c r="BP312" i="1"/>
  <c r="BY312" i="1"/>
  <c r="BZ312" i="1"/>
  <c r="AP312" i="1"/>
  <c r="AQ312" i="1"/>
  <c r="AR312" i="1"/>
  <c r="AS312" i="1"/>
  <c r="AT312" i="1"/>
  <c r="AU312" i="1"/>
  <c r="AV312" i="1"/>
  <c r="AW312" i="1"/>
  <c r="AX312" i="1"/>
  <c r="AY312" i="1"/>
  <c r="AZ312" i="1"/>
  <c r="BA312" i="1"/>
  <c r="BB312" i="1"/>
  <c r="BC312" i="1"/>
  <c r="BD312" i="1"/>
  <c r="BE312" i="1"/>
  <c r="BF312" i="1"/>
  <c r="BG312" i="1"/>
  <c r="BH312" i="1"/>
  <c r="BI312" i="1"/>
  <c r="BJ312" i="1"/>
  <c r="BK312" i="1"/>
  <c r="BL312" i="1"/>
  <c r="BM312" i="1"/>
  <c r="CA312" i="1"/>
  <c r="AM312" i="1"/>
  <c r="CY311" i="1"/>
  <c r="CX311" i="1"/>
  <c r="CW311" i="1"/>
  <c r="CV311" i="1"/>
  <c r="CU311" i="1"/>
  <c r="CT311" i="1"/>
  <c r="CS311" i="1"/>
  <c r="CR311" i="1"/>
  <c r="CQ311" i="1"/>
  <c r="CP311" i="1"/>
  <c r="CO311" i="1"/>
  <c r="CN311" i="1"/>
  <c r="CM311" i="1"/>
  <c r="CL311" i="1"/>
  <c r="CK311" i="1"/>
  <c r="CJ311" i="1"/>
  <c r="CI311" i="1"/>
  <c r="CH311" i="1"/>
  <c r="CG311" i="1"/>
  <c r="CF311" i="1"/>
  <c r="CE311" i="1"/>
  <c r="CD311" i="1"/>
  <c r="CC311" i="1"/>
  <c r="BX311" i="1"/>
  <c r="BW311" i="1"/>
  <c r="BV311" i="1"/>
  <c r="BU311" i="1"/>
  <c r="BT311" i="1"/>
  <c r="BS311" i="1"/>
  <c r="BR311" i="1"/>
  <c r="BQ311" i="1"/>
  <c r="BP311" i="1"/>
  <c r="BO311" i="1"/>
  <c r="BN311" i="1"/>
  <c r="BY311" i="1"/>
  <c r="BZ311" i="1"/>
  <c r="AP311" i="1"/>
  <c r="AQ311" i="1"/>
  <c r="AR311" i="1"/>
  <c r="AS311" i="1"/>
  <c r="AT311" i="1"/>
  <c r="AU311" i="1"/>
  <c r="AV311" i="1"/>
  <c r="AW311" i="1"/>
  <c r="AX311" i="1"/>
  <c r="AY311" i="1"/>
  <c r="AZ311" i="1"/>
  <c r="BA311" i="1"/>
  <c r="BB311" i="1"/>
  <c r="BC311" i="1"/>
  <c r="BD311" i="1"/>
  <c r="BE311" i="1"/>
  <c r="BF311" i="1"/>
  <c r="BG311" i="1"/>
  <c r="BH311" i="1"/>
  <c r="BI311" i="1"/>
  <c r="BJ311" i="1"/>
  <c r="BK311" i="1"/>
  <c r="BL311" i="1"/>
  <c r="BM311" i="1"/>
  <c r="CA311" i="1"/>
  <c r="AM311" i="1"/>
  <c r="CY310" i="1"/>
  <c r="CX310" i="1"/>
  <c r="CW310" i="1"/>
  <c r="CV310" i="1"/>
  <c r="CU310" i="1"/>
  <c r="CT310" i="1"/>
  <c r="CS310" i="1"/>
  <c r="CR310" i="1"/>
  <c r="CQ310" i="1"/>
  <c r="CP310" i="1"/>
  <c r="CO310" i="1"/>
  <c r="CN310" i="1"/>
  <c r="CM310" i="1"/>
  <c r="CL310" i="1"/>
  <c r="CK310" i="1"/>
  <c r="CJ310" i="1"/>
  <c r="CI310" i="1"/>
  <c r="CH310" i="1"/>
  <c r="CG310" i="1"/>
  <c r="CF310" i="1"/>
  <c r="CE310" i="1"/>
  <c r="CD310" i="1"/>
  <c r="CC310" i="1"/>
  <c r="CB310" i="1"/>
  <c r="AP310" i="1"/>
  <c r="AQ310" i="1"/>
  <c r="AR310" i="1"/>
  <c r="AS310" i="1"/>
  <c r="AT310" i="1"/>
  <c r="AU310" i="1"/>
  <c r="AV310" i="1"/>
  <c r="AW310" i="1"/>
  <c r="AX310" i="1"/>
  <c r="AY310" i="1"/>
  <c r="AZ310" i="1"/>
  <c r="BA310" i="1"/>
  <c r="BB310" i="1"/>
  <c r="BC310" i="1"/>
  <c r="BD310" i="1"/>
  <c r="BE310" i="1"/>
  <c r="BF310" i="1"/>
  <c r="BG310" i="1"/>
  <c r="BH310" i="1"/>
  <c r="BI310" i="1"/>
  <c r="BJ310" i="1"/>
  <c r="BK310" i="1"/>
  <c r="BL310" i="1"/>
  <c r="BM310" i="1"/>
  <c r="BN310" i="1"/>
  <c r="BO310" i="1"/>
  <c r="BP310" i="1"/>
  <c r="BQ310" i="1"/>
  <c r="BR310" i="1"/>
  <c r="BS310" i="1"/>
  <c r="BT310" i="1"/>
  <c r="BU310" i="1"/>
  <c r="BV310" i="1"/>
  <c r="BW310" i="1"/>
  <c r="BX310" i="1"/>
  <c r="CY309" i="1"/>
  <c r="CX309" i="1"/>
  <c r="CW309" i="1"/>
  <c r="CV309" i="1"/>
  <c r="CU309" i="1"/>
  <c r="CT309" i="1"/>
  <c r="CS309" i="1"/>
  <c r="CR309" i="1"/>
  <c r="CQ309" i="1"/>
  <c r="CP309" i="1"/>
  <c r="CO309" i="1"/>
  <c r="CN309" i="1"/>
  <c r="CM309" i="1"/>
  <c r="CL309" i="1"/>
  <c r="CK309" i="1"/>
  <c r="CJ309" i="1"/>
  <c r="CI309" i="1"/>
  <c r="CH309" i="1"/>
  <c r="CG309" i="1"/>
  <c r="CF309" i="1"/>
  <c r="CE309" i="1"/>
  <c r="CD309" i="1"/>
  <c r="CC309" i="1"/>
  <c r="CB309" i="1"/>
  <c r="BX309" i="1"/>
  <c r="BW309" i="1"/>
  <c r="BV309" i="1"/>
  <c r="BU309" i="1"/>
  <c r="BT309" i="1"/>
  <c r="BS309" i="1"/>
  <c r="BR309" i="1"/>
  <c r="BQ309" i="1"/>
  <c r="BN309" i="1"/>
  <c r="BO309" i="1"/>
  <c r="BP309" i="1"/>
  <c r="AP309" i="1"/>
  <c r="AQ309" i="1"/>
  <c r="AR309" i="1"/>
  <c r="AS309" i="1"/>
  <c r="AT309" i="1"/>
  <c r="AU309" i="1"/>
  <c r="AV309" i="1"/>
  <c r="AW309" i="1"/>
  <c r="AX309" i="1"/>
  <c r="AY309" i="1"/>
  <c r="AZ309" i="1"/>
  <c r="BA309" i="1"/>
  <c r="BB309" i="1"/>
  <c r="BC309" i="1"/>
  <c r="BD309" i="1"/>
  <c r="BE309" i="1"/>
  <c r="BF309" i="1"/>
  <c r="BG309" i="1"/>
  <c r="BH309" i="1"/>
  <c r="BI309" i="1"/>
  <c r="BJ309" i="1"/>
  <c r="BK309" i="1"/>
  <c r="BL309" i="1"/>
  <c r="BM309" i="1"/>
  <c r="CY308" i="1"/>
  <c r="CX308" i="1"/>
  <c r="CW308" i="1"/>
  <c r="CV308" i="1"/>
  <c r="CU308" i="1"/>
  <c r="CT308" i="1"/>
  <c r="CS308" i="1"/>
  <c r="CR308" i="1"/>
  <c r="CQ308" i="1"/>
  <c r="CP308" i="1"/>
  <c r="CO308" i="1"/>
  <c r="CN308" i="1"/>
  <c r="CM308" i="1"/>
  <c r="CL308" i="1"/>
  <c r="CK308" i="1"/>
  <c r="CJ308" i="1"/>
  <c r="CI308" i="1"/>
  <c r="CH308" i="1"/>
  <c r="CG308" i="1"/>
  <c r="CF308" i="1"/>
  <c r="CE308" i="1"/>
  <c r="CD308" i="1"/>
  <c r="CC308" i="1"/>
  <c r="CB308" i="1"/>
  <c r="BX308" i="1"/>
  <c r="BW308" i="1"/>
  <c r="BV308" i="1"/>
  <c r="BU308" i="1"/>
  <c r="BT308" i="1"/>
  <c r="BS308" i="1"/>
  <c r="BR308" i="1"/>
  <c r="BQ308" i="1"/>
  <c r="BP308" i="1"/>
  <c r="BO308" i="1"/>
  <c r="BN308" i="1"/>
  <c r="BY308" i="1"/>
  <c r="BZ308" i="1"/>
  <c r="AP308" i="1"/>
  <c r="AQ308" i="1"/>
  <c r="AR308" i="1"/>
  <c r="AS308" i="1"/>
  <c r="AT308" i="1"/>
  <c r="AU308" i="1"/>
  <c r="AV308" i="1"/>
  <c r="AW308" i="1"/>
  <c r="AX308" i="1"/>
  <c r="AY308" i="1"/>
  <c r="AZ308" i="1"/>
  <c r="BA308" i="1"/>
  <c r="BB308" i="1"/>
  <c r="BC308" i="1"/>
  <c r="BD308" i="1"/>
  <c r="BE308" i="1"/>
  <c r="BF308" i="1"/>
  <c r="BG308" i="1"/>
  <c r="BH308" i="1"/>
  <c r="BI308" i="1"/>
  <c r="BJ308" i="1"/>
  <c r="BK308" i="1"/>
  <c r="BL308" i="1"/>
  <c r="BM308" i="1"/>
  <c r="CA308" i="1"/>
  <c r="CY307" i="1"/>
  <c r="CX307" i="1"/>
  <c r="CW307" i="1"/>
  <c r="CV307" i="1"/>
  <c r="CU307" i="1"/>
  <c r="CT307" i="1"/>
  <c r="CS307" i="1"/>
  <c r="CR307" i="1"/>
  <c r="CQ307" i="1"/>
  <c r="CP307" i="1"/>
  <c r="CO307" i="1"/>
  <c r="CN307" i="1"/>
  <c r="CM307" i="1"/>
  <c r="CL307" i="1"/>
  <c r="CK307" i="1"/>
  <c r="CJ307" i="1"/>
  <c r="CI307" i="1"/>
  <c r="CH307" i="1"/>
  <c r="CG307" i="1"/>
  <c r="CF307" i="1"/>
  <c r="CE307" i="1"/>
  <c r="CD307" i="1"/>
  <c r="CC307" i="1"/>
  <c r="CB307" i="1"/>
  <c r="BX307" i="1"/>
  <c r="BW307" i="1"/>
  <c r="BV307" i="1"/>
  <c r="BU307" i="1"/>
  <c r="BT307" i="1"/>
  <c r="BS307" i="1"/>
  <c r="BR307" i="1"/>
  <c r="BQ307" i="1"/>
  <c r="BN307" i="1"/>
  <c r="BO307" i="1"/>
  <c r="BP307" i="1"/>
  <c r="BY307" i="1"/>
  <c r="BZ307" i="1"/>
  <c r="AP307" i="1"/>
  <c r="AQ307" i="1"/>
  <c r="AR307" i="1"/>
  <c r="AS307" i="1"/>
  <c r="AT307" i="1"/>
  <c r="AU307" i="1"/>
  <c r="AV307" i="1"/>
  <c r="AW307" i="1"/>
  <c r="AX307" i="1"/>
  <c r="AY307" i="1"/>
  <c r="AZ307" i="1"/>
  <c r="BA307" i="1"/>
  <c r="BB307" i="1"/>
  <c r="BC307" i="1"/>
  <c r="BD307" i="1"/>
  <c r="BE307" i="1"/>
  <c r="BF307" i="1"/>
  <c r="BG307" i="1"/>
  <c r="BH307" i="1"/>
  <c r="BI307" i="1"/>
  <c r="BJ307" i="1"/>
  <c r="BK307" i="1"/>
  <c r="BL307" i="1"/>
  <c r="BM307" i="1"/>
  <c r="CA307" i="1"/>
  <c r="AM307" i="1"/>
  <c r="CY306" i="1"/>
  <c r="CX306" i="1"/>
  <c r="CW306" i="1"/>
  <c r="CV306" i="1"/>
  <c r="CU306" i="1"/>
  <c r="CT306" i="1"/>
  <c r="CS306" i="1"/>
  <c r="CR306" i="1"/>
  <c r="CQ306" i="1"/>
  <c r="CP306" i="1"/>
  <c r="CO306" i="1"/>
  <c r="CN306" i="1"/>
  <c r="CM306" i="1"/>
  <c r="CL306" i="1"/>
  <c r="CK306" i="1"/>
  <c r="CJ306" i="1"/>
  <c r="CI306" i="1"/>
  <c r="CH306" i="1"/>
  <c r="CG306" i="1"/>
  <c r="CF306" i="1"/>
  <c r="CE306" i="1"/>
  <c r="CD306" i="1"/>
  <c r="CC306" i="1"/>
  <c r="BX306" i="1"/>
  <c r="BW306" i="1"/>
  <c r="BV306" i="1"/>
  <c r="BU306" i="1"/>
  <c r="BT306" i="1"/>
  <c r="BS306" i="1"/>
  <c r="BR306" i="1"/>
  <c r="BQ306" i="1"/>
  <c r="BP306" i="1"/>
  <c r="BO306" i="1"/>
  <c r="BN306" i="1"/>
  <c r="AP306" i="1"/>
  <c r="AQ306" i="1"/>
  <c r="AR306" i="1"/>
  <c r="AS306" i="1"/>
  <c r="AT306" i="1"/>
  <c r="AU306" i="1"/>
  <c r="AV306" i="1"/>
  <c r="AW306" i="1"/>
  <c r="AX306" i="1"/>
  <c r="AY306" i="1"/>
  <c r="AZ306" i="1"/>
  <c r="BA306" i="1"/>
  <c r="BB306" i="1"/>
  <c r="BC306" i="1"/>
  <c r="BD306" i="1"/>
  <c r="BE306" i="1"/>
  <c r="BF306" i="1"/>
  <c r="BG306" i="1"/>
  <c r="BH306" i="1"/>
  <c r="BI306" i="1"/>
  <c r="BJ306" i="1"/>
  <c r="BK306" i="1"/>
  <c r="BL306" i="1"/>
  <c r="BM306" i="1"/>
  <c r="CY305" i="1"/>
  <c r="CX305" i="1"/>
  <c r="CW305" i="1"/>
  <c r="CV305" i="1"/>
  <c r="CU305" i="1"/>
  <c r="CT305" i="1"/>
  <c r="CS305" i="1"/>
  <c r="CR305" i="1"/>
  <c r="CQ305" i="1"/>
  <c r="CP305" i="1"/>
  <c r="CO305" i="1"/>
  <c r="CN305" i="1"/>
  <c r="CM305" i="1"/>
  <c r="CL305" i="1"/>
  <c r="CK305" i="1"/>
  <c r="CJ305" i="1"/>
  <c r="CI305" i="1"/>
  <c r="CH305" i="1"/>
  <c r="CG305" i="1"/>
  <c r="CF305" i="1"/>
  <c r="CE305" i="1"/>
  <c r="CD305" i="1"/>
  <c r="CC305" i="1"/>
  <c r="CB305" i="1"/>
  <c r="BN305" i="1"/>
  <c r="BO305" i="1"/>
  <c r="BP305" i="1"/>
  <c r="BQ305" i="1"/>
  <c r="BR305" i="1"/>
  <c r="BS305" i="1"/>
  <c r="BT305" i="1"/>
  <c r="BU305" i="1"/>
  <c r="BV305" i="1"/>
  <c r="BW305" i="1"/>
  <c r="BX305" i="1"/>
  <c r="AP305" i="1"/>
  <c r="AQ305" i="1"/>
  <c r="AR305" i="1"/>
  <c r="AS305" i="1"/>
  <c r="AT305" i="1"/>
  <c r="AU305" i="1"/>
  <c r="AV305" i="1"/>
  <c r="AW305" i="1"/>
  <c r="AX305" i="1"/>
  <c r="AY305" i="1"/>
  <c r="AZ305" i="1"/>
  <c r="BA305" i="1"/>
  <c r="BB305" i="1"/>
  <c r="BC305" i="1"/>
  <c r="BD305" i="1"/>
  <c r="BE305" i="1"/>
  <c r="BF305" i="1"/>
  <c r="BG305" i="1"/>
  <c r="BH305" i="1"/>
  <c r="BI305" i="1"/>
  <c r="BJ305" i="1"/>
  <c r="BK305" i="1"/>
  <c r="BL305" i="1"/>
  <c r="BM305" i="1"/>
  <c r="AM305" i="1"/>
  <c r="CY304" i="1"/>
  <c r="CX304" i="1"/>
  <c r="CW304" i="1"/>
  <c r="CV304" i="1"/>
  <c r="CU304" i="1"/>
  <c r="CT304" i="1"/>
  <c r="CS304" i="1"/>
  <c r="CR304" i="1"/>
  <c r="CQ304" i="1"/>
  <c r="CP304" i="1"/>
  <c r="CO304" i="1"/>
  <c r="CN304" i="1"/>
  <c r="CM304" i="1"/>
  <c r="CL304" i="1"/>
  <c r="CK304" i="1"/>
  <c r="CJ304" i="1"/>
  <c r="CI304" i="1"/>
  <c r="CH304" i="1"/>
  <c r="CG304" i="1"/>
  <c r="CF304" i="1"/>
  <c r="CE304" i="1"/>
  <c r="CD304" i="1"/>
  <c r="CC304" i="1"/>
  <c r="CB304" i="1"/>
  <c r="BX304" i="1"/>
  <c r="BW304" i="1"/>
  <c r="BV304" i="1"/>
  <c r="BU304" i="1"/>
  <c r="BT304" i="1"/>
  <c r="BS304" i="1"/>
  <c r="BR304" i="1"/>
  <c r="BQ304" i="1"/>
  <c r="BN304" i="1"/>
  <c r="BO304" i="1"/>
  <c r="BP304" i="1"/>
  <c r="BY304" i="1"/>
  <c r="BZ304" i="1"/>
  <c r="AP304" i="1"/>
  <c r="AQ304" i="1"/>
  <c r="AR304" i="1"/>
  <c r="AS304" i="1"/>
  <c r="AT304" i="1"/>
  <c r="AU304" i="1"/>
  <c r="AV304" i="1"/>
  <c r="AW304" i="1"/>
  <c r="AX304" i="1"/>
  <c r="AY304" i="1"/>
  <c r="AZ304" i="1"/>
  <c r="BA304" i="1"/>
  <c r="BB304" i="1"/>
  <c r="BC304" i="1"/>
  <c r="BD304" i="1"/>
  <c r="BE304" i="1"/>
  <c r="BF304" i="1"/>
  <c r="BG304" i="1"/>
  <c r="BH304" i="1"/>
  <c r="BI304" i="1"/>
  <c r="BJ304" i="1"/>
  <c r="BK304" i="1"/>
  <c r="BL304" i="1"/>
  <c r="BM304" i="1"/>
  <c r="CA304" i="1"/>
  <c r="CY303" i="1"/>
  <c r="CX303" i="1"/>
  <c r="CW303" i="1"/>
  <c r="CV303" i="1"/>
  <c r="CU303" i="1"/>
  <c r="CT303" i="1"/>
  <c r="CS303" i="1"/>
  <c r="CR303" i="1"/>
  <c r="CQ303" i="1"/>
  <c r="CP303" i="1"/>
  <c r="CO303" i="1"/>
  <c r="CN303" i="1"/>
  <c r="CM303" i="1"/>
  <c r="CL303" i="1"/>
  <c r="CK303" i="1"/>
  <c r="CJ303" i="1"/>
  <c r="CI303" i="1"/>
  <c r="CH303" i="1"/>
  <c r="CG303" i="1"/>
  <c r="CF303" i="1"/>
  <c r="CE303" i="1"/>
  <c r="CC303" i="1"/>
  <c r="CD303" i="1"/>
  <c r="CB303" i="1"/>
  <c r="AP303" i="1"/>
  <c r="AQ303" i="1"/>
  <c r="AR303" i="1"/>
  <c r="AS303" i="1"/>
  <c r="AT303" i="1"/>
  <c r="AU303" i="1"/>
  <c r="AV303" i="1"/>
  <c r="AW303" i="1"/>
  <c r="AX303" i="1"/>
  <c r="AY303" i="1"/>
  <c r="AZ303" i="1"/>
  <c r="BA303" i="1"/>
  <c r="BB303" i="1"/>
  <c r="BC303" i="1"/>
  <c r="BD303" i="1"/>
  <c r="BE303" i="1"/>
  <c r="BF303" i="1"/>
  <c r="BG303" i="1"/>
  <c r="BH303" i="1"/>
  <c r="BI303" i="1"/>
  <c r="BJ303" i="1"/>
  <c r="BK303" i="1"/>
  <c r="BL303" i="1"/>
  <c r="BM303" i="1"/>
  <c r="BN303" i="1"/>
  <c r="BO303" i="1"/>
  <c r="BP303" i="1"/>
  <c r="BQ303" i="1"/>
  <c r="BR303" i="1"/>
  <c r="BS303" i="1"/>
  <c r="BT303" i="1"/>
  <c r="BU303" i="1"/>
  <c r="BV303" i="1"/>
  <c r="BW303" i="1"/>
  <c r="BX303" i="1"/>
  <c r="BY303" i="1"/>
  <c r="BZ303" i="1"/>
  <c r="CA303" i="1"/>
  <c r="AM303" i="1"/>
  <c r="CY302" i="1"/>
  <c r="CX302" i="1"/>
  <c r="CW302" i="1"/>
  <c r="CV302" i="1"/>
  <c r="CU302" i="1"/>
  <c r="CT302" i="1"/>
  <c r="CS302" i="1"/>
  <c r="CR302" i="1"/>
  <c r="CQ302" i="1"/>
  <c r="CP302" i="1"/>
  <c r="CO302" i="1"/>
  <c r="CN302" i="1"/>
  <c r="CM302" i="1"/>
  <c r="CL302" i="1"/>
  <c r="CK302" i="1"/>
  <c r="CJ302" i="1"/>
  <c r="CI302" i="1"/>
  <c r="CH302" i="1"/>
  <c r="CG302" i="1"/>
  <c r="CF302" i="1"/>
  <c r="CE302" i="1"/>
  <c r="CD302" i="1"/>
  <c r="CC302" i="1"/>
  <c r="CB302" i="1"/>
  <c r="BN302" i="1"/>
  <c r="BO302" i="1"/>
  <c r="BP302" i="1"/>
  <c r="BQ302" i="1"/>
  <c r="BR302" i="1"/>
  <c r="BS302" i="1"/>
  <c r="BT302" i="1"/>
  <c r="BU302" i="1"/>
  <c r="BV302" i="1"/>
  <c r="BW302" i="1"/>
  <c r="BX302" i="1"/>
  <c r="AP302" i="1"/>
  <c r="AQ302" i="1"/>
  <c r="AR302" i="1"/>
  <c r="AS302" i="1"/>
  <c r="AT302" i="1"/>
  <c r="AU302" i="1"/>
  <c r="AV302" i="1"/>
  <c r="AW302" i="1"/>
  <c r="AX302" i="1"/>
  <c r="AY302" i="1"/>
  <c r="AZ302" i="1"/>
  <c r="BA302" i="1"/>
  <c r="BB302" i="1"/>
  <c r="BC302" i="1"/>
  <c r="BD302" i="1"/>
  <c r="BE302" i="1"/>
  <c r="BF302" i="1"/>
  <c r="BG302" i="1"/>
  <c r="BH302" i="1"/>
  <c r="BI302" i="1"/>
  <c r="BJ302" i="1"/>
  <c r="BK302" i="1"/>
  <c r="BL302" i="1"/>
  <c r="BM302" i="1"/>
  <c r="CY301" i="1"/>
  <c r="CX301" i="1"/>
  <c r="CW301" i="1"/>
  <c r="CV301" i="1"/>
  <c r="CU301" i="1"/>
  <c r="CT301" i="1"/>
  <c r="CS301" i="1"/>
  <c r="CR301" i="1"/>
  <c r="CQ301" i="1"/>
  <c r="CP301" i="1"/>
  <c r="CO301" i="1"/>
  <c r="CN301" i="1"/>
  <c r="CM301" i="1"/>
  <c r="CL301" i="1"/>
  <c r="CK301" i="1"/>
  <c r="CJ301" i="1"/>
  <c r="CI301" i="1"/>
  <c r="CH301" i="1"/>
  <c r="CG301" i="1"/>
  <c r="CF301" i="1"/>
  <c r="CC301" i="1"/>
  <c r="CD301" i="1"/>
  <c r="CE301" i="1"/>
  <c r="CB301" i="1"/>
  <c r="BX301" i="1"/>
  <c r="BW301" i="1"/>
  <c r="BV301" i="1"/>
  <c r="BU301" i="1"/>
  <c r="BT301" i="1"/>
  <c r="BS301" i="1"/>
  <c r="BR301" i="1"/>
  <c r="BQ301" i="1"/>
  <c r="BP301" i="1"/>
  <c r="BN301" i="1"/>
  <c r="BO301" i="1"/>
  <c r="BY301" i="1"/>
  <c r="BZ301" i="1"/>
  <c r="AP301" i="1"/>
  <c r="AQ301" i="1"/>
  <c r="AR301" i="1"/>
  <c r="AS301" i="1"/>
  <c r="AT301" i="1"/>
  <c r="AU301" i="1"/>
  <c r="AV301" i="1"/>
  <c r="AW301" i="1"/>
  <c r="AX301" i="1"/>
  <c r="AY301" i="1"/>
  <c r="AZ301" i="1"/>
  <c r="BA301" i="1"/>
  <c r="BB301" i="1"/>
  <c r="BC301" i="1"/>
  <c r="BD301" i="1"/>
  <c r="BE301" i="1"/>
  <c r="BF301" i="1"/>
  <c r="BG301" i="1"/>
  <c r="BH301" i="1"/>
  <c r="BI301" i="1"/>
  <c r="BJ301" i="1"/>
  <c r="BK301" i="1"/>
  <c r="BL301" i="1"/>
  <c r="BM301" i="1"/>
  <c r="CA301" i="1"/>
  <c r="CY300" i="1"/>
  <c r="CX300" i="1"/>
  <c r="CW300" i="1"/>
  <c r="CV300" i="1"/>
  <c r="CU300" i="1"/>
  <c r="CT300" i="1"/>
  <c r="CS300" i="1"/>
  <c r="CR300" i="1"/>
  <c r="CQ300" i="1"/>
  <c r="CP300" i="1"/>
  <c r="CO300" i="1"/>
  <c r="CN300" i="1"/>
  <c r="CM300" i="1"/>
  <c r="CL300" i="1"/>
  <c r="CK300" i="1"/>
  <c r="CJ300" i="1"/>
  <c r="CI300" i="1"/>
  <c r="CH300" i="1"/>
  <c r="CG300" i="1"/>
  <c r="CF300" i="1"/>
  <c r="CE300" i="1"/>
  <c r="CC300" i="1"/>
  <c r="CD300" i="1"/>
  <c r="CB300" i="1"/>
  <c r="BX300" i="1"/>
  <c r="BN300" i="1"/>
  <c r="BO300" i="1"/>
  <c r="BP300" i="1"/>
  <c r="BQ300" i="1"/>
  <c r="BR300" i="1"/>
  <c r="BS300" i="1"/>
  <c r="BT300" i="1"/>
  <c r="BU300" i="1"/>
  <c r="BV300" i="1"/>
  <c r="BW300" i="1"/>
  <c r="AP300" i="1"/>
  <c r="AQ300" i="1"/>
  <c r="AR300" i="1"/>
  <c r="AS300" i="1"/>
  <c r="AT300" i="1"/>
  <c r="AU300" i="1"/>
  <c r="AV300" i="1"/>
  <c r="AW300" i="1"/>
  <c r="AX300" i="1"/>
  <c r="AY300" i="1"/>
  <c r="AZ300" i="1"/>
  <c r="BA300" i="1"/>
  <c r="BB300" i="1"/>
  <c r="BC300" i="1"/>
  <c r="BD300" i="1"/>
  <c r="BE300" i="1"/>
  <c r="BF300" i="1"/>
  <c r="BG300" i="1"/>
  <c r="BH300" i="1"/>
  <c r="BI300" i="1"/>
  <c r="BJ300" i="1"/>
  <c r="BK300" i="1"/>
  <c r="BL300" i="1"/>
  <c r="BM300" i="1"/>
  <c r="AM300" i="1"/>
  <c r="CY299" i="1"/>
  <c r="CX299" i="1"/>
  <c r="CW299" i="1"/>
  <c r="CV299" i="1"/>
  <c r="CU299" i="1"/>
  <c r="CT299" i="1"/>
  <c r="CS299" i="1"/>
  <c r="CR299" i="1"/>
  <c r="CQ299" i="1"/>
  <c r="CP299" i="1"/>
  <c r="CO299" i="1"/>
  <c r="CN299" i="1"/>
  <c r="CM299" i="1"/>
  <c r="CL299" i="1"/>
  <c r="CK299" i="1"/>
  <c r="CJ299" i="1"/>
  <c r="CI299" i="1"/>
  <c r="CH299" i="1"/>
  <c r="CG299" i="1"/>
  <c r="CF299" i="1"/>
  <c r="CE299" i="1"/>
  <c r="CD299" i="1"/>
  <c r="CC299" i="1"/>
  <c r="CB299" i="1"/>
  <c r="BX299" i="1"/>
  <c r="BW299" i="1"/>
  <c r="BV299" i="1"/>
  <c r="BU299" i="1"/>
  <c r="BT299" i="1"/>
  <c r="BS299" i="1"/>
  <c r="BR299" i="1"/>
  <c r="BQ299" i="1"/>
  <c r="BN299" i="1"/>
  <c r="BO299" i="1"/>
  <c r="BP299" i="1"/>
  <c r="BY299" i="1"/>
  <c r="BZ299" i="1"/>
  <c r="AP299" i="1"/>
  <c r="AQ299" i="1"/>
  <c r="AR299" i="1"/>
  <c r="AS299" i="1"/>
  <c r="AT299" i="1"/>
  <c r="AU299" i="1"/>
  <c r="AV299" i="1"/>
  <c r="AW299" i="1"/>
  <c r="AX299" i="1"/>
  <c r="AY299" i="1"/>
  <c r="AZ299" i="1"/>
  <c r="BA299" i="1"/>
  <c r="BB299" i="1"/>
  <c r="BC299" i="1"/>
  <c r="BD299" i="1"/>
  <c r="BE299" i="1"/>
  <c r="BF299" i="1"/>
  <c r="BG299" i="1"/>
  <c r="BH299" i="1"/>
  <c r="BI299" i="1"/>
  <c r="BJ299" i="1"/>
  <c r="BK299" i="1"/>
  <c r="BL299" i="1"/>
  <c r="BM299" i="1"/>
  <c r="CA299" i="1"/>
  <c r="CY298" i="1"/>
  <c r="CX298" i="1"/>
  <c r="CW298" i="1"/>
  <c r="CV298" i="1"/>
  <c r="CU298" i="1"/>
  <c r="CT298" i="1"/>
  <c r="CS298" i="1"/>
  <c r="CR298" i="1"/>
  <c r="CQ298" i="1"/>
  <c r="CP298" i="1"/>
  <c r="CO298" i="1"/>
  <c r="CN298" i="1"/>
  <c r="CM298" i="1"/>
  <c r="CL298" i="1"/>
  <c r="CK298" i="1"/>
  <c r="CJ298" i="1"/>
  <c r="CI298" i="1"/>
  <c r="CH298" i="1"/>
  <c r="CG298" i="1"/>
  <c r="CF298" i="1"/>
  <c r="CE298" i="1"/>
  <c r="CC298" i="1"/>
  <c r="CD298" i="1"/>
  <c r="CB298" i="1"/>
  <c r="AP298" i="1"/>
  <c r="AQ298" i="1"/>
  <c r="AR298" i="1"/>
  <c r="AS298" i="1"/>
  <c r="AT298" i="1"/>
  <c r="AU298" i="1"/>
  <c r="AV298" i="1"/>
  <c r="AW298" i="1"/>
  <c r="AX298" i="1"/>
  <c r="AY298" i="1"/>
  <c r="AZ298" i="1"/>
  <c r="BA298" i="1"/>
  <c r="BB298" i="1"/>
  <c r="BC298" i="1"/>
  <c r="BD298" i="1"/>
  <c r="BE298" i="1"/>
  <c r="BF298" i="1"/>
  <c r="BG298" i="1"/>
  <c r="BH298" i="1"/>
  <c r="BI298" i="1"/>
  <c r="BJ298" i="1"/>
  <c r="BK298" i="1"/>
  <c r="BL298" i="1"/>
  <c r="BM298" i="1"/>
  <c r="BN298" i="1"/>
  <c r="BO298" i="1"/>
  <c r="BP298" i="1"/>
  <c r="BQ298" i="1"/>
  <c r="BR298" i="1"/>
  <c r="BS298" i="1"/>
  <c r="BT298" i="1"/>
  <c r="BU298" i="1"/>
  <c r="BV298" i="1"/>
  <c r="BW298" i="1"/>
  <c r="BX298" i="1"/>
  <c r="BY298" i="1"/>
  <c r="BZ298" i="1"/>
  <c r="CA298" i="1"/>
  <c r="AM298" i="1"/>
  <c r="CY297" i="1"/>
  <c r="CX297" i="1"/>
  <c r="CW297" i="1"/>
  <c r="CV297" i="1"/>
  <c r="CU297" i="1"/>
  <c r="CT297" i="1"/>
  <c r="CS297" i="1"/>
  <c r="CR297" i="1"/>
  <c r="CQ297" i="1"/>
  <c r="CP297" i="1"/>
  <c r="CO297" i="1"/>
  <c r="CN297" i="1"/>
  <c r="CM297" i="1"/>
  <c r="CL297" i="1"/>
  <c r="CK297" i="1"/>
  <c r="CJ297" i="1"/>
  <c r="CI297" i="1"/>
  <c r="CH297" i="1"/>
  <c r="CG297" i="1"/>
  <c r="CF297" i="1"/>
  <c r="CE297" i="1"/>
  <c r="CD297" i="1"/>
  <c r="CC297" i="1"/>
  <c r="BN297" i="1"/>
  <c r="BO297" i="1"/>
  <c r="BP297" i="1"/>
  <c r="BQ297" i="1"/>
  <c r="BR297" i="1"/>
  <c r="BS297" i="1"/>
  <c r="BT297" i="1"/>
  <c r="BU297" i="1"/>
  <c r="BV297" i="1"/>
  <c r="BW297" i="1"/>
  <c r="BX297" i="1"/>
  <c r="BY297" i="1"/>
  <c r="BZ297" i="1"/>
  <c r="AP297" i="1"/>
  <c r="AQ297" i="1"/>
  <c r="AR297" i="1"/>
  <c r="AS297" i="1"/>
  <c r="AT297" i="1"/>
  <c r="AU297" i="1"/>
  <c r="AV297" i="1"/>
  <c r="AW297" i="1"/>
  <c r="AX297" i="1"/>
  <c r="AY297" i="1"/>
  <c r="AZ297" i="1"/>
  <c r="BA297" i="1"/>
  <c r="BB297" i="1"/>
  <c r="BC297" i="1"/>
  <c r="BD297" i="1"/>
  <c r="BE297" i="1"/>
  <c r="BF297" i="1"/>
  <c r="BG297" i="1"/>
  <c r="BH297" i="1"/>
  <c r="BI297" i="1"/>
  <c r="BJ297" i="1"/>
  <c r="BK297" i="1"/>
  <c r="BL297" i="1"/>
  <c r="BM297" i="1"/>
  <c r="CA297" i="1"/>
  <c r="CY296" i="1"/>
  <c r="CX296" i="1"/>
  <c r="CW296" i="1"/>
  <c r="CV296" i="1"/>
  <c r="CU296" i="1"/>
  <c r="CT296" i="1"/>
  <c r="CS296" i="1"/>
  <c r="CR296" i="1"/>
  <c r="CQ296" i="1"/>
  <c r="CP296" i="1"/>
  <c r="CO296" i="1"/>
  <c r="CN296" i="1"/>
  <c r="CM296" i="1"/>
  <c r="CL296" i="1"/>
  <c r="CK296" i="1"/>
  <c r="CJ296" i="1"/>
  <c r="CI296" i="1"/>
  <c r="CH296" i="1"/>
  <c r="CG296" i="1"/>
  <c r="CF296" i="1"/>
  <c r="CE296" i="1"/>
  <c r="CD296" i="1"/>
  <c r="CC296" i="1"/>
  <c r="CB296" i="1"/>
  <c r="BX296" i="1"/>
  <c r="BW296" i="1"/>
  <c r="BV296" i="1"/>
  <c r="BU296" i="1"/>
  <c r="BT296" i="1"/>
  <c r="BS296" i="1"/>
  <c r="BR296" i="1"/>
  <c r="BQ296" i="1"/>
  <c r="BN296" i="1"/>
  <c r="BO296" i="1"/>
  <c r="BP296" i="1"/>
  <c r="BY296" i="1"/>
  <c r="BZ296" i="1"/>
  <c r="AP296" i="1"/>
  <c r="AQ296" i="1"/>
  <c r="AR296" i="1"/>
  <c r="AS296" i="1"/>
  <c r="AT296" i="1"/>
  <c r="AU296" i="1"/>
  <c r="AV296" i="1"/>
  <c r="AW296" i="1"/>
  <c r="AX296" i="1"/>
  <c r="AY296" i="1"/>
  <c r="AZ296" i="1"/>
  <c r="BA296" i="1"/>
  <c r="BB296" i="1"/>
  <c r="BC296" i="1"/>
  <c r="BD296" i="1"/>
  <c r="BE296" i="1"/>
  <c r="BF296" i="1"/>
  <c r="BG296" i="1"/>
  <c r="BH296" i="1"/>
  <c r="BI296" i="1"/>
  <c r="BJ296" i="1"/>
  <c r="BK296" i="1"/>
  <c r="BL296" i="1"/>
  <c r="BM296" i="1"/>
  <c r="CA296" i="1"/>
  <c r="AM296" i="1"/>
  <c r="CY295" i="1"/>
  <c r="CX295" i="1"/>
  <c r="CW295" i="1"/>
  <c r="CV295" i="1"/>
  <c r="CU295" i="1"/>
  <c r="CT295" i="1"/>
  <c r="CS295" i="1"/>
  <c r="CR295" i="1"/>
  <c r="CQ295" i="1"/>
  <c r="CP295" i="1"/>
  <c r="CO295" i="1"/>
  <c r="CN295" i="1"/>
  <c r="CM295" i="1"/>
  <c r="CL295" i="1"/>
  <c r="CK295" i="1"/>
  <c r="CJ295" i="1"/>
  <c r="CI295" i="1"/>
  <c r="CH295" i="1"/>
  <c r="CG295" i="1"/>
  <c r="CF295" i="1"/>
  <c r="CE295" i="1"/>
  <c r="CC295" i="1"/>
  <c r="CD295" i="1"/>
  <c r="CB295" i="1"/>
  <c r="AP295" i="1"/>
  <c r="AQ295" i="1"/>
  <c r="AR295" i="1"/>
  <c r="AS295" i="1"/>
  <c r="AT295" i="1"/>
  <c r="AU295" i="1"/>
  <c r="AV295" i="1"/>
  <c r="AW295" i="1"/>
  <c r="AX295" i="1"/>
  <c r="AY295" i="1"/>
  <c r="AZ295" i="1"/>
  <c r="BA295" i="1"/>
  <c r="BB295" i="1"/>
  <c r="BC295" i="1"/>
  <c r="BD295" i="1"/>
  <c r="BE295" i="1"/>
  <c r="BF295" i="1"/>
  <c r="BG295" i="1"/>
  <c r="BH295" i="1"/>
  <c r="BI295" i="1"/>
  <c r="BJ295" i="1"/>
  <c r="BK295" i="1"/>
  <c r="BL295" i="1"/>
  <c r="BM295" i="1"/>
  <c r="BN295" i="1"/>
  <c r="BO295" i="1"/>
  <c r="BP295" i="1"/>
  <c r="BQ295" i="1"/>
  <c r="BR295" i="1"/>
  <c r="BS295" i="1"/>
  <c r="BT295" i="1"/>
  <c r="BU295" i="1"/>
  <c r="BV295" i="1"/>
  <c r="BW295" i="1"/>
  <c r="BX295" i="1"/>
  <c r="BY295" i="1"/>
  <c r="BZ295" i="1"/>
  <c r="CA295" i="1"/>
  <c r="AM295" i="1"/>
  <c r="CY294" i="1"/>
  <c r="CX294" i="1"/>
  <c r="CW294" i="1"/>
  <c r="CV294" i="1"/>
  <c r="CU294" i="1"/>
  <c r="CT294" i="1"/>
  <c r="CS294" i="1"/>
  <c r="CR294" i="1"/>
  <c r="CQ294" i="1"/>
  <c r="CP294" i="1"/>
  <c r="CO294" i="1"/>
  <c r="CN294" i="1"/>
  <c r="CM294" i="1"/>
  <c r="CL294" i="1"/>
  <c r="CK294" i="1"/>
  <c r="CJ294" i="1"/>
  <c r="CI294" i="1"/>
  <c r="CH294" i="1"/>
  <c r="CG294" i="1"/>
  <c r="CF294" i="1"/>
  <c r="CE294" i="1"/>
  <c r="CD294" i="1"/>
  <c r="CC294" i="1"/>
  <c r="CB294" i="1"/>
  <c r="AP294" i="1"/>
  <c r="AQ294" i="1"/>
  <c r="AR294" i="1"/>
  <c r="AS294" i="1"/>
  <c r="AT294" i="1"/>
  <c r="AU294" i="1"/>
  <c r="AV294" i="1"/>
  <c r="AW294" i="1"/>
  <c r="AX294" i="1"/>
  <c r="AY294" i="1"/>
  <c r="AZ294" i="1"/>
  <c r="BA294" i="1"/>
  <c r="BB294" i="1"/>
  <c r="BC294" i="1"/>
  <c r="BD294" i="1"/>
  <c r="BE294" i="1"/>
  <c r="BF294" i="1"/>
  <c r="BG294" i="1"/>
  <c r="BH294" i="1"/>
  <c r="BI294" i="1"/>
  <c r="BJ294" i="1"/>
  <c r="BK294" i="1"/>
  <c r="BL294" i="1"/>
  <c r="BM294" i="1"/>
  <c r="BN294" i="1"/>
  <c r="BO294" i="1"/>
  <c r="BP294" i="1"/>
  <c r="BQ294" i="1"/>
  <c r="BR294" i="1"/>
  <c r="BS294" i="1"/>
  <c r="BT294" i="1"/>
  <c r="BU294" i="1"/>
  <c r="BV294" i="1"/>
  <c r="BW294" i="1"/>
  <c r="BX294" i="1"/>
  <c r="CY293" i="1"/>
  <c r="CX293" i="1"/>
  <c r="CW293" i="1"/>
  <c r="CV293" i="1"/>
  <c r="CU293" i="1"/>
  <c r="CT293" i="1"/>
  <c r="CS293" i="1"/>
  <c r="CR293" i="1"/>
  <c r="CQ293" i="1"/>
  <c r="CP293" i="1"/>
  <c r="CO293" i="1"/>
  <c r="CN293" i="1"/>
  <c r="CM293" i="1"/>
  <c r="CL293" i="1"/>
  <c r="CK293" i="1"/>
  <c r="CJ293" i="1"/>
  <c r="CI293" i="1"/>
  <c r="CH293" i="1"/>
  <c r="CG293" i="1"/>
  <c r="CF293" i="1"/>
  <c r="CE293" i="1"/>
  <c r="CD293" i="1"/>
  <c r="CC293" i="1"/>
  <c r="BX293" i="1"/>
  <c r="BW293" i="1"/>
  <c r="BV293" i="1"/>
  <c r="BU293" i="1"/>
  <c r="BT293" i="1"/>
  <c r="BS293" i="1"/>
  <c r="BR293" i="1"/>
  <c r="BQ293" i="1"/>
  <c r="BN293" i="1"/>
  <c r="BO293" i="1"/>
  <c r="BP293" i="1"/>
  <c r="BY293" i="1"/>
  <c r="BZ293" i="1"/>
  <c r="AP293" i="1"/>
  <c r="AQ293" i="1"/>
  <c r="AR293" i="1"/>
  <c r="AS293" i="1"/>
  <c r="AT293" i="1"/>
  <c r="AU293" i="1"/>
  <c r="AV293" i="1"/>
  <c r="AW293" i="1"/>
  <c r="AX293" i="1"/>
  <c r="AY293" i="1"/>
  <c r="AZ293" i="1"/>
  <c r="BA293" i="1"/>
  <c r="BB293" i="1"/>
  <c r="BC293" i="1"/>
  <c r="BD293" i="1"/>
  <c r="BE293" i="1"/>
  <c r="BF293" i="1"/>
  <c r="BG293" i="1"/>
  <c r="BH293" i="1"/>
  <c r="BI293" i="1"/>
  <c r="BJ293" i="1"/>
  <c r="BK293" i="1"/>
  <c r="BL293" i="1"/>
  <c r="BM293" i="1"/>
  <c r="CA293" i="1"/>
  <c r="AM293" i="1"/>
  <c r="CY292" i="1"/>
  <c r="CX292" i="1"/>
  <c r="CW292" i="1"/>
  <c r="CV292" i="1"/>
  <c r="CU292" i="1"/>
  <c r="CT292" i="1"/>
  <c r="CS292" i="1"/>
  <c r="CR292" i="1"/>
  <c r="CQ292" i="1"/>
  <c r="CP292" i="1"/>
  <c r="CO292" i="1"/>
  <c r="CN292" i="1"/>
  <c r="CM292" i="1"/>
  <c r="CL292" i="1"/>
  <c r="CK292" i="1"/>
  <c r="CJ292" i="1"/>
  <c r="CI292" i="1"/>
  <c r="CH292" i="1"/>
  <c r="CG292" i="1"/>
  <c r="CF292" i="1"/>
  <c r="CE292" i="1"/>
  <c r="CC292" i="1"/>
  <c r="CD292" i="1"/>
  <c r="BX292" i="1"/>
  <c r="BW292" i="1"/>
  <c r="BV292" i="1"/>
  <c r="BU292" i="1"/>
  <c r="BT292" i="1"/>
  <c r="BS292" i="1"/>
  <c r="BR292" i="1"/>
  <c r="BQ292" i="1"/>
  <c r="BP292" i="1"/>
  <c r="BO292" i="1"/>
  <c r="BN292" i="1"/>
  <c r="BM292" i="1"/>
  <c r="BL292" i="1"/>
  <c r="BK292" i="1"/>
  <c r="BJ292" i="1"/>
  <c r="BI292" i="1"/>
  <c r="BH292" i="1"/>
  <c r="BG292" i="1"/>
  <c r="BF292" i="1"/>
  <c r="BE292" i="1"/>
  <c r="BD292" i="1"/>
  <c r="BC292" i="1"/>
  <c r="BB292" i="1"/>
  <c r="BA292" i="1"/>
  <c r="AZ292" i="1"/>
  <c r="AY292" i="1"/>
  <c r="AX292" i="1"/>
  <c r="AW292" i="1"/>
  <c r="AV292" i="1"/>
  <c r="AU292" i="1"/>
  <c r="AT292" i="1"/>
  <c r="AS292" i="1"/>
  <c r="AR292" i="1"/>
  <c r="AQ292" i="1"/>
  <c r="AP292" i="1"/>
  <c r="AM292" i="1"/>
  <c r="CY291" i="1"/>
  <c r="CX291" i="1"/>
  <c r="CW291" i="1"/>
  <c r="CV291" i="1"/>
  <c r="CU291" i="1"/>
  <c r="CT291" i="1"/>
  <c r="CS291" i="1"/>
  <c r="CR291" i="1"/>
  <c r="CQ291" i="1"/>
  <c r="CP291" i="1"/>
  <c r="CO291" i="1"/>
  <c r="CN291" i="1"/>
  <c r="CM291" i="1"/>
  <c r="CL291" i="1"/>
  <c r="CK291" i="1"/>
  <c r="CJ291" i="1"/>
  <c r="CI291" i="1"/>
  <c r="CH291" i="1"/>
  <c r="CG291" i="1"/>
  <c r="CF291" i="1"/>
  <c r="CE291" i="1"/>
  <c r="CD291" i="1"/>
  <c r="CC291" i="1"/>
  <c r="BN291" i="1"/>
  <c r="BO291" i="1"/>
  <c r="BP291" i="1"/>
  <c r="BQ291" i="1"/>
  <c r="BR291" i="1"/>
  <c r="BS291" i="1"/>
  <c r="BT291" i="1"/>
  <c r="BU291" i="1"/>
  <c r="BV291" i="1"/>
  <c r="BW291" i="1"/>
  <c r="BX291" i="1"/>
  <c r="AP291" i="1"/>
  <c r="AQ291" i="1"/>
  <c r="AR291" i="1"/>
  <c r="AS291" i="1"/>
  <c r="AT291" i="1"/>
  <c r="AU291" i="1"/>
  <c r="AV291" i="1"/>
  <c r="AW291" i="1"/>
  <c r="AX291" i="1"/>
  <c r="AY291" i="1"/>
  <c r="AZ291" i="1"/>
  <c r="BA291" i="1"/>
  <c r="BB291" i="1"/>
  <c r="BC291" i="1"/>
  <c r="BD291" i="1"/>
  <c r="BE291" i="1"/>
  <c r="BF291" i="1"/>
  <c r="BG291" i="1"/>
  <c r="BH291" i="1"/>
  <c r="BI291" i="1"/>
  <c r="BJ291" i="1"/>
  <c r="BK291" i="1"/>
  <c r="BL291" i="1"/>
  <c r="BM291" i="1"/>
  <c r="CY290" i="1"/>
  <c r="CX290" i="1"/>
  <c r="CW290" i="1"/>
  <c r="CV290" i="1"/>
  <c r="CU290" i="1"/>
  <c r="CT290" i="1"/>
  <c r="CS290" i="1"/>
  <c r="CR290" i="1"/>
  <c r="CQ290" i="1"/>
  <c r="CP290" i="1"/>
  <c r="CO290" i="1"/>
  <c r="CN290" i="1"/>
  <c r="CM290" i="1"/>
  <c r="CL290" i="1"/>
  <c r="CK290" i="1"/>
  <c r="CJ290" i="1"/>
  <c r="CI290" i="1"/>
  <c r="CH290" i="1"/>
  <c r="CG290" i="1"/>
  <c r="CF290" i="1"/>
  <c r="CE290" i="1"/>
  <c r="CD290" i="1"/>
  <c r="CC290" i="1"/>
  <c r="CB290" i="1"/>
  <c r="BX290" i="1"/>
  <c r="BW290" i="1"/>
  <c r="BV290" i="1"/>
  <c r="BU290" i="1"/>
  <c r="BT290" i="1"/>
  <c r="BS290" i="1"/>
  <c r="BR290" i="1"/>
  <c r="BQ290" i="1"/>
  <c r="BP290" i="1"/>
  <c r="BN290" i="1"/>
  <c r="BO290" i="1"/>
  <c r="AP290" i="1"/>
  <c r="AQ290" i="1"/>
  <c r="AR290" i="1"/>
  <c r="AS290" i="1"/>
  <c r="AT290" i="1"/>
  <c r="AU290" i="1"/>
  <c r="AV290" i="1"/>
  <c r="AW290" i="1"/>
  <c r="AX290" i="1"/>
  <c r="AY290" i="1"/>
  <c r="AZ290" i="1"/>
  <c r="BA290" i="1"/>
  <c r="BB290" i="1"/>
  <c r="BC290" i="1"/>
  <c r="BD290" i="1"/>
  <c r="BE290" i="1"/>
  <c r="BF290" i="1"/>
  <c r="BG290" i="1"/>
  <c r="BH290" i="1"/>
  <c r="BI290" i="1"/>
  <c r="BJ290" i="1"/>
  <c r="BK290" i="1"/>
  <c r="BL290" i="1"/>
  <c r="BM290" i="1"/>
  <c r="AM290" i="1"/>
  <c r="CY289" i="1"/>
  <c r="CX289" i="1"/>
  <c r="CW289" i="1"/>
  <c r="CV289" i="1"/>
  <c r="CU289" i="1"/>
  <c r="CT289" i="1"/>
  <c r="CS289" i="1"/>
  <c r="CR289" i="1"/>
  <c r="CQ289" i="1"/>
  <c r="CP289" i="1"/>
  <c r="CO289" i="1"/>
  <c r="CN289" i="1"/>
  <c r="CM289" i="1"/>
  <c r="CL289" i="1"/>
  <c r="CK289" i="1"/>
  <c r="CJ289" i="1"/>
  <c r="CI289" i="1"/>
  <c r="CH289" i="1"/>
  <c r="CG289" i="1"/>
  <c r="CF289" i="1"/>
  <c r="CE289" i="1"/>
  <c r="CC289" i="1"/>
  <c r="CD289" i="1"/>
  <c r="CB289" i="1"/>
  <c r="AP289" i="1"/>
  <c r="AQ289" i="1"/>
  <c r="AR289" i="1"/>
  <c r="AS289" i="1"/>
  <c r="AT289" i="1"/>
  <c r="AU289" i="1"/>
  <c r="AV289" i="1"/>
  <c r="AW289" i="1"/>
  <c r="AX289" i="1"/>
  <c r="AY289" i="1"/>
  <c r="AZ289" i="1"/>
  <c r="BA289" i="1"/>
  <c r="BB289" i="1"/>
  <c r="BC289" i="1"/>
  <c r="BD289" i="1"/>
  <c r="BE289" i="1"/>
  <c r="BF289" i="1"/>
  <c r="BG289" i="1"/>
  <c r="BH289" i="1"/>
  <c r="BI289" i="1"/>
  <c r="BJ289" i="1"/>
  <c r="BK289" i="1"/>
  <c r="BL289" i="1"/>
  <c r="BM289" i="1"/>
  <c r="BN289" i="1"/>
  <c r="BO289" i="1"/>
  <c r="BP289" i="1"/>
  <c r="BQ289" i="1"/>
  <c r="BR289" i="1"/>
  <c r="BS289" i="1"/>
  <c r="BT289" i="1"/>
  <c r="BU289" i="1"/>
  <c r="BV289" i="1"/>
  <c r="BW289" i="1"/>
  <c r="BX289" i="1"/>
  <c r="CY288" i="1"/>
  <c r="CX288" i="1"/>
  <c r="CW288" i="1"/>
  <c r="CV288" i="1"/>
  <c r="CU288" i="1"/>
  <c r="CT288" i="1"/>
  <c r="CS288" i="1"/>
  <c r="CR288" i="1"/>
  <c r="CQ288" i="1"/>
  <c r="CP288" i="1"/>
  <c r="CO288" i="1"/>
  <c r="CN288" i="1"/>
  <c r="CM288" i="1"/>
  <c r="CL288" i="1"/>
  <c r="CK288" i="1"/>
  <c r="CJ288" i="1"/>
  <c r="CI288" i="1"/>
  <c r="CH288" i="1"/>
  <c r="CG288" i="1"/>
  <c r="CF288" i="1"/>
  <c r="CE288" i="1"/>
  <c r="CC288" i="1"/>
  <c r="CD288" i="1"/>
  <c r="CB288" i="1"/>
  <c r="BX288" i="1"/>
  <c r="BW288" i="1"/>
  <c r="BV288" i="1"/>
  <c r="BU288" i="1"/>
  <c r="BT288" i="1"/>
  <c r="BS288" i="1"/>
  <c r="BR288" i="1"/>
  <c r="BQ288" i="1"/>
  <c r="BN288" i="1"/>
  <c r="BO288" i="1"/>
  <c r="BP288" i="1"/>
  <c r="BY288" i="1"/>
  <c r="BZ288" i="1"/>
  <c r="AP288" i="1"/>
  <c r="AQ288" i="1"/>
  <c r="AR288" i="1"/>
  <c r="AS288" i="1"/>
  <c r="AT288" i="1"/>
  <c r="AU288" i="1"/>
  <c r="AV288" i="1"/>
  <c r="AW288" i="1"/>
  <c r="AX288" i="1"/>
  <c r="AY288" i="1"/>
  <c r="AZ288" i="1"/>
  <c r="BA288" i="1"/>
  <c r="BB288" i="1"/>
  <c r="BC288" i="1"/>
  <c r="BD288" i="1"/>
  <c r="BE288" i="1"/>
  <c r="BF288" i="1"/>
  <c r="BG288" i="1"/>
  <c r="BH288" i="1"/>
  <c r="BI288" i="1"/>
  <c r="BJ288" i="1"/>
  <c r="BK288" i="1"/>
  <c r="BL288" i="1"/>
  <c r="BM288" i="1"/>
  <c r="CA288" i="1"/>
  <c r="AM288" i="1"/>
  <c r="CY287" i="1"/>
  <c r="CX287" i="1"/>
  <c r="CW287" i="1"/>
  <c r="CV287" i="1"/>
  <c r="CU287" i="1"/>
  <c r="CT287" i="1"/>
  <c r="CS287" i="1"/>
  <c r="CR287" i="1"/>
  <c r="CQ287" i="1"/>
  <c r="CP287" i="1"/>
  <c r="CO287" i="1"/>
  <c r="CN287" i="1"/>
  <c r="CM287" i="1"/>
  <c r="CL287" i="1"/>
  <c r="CK287" i="1"/>
  <c r="CJ287" i="1"/>
  <c r="CI287" i="1"/>
  <c r="CH287" i="1"/>
  <c r="CG287" i="1"/>
  <c r="CF287" i="1"/>
  <c r="CE287" i="1"/>
  <c r="CC287" i="1"/>
  <c r="CD287" i="1"/>
  <c r="CB287" i="1"/>
  <c r="BX287" i="1"/>
  <c r="BW287" i="1"/>
  <c r="BV287" i="1"/>
  <c r="BU287" i="1"/>
  <c r="BT287" i="1"/>
  <c r="BS287" i="1"/>
  <c r="BR287" i="1"/>
  <c r="BQ287" i="1"/>
  <c r="BP287" i="1"/>
  <c r="BN287" i="1"/>
  <c r="BO287" i="1"/>
  <c r="BY287" i="1"/>
  <c r="AP287" i="1"/>
  <c r="AQ287" i="1"/>
  <c r="AR287" i="1"/>
  <c r="AS287" i="1"/>
  <c r="AT287" i="1"/>
  <c r="AU287" i="1"/>
  <c r="AV287" i="1"/>
  <c r="AW287" i="1"/>
  <c r="AX287" i="1"/>
  <c r="AY287" i="1"/>
  <c r="AZ287" i="1"/>
  <c r="BA287" i="1"/>
  <c r="BB287" i="1"/>
  <c r="BC287" i="1"/>
  <c r="BD287" i="1"/>
  <c r="BE287" i="1"/>
  <c r="BF287" i="1"/>
  <c r="BG287" i="1"/>
  <c r="BH287" i="1"/>
  <c r="BI287" i="1"/>
  <c r="BJ287" i="1"/>
  <c r="BK287" i="1"/>
  <c r="BL287" i="1"/>
  <c r="BM287" i="1"/>
  <c r="AM287" i="1"/>
  <c r="CY286" i="1"/>
  <c r="CX286" i="1"/>
  <c r="CW286" i="1"/>
  <c r="CV286" i="1"/>
  <c r="CU286" i="1"/>
  <c r="CT286" i="1"/>
  <c r="CS286" i="1"/>
  <c r="CR286" i="1"/>
  <c r="CQ286" i="1"/>
  <c r="CP286" i="1"/>
  <c r="CO286" i="1"/>
  <c r="CN286" i="1"/>
  <c r="CM286" i="1"/>
  <c r="CL286" i="1"/>
  <c r="CK286" i="1"/>
  <c r="CJ286" i="1"/>
  <c r="CI286" i="1"/>
  <c r="CH286" i="1"/>
  <c r="CG286" i="1"/>
  <c r="CF286" i="1"/>
  <c r="CE286" i="1"/>
  <c r="CC286" i="1"/>
  <c r="CD286" i="1"/>
  <c r="CB286" i="1"/>
  <c r="BX286" i="1"/>
  <c r="BW286" i="1"/>
  <c r="BV286" i="1"/>
  <c r="BU286" i="1"/>
  <c r="BT286" i="1"/>
  <c r="BS286" i="1"/>
  <c r="BR286" i="1"/>
  <c r="BQ286" i="1"/>
  <c r="BP286" i="1"/>
  <c r="BO286" i="1"/>
  <c r="BN286" i="1"/>
  <c r="BY286" i="1"/>
  <c r="BZ286" i="1"/>
  <c r="AP286" i="1"/>
  <c r="AQ286" i="1"/>
  <c r="AR286" i="1"/>
  <c r="AS286" i="1"/>
  <c r="AT286" i="1"/>
  <c r="AU286" i="1"/>
  <c r="AV286" i="1"/>
  <c r="AW286" i="1"/>
  <c r="AX286" i="1"/>
  <c r="AY286" i="1"/>
  <c r="AZ286" i="1"/>
  <c r="BA286" i="1"/>
  <c r="BB286" i="1"/>
  <c r="BC286" i="1"/>
  <c r="BD286" i="1"/>
  <c r="BE286" i="1"/>
  <c r="BF286" i="1"/>
  <c r="BG286" i="1"/>
  <c r="BH286" i="1"/>
  <c r="BI286" i="1"/>
  <c r="BJ286" i="1"/>
  <c r="BK286" i="1"/>
  <c r="BL286" i="1"/>
  <c r="BM286" i="1"/>
  <c r="CY285" i="1"/>
  <c r="CX285" i="1"/>
  <c r="CW285" i="1"/>
  <c r="CV285" i="1"/>
  <c r="CU285" i="1"/>
  <c r="CT285" i="1"/>
  <c r="CS285" i="1"/>
  <c r="CR285" i="1"/>
  <c r="CQ285" i="1"/>
  <c r="CP285" i="1"/>
  <c r="CO285" i="1"/>
  <c r="CN285" i="1"/>
  <c r="CM285" i="1"/>
  <c r="CL285" i="1"/>
  <c r="CK285" i="1"/>
  <c r="CJ285" i="1"/>
  <c r="CI285" i="1"/>
  <c r="CH285" i="1"/>
  <c r="CG285" i="1"/>
  <c r="CF285" i="1"/>
  <c r="CE285" i="1"/>
  <c r="CC285" i="1"/>
  <c r="CD285" i="1"/>
  <c r="CB285" i="1"/>
  <c r="BX285" i="1"/>
  <c r="BW285" i="1"/>
  <c r="BV285" i="1"/>
  <c r="BU285" i="1"/>
  <c r="BT285" i="1"/>
  <c r="BS285" i="1"/>
  <c r="BR285" i="1"/>
  <c r="BQ285" i="1"/>
  <c r="BN285" i="1"/>
  <c r="BO285" i="1"/>
  <c r="BP285" i="1"/>
  <c r="BY285" i="1"/>
  <c r="BZ285" i="1"/>
  <c r="AP285" i="1"/>
  <c r="AQ285" i="1"/>
  <c r="AR285" i="1"/>
  <c r="AS285" i="1"/>
  <c r="AT285" i="1"/>
  <c r="AU285" i="1"/>
  <c r="AV285" i="1"/>
  <c r="AW285" i="1"/>
  <c r="AX285" i="1"/>
  <c r="AY285" i="1"/>
  <c r="AZ285" i="1"/>
  <c r="BA285" i="1"/>
  <c r="BB285" i="1"/>
  <c r="BC285" i="1"/>
  <c r="BD285" i="1"/>
  <c r="BE285" i="1"/>
  <c r="BF285" i="1"/>
  <c r="BG285" i="1"/>
  <c r="BH285" i="1"/>
  <c r="BI285" i="1"/>
  <c r="BJ285" i="1"/>
  <c r="BK285" i="1"/>
  <c r="BL285" i="1"/>
  <c r="BM285" i="1"/>
  <c r="CA285" i="1"/>
  <c r="CY284" i="1"/>
  <c r="CX284" i="1"/>
  <c r="CW284" i="1"/>
  <c r="CV284" i="1"/>
  <c r="CU284" i="1"/>
  <c r="CT284" i="1"/>
  <c r="CS284" i="1"/>
  <c r="CR284" i="1"/>
  <c r="CQ284" i="1"/>
  <c r="CP284" i="1"/>
  <c r="CO284" i="1"/>
  <c r="CN284" i="1"/>
  <c r="CM284" i="1"/>
  <c r="CL284" i="1"/>
  <c r="CK284" i="1"/>
  <c r="CJ284" i="1"/>
  <c r="CI284" i="1"/>
  <c r="CH284" i="1"/>
  <c r="CG284" i="1"/>
  <c r="CF284" i="1"/>
  <c r="CE284" i="1"/>
  <c r="CC284" i="1"/>
  <c r="CD284" i="1"/>
  <c r="BX284" i="1"/>
  <c r="BW284" i="1"/>
  <c r="BV284" i="1"/>
  <c r="BU284" i="1"/>
  <c r="BT284" i="1"/>
  <c r="BS284" i="1"/>
  <c r="BR284" i="1"/>
  <c r="BQ284" i="1"/>
  <c r="BP284" i="1"/>
  <c r="BO284" i="1"/>
  <c r="BN284" i="1"/>
  <c r="AP284" i="1"/>
  <c r="AQ284" i="1"/>
  <c r="AR284" i="1"/>
  <c r="AS284" i="1"/>
  <c r="AT284" i="1"/>
  <c r="AU284" i="1"/>
  <c r="AV284" i="1"/>
  <c r="AW284" i="1"/>
  <c r="AX284" i="1"/>
  <c r="AY284" i="1"/>
  <c r="AZ284" i="1"/>
  <c r="BA284" i="1"/>
  <c r="BB284" i="1"/>
  <c r="BC284" i="1"/>
  <c r="BD284" i="1"/>
  <c r="BE284" i="1"/>
  <c r="BF284" i="1"/>
  <c r="BG284" i="1"/>
  <c r="BH284" i="1"/>
  <c r="BI284" i="1"/>
  <c r="BJ284" i="1"/>
  <c r="BK284" i="1"/>
  <c r="BL284" i="1"/>
  <c r="BM284" i="1"/>
  <c r="CY283" i="1"/>
  <c r="CX283" i="1"/>
  <c r="CW283" i="1"/>
  <c r="CV283" i="1"/>
  <c r="CU283" i="1"/>
  <c r="CT283" i="1"/>
  <c r="CS283" i="1"/>
  <c r="CR283" i="1"/>
  <c r="CQ283" i="1"/>
  <c r="CP283" i="1"/>
  <c r="CO283" i="1"/>
  <c r="CN283" i="1"/>
  <c r="CM283" i="1"/>
  <c r="CL283" i="1"/>
  <c r="CK283" i="1"/>
  <c r="CJ283" i="1"/>
  <c r="CI283" i="1"/>
  <c r="CH283" i="1"/>
  <c r="CG283" i="1"/>
  <c r="CF283" i="1"/>
  <c r="CE283" i="1"/>
  <c r="CC283" i="1"/>
  <c r="CD283" i="1"/>
  <c r="CB283" i="1"/>
  <c r="BX283" i="1"/>
  <c r="BW283" i="1"/>
  <c r="BV283" i="1"/>
  <c r="BU283" i="1"/>
  <c r="BT283" i="1"/>
  <c r="BS283" i="1"/>
  <c r="BR283" i="1"/>
  <c r="BQ283" i="1"/>
  <c r="BN283" i="1"/>
  <c r="BO283" i="1"/>
  <c r="BP283" i="1"/>
  <c r="BY283" i="1"/>
  <c r="BZ283" i="1"/>
  <c r="AP283" i="1"/>
  <c r="AQ283" i="1"/>
  <c r="AR283" i="1"/>
  <c r="AS283" i="1"/>
  <c r="AT283" i="1"/>
  <c r="AU283" i="1"/>
  <c r="AV283" i="1"/>
  <c r="AW283" i="1"/>
  <c r="AX283" i="1"/>
  <c r="AY283" i="1"/>
  <c r="AZ283" i="1"/>
  <c r="BA283" i="1"/>
  <c r="BB283" i="1"/>
  <c r="BC283" i="1"/>
  <c r="BD283" i="1"/>
  <c r="BE283" i="1"/>
  <c r="BF283" i="1"/>
  <c r="BG283" i="1"/>
  <c r="BH283" i="1"/>
  <c r="BI283" i="1"/>
  <c r="BJ283" i="1"/>
  <c r="BK283" i="1"/>
  <c r="BL283" i="1"/>
  <c r="BM283" i="1"/>
  <c r="CA283" i="1"/>
  <c r="CY282" i="1"/>
  <c r="CX282" i="1"/>
  <c r="CW282" i="1"/>
  <c r="CV282" i="1"/>
  <c r="CU282" i="1"/>
  <c r="CT282" i="1"/>
  <c r="CS282" i="1"/>
  <c r="CR282" i="1"/>
  <c r="CQ282" i="1"/>
  <c r="CP282" i="1"/>
  <c r="CO282" i="1"/>
  <c r="CN282" i="1"/>
  <c r="CM282" i="1"/>
  <c r="CL282" i="1"/>
  <c r="CK282" i="1"/>
  <c r="CJ282" i="1"/>
  <c r="CI282" i="1"/>
  <c r="CH282" i="1"/>
  <c r="CG282" i="1"/>
  <c r="CF282" i="1"/>
  <c r="CE282" i="1"/>
  <c r="CC282" i="1"/>
  <c r="CD282" i="1"/>
  <c r="BX282" i="1"/>
  <c r="BW282" i="1"/>
  <c r="BV282" i="1"/>
  <c r="BU282" i="1"/>
  <c r="BT282" i="1"/>
  <c r="BS282" i="1"/>
  <c r="BR282" i="1"/>
  <c r="BQ282" i="1"/>
  <c r="BP282" i="1"/>
  <c r="BO282" i="1"/>
  <c r="BN282" i="1"/>
  <c r="AP282" i="1"/>
  <c r="AQ282" i="1"/>
  <c r="AR282" i="1"/>
  <c r="AS282" i="1"/>
  <c r="AT282" i="1"/>
  <c r="AU282" i="1"/>
  <c r="AV282" i="1"/>
  <c r="AW282" i="1"/>
  <c r="AX282" i="1"/>
  <c r="AY282" i="1"/>
  <c r="AZ282" i="1"/>
  <c r="BA282" i="1"/>
  <c r="BB282" i="1"/>
  <c r="BC282" i="1"/>
  <c r="BD282" i="1"/>
  <c r="BE282" i="1"/>
  <c r="BF282" i="1"/>
  <c r="BG282" i="1"/>
  <c r="BH282" i="1"/>
  <c r="BI282" i="1"/>
  <c r="BJ282" i="1"/>
  <c r="BK282" i="1"/>
  <c r="BL282" i="1"/>
  <c r="BM282" i="1"/>
  <c r="AM282" i="1"/>
  <c r="CY281" i="1"/>
  <c r="CX281" i="1"/>
  <c r="CW281" i="1"/>
  <c r="CV281" i="1"/>
  <c r="CU281" i="1"/>
  <c r="CT281" i="1"/>
  <c r="CS281" i="1"/>
  <c r="CR281" i="1"/>
  <c r="CQ281" i="1"/>
  <c r="CP281" i="1"/>
  <c r="CO281" i="1"/>
  <c r="CN281" i="1"/>
  <c r="CM281" i="1"/>
  <c r="CL281" i="1"/>
  <c r="CK281" i="1"/>
  <c r="CJ281" i="1"/>
  <c r="CI281" i="1"/>
  <c r="CH281" i="1"/>
  <c r="CG281" i="1"/>
  <c r="CF281" i="1"/>
  <c r="CE281" i="1"/>
  <c r="CD281" i="1"/>
  <c r="CC281" i="1"/>
  <c r="CB281" i="1"/>
  <c r="BX281" i="1"/>
  <c r="BW281" i="1"/>
  <c r="BV281" i="1"/>
  <c r="BU281" i="1"/>
  <c r="BT281" i="1"/>
  <c r="BS281" i="1"/>
  <c r="BR281" i="1"/>
  <c r="BQ281" i="1"/>
  <c r="BP281" i="1"/>
  <c r="BO281" i="1"/>
  <c r="BN281" i="1"/>
  <c r="BY281" i="1"/>
  <c r="BZ281" i="1"/>
  <c r="AP281" i="1"/>
  <c r="AQ281" i="1"/>
  <c r="AR281" i="1"/>
  <c r="AS281" i="1"/>
  <c r="AT281" i="1"/>
  <c r="AU281" i="1"/>
  <c r="AV281" i="1"/>
  <c r="AW281" i="1"/>
  <c r="AX281" i="1"/>
  <c r="AY281" i="1"/>
  <c r="AZ281" i="1"/>
  <c r="BA281" i="1"/>
  <c r="BB281" i="1"/>
  <c r="BC281" i="1"/>
  <c r="BD281" i="1"/>
  <c r="BE281" i="1"/>
  <c r="BF281" i="1"/>
  <c r="BG281" i="1"/>
  <c r="BH281" i="1"/>
  <c r="BI281" i="1"/>
  <c r="BJ281" i="1"/>
  <c r="BK281" i="1"/>
  <c r="BL281" i="1"/>
  <c r="BM281" i="1"/>
  <c r="CY280" i="1"/>
  <c r="CX280" i="1"/>
  <c r="CW280" i="1"/>
  <c r="CV280" i="1"/>
  <c r="CU280" i="1"/>
  <c r="CT280" i="1"/>
  <c r="CS280" i="1"/>
  <c r="CR280" i="1"/>
  <c r="CQ280" i="1"/>
  <c r="CP280" i="1"/>
  <c r="CO280" i="1"/>
  <c r="CN280" i="1"/>
  <c r="CM280" i="1"/>
  <c r="CL280" i="1"/>
  <c r="CK280" i="1"/>
  <c r="CJ280" i="1"/>
  <c r="CI280" i="1"/>
  <c r="CH280" i="1"/>
  <c r="CG280" i="1"/>
  <c r="CF280" i="1"/>
  <c r="CE280" i="1"/>
  <c r="CD280" i="1"/>
  <c r="CC280" i="1"/>
  <c r="CB280" i="1"/>
  <c r="BX280" i="1"/>
  <c r="BW280" i="1"/>
  <c r="BV280" i="1"/>
  <c r="BU280" i="1"/>
  <c r="BT280" i="1"/>
  <c r="BS280" i="1"/>
  <c r="BR280" i="1"/>
  <c r="BQ280" i="1"/>
  <c r="BP280" i="1"/>
  <c r="BN280" i="1"/>
  <c r="BO280" i="1"/>
  <c r="AP280" i="1"/>
  <c r="AQ280" i="1"/>
  <c r="AR280" i="1"/>
  <c r="AS280" i="1"/>
  <c r="AT280" i="1"/>
  <c r="AU280" i="1"/>
  <c r="AV280" i="1"/>
  <c r="AW280" i="1"/>
  <c r="AX280" i="1"/>
  <c r="AY280" i="1"/>
  <c r="AZ280" i="1"/>
  <c r="BA280" i="1"/>
  <c r="BB280" i="1"/>
  <c r="BC280" i="1"/>
  <c r="BD280" i="1"/>
  <c r="BE280" i="1"/>
  <c r="BF280" i="1"/>
  <c r="BG280" i="1"/>
  <c r="BH280" i="1"/>
  <c r="BI280" i="1"/>
  <c r="BJ280" i="1"/>
  <c r="BK280" i="1"/>
  <c r="BL280" i="1"/>
  <c r="BM280" i="1"/>
  <c r="AM280" i="1"/>
  <c r="CY279" i="1"/>
  <c r="CX279" i="1"/>
  <c r="CW279" i="1"/>
  <c r="CV279" i="1"/>
  <c r="CU279" i="1"/>
  <c r="CT279" i="1"/>
  <c r="CS279" i="1"/>
  <c r="CR279" i="1"/>
  <c r="CQ279" i="1"/>
  <c r="CP279" i="1"/>
  <c r="CO279" i="1"/>
  <c r="CN279" i="1"/>
  <c r="CM279" i="1"/>
  <c r="CL279" i="1"/>
  <c r="CK279" i="1"/>
  <c r="CJ279" i="1"/>
  <c r="CI279" i="1"/>
  <c r="CH279" i="1"/>
  <c r="CG279" i="1"/>
  <c r="CF279" i="1"/>
  <c r="CE279" i="1"/>
  <c r="CC279" i="1"/>
  <c r="CD279" i="1"/>
  <c r="CB279" i="1"/>
  <c r="AP279" i="1"/>
  <c r="AQ279" i="1"/>
  <c r="AR279" i="1"/>
  <c r="AS279" i="1"/>
  <c r="AT279" i="1"/>
  <c r="AU279" i="1"/>
  <c r="AV279" i="1"/>
  <c r="AW279" i="1"/>
  <c r="AX279" i="1"/>
  <c r="AY279" i="1"/>
  <c r="AZ279" i="1"/>
  <c r="BA279" i="1"/>
  <c r="BB279" i="1"/>
  <c r="BC279" i="1"/>
  <c r="BD279" i="1"/>
  <c r="BE279" i="1"/>
  <c r="BF279" i="1"/>
  <c r="BG279" i="1"/>
  <c r="BH279" i="1"/>
  <c r="BI279" i="1"/>
  <c r="BJ279" i="1"/>
  <c r="BK279" i="1"/>
  <c r="BL279" i="1"/>
  <c r="BM279" i="1"/>
  <c r="BN279" i="1"/>
  <c r="BO279" i="1"/>
  <c r="BP279" i="1"/>
  <c r="BQ279" i="1"/>
  <c r="BR279" i="1"/>
  <c r="BS279" i="1"/>
  <c r="BT279" i="1"/>
  <c r="BU279" i="1"/>
  <c r="BV279" i="1"/>
  <c r="BW279" i="1"/>
  <c r="BX279" i="1"/>
  <c r="BY279" i="1"/>
  <c r="BZ279" i="1"/>
  <c r="CA279" i="1"/>
  <c r="AM279" i="1"/>
  <c r="CY278" i="1"/>
  <c r="CX278" i="1"/>
  <c r="CW278" i="1"/>
  <c r="CV278" i="1"/>
  <c r="CU278" i="1"/>
  <c r="CT278" i="1"/>
  <c r="CS278" i="1"/>
  <c r="CR278" i="1"/>
  <c r="CQ278" i="1"/>
  <c r="CP278" i="1"/>
  <c r="CO278" i="1"/>
  <c r="CN278" i="1"/>
  <c r="CM278" i="1"/>
  <c r="CL278" i="1"/>
  <c r="CK278" i="1"/>
  <c r="CJ278" i="1"/>
  <c r="CI278" i="1"/>
  <c r="CH278" i="1"/>
  <c r="CG278" i="1"/>
  <c r="CF278" i="1"/>
  <c r="CE278" i="1"/>
  <c r="CD278" i="1"/>
  <c r="CC278" i="1"/>
  <c r="CB278" i="1"/>
  <c r="BX278" i="1"/>
  <c r="BW278" i="1"/>
  <c r="BV278" i="1"/>
  <c r="BU278" i="1"/>
  <c r="BT278" i="1"/>
  <c r="BS278" i="1"/>
  <c r="BR278" i="1"/>
  <c r="BQ278" i="1"/>
  <c r="BP278" i="1"/>
  <c r="BO278" i="1"/>
  <c r="BN278" i="1"/>
  <c r="BY278" i="1"/>
  <c r="BZ278" i="1"/>
  <c r="AP278" i="1"/>
  <c r="AQ278" i="1"/>
  <c r="AR278" i="1"/>
  <c r="AS278" i="1"/>
  <c r="AT278" i="1"/>
  <c r="AU278" i="1"/>
  <c r="AV278" i="1"/>
  <c r="AW278" i="1"/>
  <c r="AX278" i="1"/>
  <c r="AY278" i="1"/>
  <c r="AZ278" i="1"/>
  <c r="BA278" i="1"/>
  <c r="BB278" i="1"/>
  <c r="BC278" i="1"/>
  <c r="BD278" i="1"/>
  <c r="BE278" i="1"/>
  <c r="BF278" i="1"/>
  <c r="BG278" i="1"/>
  <c r="BH278" i="1"/>
  <c r="BI278" i="1"/>
  <c r="BJ278" i="1"/>
  <c r="BK278" i="1"/>
  <c r="BL278" i="1"/>
  <c r="BM278" i="1"/>
  <c r="CA278" i="1"/>
  <c r="AM278" i="1"/>
  <c r="CY277" i="1"/>
  <c r="CX277" i="1"/>
  <c r="CW277" i="1"/>
  <c r="CV277" i="1"/>
  <c r="CU277" i="1"/>
  <c r="CT277" i="1"/>
  <c r="CS277" i="1"/>
  <c r="CR277" i="1"/>
  <c r="CQ277" i="1"/>
  <c r="CP277" i="1"/>
  <c r="CO277" i="1"/>
  <c r="CN277" i="1"/>
  <c r="CM277" i="1"/>
  <c r="CL277" i="1"/>
  <c r="CK277" i="1"/>
  <c r="CJ277" i="1"/>
  <c r="CI277" i="1"/>
  <c r="CH277" i="1"/>
  <c r="CG277" i="1"/>
  <c r="CF277" i="1"/>
  <c r="CE277" i="1"/>
  <c r="CD277" i="1"/>
  <c r="CC277" i="1"/>
  <c r="CB277" i="1"/>
  <c r="BX277" i="1"/>
  <c r="BW277" i="1"/>
  <c r="BV277" i="1"/>
  <c r="BU277" i="1"/>
  <c r="BT277" i="1"/>
  <c r="BS277" i="1"/>
  <c r="BR277" i="1"/>
  <c r="BQ277" i="1"/>
  <c r="BN277" i="1"/>
  <c r="BO277" i="1"/>
  <c r="BP277" i="1"/>
  <c r="AP277" i="1"/>
  <c r="AQ277" i="1"/>
  <c r="AR277" i="1"/>
  <c r="AS277" i="1"/>
  <c r="AT277" i="1"/>
  <c r="AU277" i="1"/>
  <c r="AV277" i="1"/>
  <c r="AW277" i="1"/>
  <c r="AX277" i="1"/>
  <c r="AY277" i="1"/>
  <c r="AZ277" i="1"/>
  <c r="BA277" i="1"/>
  <c r="BB277" i="1"/>
  <c r="BC277" i="1"/>
  <c r="BD277" i="1"/>
  <c r="BE277" i="1"/>
  <c r="BF277" i="1"/>
  <c r="BG277" i="1"/>
  <c r="BH277" i="1"/>
  <c r="BI277" i="1"/>
  <c r="BJ277" i="1"/>
  <c r="BK277" i="1"/>
  <c r="BL277" i="1"/>
  <c r="BM277" i="1"/>
  <c r="AM277" i="1"/>
  <c r="CY276" i="1"/>
  <c r="CX276" i="1"/>
  <c r="CW276" i="1"/>
  <c r="CV276" i="1"/>
  <c r="CU276" i="1"/>
  <c r="CT276" i="1"/>
  <c r="CS276" i="1"/>
  <c r="CR276" i="1"/>
  <c r="CQ276" i="1"/>
  <c r="CP276" i="1"/>
  <c r="CO276" i="1"/>
  <c r="CN276" i="1"/>
  <c r="CM276" i="1"/>
  <c r="CL276" i="1"/>
  <c r="CK276" i="1"/>
  <c r="CJ276" i="1"/>
  <c r="CI276" i="1"/>
  <c r="CH276" i="1"/>
  <c r="CG276" i="1"/>
  <c r="CF276" i="1"/>
  <c r="CE276" i="1"/>
  <c r="CD276" i="1"/>
  <c r="CC276" i="1"/>
  <c r="CB276" i="1"/>
  <c r="BX276" i="1"/>
  <c r="BW276" i="1"/>
  <c r="BV276" i="1"/>
  <c r="BU276" i="1"/>
  <c r="BT276" i="1"/>
  <c r="BS276" i="1"/>
  <c r="BR276" i="1"/>
  <c r="BQ276" i="1"/>
  <c r="BN276" i="1"/>
  <c r="BO276" i="1"/>
  <c r="BP276" i="1"/>
  <c r="AP276" i="1"/>
  <c r="AQ276" i="1"/>
  <c r="AR276" i="1"/>
  <c r="AS276" i="1"/>
  <c r="AT276" i="1"/>
  <c r="AU276" i="1"/>
  <c r="AV276" i="1"/>
  <c r="AW276" i="1"/>
  <c r="AX276" i="1"/>
  <c r="AY276" i="1"/>
  <c r="AZ276" i="1"/>
  <c r="BA276" i="1"/>
  <c r="BB276" i="1"/>
  <c r="BC276" i="1"/>
  <c r="BD276" i="1"/>
  <c r="BE276" i="1"/>
  <c r="BF276" i="1"/>
  <c r="BG276" i="1"/>
  <c r="BH276" i="1"/>
  <c r="BI276" i="1"/>
  <c r="BJ276" i="1"/>
  <c r="BK276" i="1"/>
  <c r="BL276" i="1"/>
  <c r="BM276" i="1"/>
  <c r="AM276" i="1"/>
  <c r="CY275" i="1"/>
  <c r="CX275" i="1"/>
  <c r="CW275" i="1"/>
  <c r="CV275" i="1"/>
  <c r="CU275" i="1"/>
  <c r="CT275" i="1"/>
  <c r="CS275" i="1"/>
  <c r="CR275" i="1"/>
  <c r="CQ275" i="1"/>
  <c r="CP275" i="1"/>
  <c r="CO275" i="1"/>
  <c r="CN275" i="1"/>
  <c r="CM275" i="1"/>
  <c r="CL275" i="1"/>
  <c r="CK275" i="1"/>
  <c r="CJ275" i="1"/>
  <c r="CI275" i="1"/>
  <c r="CH275" i="1"/>
  <c r="CG275" i="1"/>
  <c r="CF275" i="1"/>
  <c r="CE275" i="1"/>
  <c r="CD275" i="1"/>
  <c r="CC275" i="1"/>
  <c r="CB275" i="1"/>
  <c r="BX275" i="1"/>
  <c r="BW275" i="1"/>
  <c r="BV275" i="1"/>
  <c r="BU275" i="1"/>
  <c r="BT275" i="1"/>
  <c r="BS275" i="1"/>
  <c r="BR275" i="1"/>
  <c r="BQ275" i="1"/>
  <c r="BN275" i="1"/>
  <c r="BO275" i="1"/>
  <c r="BP275" i="1"/>
  <c r="AP275" i="1"/>
  <c r="AQ275" i="1"/>
  <c r="AR275" i="1"/>
  <c r="AS275" i="1"/>
  <c r="AT275" i="1"/>
  <c r="AU275" i="1"/>
  <c r="AV275" i="1"/>
  <c r="AW275" i="1"/>
  <c r="AX275" i="1"/>
  <c r="AY275" i="1"/>
  <c r="AZ275" i="1"/>
  <c r="BA275" i="1"/>
  <c r="BB275" i="1"/>
  <c r="BC275" i="1"/>
  <c r="BD275" i="1"/>
  <c r="BE275" i="1"/>
  <c r="BF275" i="1"/>
  <c r="BG275" i="1"/>
  <c r="BH275" i="1"/>
  <c r="BI275" i="1"/>
  <c r="BJ275" i="1"/>
  <c r="BK275" i="1"/>
  <c r="BL275" i="1"/>
  <c r="BM275" i="1"/>
  <c r="AM275" i="1"/>
  <c r="CY274" i="1"/>
  <c r="CX274" i="1"/>
  <c r="CW274" i="1"/>
  <c r="CV274" i="1"/>
  <c r="CU274" i="1"/>
  <c r="CT274" i="1"/>
  <c r="CS274" i="1"/>
  <c r="CR274" i="1"/>
  <c r="CQ274" i="1"/>
  <c r="CP274" i="1"/>
  <c r="CO274" i="1"/>
  <c r="CN274" i="1"/>
  <c r="CM274" i="1"/>
  <c r="CL274" i="1"/>
  <c r="CK274" i="1"/>
  <c r="CJ274" i="1"/>
  <c r="CI274" i="1"/>
  <c r="CH274" i="1"/>
  <c r="CG274" i="1"/>
  <c r="CF274" i="1"/>
  <c r="CE274" i="1"/>
  <c r="CD274" i="1"/>
  <c r="CC274" i="1"/>
  <c r="BX274" i="1"/>
  <c r="BW274" i="1"/>
  <c r="BV274" i="1"/>
  <c r="BU274" i="1"/>
  <c r="BT274" i="1"/>
  <c r="BS274" i="1"/>
  <c r="BR274" i="1"/>
  <c r="BQ274" i="1"/>
  <c r="BP274" i="1"/>
  <c r="BO274" i="1"/>
  <c r="BN274" i="1"/>
  <c r="BM274" i="1"/>
  <c r="BL274" i="1"/>
  <c r="BK274" i="1"/>
  <c r="BJ274" i="1"/>
  <c r="BI274" i="1"/>
  <c r="BH274" i="1"/>
  <c r="BG274" i="1"/>
  <c r="BF274" i="1"/>
  <c r="BE274" i="1"/>
  <c r="BD274" i="1"/>
  <c r="BC274" i="1"/>
  <c r="BB274" i="1"/>
  <c r="BA274" i="1"/>
  <c r="AZ274" i="1"/>
  <c r="AY274" i="1"/>
  <c r="AX274" i="1"/>
  <c r="AW274" i="1"/>
  <c r="AV274" i="1"/>
  <c r="AU274" i="1"/>
  <c r="AT274" i="1"/>
  <c r="AS274" i="1"/>
  <c r="AR274" i="1"/>
  <c r="AQ274" i="1"/>
  <c r="AP274" i="1"/>
  <c r="AM274" i="1"/>
  <c r="CY273" i="1"/>
  <c r="CX273" i="1"/>
  <c r="CW273" i="1"/>
  <c r="CV273" i="1"/>
  <c r="CU273" i="1"/>
  <c r="CT273" i="1"/>
  <c r="CS273" i="1"/>
  <c r="CR273" i="1"/>
  <c r="CQ273" i="1"/>
  <c r="CP273" i="1"/>
  <c r="CO273" i="1"/>
  <c r="CN273" i="1"/>
  <c r="CM273" i="1"/>
  <c r="CL273" i="1"/>
  <c r="CK273" i="1"/>
  <c r="CJ273" i="1"/>
  <c r="CI273" i="1"/>
  <c r="CH273" i="1"/>
  <c r="CG273" i="1"/>
  <c r="CF273" i="1"/>
  <c r="CE273" i="1"/>
  <c r="CC273" i="1"/>
  <c r="CD273" i="1"/>
  <c r="CB273" i="1"/>
  <c r="BX273" i="1"/>
  <c r="BW273" i="1"/>
  <c r="BV273" i="1"/>
  <c r="BU273" i="1"/>
  <c r="BT273" i="1"/>
  <c r="BS273" i="1"/>
  <c r="BR273" i="1"/>
  <c r="BQ273" i="1"/>
  <c r="BN273" i="1"/>
  <c r="BO273" i="1"/>
  <c r="BP273" i="1"/>
  <c r="AP273" i="1"/>
  <c r="AQ273" i="1"/>
  <c r="AR273" i="1"/>
  <c r="AS273" i="1"/>
  <c r="AT273" i="1"/>
  <c r="AU273" i="1"/>
  <c r="AV273" i="1"/>
  <c r="AW273" i="1"/>
  <c r="AX273" i="1"/>
  <c r="AY273" i="1"/>
  <c r="AZ273" i="1"/>
  <c r="BA273" i="1"/>
  <c r="BB273" i="1"/>
  <c r="BC273" i="1"/>
  <c r="BD273" i="1"/>
  <c r="BE273" i="1"/>
  <c r="BF273" i="1"/>
  <c r="BG273" i="1"/>
  <c r="BH273" i="1"/>
  <c r="BI273" i="1"/>
  <c r="BJ273" i="1"/>
  <c r="BK273" i="1"/>
  <c r="BL273" i="1"/>
  <c r="BM273" i="1"/>
  <c r="AM273" i="1"/>
  <c r="CY272" i="1"/>
  <c r="CX272" i="1"/>
  <c r="CW272" i="1"/>
  <c r="CV272" i="1"/>
  <c r="CU272" i="1"/>
  <c r="CT272" i="1"/>
  <c r="CS272" i="1"/>
  <c r="CR272" i="1"/>
  <c r="CQ272" i="1"/>
  <c r="CP272" i="1"/>
  <c r="CO272" i="1"/>
  <c r="CN272" i="1"/>
  <c r="CM272" i="1"/>
  <c r="CL272" i="1"/>
  <c r="CK272" i="1"/>
  <c r="CJ272" i="1"/>
  <c r="CI272" i="1"/>
  <c r="CH272" i="1"/>
  <c r="CG272" i="1"/>
  <c r="CF272" i="1"/>
  <c r="CE272" i="1"/>
  <c r="CD272" i="1"/>
  <c r="CC272" i="1"/>
  <c r="CB272" i="1"/>
  <c r="BX272" i="1"/>
  <c r="BW272" i="1"/>
  <c r="BV272" i="1"/>
  <c r="BU272" i="1"/>
  <c r="BT272" i="1"/>
  <c r="BS272" i="1"/>
  <c r="BR272" i="1"/>
  <c r="BQ272" i="1"/>
  <c r="BN272" i="1"/>
  <c r="BO272" i="1"/>
  <c r="BP272" i="1"/>
  <c r="AP272" i="1"/>
  <c r="AQ272" i="1"/>
  <c r="AR272" i="1"/>
  <c r="AS272" i="1"/>
  <c r="AT272" i="1"/>
  <c r="AU272" i="1"/>
  <c r="AV272" i="1"/>
  <c r="AW272" i="1"/>
  <c r="AX272" i="1"/>
  <c r="AY272" i="1"/>
  <c r="AZ272" i="1"/>
  <c r="BA272" i="1"/>
  <c r="BB272" i="1"/>
  <c r="BC272" i="1"/>
  <c r="BD272" i="1"/>
  <c r="BE272" i="1"/>
  <c r="BF272" i="1"/>
  <c r="BG272" i="1"/>
  <c r="BH272" i="1"/>
  <c r="BI272" i="1"/>
  <c r="BJ272" i="1"/>
  <c r="BK272" i="1"/>
  <c r="BL272" i="1"/>
  <c r="BM272" i="1"/>
  <c r="AM272" i="1"/>
  <c r="CY271" i="1"/>
  <c r="CX271" i="1"/>
  <c r="CW271" i="1"/>
  <c r="CV271" i="1"/>
  <c r="CU271" i="1"/>
  <c r="CT271" i="1"/>
  <c r="CS271" i="1"/>
  <c r="CR271" i="1"/>
  <c r="CQ271" i="1"/>
  <c r="CP271" i="1"/>
  <c r="CO271" i="1"/>
  <c r="CN271" i="1"/>
  <c r="CM271" i="1"/>
  <c r="CL271" i="1"/>
  <c r="CK271" i="1"/>
  <c r="CJ271" i="1"/>
  <c r="CI271" i="1"/>
  <c r="CH271" i="1"/>
  <c r="CG271" i="1"/>
  <c r="CF271" i="1"/>
  <c r="CE271" i="1"/>
  <c r="CD271" i="1"/>
  <c r="CC271" i="1"/>
  <c r="BX271" i="1"/>
  <c r="BW271" i="1"/>
  <c r="BV271" i="1"/>
  <c r="BU271" i="1"/>
  <c r="BT271" i="1"/>
  <c r="BS271" i="1"/>
  <c r="BR271" i="1"/>
  <c r="BQ271" i="1"/>
  <c r="BN271" i="1"/>
  <c r="BO271" i="1"/>
  <c r="BP271" i="1"/>
  <c r="AP271" i="1"/>
  <c r="AQ271" i="1"/>
  <c r="AR271" i="1"/>
  <c r="AS271" i="1"/>
  <c r="AT271" i="1"/>
  <c r="AU271" i="1"/>
  <c r="AV271" i="1"/>
  <c r="AW271" i="1"/>
  <c r="AX271" i="1"/>
  <c r="AY271" i="1"/>
  <c r="AZ271" i="1"/>
  <c r="BA271" i="1"/>
  <c r="BB271" i="1"/>
  <c r="BC271" i="1"/>
  <c r="BD271" i="1"/>
  <c r="BE271" i="1"/>
  <c r="BF271" i="1"/>
  <c r="BG271" i="1"/>
  <c r="BH271" i="1"/>
  <c r="BI271" i="1"/>
  <c r="BJ271" i="1"/>
  <c r="BK271" i="1"/>
  <c r="BL271" i="1"/>
  <c r="BM271" i="1"/>
  <c r="CY270" i="1"/>
  <c r="CX270" i="1"/>
  <c r="CW270" i="1"/>
  <c r="CV270" i="1"/>
  <c r="CU270" i="1"/>
  <c r="CT270" i="1"/>
  <c r="CS270" i="1"/>
  <c r="CR270" i="1"/>
  <c r="CQ270" i="1"/>
  <c r="CP270" i="1"/>
  <c r="CO270" i="1"/>
  <c r="CN270" i="1"/>
  <c r="CM270" i="1"/>
  <c r="CL270" i="1"/>
  <c r="CK270" i="1"/>
  <c r="CJ270" i="1"/>
  <c r="CI270" i="1"/>
  <c r="CH270" i="1"/>
  <c r="CG270" i="1"/>
  <c r="CF270" i="1"/>
  <c r="CE270" i="1"/>
  <c r="CD270" i="1"/>
  <c r="CC270" i="1"/>
  <c r="CB270" i="1"/>
  <c r="BX270" i="1"/>
  <c r="BW270" i="1"/>
  <c r="BV270" i="1"/>
  <c r="BU270" i="1"/>
  <c r="BT270" i="1"/>
  <c r="BS270" i="1"/>
  <c r="BR270" i="1"/>
  <c r="BQ270" i="1"/>
  <c r="BP270" i="1"/>
  <c r="BO270" i="1"/>
  <c r="BN270" i="1"/>
  <c r="BY270" i="1"/>
  <c r="AP270" i="1"/>
  <c r="AQ270" i="1"/>
  <c r="AR270" i="1"/>
  <c r="AS270" i="1"/>
  <c r="AT270" i="1"/>
  <c r="AU270" i="1"/>
  <c r="AV270" i="1"/>
  <c r="AW270" i="1"/>
  <c r="AX270" i="1"/>
  <c r="AY270" i="1"/>
  <c r="AZ270" i="1"/>
  <c r="BA270" i="1"/>
  <c r="BB270" i="1"/>
  <c r="BC270" i="1"/>
  <c r="BD270" i="1"/>
  <c r="BE270" i="1"/>
  <c r="BF270" i="1"/>
  <c r="BG270" i="1"/>
  <c r="BH270" i="1"/>
  <c r="BI270" i="1"/>
  <c r="BJ270" i="1"/>
  <c r="BK270" i="1"/>
  <c r="BL270" i="1"/>
  <c r="BM270" i="1"/>
  <c r="AM270" i="1"/>
  <c r="CY269" i="1"/>
  <c r="CX269" i="1"/>
  <c r="CW269" i="1"/>
  <c r="CV269" i="1"/>
  <c r="CU269" i="1"/>
  <c r="CT269" i="1"/>
  <c r="CS269" i="1"/>
  <c r="CR269" i="1"/>
  <c r="CQ269" i="1"/>
  <c r="CP269" i="1"/>
  <c r="CO269" i="1"/>
  <c r="CN269" i="1"/>
  <c r="CM269" i="1"/>
  <c r="CL269" i="1"/>
  <c r="CK269" i="1"/>
  <c r="CJ269" i="1"/>
  <c r="CI269" i="1"/>
  <c r="CH269" i="1"/>
  <c r="CG269" i="1"/>
  <c r="CF269" i="1"/>
  <c r="CE269" i="1"/>
  <c r="CD269" i="1"/>
  <c r="CC269" i="1"/>
  <c r="BX269" i="1"/>
  <c r="BW269" i="1"/>
  <c r="BV269" i="1"/>
  <c r="BU269" i="1"/>
  <c r="BT269" i="1"/>
  <c r="BS269" i="1"/>
  <c r="BR269" i="1"/>
  <c r="BQ269" i="1"/>
  <c r="BP269" i="1"/>
  <c r="BO269" i="1"/>
  <c r="BN269" i="1"/>
  <c r="BY269" i="1"/>
  <c r="BZ269" i="1"/>
  <c r="AP269" i="1"/>
  <c r="AQ269" i="1"/>
  <c r="AR269" i="1"/>
  <c r="AS269" i="1"/>
  <c r="AT269" i="1"/>
  <c r="AU269" i="1"/>
  <c r="AV269" i="1"/>
  <c r="AW269" i="1"/>
  <c r="AX269" i="1"/>
  <c r="AY269" i="1"/>
  <c r="AZ269" i="1"/>
  <c r="BA269" i="1"/>
  <c r="BB269" i="1"/>
  <c r="BC269" i="1"/>
  <c r="BD269" i="1"/>
  <c r="BE269" i="1"/>
  <c r="BF269" i="1"/>
  <c r="BG269" i="1"/>
  <c r="BH269" i="1"/>
  <c r="BI269" i="1"/>
  <c r="BJ269" i="1"/>
  <c r="BK269" i="1"/>
  <c r="BL269" i="1"/>
  <c r="BM269" i="1"/>
  <c r="CY268" i="1"/>
  <c r="CX268" i="1"/>
  <c r="CW268" i="1"/>
  <c r="CV268" i="1"/>
  <c r="CU268" i="1"/>
  <c r="CT268" i="1"/>
  <c r="CS268" i="1"/>
  <c r="CR268" i="1"/>
  <c r="CQ268" i="1"/>
  <c r="CP268" i="1"/>
  <c r="CO268" i="1"/>
  <c r="CN268" i="1"/>
  <c r="CM268" i="1"/>
  <c r="CL268" i="1"/>
  <c r="CK268" i="1"/>
  <c r="CJ268" i="1"/>
  <c r="CI268" i="1"/>
  <c r="CH268" i="1"/>
  <c r="CG268" i="1"/>
  <c r="CF268" i="1"/>
  <c r="CE268" i="1"/>
  <c r="CD268" i="1"/>
  <c r="CC268" i="1"/>
  <c r="CB268" i="1"/>
  <c r="BX268" i="1"/>
  <c r="BW268" i="1"/>
  <c r="BV268" i="1"/>
  <c r="BU268" i="1"/>
  <c r="BT268" i="1"/>
  <c r="BS268" i="1"/>
  <c r="BR268" i="1"/>
  <c r="BQ268" i="1"/>
  <c r="BP268" i="1"/>
  <c r="BO268" i="1"/>
  <c r="BN268" i="1"/>
  <c r="BM268" i="1"/>
  <c r="BL268" i="1"/>
  <c r="BK268" i="1"/>
  <c r="BJ268" i="1"/>
  <c r="BI268" i="1"/>
  <c r="BH268" i="1"/>
  <c r="BG268" i="1"/>
  <c r="BF268" i="1"/>
  <c r="BE268" i="1"/>
  <c r="BD268" i="1"/>
  <c r="BC268" i="1"/>
  <c r="BB268" i="1"/>
  <c r="BA268" i="1"/>
  <c r="AZ268" i="1"/>
  <c r="AY268" i="1"/>
  <c r="AX268" i="1"/>
  <c r="AW268" i="1"/>
  <c r="AV268" i="1"/>
  <c r="AU268" i="1"/>
  <c r="AT268" i="1"/>
  <c r="AS268" i="1"/>
  <c r="AR268" i="1"/>
  <c r="AQ268" i="1"/>
  <c r="AP268" i="1"/>
  <c r="AM268" i="1"/>
  <c r="CY267" i="1"/>
  <c r="CX267" i="1"/>
  <c r="CW267" i="1"/>
  <c r="CV267" i="1"/>
  <c r="CU267" i="1"/>
  <c r="CT267" i="1"/>
  <c r="CS267" i="1"/>
  <c r="CR267" i="1"/>
  <c r="CQ267" i="1"/>
  <c r="CP267" i="1"/>
  <c r="CO267" i="1"/>
  <c r="CN267" i="1"/>
  <c r="CM267" i="1"/>
  <c r="CL267" i="1"/>
  <c r="CK267" i="1"/>
  <c r="CJ267" i="1"/>
  <c r="CI267" i="1"/>
  <c r="CH267" i="1"/>
  <c r="CG267" i="1"/>
  <c r="CF267" i="1"/>
  <c r="CE267" i="1"/>
  <c r="CD267" i="1"/>
  <c r="CC267" i="1"/>
  <c r="BX267" i="1"/>
  <c r="BW267" i="1"/>
  <c r="BV267" i="1"/>
  <c r="BU267" i="1"/>
  <c r="BT267" i="1"/>
  <c r="BS267" i="1"/>
  <c r="BR267" i="1"/>
  <c r="BQ267" i="1"/>
  <c r="BP267" i="1"/>
  <c r="BO267" i="1"/>
  <c r="BN267" i="1"/>
  <c r="AP267" i="1"/>
  <c r="AQ267" i="1"/>
  <c r="AR267" i="1"/>
  <c r="AS267" i="1"/>
  <c r="AT267" i="1"/>
  <c r="AU267" i="1"/>
  <c r="AV267" i="1"/>
  <c r="AW267" i="1"/>
  <c r="AX267" i="1"/>
  <c r="AY267" i="1"/>
  <c r="AZ267" i="1"/>
  <c r="BA267" i="1"/>
  <c r="BB267" i="1"/>
  <c r="BC267" i="1"/>
  <c r="BD267" i="1"/>
  <c r="BE267" i="1"/>
  <c r="BF267" i="1"/>
  <c r="BG267" i="1"/>
  <c r="BH267" i="1"/>
  <c r="BI267" i="1"/>
  <c r="BJ267" i="1"/>
  <c r="BK267" i="1"/>
  <c r="BL267" i="1"/>
  <c r="BM267" i="1"/>
  <c r="AM267" i="1"/>
  <c r="CY266" i="1"/>
  <c r="CX266" i="1"/>
  <c r="CW266" i="1"/>
  <c r="CV266" i="1"/>
  <c r="CU266" i="1"/>
  <c r="CT266" i="1"/>
  <c r="CS266" i="1"/>
  <c r="CR266" i="1"/>
  <c r="CQ266" i="1"/>
  <c r="CP266" i="1"/>
  <c r="CO266" i="1"/>
  <c r="CN266" i="1"/>
  <c r="CM266" i="1"/>
  <c r="CL266" i="1"/>
  <c r="CK266" i="1"/>
  <c r="CJ266" i="1"/>
  <c r="CI266" i="1"/>
  <c r="CH266" i="1"/>
  <c r="CG266" i="1"/>
  <c r="CF266" i="1"/>
  <c r="CE266" i="1"/>
  <c r="CD266" i="1"/>
  <c r="CC266" i="1"/>
  <c r="CB266" i="1"/>
  <c r="BX266" i="1"/>
  <c r="BW266" i="1"/>
  <c r="BV266" i="1"/>
  <c r="BU266" i="1"/>
  <c r="BT266" i="1"/>
  <c r="BS266" i="1"/>
  <c r="BR266" i="1"/>
  <c r="BQ266" i="1"/>
  <c r="BN266" i="1"/>
  <c r="BO266" i="1"/>
  <c r="BP266" i="1"/>
  <c r="AP266" i="1"/>
  <c r="AQ266" i="1"/>
  <c r="AR266" i="1"/>
  <c r="AS266" i="1"/>
  <c r="AT266" i="1"/>
  <c r="AU266" i="1"/>
  <c r="AV266" i="1"/>
  <c r="AW266" i="1"/>
  <c r="AX266" i="1"/>
  <c r="AY266" i="1"/>
  <c r="AZ266" i="1"/>
  <c r="BA266" i="1"/>
  <c r="BB266" i="1"/>
  <c r="BC266" i="1"/>
  <c r="BD266" i="1"/>
  <c r="BE266" i="1"/>
  <c r="BF266" i="1"/>
  <c r="BG266" i="1"/>
  <c r="BH266" i="1"/>
  <c r="BI266" i="1"/>
  <c r="BJ266" i="1"/>
  <c r="BK266" i="1"/>
  <c r="BL266" i="1"/>
  <c r="BM266" i="1"/>
  <c r="AM266" i="1"/>
  <c r="CY265" i="1"/>
  <c r="CX265" i="1"/>
  <c r="CW265" i="1"/>
  <c r="CV265" i="1"/>
  <c r="CU265" i="1"/>
  <c r="CT265" i="1"/>
  <c r="CS265" i="1"/>
  <c r="CR265" i="1"/>
  <c r="CQ265" i="1"/>
  <c r="CP265" i="1"/>
  <c r="CO265" i="1"/>
  <c r="CN265" i="1"/>
  <c r="CM265" i="1"/>
  <c r="CL265" i="1"/>
  <c r="CK265" i="1"/>
  <c r="CJ265" i="1"/>
  <c r="CI265" i="1"/>
  <c r="CH265" i="1"/>
  <c r="CG265" i="1"/>
  <c r="CF265" i="1"/>
  <c r="CE265" i="1"/>
  <c r="CD265" i="1"/>
  <c r="CC265" i="1"/>
  <c r="BX265" i="1"/>
  <c r="BW265" i="1"/>
  <c r="BV265" i="1"/>
  <c r="BU265" i="1"/>
  <c r="BT265" i="1"/>
  <c r="BS265" i="1"/>
  <c r="BR265" i="1"/>
  <c r="BQ265" i="1"/>
  <c r="BP265" i="1"/>
  <c r="BO265" i="1"/>
  <c r="BN265" i="1"/>
  <c r="BM265" i="1"/>
  <c r="BL265" i="1"/>
  <c r="BK265" i="1"/>
  <c r="BJ265" i="1"/>
  <c r="BI265" i="1"/>
  <c r="BH265" i="1"/>
  <c r="BG265" i="1"/>
  <c r="BF265" i="1"/>
  <c r="BE265" i="1"/>
  <c r="BD265" i="1"/>
  <c r="BC265" i="1"/>
  <c r="BB265" i="1"/>
  <c r="BA265" i="1"/>
  <c r="AZ265" i="1"/>
  <c r="AY265" i="1"/>
  <c r="AX265" i="1"/>
  <c r="AW265" i="1"/>
  <c r="AV265" i="1"/>
  <c r="AU265" i="1"/>
  <c r="AT265" i="1"/>
  <c r="AS265" i="1"/>
  <c r="AR265" i="1"/>
  <c r="AQ265" i="1"/>
  <c r="AP265" i="1"/>
  <c r="AM265" i="1"/>
  <c r="CY264" i="1"/>
  <c r="CX264" i="1"/>
  <c r="CW264" i="1"/>
  <c r="CV264" i="1"/>
  <c r="CU264" i="1"/>
  <c r="CT264" i="1"/>
  <c r="CS264" i="1"/>
  <c r="CR264" i="1"/>
  <c r="CQ264" i="1"/>
  <c r="CP264" i="1"/>
  <c r="CO264" i="1"/>
  <c r="CN264" i="1"/>
  <c r="CM264" i="1"/>
  <c r="CL264" i="1"/>
  <c r="CK264" i="1"/>
  <c r="CJ264" i="1"/>
  <c r="CI264" i="1"/>
  <c r="CH264" i="1"/>
  <c r="CG264" i="1"/>
  <c r="CF264" i="1"/>
  <c r="CC264" i="1"/>
  <c r="CD264" i="1"/>
  <c r="CE264" i="1"/>
  <c r="CB264" i="1"/>
  <c r="BX264" i="1"/>
  <c r="BW264" i="1"/>
  <c r="BV264" i="1"/>
  <c r="BU264" i="1"/>
  <c r="BT264" i="1"/>
  <c r="BS264" i="1"/>
  <c r="BR264" i="1"/>
  <c r="BQ264" i="1"/>
  <c r="BP264" i="1"/>
  <c r="BN264" i="1"/>
  <c r="BO264" i="1"/>
  <c r="BY264" i="1"/>
  <c r="BZ264" i="1"/>
  <c r="AP264" i="1"/>
  <c r="AQ264" i="1"/>
  <c r="AR264" i="1"/>
  <c r="AS264" i="1"/>
  <c r="AT264" i="1"/>
  <c r="AU264" i="1"/>
  <c r="AV264" i="1"/>
  <c r="AW264" i="1"/>
  <c r="AX264" i="1"/>
  <c r="AY264" i="1"/>
  <c r="AZ264" i="1"/>
  <c r="BA264" i="1"/>
  <c r="BB264" i="1"/>
  <c r="BC264" i="1"/>
  <c r="BD264" i="1"/>
  <c r="BE264" i="1"/>
  <c r="BF264" i="1"/>
  <c r="BG264" i="1"/>
  <c r="BH264" i="1"/>
  <c r="BI264" i="1"/>
  <c r="BJ264" i="1"/>
  <c r="BK264" i="1"/>
  <c r="BL264" i="1"/>
  <c r="BM264" i="1"/>
  <c r="CA264" i="1"/>
  <c r="AM264" i="1"/>
  <c r="CY263" i="1"/>
  <c r="CX263" i="1"/>
  <c r="CW263" i="1"/>
  <c r="CV263" i="1"/>
  <c r="CU263" i="1"/>
  <c r="CT263" i="1"/>
  <c r="CS263" i="1"/>
  <c r="CR263" i="1"/>
  <c r="CQ263" i="1"/>
  <c r="CP263" i="1"/>
  <c r="CO263" i="1"/>
  <c r="CN263" i="1"/>
  <c r="CM263" i="1"/>
  <c r="CL263" i="1"/>
  <c r="CK263" i="1"/>
  <c r="CJ263" i="1"/>
  <c r="CI263" i="1"/>
  <c r="CH263" i="1"/>
  <c r="CG263" i="1"/>
  <c r="CF263" i="1"/>
  <c r="CE263" i="1"/>
  <c r="CD263" i="1"/>
  <c r="CC263" i="1"/>
  <c r="BX263" i="1"/>
  <c r="BW263" i="1"/>
  <c r="BV263" i="1"/>
  <c r="BU263" i="1"/>
  <c r="BT263" i="1"/>
  <c r="BS263" i="1"/>
  <c r="BR263" i="1"/>
  <c r="BQ263" i="1"/>
  <c r="BP263" i="1"/>
  <c r="BO263" i="1"/>
  <c r="BN263" i="1"/>
  <c r="AP263" i="1"/>
  <c r="AQ263" i="1"/>
  <c r="AR263" i="1"/>
  <c r="AS263" i="1"/>
  <c r="AT263" i="1"/>
  <c r="AU263" i="1"/>
  <c r="AV263" i="1"/>
  <c r="AW263" i="1"/>
  <c r="AX263" i="1"/>
  <c r="AY263" i="1"/>
  <c r="AZ263" i="1"/>
  <c r="BA263" i="1"/>
  <c r="BB263" i="1"/>
  <c r="BC263" i="1"/>
  <c r="BD263" i="1"/>
  <c r="BE263" i="1"/>
  <c r="BF263" i="1"/>
  <c r="BG263" i="1"/>
  <c r="BH263" i="1"/>
  <c r="BI263" i="1"/>
  <c r="BJ263" i="1"/>
  <c r="BK263" i="1"/>
  <c r="BL263" i="1"/>
  <c r="BM263" i="1"/>
  <c r="CY262" i="1"/>
  <c r="CX262" i="1"/>
  <c r="CW262" i="1"/>
  <c r="CV262" i="1"/>
  <c r="CU262" i="1"/>
  <c r="CT262" i="1"/>
  <c r="CS262" i="1"/>
  <c r="CR262" i="1"/>
  <c r="CQ262" i="1"/>
  <c r="CP262" i="1"/>
  <c r="CO262" i="1"/>
  <c r="CN262" i="1"/>
  <c r="CM262" i="1"/>
  <c r="CL262" i="1"/>
  <c r="CK262" i="1"/>
  <c r="CJ262" i="1"/>
  <c r="CI262" i="1"/>
  <c r="CH262" i="1"/>
  <c r="CG262" i="1"/>
  <c r="CF262" i="1"/>
  <c r="CE262" i="1"/>
  <c r="CD262" i="1"/>
  <c r="CC262" i="1"/>
  <c r="BX262" i="1"/>
  <c r="BW262" i="1"/>
  <c r="BV262" i="1"/>
  <c r="BU262" i="1"/>
  <c r="BT262" i="1"/>
  <c r="BS262" i="1"/>
  <c r="BR262" i="1"/>
  <c r="BQ262" i="1"/>
  <c r="BP262" i="1"/>
  <c r="BN262" i="1"/>
  <c r="BO262" i="1"/>
  <c r="AP262" i="1"/>
  <c r="AQ262" i="1"/>
  <c r="AR262" i="1"/>
  <c r="AS262" i="1"/>
  <c r="AT262" i="1"/>
  <c r="AU262" i="1"/>
  <c r="AV262" i="1"/>
  <c r="AW262" i="1"/>
  <c r="AX262" i="1"/>
  <c r="AY262" i="1"/>
  <c r="AZ262" i="1"/>
  <c r="BA262" i="1"/>
  <c r="BB262" i="1"/>
  <c r="BC262" i="1"/>
  <c r="BD262" i="1"/>
  <c r="BE262" i="1"/>
  <c r="BF262" i="1"/>
  <c r="BG262" i="1"/>
  <c r="BH262" i="1"/>
  <c r="BI262" i="1"/>
  <c r="BJ262" i="1"/>
  <c r="BK262" i="1"/>
  <c r="BL262" i="1"/>
  <c r="BM262" i="1"/>
  <c r="CY261" i="1"/>
  <c r="CX261" i="1"/>
  <c r="CW261" i="1"/>
  <c r="CV261" i="1"/>
  <c r="CU261" i="1"/>
  <c r="CT261" i="1"/>
  <c r="CS261" i="1"/>
  <c r="CR261" i="1"/>
  <c r="CQ261" i="1"/>
  <c r="CP261" i="1"/>
  <c r="CO261" i="1"/>
  <c r="CN261" i="1"/>
  <c r="CM261" i="1"/>
  <c r="CL261" i="1"/>
  <c r="CK261" i="1"/>
  <c r="CJ261" i="1"/>
  <c r="CI261" i="1"/>
  <c r="CH261" i="1"/>
  <c r="CG261" i="1"/>
  <c r="CF261" i="1"/>
  <c r="CC261" i="1"/>
  <c r="CD261" i="1"/>
  <c r="CE261" i="1"/>
  <c r="CB261" i="1"/>
  <c r="BX261" i="1"/>
  <c r="BW261" i="1"/>
  <c r="BV261" i="1"/>
  <c r="BU261" i="1"/>
  <c r="BT261" i="1"/>
  <c r="BS261" i="1"/>
  <c r="BR261" i="1"/>
  <c r="BQ261" i="1"/>
  <c r="BN261" i="1"/>
  <c r="BO261" i="1"/>
  <c r="BP261" i="1"/>
  <c r="BY261" i="1"/>
  <c r="BZ261" i="1"/>
  <c r="AP261" i="1"/>
  <c r="AQ261" i="1"/>
  <c r="AR261" i="1"/>
  <c r="AS261" i="1"/>
  <c r="AT261" i="1"/>
  <c r="AU261" i="1"/>
  <c r="AV261" i="1"/>
  <c r="AW261" i="1"/>
  <c r="AX261" i="1"/>
  <c r="AY261" i="1"/>
  <c r="AZ261" i="1"/>
  <c r="BA261" i="1"/>
  <c r="BB261" i="1"/>
  <c r="BC261" i="1"/>
  <c r="BD261" i="1"/>
  <c r="BE261" i="1"/>
  <c r="BF261" i="1"/>
  <c r="BG261" i="1"/>
  <c r="BH261" i="1"/>
  <c r="BI261" i="1"/>
  <c r="BJ261" i="1"/>
  <c r="BK261" i="1"/>
  <c r="BL261" i="1"/>
  <c r="BM261" i="1"/>
  <c r="CA261" i="1"/>
  <c r="AM261" i="1"/>
  <c r="CY260" i="1"/>
  <c r="CX260" i="1"/>
  <c r="CW260" i="1"/>
  <c r="CV260" i="1"/>
  <c r="CU260" i="1"/>
  <c r="CT260" i="1"/>
  <c r="CS260" i="1"/>
  <c r="CR260" i="1"/>
  <c r="CQ260" i="1"/>
  <c r="CP260" i="1"/>
  <c r="CO260" i="1"/>
  <c r="CN260" i="1"/>
  <c r="CM260" i="1"/>
  <c r="CL260" i="1"/>
  <c r="CK260" i="1"/>
  <c r="CJ260" i="1"/>
  <c r="CI260" i="1"/>
  <c r="CH260" i="1"/>
  <c r="CG260" i="1"/>
  <c r="CF260" i="1"/>
  <c r="CE260" i="1"/>
  <c r="CD260" i="1"/>
  <c r="CC260" i="1"/>
  <c r="CB260" i="1"/>
  <c r="BX260" i="1"/>
  <c r="BW260" i="1"/>
  <c r="BV260" i="1"/>
  <c r="BU260" i="1"/>
  <c r="BT260" i="1"/>
  <c r="BS260" i="1"/>
  <c r="BR260" i="1"/>
  <c r="BQ260" i="1"/>
  <c r="BN260" i="1"/>
  <c r="BO260" i="1"/>
  <c r="BP260" i="1"/>
  <c r="AP260" i="1"/>
  <c r="AQ260" i="1"/>
  <c r="AR260" i="1"/>
  <c r="AS260" i="1"/>
  <c r="AT260" i="1"/>
  <c r="AU260" i="1"/>
  <c r="AV260" i="1"/>
  <c r="AW260" i="1"/>
  <c r="AX260" i="1"/>
  <c r="AY260" i="1"/>
  <c r="AZ260" i="1"/>
  <c r="BA260" i="1"/>
  <c r="BB260" i="1"/>
  <c r="BC260" i="1"/>
  <c r="BD260" i="1"/>
  <c r="BE260" i="1"/>
  <c r="BF260" i="1"/>
  <c r="BG260" i="1"/>
  <c r="BH260" i="1"/>
  <c r="BI260" i="1"/>
  <c r="BJ260" i="1"/>
  <c r="BK260" i="1"/>
  <c r="BL260" i="1"/>
  <c r="BM260" i="1"/>
  <c r="CY259" i="1"/>
  <c r="CX259" i="1"/>
  <c r="CW259" i="1"/>
  <c r="CV259" i="1"/>
  <c r="CU259" i="1"/>
  <c r="CT259" i="1"/>
  <c r="CS259" i="1"/>
  <c r="CR259" i="1"/>
  <c r="CQ259" i="1"/>
  <c r="CP259" i="1"/>
  <c r="CO259" i="1"/>
  <c r="CN259" i="1"/>
  <c r="CM259" i="1"/>
  <c r="CL259" i="1"/>
  <c r="CK259" i="1"/>
  <c r="CJ259" i="1"/>
  <c r="CI259" i="1"/>
  <c r="CH259" i="1"/>
  <c r="CG259" i="1"/>
  <c r="CF259" i="1"/>
  <c r="CE259" i="1"/>
  <c r="CD259" i="1"/>
  <c r="CC259" i="1"/>
  <c r="BX259" i="1"/>
  <c r="BW259" i="1"/>
  <c r="BV259" i="1"/>
  <c r="BU259" i="1"/>
  <c r="BT259" i="1"/>
  <c r="BS259" i="1"/>
  <c r="BR259" i="1"/>
  <c r="BQ259" i="1"/>
  <c r="BP259" i="1"/>
  <c r="BO259" i="1"/>
  <c r="BN259" i="1"/>
  <c r="BM259" i="1"/>
  <c r="BL259" i="1"/>
  <c r="BK259" i="1"/>
  <c r="BJ259" i="1"/>
  <c r="BI259" i="1"/>
  <c r="BH259" i="1"/>
  <c r="BG259" i="1"/>
  <c r="BF259" i="1"/>
  <c r="BE259" i="1"/>
  <c r="BD259" i="1"/>
  <c r="BC259" i="1"/>
  <c r="BB259" i="1"/>
  <c r="BA259" i="1"/>
  <c r="AZ259" i="1"/>
  <c r="AY259" i="1"/>
  <c r="AX259" i="1"/>
  <c r="AW259" i="1"/>
  <c r="AV259" i="1"/>
  <c r="AU259" i="1"/>
  <c r="AT259" i="1"/>
  <c r="AS259" i="1"/>
  <c r="AR259" i="1"/>
  <c r="AQ259" i="1"/>
  <c r="AP259" i="1"/>
  <c r="AM259" i="1"/>
  <c r="CY258" i="1"/>
  <c r="CX258" i="1"/>
  <c r="CW258" i="1"/>
  <c r="CV258" i="1"/>
  <c r="CU258" i="1"/>
  <c r="CT258" i="1"/>
  <c r="CS258" i="1"/>
  <c r="CR258" i="1"/>
  <c r="CQ258" i="1"/>
  <c r="CP258" i="1"/>
  <c r="CO258" i="1"/>
  <c r="CN258" i="1"/>
  <c r="CM258" i="1"/>
  <c r="CL258" i="1"/>
  <c r="CK258" i="1"/>
  <c r="CJ258" i="1"/>
  <c r="CI258" i="1"/>
  <c r="CH258" i="1"/>
  <c r="CG258" i="1"/>
  <c r="CF258" i="1"/>
  <c r="CE258" i="1"/>
  <c r="CD258" i="1"/>
  <c r="CC258" i="1"/>
  <c r="BX258" i="1"/>
  <c r="BW258" i="1"/>
  <c r="BV258" i="1"/>
  <c r="BU258" i="1"/>
  <c r="BT258" i="1"/>
  <c r="BS258" i="1"/>
  <c r="BR258" i="1"/>
  <c r="BQ258" i="1"/>
  <c r="BP258" i="1"/>
  <c r="BO258" i="1"/>
  <c r="BN258" i="1"/>
  <c r="AP258" i="1"/>
  <c r="AQ258" i="1"/>
  <c r="AR258" i="1"/>
  <c r="AS258" i="1"/>
  <c r="AT258" i="1"/>
  <c r="AU258" i="1"/>
  <c r="AV258" i="1"/>
  <c r="AW258" i="1"/>
  <c r="AX258" i="1"/>
  <c r="AY258" i="1"/>
  <c r="AZ258" i="1"/>
  <c r="BA258" i="1"/>
  <c r="BB258" i="1"/>
  <c r="BC258" i="1"/>
  <c r="BD258" i="1"/>
  <c r="BE258" i="1"/>
  <c r="BF258" i="1"/>
  <c r="BG258" i="1"/>
  <c r="BH258" i="1"/>
  <c r="BI258" i="1"/>
  <c r="BJ258" i="1"/>
  <c r="BK258" i="1"/>
  <c r="BL258" i="1"/>
  <c r="BM258" i="1"/>
  <c r="CY257" i="1"/>
  <c r="CX257" i="1"/>
  <c r="CW257" i="1"/>
  <c r="CV257" i="1"/>
  <c r="CU257" i="1"/>
  <c r="CT257" i="1"/>
  <c r="CS257" i="1"/>
  <c r="CR257" i="1"/>
  <c r="CQ257" i="1"/>
  <c r="CP257" i="1"/>
  <c r="CO257" i="1"/>
  <c r="CN257" i="1"/>
  <c r="CM257" i="1"/>
  <c r="CL257" i="1"/>
  <c r="CK257" i="1"/>
  <c r="CJ257" i="1"/>
  <c r="CI257" i="1"/>
  <c r="CH257" i="1"/>
  <c r="CG257" i="1"/>
  <c r="CF257" i="1"/>
  <c r="CE257" i="1"/>
  <c r="CD257" i="1"/>
  <c r="CC257" i="1"/>
  <c r="BX257" i="1"/>
  <c r="BW257" i="1"/>
  <c r="BV257" i="1"/>
  <c r="BU257" i="1"/>
  <c r="BT257" i="1"/>
  <c r="BS257" i="1"/>
  <c r="BR257" i="1"/>
  <c r="BQ257" i="1"/>
  <c r="BP257" i="1"/>
  <c r="BO257" i="1"/>
  <c r="BN257" i="1"/>
  <c r="AP257" i="1"/>
  <c r="AQ257" i="1"/>
  <c r="AR257" i="1"/>
  <c r="AS257" i="1"/>
  <c r="AT257" i="1"/>
  <c r="AU257" i="1"/>
  <c r="AV257" i="1"/>
  <c r="AW257" i="1"/>
  <c r="AX257" i="1"/>
  <c r="AY257" i="1"/>
  <c r="AZ257" i="1"/>
  <c r="BA257" i="1"/>
  <c r="BB257" i="1"/>
  <c r="BC257" i="1"/>
  <c r="BD257" i="1"/>
  <c r="BE257" i="1"/>
  <c r="BF257" i="1"/>
  <c r="BG257" i="1"/>
  <c r="BH257" i="1"/>
  <c r="BI257" i="1"/>
  <c r="BJ257" i="1"/>
  <c r="BK257" i="1"/>
  <c r="BL257" i="1"/>
  <c r="BM257" i="1"/>
  <c r="CY256" i="1"/>
  <c r="CX256" i="1"/>
  <c r="CW256" i="1"/>
  <c r="CV256" i="1"/>
  <c r="CU256" i="1"/>
  <c r="CT256" i="1"/>
  <c r="CS256" i="1"/>
  <c r="CR256" i="1"/>
  <c r="CQ256" i="1"/>
  <c r="CP256" i="1"/>
  <c r="CO256" i="1"/>
  <c r="CN256" i="1"/>
  <c r="CM256" i="1"/>
  <c r="CL256" i="1"/>
  <c r="CK256" i="1"/>
  <c r="CJ256" i="1"/>
  <c r="CI256" i="1"/>
  <c r="CH256" i="1"/>
  <c r="CG256" i="1"/>
  <c r="CF256" i="1"/>
  <c r="CE256" i="1"/>
  <c r="CD256" i="1"/>
  <c r="CC256" i="1"/>
  <c r="BX256" i="1"/>
  <c r="BW256" i="1"/>
  <c r="BV256" i="1"/>
  <c r="BU256" i="1"/>
  <c r="BT256" i="1"/>
  <c r="BS256" i="1"/>
  <c r="BR256" i="1"/>
  <c r="BQ256" i="1"/>
  <c r="BP256" i="1"/>
  <c r="BO256" i="1"/>
  <c r="BN256" i="1"/>
  <c r="AP256" i="1"/>
  <c r="AQ256" i="1"/>
  <c r="AR256" i="1"/>
  <c r="AS256" i="1"/>
  <c r="AT256" i="1"/>
  <c r="AU256" i="1"/>
  <c r="AV256" i="1"/>
  <c r="AW256" i="1"/>
  <c r="AX256" i="1"/>
  <c r="AY256" i="1"/>
  <c r="AZ256" i="1"/>
  <c r="BA256" i="1"/>
  <c r="BB256" i="1"/>
  <c r="BC256" i="1"/>
  <c r="BD256" i="1"/>
  <c r="BE256" i="1"/>
  <c r="BF256" i="1"/>
  <c r="BG256" i="1"/>
  <c r="BH256" i="1"/>
  <c r="BI256" i="1"/>
  <c r="BJ256" i="1"/>
  <c r="BK256" i="1"/>
  <c r="BL256" i="1"/>
  <c r="BM256" i="1"/>
  <c r="CY255" i="1"/>
  <c r="CX255" i="1"/>
  <c r="CW255" i="1"/>
  <c r="CV255" i="1"/>
  <c r="CU255" i="1"/>
  <c r="CT255" i="1"/>
  <c r="CS255" i="1"/>
  <c r="CR255" i="1"/>
  <c r="CQ255" i="1"/>
  <c r="CP255" i="1"/>
  <c r="CO255" i="1"/>
  <c r="CN255" i="1"/>
  <c r="CM255" i="1"/>
  <c r="CL255" i="1"/>
  <c r="CK255" i="1"/>
  <c r="CJ255" i="1"/>
  <c r="CI255" i="1"/>
  <c r="CH255" i="1"/>
  <c r="CG255" i="1"/>
  <c r="CF255" i="1"/>
  <c r="CE255" i="1"/>
  <c r="CD255" i="1"/>
  <c r="CC255" i="1"/>
  <c r="CB255" i="1"/>
  <c r="BX255" i="1"/>
  <c r="BW255" i="1"/>
  <c r="BV255" i="1"/>
  <c r="BU255" i="1"/>
  <c r="BT255" i="1"/>
  <c r="BS255" i="1"/>
  <c r="BR255" i="1"/>
  <c r="BQ255" i="1"/>
  <c r="BN255" i="1"/>
  <c r="BO255" i="1"/>
  <c r="BP255" i="1"/>
  <c r="BY255" i="1"/>
  <c r="BZ255" i="1"/>
  <c r="AP255" i="1"/>
  <c r="AQ255" i="1"/>
  <c r="AR255" i="1"/>
  <c r="AS255" i="1"/>
  <c r="AT255" i="1"/>
  <c r="AU255" i="1"/>
  <c r="AV255" i="1"/>
  <c r="AW255" i="1"/>
  <c r="AX255" i="1"/>
  <c r="AY255" i="1"/>
  <c r="AZ255" i="1"/>
  <c r="BA255" i="1"/>
  <c r="BB255" i="1"/>
  <c r="BC255" i="1"/>
  <c r="BD255" i="1"/>
  <c r="BE255" i="1"/>
  <c r="BF255" i="1"/>
  <c r="BG255" i="1"/>
  <c r="BH255" i="1"/>
  <c r="BI255" i="1"/>
  <c r="BJ255" i="1"/>
  <c r="BK255" i="1"/>
  <c r="BL255" i="1"/>
  <c r="BM255" i="1"/>
  <c r="CA255" i="1"/>
  <c r="AM255" i="1"/>
  <c r="CY254" i="1"/>
  <c r="CX254" i="1"/>
  <c r="CW254" i="1"/>
  <c r="CV254" i="1"/>
  <c r="CU254" i="1"/>
  <c r="CT254" i="1"/>
  <c r="CS254" i="1"/>
  <c r="CR254" i="1"/>
  <c r="CQ254" i="1"/>
  <c r="CP254" i="1"/>
  <c r="CO254" i="1"/>
  <c r="CN254" i="1"/>
  <c r="CM254" i="1"/>
  <c r="CL254" i="1"/>
  <c r="CK254" i="1"/>
  <c r="CJ254" i="1"/>
  <c r="CI254" i="1"/>
  <c r="CH254" i="1"/>
  <c r="CG254" i="1"/>
  <c r="CF254" i="1"/>
  <c r="CE254" i="1"/>
  <c r="CD254" i="1"/>
  <c r="CC254" i="1"/>
  <c r="CB254" i="1"/>
  <c r="BX254" i="1"/>
  <c r="BW254" i="1"/>
  <c r="BV254" i="1"/>
  <c r="BU254" i="1"/>
  <c r="BT254" i="1"/>
  <c r="BS254" i="1"/>
  <c r="BR254" i="1"/>
  <c r="BQ254" i="1"/>
  <c r="BP254" i="1"/>
  <c r="BO254" i="1"/>
  <c r="BN254" i="1"/>
  <c r="BY254" i="1"/>
  <c r="BZ254" i="1"/>
  <c r="AP254" i="1"/>
  <c r="AQ254" i="1"/>
  <c r="AR254" i="1"/>
  <c r="AS254" i="1"/>
  <c r="AT254" i="1"/>
  <c r="AU254" i="1"/>
  <c r="AV254" i="1"/>
  <c r="AW254" i="1"/>
  <c r="AX254" i="1"/>
  <c r="AY254" i="1"/>
  <c r="AZ254" i="1"/>
  <c r="BA254" i="1"/>
  <c r="BB254" i="1"/>
  <c r="BC254" i="1"/>
  <c r="BD254" i="1"/>
  <c r="BE254" i="1"/>
  <c r="BF254" i="1"/>
  <c r="BG254" i="1"/>
  <c r="BH254" i="1"/>
  <c r="BI254" i="1"/>
  <c r="BJ254" i="1"/>
  <c r="BK254" i="1"/>
  <c r="BL254" i="1"/>
  <c r="BM254" i="1"/>
  <c r="CA254" i="1"/>
  <c r="AM254" i="1"/>
  <c r="CY253" i="1"/>
  <c r="CX253" i="1"/>
  <c r="CW253" i="1"/>
  <c r="CV253" i="1"/>
  <c r="CU253" i="1"/>
  <c r="CT253" i="1"/>
  <c r="CS253" i="1"/>
  <c r="CR253" i="1"/>
  <c r="CQ253" i="1"/>
  <c r="CP253" i="1"/>
  <c r="CO253" i="1"/>
  <c r="CN253" i="1"/>
  <c r="CM253" i="1"/>
  <c r="CL253" i="1"/>
  <c r="CK253" i="1"/>
  <c r="CJ253" i="1"/>
  <c r="CI253" i="1"/>
  <c r="CH253" i="1"/>
  <c r="CG253" i="1"/>
  <c r="CF253" i="1"/>
  <c r="CE253" i="1"/>
  <c r="CD253" i="1"/>
  <c r="CC253" i="1"/>
  <c r="CB253" i="1"/>
  <c r="BX253" i="1"/>
  <c r="BW253" i="1"/>
  <c r="BV253" i="1"/>
  <c r="BU253" i="1"/>
  <c r="BT253" i="1"/>
  <c r="BS253" i="1"/>
  <c r="BR253" i="1"/>
  <c r="BQ253" i="1"/>
  <c r="BN253" i="1"/>
  <c r="BO253" i="1"/>
  <c r="BP253" i="1"/>
  <c r="BY253" i="1"/>
  <c r="BZ253" i="1"/>
  <c r="AP253" i="1"/>
  <c r="AQ253" i="1"/>
  <c r="AR253" i="1"/>
  <c r="AS253" i="1"/>
  <c r="AT253" i="1"/>
  <c r="AU253" i="1"/>
  <c r="AV253" i="1"/>
  <c r="AW253" i="1"/>
  <c r="AX253" i="1"/>
  <c r="AY253" i="1"/>
  <c r="AZ253" i="1"/>
  <c r="BA253" i="1"/>
  <c r="BB253" i="1"/>
  <c r="BC253" i="1"/>
  <c r="BD253" i="1"/>
  <c r="BE253" i="1"/>
  <c r="BF253" i="1"/>
  <c r="BG253" i="1"/>
  <c r="BH253" i="1"/>
  <c r="BI253" i="1"/>
  <c r="BJ253" i="1"/>
  <c r="BK253" i="1"/>
  <c r="BL253" i="1"/>
  <c r="BM253" i="1"/>
  <c r="CA253" i="1"/>
  <c r="CY252" i="1"/>
  <c r="CX252" i="1"/>
  <c r="CW252" i="1"/>
  <c r="CV252" i="1"/>
  <c r="CU252" i="1"/>
  <c r="CT252" i="1"/>
  <c r="CS252" i="1"/>
  <c r="CR252" i="1"/>
  <c r="CQ252" i="1"/>
  <c r="CP252" i="1"/>
  <c r="CO252" i="1"/>
  <c r="CN252" i="1"/>
  <c r="CM252" i="1"/>
  <c r="CL252" i="1"/>
  <c r="CK252" i="1"/>
  <c r="CJ252" i="1"/>
  <c r="CI252" i="1"/>
  <c r="CH252" i="1"/>
  <c r="CG252" i="1"/>
  <c r="CF252" i="1"/>
  <c r="CE252" i="1"/>
  <c r="CD252" i="1"/>
  <c r="CC252" i="1"/>
  <c r="CB252" i="1"/>
  <c r="BX252" i="1"/>
  <c r="BW252" i="1"/>
  <c r="BV252" i="1"/>
  <c r="BU252" i="1"/>
  <c r="BT252" i="1"/>
  <c r="BS252" i="1"/>
  <c r="BR252" i="1"/>
  <c r="BQ252" i="1"/>
  <c r="BP252" i="1"/>
  <c r="BO252" i="1"/>
  <c r="BN252" i="1"/>
  <c r="BY252" i="1"/>
  <c r="BZ252" i="1"/>
  <c r="AP252" i="1"/>
  <c r="AQ252" i="1"/>
  <c r="AR252" i="1"/>
  <c r="AS252" i="1"/>
  <c r="AT252" i="1"/>
  <c r="AU252" i="1"/>
  <c r="AV252" i="1"/>
  <c r="AW252" i="1"/>
  <c r="AX252" i="1"/>
  <c r="AY252" i="1"/>
  <c r="AZ252" i="1"/>
  <c r="BA252" i="1"/>
  <c r="BB252" i="1"/>
  <c r="BC252" i="1"/>
  <c r="BD252" i="1"/>
  <c r="BE252" i="1"/>
  <c r="BF252" i="1"/>
  <c r="BG252" i="1"/>
  <c r="BH252" i="1"/>
  <c r="BI252" i="1"/>
  <c r="BJ252" i="1"/>
  <c r="BK252" i="1"/>
  <c r="BL252" i="1"/>
  <c r="BM252" i="1"/>
  <c r="CA252" i="1"/>
  <c r="AM252" i="1"/>
  <c r="CY251" i="1"/>
  <c r="CX251" i="1"/>
  <c r="CW251" i="1"/>
  <c r="CV251" i="1"/>
  <c r="CU251" i="1"/>
  <c r="CT251" i="1"/>
  <c r="CS251" i="1"/>
  <c r="CR251" i="1"/>
  <c r="CQ251" i="1"/>
  <c r="CP251" i="1"/>
  <c r="CO251" i="1"/>
  <c r="CN251" i="1"/>
  <c r="CM251" i="1"/>
  <c r="CL251" i="1"/>
  <c r="CK251" i="1"/>
  <c r="CJ251" i="1"/>
  <c r="CI251" i="1"/>
  <c r="CH251" i="1"/>
  <c r="CG251" i="1"/>
  <c r="CF251" i="1"/>
  <c r="CE251" i="1"/>
  <c r="CD251" i="1"/>
  <c r="CC251" i="1"/>
  <c r="CB251" i="1"/>
  <c r="BX251" i="1"/>
  <c r="BW251" i="1"/>
  <c r="BV251" i="1"/>
  <c r="BU251" i="1"/>
  <c r="BT251" i="1"/>
  <c r="BS251" i="1"/>
  <c r="BR251" i="1"/>
  <c r="BQ251" i="1"/>
  <c r="BP251" i="1"/>
  <c r="BO251" i="1"/>
  <c r="BN251" i="1"/>
  <c r="BY251" i="1"/>
  <c r="BZ251" i="1"/>
  <c r="AP251" i="1"/>
  <c r="AQ251" i="1"/>
  <c r="AR251" i="1"/>
  <c r="AS251" i="1"/>
  <c r="AT251" i="1"/>
  <c r="AU251" i="1"/>
  <c r="AV251" i="1"/>
  <c r="AW251" i="1"/>
  <c r="AX251" i="1"/>
  <c r="AY251" i="1"/>
  <c r="AZ251" i="1"/>
  <c r="BA251" i="1"/>
  <c r="BB251" i="1"/>
  <c r="BC251" i="1"/>
  <c r="BD251" i="1"/>
  <c r="BE251" i="1"/>
  <c r="BF251" i="1"/>
  <c r="BG251" i="1"/>
  <c r="BH251" i="1"/>
  <c r="BI251" i="1"/>
  <c r="BJ251" i="1"/>
  <c r="BK251" i="1"/>
  <c r="BL251" i="1"/>
  <c r="BM251" i="1"/>
  <c r="CA251" i="1"/>
  <c r="AM251" i="1"/>
  <c r="CY250" i="1"/>
  <c r="CX250" i="1"/>
  <c r="CW250" i="1"/>
  <c r="CV250" i="1"/>
  <c r="CU250" i="1"/>
  <c r="CT250" i="1"/>
  <c r="CS250" i="1"/>
  <c r="CR250" i="1"/>
  <c r="CQ250" i="1"/>
  <c r="CP250" i="1"/>
  <c r="CO250" i="1"/>
  <c r="CN250" i="1"/>
  <c r="CM250" i="1"/>
  <c r="CL250" i="1"/>
  <c r="CK250" i="1"/>
  <c r="CJ250" i="1"/>
  <c r="CI250" i="1"/>
  <c r="CH250" i="1"/>
  <c r="CG250" i="1"/>
  <c r="CF250" i="1"/>
  <c r="CE250" i="1"/>
  <c r="CC250" i="1"/>
  <c r="CD250" i="1"/>
  <c r="CB250" i="1"/>
  <c r="BX250" i="1"/>
  <c r="BW250" i="1"/>
  <c r="BV250" i="1"/>
  <c r="BU250" i="1"/>
  <c r="BT250" i="1"/>
  <c r="BS250" i="1"/>
  <c r="BR250" i="1"/>
  <c r="BQ250" i="1"/>
  <c r="BP250" i="1"/>
  <c r="BO250" i="1"/>
  <c r="BN250" i="1"/>
  <c r="AP250" i="1"/>
  <c r="AQ250" i="1"/>
  <c r="AR250" i="1"/>
  <c r="AS250" i="1"/>
  <c r="AT250" i="1"/>
  <c r="AU250" i="1"/>
  <c r="AV250" i="1"/>
  <c r="AW250" i="1"/>
  <c r="AX250" i="1"/>
  <c r="AY250" i="1"/>
  <c r="AZ250" i="1"/>
  <c r="BA250" i="1"/>
  <c r="BB250" i="1"/>
  <c r="BC250" i="1"/>
  <c r="BD250" i="1"/>
  <c r="BE250" i="1"/>
  <c r="BF250" i="1"/>
  <c r="BG250" i="1"/>
  <c r="BH250" i="1"/>
  <c r="BI250" i="1"/>
  <c r="BJ250" i="1"/>
  <c r="BK250" i="1"/>
  <c r="BL250" i="1"/>
  <c r="BM250" i="1"/>
  <c r="CY249" i="1"/>
  <c r="CX249" i="1"/>
  <c r="CW249" i="1"/>
  <c r="CV249" i="1"/>
  <c r="CU249" i="1"/>
  <c r="CT249" i="1"/>
  <c r="CS249" i="1"/>
  <c r="CR249" i="1"/>
  <c r="CQ249" i="1"/>
  <c r="CP249" i="1"/>
  <c r="CO249" i="1"/>
  <c r="CN249" i="1"/>
  <c r="CM249" i="1"/>
  <c r="CL249" i="1"/>
  <c r="CK249" i="1"/>
  <c r="CJ249" i="1"/>
  <c r="CI249" i="1"/>
  <c r="CH249" i="1"/>
  <c r="CG249" i="1"/>
  <c r="CF249" i="1"/>
  <c r="CE249" i="1"/>
  <c r="CD249" i="1"/>
  <c r="CC249" i="1"/>
  <c r="CB249" i="1"/>
  <c r="BX249" i="1"/>
  <c r="BW249" i="1"/>
  <c r="BV249" i="1"/>
  <c r="BU249" i="1"/>
  <c r="BT249" i="1"/>
  <c r="BS249" i="1"/>
  <c r="BR249" i="1"/>
  <c r="BQ249" i="1"/>
  <c r="BP249" i="1"/>
  <c r="BO249" i="1"/>
  <c r="BN249" i="1"/>
  <c r="BY249" i="1"/>
  <c r="BZ249" i="1"/>
  <c r="AP249" i="1"/>
  <c r="AQ249" i="1"/>
  <c r="AR249" i="1"/>
  <c r="AS249" i="1"/>
  <c r="AT249" i="1"/>
  <c r="AU249" i="1"/>
  <c r="AV249" i="1"/>
  <c r="AW249" i="1"/>
  <c r="AX249" i="1"/>
  <c r="AY249" i="1"/>
  <c r="AZ249" i="1"/>
  <c r="BA249" i="1"/>
  <c r="BB249" i="1"/>
  <c r="BC249" i="1"/>
  <c r="BD249" i="1"/>
  <c r="BE249" i="1"/>
  <c r="BF249" i="1"/>
  <c r="BG249" i="1"/>
  <c r="BH249" i="1"/>
  <c r="BI249" i="1"/>
  <c r="BJ249" i="1"/>
  <c r="BK249" i="1"/>
  <c r="BL249" i="1"/>
  <c r="BM249" i="1"/>
  <c r="CA249" i="1"/>
  <c r="AM249" i="1"/>
  <c r="CY248" i="1"/>
  <c r="CX248" i="1"/>
  <c r="CW248" i="1"/>
  <c r="CV248" i="1"/>
  <c r="CU248" i="1"/>
  <c r="CT248" i="1"/>
  <c r="CS248" i="1"/>
  <c r="CR248" i="1"/>
  <c r="CQ248" i="1"/>
  <c r="CP248" i="1"/>
  <c r="CO248" i="1"/>
  <c r="CN248" i="1"/>
  <c r="CM248" i="1"/>
  <c r="CL248" i="1"/>
  <c r="CK248" i="1"/>
  <c r="CJ248" i="1"/>
  <c r="CI248" i="1"/>
  <c r="CH248" i="1"/>
  <c r="CG248" i="1"/>
  <c r="CF248" i="1"/>
  <c r="CE248" i="1"/>
  <c r="CD248" i="1"/>
  <c r="CC248" i="1"/>
  <c r="BX248" i="1"/>
  <c r="BW248" i="1"/>
  <c r="BV248" i="1"/>
  <c r="BU248" i="1"/>
  <c r="BT248" i="1"/>
  <c r="BS248" i="1"/>
  <c r="BR248" i="1"/>
  <c r="BQ248" i="1"/>
  <c r="BP248" i="1"/>
  <c r="BO248" i="1"/>
  <c r="BN248" i="1"/>
  <c r="BY248" i="1"/>
  <c r="BZ248" i="1"/>
  <c r="AP248" i="1"/>
  <c r="AQ248" i="1"/>
  <c r="AR248" i="1"/>
  <c r="AS248" i="1"/>
  <c r="AT248" i="1"/>
  <c r="AU248" i="1"/>
  <c r="AV248" i="1"/>
  <c r="AW248" i="1"/>
  <c r="AX248" i="1"/>
  <c r="AY248" i="1"/>
  <c r="AZ248" i="1"/>
  <c r="BA248" i="1"/>
  <c r="BB248" i="1"/>
  <c r="BC248" i="1"/>
  <c r="BD248" i="1"/>
  <c r="BE248" i="1"/>
  <c r="BF248" i="1"/>
  <c r="BG248" i="1"/>
  <c r="BH248" i="1"/>
  <c r="BI248" i="1"/>
  <c r="BJ248" i="1"/>
  <c r="BK248" i="1"/>
  <c r="BL248" i="1"/>
  <c r="BM248" i="1"/>
  <c r="CA248" i="1"/>
  <c r="CY247" i="1"/>
  <c r="CX247" i="1"/>
  <c r="CW247" i="1"/>
  <c r="CV247" i="1"/>
  <c r="CU247" i="1"/>
  <c r="CT247" i="1"/>
  <c r="CS247" i="1"/>
  <c r="CR247" i="1"/>
  <c r="CQ247" i="1"/>
  <c r="CP247" i="1"/>
  <c r="CO247" i="1"/>
  <c r="CN247" i="1"/>
  <c r="CM247" i="1"/>
  <c r="CL247" i="1"/>
  <c r="CK247" i="1"/>
  <c r="CJ247" i="1"/>
  <c r="CI247" i="1"/>
  <c r="CH247" i="1"/>
  <c r="CG247" i="1"/>
  <c r="CF247" i="1"/>
  <c r="CC247" i="1"/>
  <c r="CD247" i="1"/>
  <c r="CE247" i="1"/>
  <c r="CB247" i="1"/>
  <c r="BN247" i="1"/>
  <c r="BO247" i="1"/>
  <c r="BP247" i="1"/>
  <c r="BQ247" i="1"/>
  <c r="BR247" i="1"/>
  <c r="BS247" i="1"/>
  <c r="BT247" i="1"/>
  <c r="BU247" i="1"/>
  <c r="BV247" i="1"/>
  <c r="BW247" i="1"/>
  <c r="BX247" i="1"/>
  <c r="BY247" i="1"/>
  <c r="BZ247" i="1"/>
  <c r="AP247" i="1"/>
  <c r="AQ247" i="1"/>
  <c r="AR247" i="1"/>
  <c r="AS247" i="1"/>
  <c r="AT247" i="1"/>
  <c r="AU247" i="1"/>
  <c r="AV247" i="1"/>
  <c r="AW247" i="1"/>
  <c r="AX247" i="1"/>
  <c r="AY247" i="1"/>
  <c r="AZ247" i="1"/>
  <c r="BA247" i="1"/>
  <c r="BB247" i="1"/>
  <c r="BC247" i="1"/>
  <c r="BD247" i="1"/>
  <c r="BE247" i="1"/>
  <c r="BF247" i="1"/>
  <c r="BG247" i="1"/>
  <c r="BH247" i="1"/>
  <c r="BI247" i="1"/>
  <c r="BJ247" i="1"/>
  <c r="BK247" i="1"/>
  <c r="BL247" i="1"/>
  <c r="BM247" i="1"/>
  <c r="CA247" i="1"/>
  <c r="AM247" i="1"/>
  <c r="CY246" i="1"/>
  <c r="CX246" i="1"/>
  <c r="CW246" i="1"/>
  <c r="CV246" i="1"/>
  <c r="CU246" i="1"/>
  <c r="CT246" i="1"/>
  <c r="CS246" i="1"/>
  <c r="CR246" i="1"/>
  <c r="CQ246" i="1"/>
  <c r="CP246" i="1"/>
  <c r="CO246" i="1"/>
  <c r="CN246" i="1"/>
  <c r="CM246" i="1"/>
  <c r="CL246" i="1"/>
  <c r="CK246" i="1"/>
  <c r="CJ246" i="1"/>
  <c r="CI246" i="1"/>
  <c r="CH246" i="1"/>
  <c r="CG246" i="1"/>
  <c r="CF246" i="1"/>
  <c r="CE246" i="1"/>
  <c r="CD246" i="1"/>
  <c r="CC246" i="1"/>
  <c r="BX246" i="1"/>
  <c r="BW246" i="1"/>
  <c r="BV246" i="1"/>
  <c r="BU246" i="1"/>
  <c r="BT246" i="1"/>
  <c r="BS246" i="1"/>
  <c r="BR246" i="1"/>
  <c r="BQ246" i="1"/>
  <c r="BP246" i="1"/>
  <c r="BN246" i="1"/>
  <c r="BO246" i="1"/>
  <c r="BY246" i="1"/>
  <c r="BZ246" i="1"/>
  <c r="AP246" i="1"/>
  <c r="AQ246" i="1"/>
  <c r="AR246" i="1"/>
  <c r="AS246" i="1"/>
  <c r="AT246" i="1"/>
  <c r="AU246" i="1"/>
  <c r="AV246" i="1"/>
  <c r="AW246" i="1"/>
  <c r="AX246" i="1"/>
  <c r="AY246" i="1"/>
  <c r="AZ246" i="1"/>
  <c r="BA246" i="1"/>
  <c r="BB246" i="1"/>
  <c r="BC246" i="1"/>
  <c r="BD246" i="1"/>
  <c r="BE246" i="1"/>
  <c r="BF246" i="1"/>
  <c r="BG246" i="1"/>
  <c r="BH246" i="1"/>
  <c r="BI246" i="1"/>
  <c r="BJ246" i="1"/>
  <c r="BK246" i="1"/>
  <c r="BL246" i="1"/>
  <c r="BM246" i="1"/>
  <c r="CA246" i="1"/>
  <c r="AM246" i="1"/>
  <c r="CY245" i="1"/>
  <c r="CX245" i="1"/>
  <c r="CW245" i="1"/>
  <c r="CV245" i="1"/>
  <c r="CU245" i="1"/>
  <c r="CT245" i="1"/>
  <c r="CS245" i="1"/>
  <c r="CR245" i="1"/>
  <c r="CQ245" i="1"/>
  <c r="CP245" i="1"/>
  <c r="CO245" i="1"/>
  <c r="CN245" i="1"/>
  <c r="CM245" i="1"/>
  <c r="CL245" i="1"/>
  <c r="CK245" i="1"/>
  <c r="CJ245" i="1"/>
  <c r="CI245" i="1"/>
  <c r="CH245" i="1"/>
  <c r="CG245" i="1"/>
  <c r="CF245" i="1"/>
  <c r="CE245" i="1"/>
  <c r="CC245" i="1"/>
  <c r="CD245" i="1"/>
  <c r="CB245" i="1"/>
  <c r="BX245" i="1"/>
  <c r="BW245" i="1"/>
  <c r="BV245" i="1"/>
  <c r="BU245" i="1"/>
  <c r="BT245" i="1"/>
  <c r="BS245" i="1"/>
  <c r="BR245" i="1"/>
  <c r="BQ245" i="1"/>
  <c r="BP245" i="1"/>
  <c r="BO245" i="1"/>
  <c r="BN245" i="1"/>
  <c r="AP245" i="1"/>
  <c r="AQ245" i="1"/>
  <c r="AR245" i="1"/>
  <c r="AS245" i="1"/>
  <c r="AT245" i="1"/>
  <c r="AU245" i="1"/>
  <c r="AV245" i="1"/>
  <c r="AW245" i="1"/>
  <c r="AX245" i="1"/>
  <c r="AY245" i="1"/>
  <c r="AZ245" i="1"/>
  <c r="BA245" i="1"/>
  <c r="BB245" i="1"/>
  <c r="BC245" i="1"/>
  <c r="BD245" i="1"/>
  <c r="BE245" i="1"/>
  <c r="BF245" i="1"/>
  <c r="BG245" i="1"/>
  <c r="BH245" i="1"/>
  <c r="BI245" i="1"/>
  <c r="BJ245" i="1"/>
  <c r="BK245" i="1"/>
  <c r="BL245" i="1"/>
  <c r="BM245" i="1"/>
  <c r="AM245" i="1"/>
  <c r="CY244" i="1"/>
  <c r="CX244" i="1"/>
  <c r="CW244" i="1"/>
  <c r="CV244" i="1"/>
  <c r="CU244" i="1"/>
  <c r="CT244" i="1"/>
  <c r="CS244" i="1"/>
  <c r="CR244" i="1"/>
  <c r="CQ244" i="1"/>
  <c r="CP244" i="1"/>
  <c r="CO244" i="1"/>
  <c r="CN244" i="1"/>
  <c r="CM244" i="1"/>
  <c r="CL244" i="1"/>
  <c r="CK244" i="1"/>
  <c r="CJ244" i="1"/>
  <c r="CI244" i="1"/>
  <c r="CH244" i="1"/>
  <c r="CG244" i="1"/>
  <c r="CF244" i="1"/>
  <c r="CE244" i="1"/>
  <c r="CD244" i="1"/>
  <c r="CC244" i="1"/>
  <c r="CB244" i="1"/>
  <c r="BX244" i="1"/>
  <c r="BW244" i="1"/>
  <c r="BV244" i="1"/>
  <c r="BU244" i="1"/>
  <c r="BT244" i="1"/>
  <c r="BS244" i="1"/>
  <c r="BR244" i="1"/>
  <c r="BQ244" i="1"/>
  <c r="BP244" i="1"/>
  <c r="BO244" i="1"/>
  <c r="BN244" i="1"/>
  <c r="BY244" i="1"/>
  <c r="BZ244" i="1"/>
  <c r="AP244" i="1"/>
  <c r="AQ244" i="1"/>
  <c r="AR244" i="1"/>
  <c r="AS244" i="1"/>
  <c r="AT244" i="1"/>
  <c r="AU244" i="1"/>
  <c r="AV244" i="1"/>
  <c r="AW244" i="1"/>
  <c r="AX244" i="1"/>
  <c r="AY244" i="1"/>
  <c r="AZ244" i="1"/>
  <c r="BA244" i="1"/>
  <c r="BB244" i="1"/>
  <c r="BC244" i="1"/>
  <c r="BD244" i="1"/>
  <c r="BE244" i="1"/>
  <c r="BF244" i="1"/>
  <c r="BG244" i="1"/>
  <c r="BH244" i="1"/>
  <c r="BI244" i="1"/>
  <c r="BJ244" i="1"/>
  <c r="BK244" i="1"/>
  <c r="BL244" i="1"/>
  <c r="BM244" i="1"/>
  <c r="CA244" i="1"/>
  <c r="AM244" i="1"/>
  <c r="CY243" i="1"/>
  <c r="CX243" i="1"/>
  <c r="CW243" i="1"/>
  <c r="CV243" i="1"/>
  <c r="CU243" i="1"/>
  <c r="CT243" i="1"/>
  <c r="CS243" i="1"/>
  <c r="CR243" i="1"/>
  <c r="CQ243" i="1"/>
  <c r="CP243" i="1"/>
  <c r="CO243" i="1"/>
  <c r="CN243" i="1"/>
  <c r="CM243" i="1"/>
  <c r="CL243" i="1"/>
  <c r="CK243" i="1"/>
  <c r="CJ243" i="1"/>
  <c r="CI243" i="1"/>
  <c r="CH243" i="1"/>
  <c r="CG243" i="1"/>
  <c r="CF243" i="1"/>
  <c r="CE243" i="1"/>
  <c r="CD243" i="1"/>
  <c r="CC243" i="1"/>
  <c r="CB243" i="1"/>
  <c r="BX243" i="1"/>
  <c r="BW243" i="1"/>
  <c r="BV243" i="1"/>
  <c r="BU243" i="1"/>
  <c r="BT243" i="1"/>
  <c r="BS243" i="1"/>
  <c r="BR243" i="1"/>
  <c r="BQ243" i="1"/>
  <c r="BP243" i="1"/>
  <c r="BO243" i="1"/>
  <c r="BN243" i="1"/>
  <c r="BY243" i="1"/>
  <c r="BZ243" i="1"/>
  <c r="BM243" i="1"/>
  <c r="BL243" i="1"/>
  <c r="BK243" i="1"/>
  <c r="BJ243" i="1"/>
  <c r="BI243" i="1"/>
  <c r="BH243" i="1"/>
  <c r="BG243" i="1"/>
  <c r="BF243" i="1"/>
  <c r="BE243" i="1"/>
  <c r="BD243" i="1"/>
  <c r="BC243" i="1"/>
  <c r="BB243" i="1"/>
  <c r="BA243" i="1"/>
  <c r="AZ243" i="1"/>
  <c r="AY243" i="1"/>
  <c r="AX243" i="1"/>
  <c r="AW243" i="1"/>
  <c r="AV243" i="1"/>
  <c r="AU243" i="1"/>
  <c r="AT243" i="1"/>
  <c r="AS243" i="1"/>
  <c r="AR243" i="1"/>
  <c r="AQ243" i="1"/>
  <c r="AP243" i="1"/>
  <c r="AM243" i="1"/>
  <c r="CY242" i="1"/>
  <c r="CX242" i="1"/>
  <c r="CW242" i="1"/>
  <c r="CV242" i="1"/>
  <c r="CU242" i="1"/>
  <c r="CT242" i="1"/>
  <c r="CS242" i="1"/>
  <c r="CR242" i="1"/>
  <c r="CQ242" i="1"/>
  <c r="CP242" i="1"/>
  <c r="CO242" i="1"/>
  <c r="CN242" i="1"/>
  <c r="CM242" i="1"/>
  <c r="CL242" i="1"/>
  <c r="CK242" i="1"/>
  <c r="CJ242" i="1"/>
  <c r="CI242" i="1"/>
  <c r="CH242" i="1"/>
  <c r="CG242" i="1"/>
  <c r="CF242" i="1"/>
  <c r="CE242" i="1"/>
  <c r="CD242" i="1"/>
  <c r="CC242" i="1"/>
  <c r="BX242" i="1"/>
  <c r="BW242" i="1"/>
  <c r="BV242" i="1"/>
  <c r="BU242" i="1"/>
  <c r="BT242" i="1"/>
  <c r="BS242" i="1"/>
  <c r="BR242" i="1"/>
  <c r="BQ242" i="1"/>
  <c r="BP242" i="1"/>
  <c r="BN242" i="1"/>
  <c r="BO242" i="1"/>
  <c r="BY242" i="1"/>
  <c r="BZ242" i="1"/>
  <c r="AP242" i="1"/>
  <c r="AQ242" i="1"/>
  <c r="AR242" i="1"/>
  <c r="AS242" i="1"/>
  <c r="AT242" i="1"/>
  <c r="AU242" i="1"/>
  <c r="AV242" i="1"/>
  <c r="AW242" i="1"/>
  <c r="AX242" i="1"/>
  <c r="AY242" i="1"/>
  <c r="AZ242" i="1"/>
  <c r="BA242" i="1"/>
  <c r="BB242" i="1"/>
  <c r="BC242" i="1"/>
  <c r="BD242" i="1"/>
  <c r="BE242" i="1"/>
  <c r="BF242" i="1"/>
  <c r="BG242" i="1"/>
  <c r="BH242" i="1"/>
  <c r="BI242" i="1"/>
  <c r="BJ242" i="1"/>
  <c r="BK242" i="1"/>
  <c r="BL242" i="1"/>
  <c r="BM242" i="1"/>
  <c r="CA242" i="1"/>
  <c r="CY241" i="1"/>
  <c r="CX241" i="1"/>
  <c r="CW241" i="1"/>
  <c r="CV241" i="1"/>
  <c r="CU241" i="1"/>
  <c r="CT241" i="1"/>
  <c r="CS241" i="1"/>
  <c r="CR241" i="1"/>
  <c r="CQ241" i="1"/>
  <c r="CP241" i="1"/>
  <c r="CO241" i="1"/>
  <c r="CN241" i="1"/>
  <c r="CM241" i="1"/>
  <c r="CL241" i="1"/>
  <c r="CK241" i="1"/>
  <c r="CJ241" i="1"/>
  <c r="CI241" i="1"/>
  <c r="CH241" i="1"/>
  <c r="CG241" i="1"/>
  <c r="CF241" i="1"/>
  <c r="CE241" i="1"/>
  <c r="CD241" i="1"/>
  <c r="CC241" i="1"/>
  <c r="BX241" i="1"/>
  <c r="BW241" i="1"/>
  <c r="BV241" i="1"/>
  <c r="BU241" i="1"/>
  <c r="BT241" i="1"/>
  <c r="BS241" i="1"/>
  <c r="BR241" i="1"/>
  <c r="BQ241" i="1"/>
  <c r="BN241" i="1"/>
  <c r="BO241" i="1"/>
  <c r="BP241" i="1"/>
  <c r="BY241" i="1"/>
  <c r="BZ241" i="1"/>
  <c r="AP241" i="1"/>
  <c r="AQ241" i="1"/>
  <c r="AR241" i="1"/>
  <c r="AS241" i="1"/>
  <c r="AT241" i="1"/>
  <c r="AU241" i="1"/>
  <c r="AV241" i="1"/>
  <c r="AW241" i="1"/>
  <c r="AX241" i="1"/>
  <c r="AY241" i="1"/>
  <c r="AZ241" i="1"/>
  <c r="BA241" i="1"/>
  <c r="BB241" i="1"/>
  <c r="BC241" i="1"/>
  <c r="BD241" i="1"/>
  <c r="BE241" i="1"/>
  <c r="BF241" i="1"/>
  <c r="BG241" i="1"/>
  <c r="BH241" i="1"/>
  <c r="BI241" i="1"/>
  <c r="BJ241" i="1"/>
  <c r="BK241" i="1"/>
  <c r="BL241" i="1"/>
  <c r="BM241" i="1"/>
  <c r="CY240" i="1"/>
  <c r="CX240" i="1"/>
  <c r="CW240" i="1"/>
  <c r="CV240" i="1"/>
  <c r="CU240" i="1"/>
  <c r="CT240" i="1"/>
  <c r="CS240" i="1"/>
  <c r="CR240" i="1"/>
  <c r="CQ240" i="1"/>
  <c r="CP240" i="1"/>
  <c r="CO240" i="1"/>
  <c r="CN240" i="1"/>
  <c r="CM240" i="1"/>
  <c r="CL240" i="1"/>
  <c r="CK240" i="1"/>
  <c r="CJ240" i="1"/>
  <c r="CI240" i="1"/>
  <c r="CH240" i="1"/>
  <c r="CG240" i="1"/>
  <c r="CF240" i="1"/>
  <c r="CE240" i="1"/>
  <c r="CD240" i="1"/>
  <c r="CC240" i="1"/>
  <c r="CB240" i="1"/>
  <c r="BX240" i="1"/>
  <c r="BW240" i="1"/>
  <c r="BV240" i="1"/>
  <c r="BU240" i="1"/>
  <c r="BT240" i="1"/>
  <c r="BS240" i="1"/>
  <c r="BR240" i="1"/>
  <c r="BQ240" i="1"/>
  <c r="BP240" i="1"/>
  <c r="BO240" i="1"/>
  <c r="BN240" i="1"/>
  <c r="AP240" i="1"/>
  <c r="AQ240" i="1"/>
  <c r="AR240" i="1"/>
  <c r="AS240" i="1"/>
  <c r="AT240" i="1"/>
  <c r="AU240" i="1"/>
  <c r="AV240" i="1"/>
  <c r="AW240" i="1"/>
  <c r="AX240" i="1"/>
  <c r="AY240" i="1"/>
  <c r="AZ240" i="1"/>
  <c r="BA240" i="1"/>
  <c r="BB240" i="1"/>
  <c r="BC240" i="1"/>
  <c r="BD240" i="1"/>
  <c r="BE240" i="1"/>
  <c r="BF240" i="1"/>
  <c r="BG240" i="1"/>
  <c r="BH240" i="1"/>
  <c r="BI240" i="1"/>
  <c r="BJ240" i="1"/>
  <c r="BK240" i="1"/>
  <c r="BL240" i="1"/>
  <c r="BM240" i="1"/>
  <c r="AM240" i="1"/>
  <c r="CY239" i="1"/>
  <c r="CX239" i="1"/>
  <c r="CW239" i="1"/>
  <c r="CV239" i="1"/>
  <c r="CU239" i="1"/>
  <c r="CT239" i="1"/>
  <c r="CS239" i="1"/>
  <c r="CR239" i="1"/>
  <c r="CQ239" i="1"/>
  <c r="CP239" i="1"/>
  <c r="CO239" i="1"/>
  <c r="CN239" i="1"/>
  <c r="CM239" i="1"/>
  <c r="CL239" i="1"/>
  <c r="CK239" i="1"/>
  <c r="CJ239" i="1"/>
  <c r="CI239" i="1"/>
  <c r="CH239" i="1"/>
  <c r="CG239" i="1"/>
  <c r="CF239" i="1"/>
  <c r="CE239" i="1"/>
  <c r="CD239" i="1"/>
  <c r="CC239" i="1"/>
  <c r="BX239" i="1"/>
  <c r="BW239" i="1"/>
  <c r="BV239" i="1"/>
  <c r="BU239" i="1"/>
  <c r="BT239" i="1"/>
  <c r="BS239" i="1"/>
  <c r="BR239" i="1"/>
  <c r="BQ239" i="1"/>
  <c r="BP239" i="1"/>
  <c r="BO239" i="1"/>
  <c r="BN239" i="1"/>
  <c r="BY239" i="1"/>
  <c r="BZ239" i="1"/>
  <c r="AP239" i="1"/>
  <c r="AQ239" i="1"/>
  <c r="AR239" i="1"/>
  <c r="AS239" i="1"/>
  <c r="AT239" i="1"/>
  <c r="AU239" i="1"/>
  <c r="AV239" i="1"/>
  <c r="AW239" i="1"/>
  <c r="AX239" i="1"/>
  <c r="AY239" i="1"/>
  <c r="AZ239" i="1"/>
  <c r="BA239" i="1"/>
  <c r="BB239" i="1"/>
  <c r="BC239" i="1"/>
  <c r="BD239" i="1"/>
  <c r="BE239" i="1"/>
  <c r="BF239" i="1"/>
  <c r="BG239" i="1"/>
  <c r="BH239" i="1"/>
  <c r="BI239" i="1"/>
  <c r="BJ239" i="1"/>
  <c r="BK239" i="1"/>
  <c r="BL239" i="1"/>
  <c r="BM239" i="1"/>
  <c r="CA239" i="1"/>
  <c r="AM239" i="1"/>
  <c r="CY238" i="1"/>
  <c r="CX238" i="1"/>
  <c r="CW238" i="1"/>
  <c r="CV238" i="1"/>
  <c r="CU238" i="1"/>
  <c r="CT238" i="1"/>
  <c r="CS238" i="1"/>
  <c r="CR238" i="1"/>
  <c r="CQ238" i="1"/>
  <c r="CP238" i="1"/>
  <c r="CO238" i="1"/>
  <c r="CN238" i="1"/>
  <c r="CM238" i="1"/>
  <c r="CL238" i="1"/>
  <c r="CK238" i="1"/>
  <c r="CJ238" i="1"/>
  <c r="CI238" i="1"/>
  <c r="CH238" i="1"/>
  <c r="CG238" i="1"/>
  <c r="CF238" i="1"/>
  <c r="CE238" i="1"/>
  <c r="CD238" i="1"/>
  <c r="CC238" i="1"/>
  <c r="CB238" i="1"/>
  <c r="BX238" i="1"/>
  <c r="BW238" i="1"/>
  <c r="BV238" i="1"/>
  <c r="BU238" i="1"/>
  <c r="BT238" i="1"/>
  <c r="BS238" i="1"/>
  <c r="BR238" i="1"/>
  <c r="BQ238" i="1"/>
  <c r="BP238" i="1"/>
  <c r="BO238" i="1"/>
  <c r="BN238" i="1"/>
  <c r="BM238" i="1"/>
  <c r="BL238" i="1"/>
  <c r="BK238" i="1"/>
  <c r="BJ238" i="1"/>
  <c r="BI238" i="1"/>
  <c r="BH238" i="1"/>
  <c r="BG238" i="1"/>
  <c r="BF238" i="1"/>
  <c r="BE238" i="1"/>
  <c r="BD238" i="1"/>
  <c r="BC238" i="1"/>
  <c r="BB238" i="1"/>
  <c r="BA238" i="1"/>
  <c r="AZ238" i="1"/>
  <c r="AY238" i="1"/>
  <c r="AX238" i="1"/>
  <c r="AW238" i="1"/>
  <c r="AV238" i="1"/>
  <c r="AU238" i="1"/>
  <c r="AT238" i="1"/>
  <c r="AS238" i="1"/>
  <c r="AR238" i="1"/>
  <c r="AQ238" i="1"/>
  <c r="AP238"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BX237" i="1"/>
  <c r="BW237" i="1"/>
  <c r="BV237" i="1"/>
  <c r="BU237" i="1"/>
  <c r="BT237" i="1"/>
  <c r="BS237" i="1"/>
  <c r="BR237" i="1"/>
  <c r="BQ237" i="1"/>
  <c r="BP237" i="1"/>
  <c r="BN237" i="1"/>
  <c r="BO237" i="1"/>
  <c r="BY237" i="1"/>
  <c r="BZ237" i="1"/>
  <c r="AP237" i="1"/>
  <c r="AQ237" i="1"/>
  <c r="AR237" i="1"/>
  <c r="AS237" i="1"/>
  <c r="AT237" i="1"/>
  <c r="AU237" i="1"/>
  <c r="AV237" i="1"/>
  <c r="AW237" i="1"/>
  <c r="AX237" i="1"/>
  <c r="AY237" i="1"/>
  <c r="AZ237" i="1"/>
  <c r="BA237" i="1"/>
  <c r="BB237" i="1"/>
  <c r="BC237" i="1"/>
  <c r="BD237" i="1"/>
  <c r="BE237" i="1"/>
  <c r="BF237" i="1"/>
  <c r="BG237" i="1"/>
  <c r="BH237" i="1"/>
  <c r="BI237" i="1"/>
  <c r="BJ237" i="1"/>
  <c r="BK237" i="1"/>
  <c r="BL237" i="1"/>
  <c r="BM237" i="1"/>
  <c r="CA237" i="1"/>
  <c r="AM237"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BN235" i="1"/>
  <c r="BO235" i="1"/>
  <c r="BP235" i="1"/>
  <c r="BQ235" i="1"/>
  <c r="BR235" i="1"/>
  <c r="BS235" i="1"/>
  <c r="BT235" i="1"/>
  <c r="BU235" i="1"/>
  <c r="BV235" i="1"/>
  <c r="BW235" i="1"/>
  <c r="BX235" i="1"/>
  <c r="AP235" i="1"/>
  <c r="AQ235" i="1"/>
  <c r="AR235" i="1"/>
  <c r="AS235" i="1"/>
  <c r="AT235" i="1"/>
  <c r="AU235" i="1"/>
  <c r="AV235" i="1"/>
  <c r="AW235" i="1"/>
  <c r="AX235" i="1"/>
  <c r="AY235" i="1"/>
  <c r="AZ235" i="1"/>
  <c r="BA235" i="1"/>
  <c r="BB235" i="1"/>
  <c r="BC235" i="1"/>
  <c r="BD235" i="1"/>
  <c r="BE235" i="1"/>
  <c r="BF235" i="1"/>
  <c r="BG235" i="1"/>
  <c r="BH235" i="1"/>
  <c r="BI235" i="1"/>
  <c r="BJ235" i="1"/>
  <c r="BK235" i="1"/>
  <c r="BL235" i="1"/>
  <c r="BM235" i="1"/>
  <c r="AM235"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BX234" i="1"/>
  <c r="BW234" i="1"/>
  <c r="BV234" i="1"/>
  <c r="BU234" i="1"/>
  <c r="BT234" i="1"/>
  <c r="BS234" i="1"/>
  <c r="BR234" i="1"/>
  <c r="BQ234" i="1"/>
  <c r="BP234" i="1"/>
  <c r="BN234" i="1"/>
  <c r="BO234" i="1"/>
  <c r="BY234" i="1"/>
  <c r="BZ234" i="1"/>
  <c r="AP234" i="1"/>
  <c r="AQ234" i="1"/>
  <c r="AR234" i="1"/>
  <c r="AS234" i="1"/>
  <c r="AT234" i="1"/>
  <c r="AU234" i="1"/>
  <c r="AV234" i="1"/>
  <c r="AW234" i="1"/>
  <c r="AX234" i="1"/>
  <c r="AY234" i="1"/>
  <c r="AZ234" i="1"/>
  <c r="BA234" i="1"/>
  <c r="BB234" i="1"/>
  <c r="BC234" i="1"/>
  <c r="BD234" i="1"/>
  <c r="BE234" i="1"/>
  <c r="BF234" i="1"/>
  <c r="BG234" i="1"/>
  <c r="BH234" i="1"/>
  <c r="BI234" i="1"/>
  <c r="BJ234" i="1"/>
  <c r="BK234" i="1"/>
  <c r="BL234" i="1"/>
  <c r="BM234" i="1"/>
  <c r="CA234"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BX233" i="1"/>
  <c r="BW233" i="1"/>
  <c r="BV233" i="1"/>
  <c r="BU233" i="1"/>
  <c r="BT233" i="1"/>
  <c r="BS233" i="1"/>
  <c r="BR233" i="1"/>
  <c r="BN233" i="1"/>
  <c r="BO233" i="1"/>
  <c r="BP233" i="1"/>
  <c r="BQ233" i="1"/>
  <c r="BY233" i="1"/>
  <c r="BZ233" i="1"/>
  <c r="AP233" i="1"/>
  <c r="AQ233" i="1"/>
  <c r="AR233" i="1"/>
  <c r="AS233" i="1"/>
  <c r="AT233" i="1"/>
  <c r="AU233" i="1"/>
  <c r="AV233" i="1"/>
  <c r="AW233" i="1"/>
  <c r="AX233" i="1"/>
  <c r="AY233" i="1"/>
  <c r="AZ233" i="1"/>
  <c r="BA233" i="1"/>
  <c r="BB233" i="1"/>
  <c r="BC233" i="1"/>
  <c r="BD233" i="1"/>
  <c r="BE233" i="1"/>
  <c r="BF233" i="1"/>
  <c r="BG233" i="1"/>
  <c r="BH233" i="1"/>
  <c r="BI233" i="1"/>
  <c r="BJ233" i="1"/>
  <c r="BK233" i="1"/>
  <c r="BL233" i="1"/>
  <c r="BM233" i="1"/>
  <c r="CA233" i="1"/>
  <c r="CY232" i="1"/>
  <c r="CX232" i="1"/>
  <c r="CW232" i="1"/>
  <c r="CV232" i="1"/>
  <c r="CU232" i="1"/>
  <c r="CT232" i="1"/>
  <c r="CS232" i="1"/>
  <c r="CR232" i="1"/>
  <c r="CQ232" i="1"/>
  <c r="CP232" i="1"/>
  <c r="CO232" i="1"/>
  <c r="CN232" i="1"/>
  <c r="CM232" i="1"/>
  <c r="CL232" i="1"/>
  <c r="CK232" i="1"/>
  <c r="CJ232" i="1"/>
  <c r="CI232" i="1"/>
  <c r="CH232" i="1"/>
  <c r="CG232" i="1"/>
  <c r="CF232" i="1"/>
  <c r="CE232" i="1"/>
  <c r="CC232" i="1"/>
  <c r="CD232" i="1"/>
  <c r="CB232" i="1"/>
  <c r="AP232" i="1"/>
  <c r="AQ232" i="1"/>
  <c r="AR232" i="1"/>
  <c r="AS232" i="1"/>
  <c r="AT232" i="1"/>
  <c r="AU232" i="1"/>
  <c r="AV232" i="1"/>
  <c r="AW232" i="1"/>
  <c r="AX232" i="1"/>
  <c r="AY232" i="1"/>
  <c r="AZ232" i="1"/>
  <c r="BA232" i="1"/>
  <c r="BB232" i="1"/>
  <c r="BC232" i="1"/>
  <c r="BD232" i="1"/>
  <c r="BE232" i="1"/>
  <c r="BF232" i="1"/>
  <c r="BG232" i="1"/>
  <c r="BH232" i="1"/>
  <c r="BI232" i="1"/>
  <c r="BJ232" i="1"/>
  <c r="BK232" i="1"/>
  <c r="BL232" i="1"/>
  <c r="BM232" i="1"/>
  <c r="BN232" i="1"/>
  <c r="BO232" i="1"/>
  <c r="BP232" i="1"/>
  <c r="BQ232" i="1"/>
  <c r="BR232" i="1"/>
  <c r="BS232" i="1"/>
  <c r="BT232" i="1"/>
  <c r="BU232" i="1"/>
  <c r="BV232" i="1"/>
  <c r="BW232" i="1"/>
  <c r="BX232" i="1"/>
  <c r="BY232" i="1"/>
  <c r="BZ232" i="1"/>
  <c r="CA232" i="1"/>
  <c r="AM232" i="1"/>
  <c r="CY230" i="1"/>
  <c r="CX230" i="1"/>
  <c r="CW230" i="1"/>
  <c r="CV230" i="1"/>
  <c r="CU230" i="1"/>
  <c r="CT230" i="1"/>
  <c r="CS230" i="1"/>
  <c r="CR230" i="1"/>
  <c r="CQ230" i="1"/>
  <c r="CP230" i="1"/>
  <c r="CO230" i="1"/>
  <c r="CN230" i="1"/>
  <c r="CM230" i="1"/>
  <c r="CL230" i="1"/>
  <c r="CK230" i="1"/>
  <c r="CJ230" i="1"/>
  <c r="CI230" i="1"/>
  <c r="CH230" i="1"/>
  <c r="CG230" i="1"/>
  <c r="CF230" i="1"/>
  <c r="CE230" i="1"/>
  <c r="CD230" i="1"/>
  <c r="CC230" i="1"/>
  <c r="CB230" i="1"/>
  <c r="BX230" i="1"/>
  <c r="BW230" i="1"/>
  <c r="BV230" i="1"/>
  <c r="BU230" i="1"/>
  <c r="BT230" i="1"/>
  <c r="BS230" i="1"/>
  <c r="BR230" i="1"/>
  <c r="BQ230" i="1"/>
  <c r="BP230" i="1"/>
  <c r="BO230" i="1"/>
  <c r="BN230" i="1"/>
  <c r="BM230" i="1"/>
  <c r="BL230" i="1"/>
  <c r="BK230" i="1"/>
  <c r="BJ230" i="1"/>
  <c r="BI230" i="1"/>
  <c r="BH230" i="1"/>
  <c r="BG230" i="1"/>
  <c r="BF230" i="1"/>
  <c r="BE230" i="1"/>
  <c r="BD230" i="1"/>
  <c r="BC230" i="1"/>
  <c r="BB230" i="1"/>
  <c r="BA230" i="1"/>
  <c r="AZ230" i="1"/>
  <c r="AY230" i="1"/>
  <c r="AX230" i="1"/>
  <c r="AW230" i="1"/>
  <c r="AV230" i="1"/>
  <c r="AU230" i="1"/>
  <c r="AT230" i="1"/>
  <c r="AS230" i="1"/>
  <c r="AR230" i="1"/>
  <c r="AQ230" i="1"/>
  <c r="AP230" i="1"/>
  <c r="AM230"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BX229" i="1"/>
  <c r="BW229" i="1"/>
  <c r="BV229" i="1"/>
  <c r="BU229" i="1"/>
  <c r="BT229" i="1"/>
  <c r="BS229" i="1"/>
  <c r="BR229" i="1"/>
  <c r="BQ229" i="1"/>
  <c r="BP229" i="1"/>
  <c r="BO229" i="1"/>
  <c r="BN229" i="1"/>
  <c r="BY229" i="1"/>
  <c r="BZ229" i="1"/>
  <c r="AP229" i="1"/>
  <c r="AQ229" i="1"/>
  <c r="AR229" i="1"/>
  <c r="AS229" i="1"/>
  <c r="AT229" i="1"/>
  <c r="AU229" i="1"/>
  <c r="AV229" i="1"/>
  <c r="AW229" i="1"/>
  <c r="AX229" i="1"/>
  <c r="AY229" i="1"/>
  <c r="AZ229" i="1"/>
  <c r="BA229" i="1"/>
  <c r="BB229" i="1"/>
  <c r="BC229" i="1"/>
  <c r="BD229" i="1"/>
  <c r="BE229" i="1"/>
  <c r="BF229" i="1"/>
  <c r="BG229" i="1"/>
  <c r="BH229" i="1"/>
  <c r="BI229" i="1"/>
  <c r="BJ229" i="1"/>
  <c r="BK229" i="1"/>
  <c r="BL229" i="1"/>
  <c r="BM229" i="1"/>
  <c r="CA229" i="1"/>
  <c r="AM229"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BX228" i="1"/>
  <c r="BW228" i="1"/>
  <c r="BV228" i="1"/>
  <c r="BU228" i="1"/>
  <c r="BT228" i="1"/>
  <c r="BS228" i="1"/>
  <c r="BR228" i="1"/>
  <c r="BQ228" i="1"/>
  <c r="BP228" i="1"/>
  <c r="BO228" i="1"/>
  <c r="BN228" i="1"/>
  <c r="BY228" i="1"/>
  <c r="AP228" i="1"/>
  <c r="AQ228" i="1"/>
  <c r="AR228" i="1"/>
  <c r="AS228" i="1"/>
  <c r="AT228" i="1"/>
  <c r="AU228" i="1"/>
  <c r="AV228" i="1"/>
  <c r="AW228" i="1"/>
  <c r="AX228" i="1"/>
  <c r="AY228" i="1"/>
  <c r="AZ228" i="1"/>
  <c r="BA228" i="1"/>
  <c r="BB228" i="1"/>
  <c r="BC228" i="1"/>
  <c r="BD228" i="1"/>
  <c r="BE228" i="1"/>
  <c r="BF228" i="1"/>
  <c r="BG228" i="1"/>
  <c r="BH228" i="1"/>
  <c r="BI228" i="1"/>
  <c r="BJ228" i="1"/>
  <c r="BK228" i="1"/>
  <c r="BL228" i="1"/>
  <c r="BM228"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BX227" i="1"/>
  <c r="BW227" i="1"/>
  <c r="BV227" i="1"/>
  <c r="BU227" i="1"/>
  <c r="BT227" i="1"/>
  <c r="BS227" i="1"/>
  <c r="BR227" i="1"/>
  <c r="BQ227" i="1"/>
  <c r="BP227" i="1"/>
  <c r="BO227" i="1"/>
  <c r="BN227" i="1"/>
  <c r="AP227" i="1"/>
  <c r="AQ227" i="1"/>
  <c r="AR227" i="1"/>
  <c r="AS227" i="1"/>
  <c r="AT227" i="1"/>
  <c r="AU227" i="1"/>
  <c r="AV227" i="1"/>
  <c r="AW227" i="1"/>
  <c r="AX227" i="1"/>
  <c r="AY227" i="1"/>
  <c r="AZ227" i="1"/>
  <c r="BA227" i="1"/>
  <c r="BB227" i="1"/>
  <c r="BC227" i="1"/>
  <c r="BD227" i="1"/>
  <c r="BE227" i="1"/>
  <c r="BF227" i="1"/>
  <c r="BG227" i="1"/>
  <c r="BH227" i="1"/>
  <c r="BI227" i="1"/>
  <c r="BJ227" i="1"/>
  <c r="BK227" i="1"/>
  <c r="BL227" i="1"/>
  <c r="BM227"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BN226" i="1"/>
  <c r="BO226" i="1"/>
  <c r="BP226" i="1"/>
  <c r="BQ226" i="1"/>
  <c r="BR226" i="1"/>
  <c r="BS226" i="1"/>
  <c r="BT226" i="1"/>
  <c r="BU226" i="1"/>
  <c r="BV226" i="1"/>
  <c r="BW226" i="1"/>
  <c r="BX226" i="1"/>
  <c r="AP226" i="1"/>
  <c r="AQ226" i="1"/>
  <c r="AR226" i="1"/>
  <c r="AS226" i="1"/>
  <c r="AT226" i="1"/>
  <c r="AU226" i="1"/>
  <c r="AV226" i="1"/>
  <c r="AW226" i="1"/>
  <c r="AX226" i="1"/>
  <c r="AY226" i="1"/>
  <c r="AZ226" i="1"/>
  <c r="BA226" i="1"/>
  <c r="BB226" i="1"/>
  <c r="BC226" i="1"/>
  <c r="BD226" i="1"/>
  <c r="BE226" i="1"/>
  <c r="BF226" i="1"/>
  <c r="BG226" i="1"/>
  <c r="BH226" i="1"/>
  <c r="BI226" i="1"/>
  <c r="BJ226" i="1"/>
  <c r="BK226" i="1"/>
  <c r="BL226" i="1"/>
  <c r="BM226" i="1"/>
  <c r="AM226"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BX225" i="1"/>
  <c r="BW225" i="1"/>
  <c r="BV225" i="1"/>
  <c r="BU225" i="1"/>
  <c r="BT225" i="1"/>
  <c r="BS225" i="1"/>
  <c r="BR225" i="1"/>
  <c r="BQ225" i="1"/>
  <c r="BP225" i="1"/>
  <c r="BN225" i="1"/>
  <c r="BO225" i="1"/>
  <c r="BY225" i="1"/>
  <c r="BZ225" i="1"/>
  <c r="AP225" i="1"/>
  <c r="AQ225" i="1"/>
  <c r="AR225" i="1"/>
  <c r="AS225" i="1"/>
  <c r="AT225" i="1"/>
  <c r="AU225" i="1"/>
  <c r="AV225" i="1"/>
  <c r="AW225" i="1"/>
  <c r="AX225" i="1"/>
  <c r="AY225" i="1"/>
  <c r="AZ225" i="1"/>
  <c r="BA225" i="1"/>
  <c r="BB225" i="1"/>
  <c r="BC225" i="1"/>
  <c r="BD225" i="1"/>
  <c r="BE225" i="1"/>
  <c r="BF225" i="1"/>
  <c r="BG225" i="1"/>
  <c r="BH225" i="1"/>
  <c r="BI225" i="1"/>
  <c r="BJ225" i="1"/>
  <c r="BK225" i="1"/>
  <c r="BL225" i="1"/>
  <c r="BM225" i="1"/>
  <c r="CA225"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BX224" i="1"/>
  <c r="BW224" i="1"/>
  <c r="BV224" i="1"/>
  <c r="BU224" i="1"/>
  <c r="BT224" i="1"/>
  <c r="BS224" i="1"/>
  <c r="BR224" i="1"/>
  <c r="BQ224" i="1"/>
  <c r="BN224" i="1"/>
  <c r="BO224" i="1"/>
  <c r="BP224" i="1"/>
  <c r="AP224" i="1"/>
  <c r="AQ224" i="1"/>
  <c r="AR224" i="1"/>
  <c r="AS224" i="1"/>
  <c r="AT224" i="1"/>
  <c r="AU224" i="1"/>
  <c r="AV224" i="1"/>
  <c r="AW224" i="1"/>
  <c r="AX224" i="1"/>
  <c r="AY224" i="1"/>
  <c r="AZ224" i="1"/>
  <c r="BA224" i="1"/>
  <c r="BB224" i="1"/>
  <c r="BC224" i="1"/>
  <c r="BD224" i="1"/>
  <c r="BE224" i="1"/>
  <c r="BF224" i="1"/>
  <c r="BG224" i="1"/>
  <c r="BH224" i="1"/>
  <c r="BI224" i="1"/>
  <c r="BJ224" i="1"/>
  <c r="BK224" i="1"/>
  <c r="BL224" i="1"/>
  <c r="BM224"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AP222" i="1"/>
  <c r="AQ222" i="1"/>
  <c r="AR222" i="1"/>
  <c r="AS222" i="1"/>
  <c r="AT222" i="1"/>
  <c r="AU222" i="1"/>
  <c r="AV222" i="1"/>
  <c r="AW222" i="1"/>
  <c r="AX222" i="1"/>
  <c r="AY222" i="1"/>
  <c r="AZ222" i="1"/>
  <c r="BA222" i="1"/>
  <c r="BB222" i="1"/>
  <c r="BC222" i="1"/>
  <c r="BD222" i="1"/>
  <c r="BE222" i="1"/>
  <c r="BF222" i="1"/>
  <c r="BG222" i="1"/>
  <c r="BH222" i="1"/>
  <c r="BI222" i="1"/>
  <c r="BJ222" i="1"/>
  <c r="BK222" i="1"/>
  <c r="BL222" i="1"/>
  <c r="BM222" i="1"/>
  <c r="BN222" i="1"/>
  <c r="BO222" i="1"/>
  <c r="BP222" i="1"/>
  <c r="BQ222" i="1"/>
  <c r="BR222" i="1"/>
  <c r="BS222" i="1"/>
  <c r="BT222" i="1"/>
  <c r="BU222" i="1"/>
  <c r="BV222" i="1"/>
  <c r="BW222" i="1"/>
  <c r="BX222"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AP221" i="1"/>
  <c r="AQ221" i="1"/>
  <c r="AR221" i="1"/>
  <c r="AS221" i="1"/>
  <c r="AT221" i="1"/>
  <c r="AU221" i="1"/>
  <c r="AV221" i="1"/>
  <c r="AW221" i="1"/>
  <c r="AX221" i="1"/>
  <c r="AY221" i="1"/>
  <c r="AZ221" i="1"/>
  <c r="BA221" i="1"/>
  <c r="BB221" i="1"/>
  <c r="BC221" i="1"/>
  <c r="BD221" i="1"/>
  <c r="BE221" i="1"/>
  <c r="BF221" i="1"/>
  <c r="BG221" i="1"/>
  <c r="BH221" i="1"/>
  <c r="BI221" i="1"/>
  <c r="BJ221" i="1"/>
  <c r="BK221" i="1"/>
  <c r="BL221" i="1"/>
  <c r="BM221" i="1"/>
  <c r="BN221" i="1"/>
  <c r="BO221" i="1"/>
  <c r="BP221" i="1"/>
  <c r="BQ221" i="1"/>
  <c r="BR221" i="1"/>
  <c r="BS221" i="1"/>
  <c r="BT221" i="1"/>
  <c r="BU221" i="1"/>
  <c r="BV221" i="1"/>
  <c r="BW221" i="1"/>
  <c r="BX221"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BX220" i="1"/>
  <c r="BW220" i="1"/>
  <c r="BV220" i="1"/>
  <c r="BU220" i="1"/>
  <c r="BT220" i="1"/>
  <c r="BS220" i="1"/>
  <c r="BR220" i="1"/>
  <c r="BQ220" i="1"/>
  <c r="BP220" i="1"/>
  <c r="BN220" i="1"/>
  <c r="BO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BX219" i="1"/>
  <c r="BW219" i="1"/>
  <c r="BV219" i="1"/>
  <c r="BU219" i="1"/>
  <c r="BT219" i="1"/>
  <c r="BS219" i="1"/>
  <c r="BR219" i="1"/>
  <c r="BQ219" i="1"/>
  <c r="BN219" i="1"/>
  <c r="BO219" i="1"/>
  <c r="BP219" i="1"/>
  <c r="BY219" i="1"/>
  <c r="BZ219" i="1"/>
  <c r="AP219" i="1"/>
  <c r="AQ219" i="1"/>
  <c r="AR219" i="1"/>
  <c r="AS219" i="1"/>
  <c r="AT219" i="1"/>
  <c r="AU219" i="1"/>
  <c r="AV219" i="1"/>
  <c r="AW219" i="1"/>
  <c r="AX219" i="1"/>
  <c r="AY219" i="1"/>
  <c r="AZ219" i="1"/>
  <c r="BA219" i="1"/>
  <c r="BB219" i="1"/>
  <c r="BC219" i="1"/>
  <c r="BD219" i="1"/>
  <c r="BE219" i="1"/>
  <c r="BF219" i="1"/>
  <c r="BG219" i="1"/>
  <c r="BH219" i="1"/>
  <c r="BI219" i="1"/>
  <c r="BJ219" i="1"/>
  <c r="BK219" i="1"/>
  <c r="BL219" i="1"/>
  <c r="BM219" i="1"/>
  <c r="CA219" i="1"/>
  <c r="AM219" i="1"/>
  <c r="CY218" i="1"/>
  <c r="CX218" i="1"/>
  <c r="CW218" i="1"/>
  <c r="CV218" i="1"/>
  <c r="CU218" i="1"/>
  <c r="CT218" i="1"/>
  <c r="CS218" i="1"/>
  <c r="CR218" i="1"/>
  <c r="CQ218" i="1"/>
  <c r="CP218" i="1"/>
  <c r="CO218" i="1"/>
  <c r="CN218" i="1"/>
  <c r="CM218" i="1"/>
  <c r="CL218" i="1"/>
  <c r="CK218" i="1"/>
  <c r="CJ218" i="1"/>
  <c r="CI218" i="1"/>
  <c r="CH218" i="1"/>
  <c r="CG218" i="1"/>
  <c r="CF218" i="1"/>
  <c r="CC218" i="1"/>
  <c r="CD218" i="1"/>
  <c r="CE218" i="1"/>
  <c r="CB218" i="1"/>
  <c r="BX218" i="1"/>
  <c r="BW218" i="1"/>
  <c r="BV218" i="1"/>
  <c r="BU218" i="1"/>
  <c r="BT218" i="1"/>
  <c r="BS218" i="1"/>
  <c r="BR218" i="1"/>
  <c r="BQ218" i="1"/>
  <c r="BN218" i="1"/>
  <c r="BO218" i="1"/>
  <c r="BP218" i="1"/>
  <c r="BY218" i="1"/>
  <c r="BZ218" i="1"/>
  <c r="AP218" i="1"/>
  <c r="AQ218" i="1"/>
  <c r="AR218" i="1"/>
  <c r="AS218" i="1"/>
  <c r="AT218" i="1"/>
  <c r="AU218" i="1"/>
  <c r="AV218" i="1"/>
  <c r="AW218" i="1"/>
  <c r="AX218" i="1"/>
  <c r="AY218" i="1"/>
  <c r="AZ218" i="1"/>
  <c r="BA218" i="1"/>
  <c r="BB218" i="1"/>
  <c r="BC218" i="1"/>
  <c r="BD218" i="1"/>
  <c r="BE218" i="1"/>
  <c r="BF218" i="1"/>
  <c r="BG218" i="1"/>
  <c r="BH218" i="1"/>
  <c r="BI218" i="1"/>
  <c r="BJ218" i="1"/>
  <c r="BK218" i="1"/>
  <c r="BL218" i="1"/>
  <c r="BM218" i="1"/>
  <c r="CA218" i="1"/>
  <c r="AM218"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BX217" i="1"/>
  <c r="BW217" i="1"/>
  <c r="BV217" i="1"/>
  <c r="BU217" i="1"/>
  <c r="BT217" i="1"/>
  <c r="BS217" i="1"/>
  <c r="BR217" i="1"/>
  <c r="BQ217" i="1"/>
  <c r="BN217" i="1"/>
  <c r="BO217" i="1"/>
  <c r="BP217" i="1"/>
  <c r="AP217" i="1"/>
  <c r="AQ217" i="1"/>
  <c r="AR217" i="1"/>
  <c r="AS217" i="1"/>
  <c r="AT217" i="1"/>
  <c r="AU217" i="1"/>
  <c r="AV217" i="1"/>
  <c r="AW217" i="1"/>
  <c r="AX217" i="1"/>
  <c r="AY217" i="1"/>
  <c r="AZ217" i="1"/>
  <c r="BA217" i="1"/>
  <c r="BB217" i="1"/>
  <c r="BC217" i="1"/>
  <c r="BD217" i="1"/>
  <c r="BE217" i="1"/>
  <c r="BF217" i="1"/>
  <c r="BG217" i="1"/>
  <c r="BH217" i="1"/>
  <c r="BI217" i="1"/>
  <c r="BJ217" i="1"/>
  <c r="BK217" i="1"/>
  <c r="BL217" i="1"/>
  <c r="BM217" i="1"/>
  <c r="CY216" i="1"/>
  <c r="CX216" i="1"/>
  <c r="CW216" i="1"/>
  <c r="CV216" i="1"/>
  <c r="CU216" i="1"/>
  <c r="CT216" i="1"/>
  <c r="CS216" i="1"/>
  <c r="CR216" i="1"/>
  <c r="CQ216" i="1"/>
  <c r="CP216" i="1"/>
  <c r="CO216" i="1"/>
  <c r="CN216" i="1"/>
  <c r="CM216" i="1"/>
  <c r="CL216" i="1"/>
  <c r="CK216" i="1"/>
  <c r="CJ216" i="1"/>
  <c r="CI216" i="1"/>
  <c r="CH216" i="1"/>
  <c r="CG216" i="1"/>
  <c r="CF216" i="1"/>
  <c r="CE216" i="1"/>
  <c r="CC216" i="1"/>
  <c r="CD216" i="1"/>
  <c r="CB216" i="1"/>
  <c r="BX216" i="1"/>
  <c r="BW216" i="1"/>
  <c r="BV216" i="1"/>
  <c r="BU216" i="1"/>
  <c r="BT216" i="1"/>
  <c r="BS216" i="1"/>
  <c r="BR216" i="1"/>
  <c r="BQ216" i="1"/>
  <c r="BP216" i="1"/>
  <c r="BO216" i="1"/>
  <c r="BN216" i="1"/>
  <c r="AP216" i="1"/>
  <c r="AQ216" i="1"/>
  <c r="AR216" i="1"/>
  <c r="AS216" i="1"/>
  <c r="AT216" i="1"/>
  <c r="AU216" i="1"/>
  <c r="AV216" i="1"/>
  <c r="AW216" i="1"/>
  <c r="AX216" i="1"/>
  <c r="AY216" i="1"/>
  <c r="AZ216" i="1"/>
  <c r="BA216" i="1"/>
  <c r="BB216" i="1"/>
  <c r="BC216" i="1"/>
  <c r="BD216" i="1"/>
  <c r="BE216" i="1"/>
  <c r="BF216" i="1"/>
  <c r="BG216" i="1"/>
  <c r="BH216" i="1"/>
  <c r="BI216" i="1"/>
  <c r="BJ216" i="1"/>
  <c r="BK216" i="1"/>
  <c r="BL216" i="1"/>
  <c r="BM216" i="1"/>
  <c r="CY215" i="1"/>
  <c r="CX215" i="1"/>
  <c r="CW215" i="1"/>
  <c r="CV215" i="1"/>
  <c r="CU215" i="1"/>
  <c r="CT215" i="1"/>
  <c r="CS215" i="1"/>
  <c r="CR215" i="1"/>
  <c r="CQ215" i="1"/>
  <c r="CP215" i="1"/>
  <c r="CO215" i="1"/>
  <c r="CN215" i="1"/>
  <c r="CM215" i="1"/>
  <c r="CL215" i="1"/>
  <c r="CK215" i="1"/>
  <c r="CJ215" i="1"/>
  <c r="CI215" i="1"/>
  <c r="CH215" i="1"/>
  <c r="CG215" i="1"/>
  <c r="CF215" i="1"/>
  <c r="CE215" i="1"/>
  <c r="CD215" i="1"/>
  <c r="CC215" i="1"/>
  <c r="CB215" i="1"/>
  <c r="BX215" i="1"/>
  <c r="BW215" i="1"/>
  <c r="BV215" i="1"/>
  <c r="BU215" i="1"/>
  <c r="BT215" i="1"/>
  <c r="BS215" i="1"/>
  <c r="BR215" i="1"/>
  <c r="BQ215" i="1"/>
  <c r="BN215" i="1"/>
  <c r="BO215" i="1"/>
  <c r="BP215" i="1"/>
  <c r="BY215" i="1"/>
  <c r="BZ215" i="1"/>
  <c r="AP215" i="1"/>
  <c r="AQ215" i="1"/>
  <c r="AR215" i="1"/>
  <c r="AS215" i="1"/>
  <c r="AT215" i="1"/>
  <c r="AU215" i="1"/>
  <c r="AV215" i="1"/>
  <c r="AW215" i="1"/>
  <c r="AX215" i="1"/>
  <c r="AY215" i="1"/>
  <c r="AZ215" i="1"/>
  <c r="BA215" i="1"/>
  <c r="BB215" i="1"/>
  <c r="BC215" i="1"/>
  <c r="BD215" i="1"/>
  <c r="BE215" i="1"/>
  <c r="BF215" i="1"/>
  <c r="BG215" i="1"/>
  <c r="BH215" i="1"/>
  <c r="BI215" i="1"/>
  <c r="BJ215" i="1"/>
  <c r="BK215" i="1"/>
  <c r="BL215" i="1"/>
  <c r="BM215" i="1"/>
  <c r="CA215" i="1"/>
  <c r="CY214" i="1"/>
  <c r="CX214" i="1"/>
  <c r="CW214" i="1"/>
  <c r="CV214" i="1"/>
  <c r="CU214" i="1"/>
  <c r="CT214" i="1"/>
  <c r="CS214" i="1"/>
  <c r="CR214" i="1"/>
  <c r="CQ214" i="1"/>
  <c r="CP214" i="1"/>
  <c r="CO214" i="1"/>
  <c r="CN214" i="1"/>
  <c r="CM214" i="1"/>
  <c r="CL214" i="1"/>
  <c r="CK214" i="1"/>
  <c r="CJ214" i="1"/>
  <c r="CI214" i="1"/>
  <c r="CH214" i="1"/>
  <c r="CG214" i="1"/>
  <c r="CF214" i="1"/>
  <c r="CE214" i="1"/>
  <c r="CC214" i="1"/>
  <c r="CD214" i="1"/>
  <c r="CB214" i="1"/>
  <c r="BN214" i="1"/>
  <c r="BO214" i="1"/>
  <c r="BP214" i="1"/>
  <c r="BQ214" i="1"/>
  <c r="BR214" i="1"/>
  <c r="BS214" i="1"/>
  <c r="BT214" i="1"/>
  <c r="BU214" i="1"/>
  <c r="BV214" i="1"/>
  <c r="BW214" i="1"/>
  <c r="BX214" i="1"/>
  <c r="BY214" i="1"/>
  <c r="BZ214" i="1"/>
  <c r="AP214" i="1"/>
  <c r="AQ214" i="1"/>
  <c r="AR214" i="1"/>
  <c r="AS214" i="1"/>
  <c r="AT214" i="1"/>
  <c r="AU214" i="1"/>
  <c r="AV214" i="1"/>
  <c r="AW214" i="1"/>
  <c r="AX214" i="1"/>
  <c r="AY214" i="1"/>
  <c r="AZ214" i="1"/>
  <c r="BA214" i="1"/>
  <c r="BB214" i="1"/>
  <c r="BC214" i="1"/>
  <c r="BD214" i="1"/>
  <c r="BE214" i="1"/>
  <c r="BF214" i="1"/>
  <c r="BG214" i="1"/>
  <c r="BH214" i="1"/>
  <c r="BI214" i="1"/>
  <c r="BJ214" i="1"/>
  <c r="BK214" i="1"/>
  <c r="BL214" i="1"/>
  <c r="BM214" i="1"/>
  <c r="CA214" i="1"/>
  <c r="CY213" i="1"/>
  <c r="CX213" i="1"/>
  <c r="CW213" i="1"/>
  <c r="CV213" i="1"/>
  <c r="CU213" i="1"/>
  <c r="CT213" i="1"/>
  <c r="CS213" i="1"/>
  <c r="CR213" i="1"/>
  <c r="CQ213" i="1"/>
  <c r="CP213" i="1"/>
  <c r="CO213" i="1"/>
  <c r="CN213" i="1"/>
  <c r="CM213" i="1"/>
  <c r="CL213" i="1"/>
  <c r="CK213" i="1"/>
  <c r="CJ213" i="1"/>
  <c r="CI213" i="1"/>
  <c r="CH213" i="1"/>
  <c r="CG213" i="1"/>
  <c r="CF213" i="1"/>
  <c r="CE213" i="1"/>
  <c r="CD213" i="1"/>
  <c r="CC213" i="1"/>
  <c r="CB213" i="1"/>
  <c r="BX213" i="1"/>
  <c r="BW213" i="1"/>
  <c r="BV213" i="1"/>
  <c r="BU213" i="1"/>
  <c r="BT213" i="1"/>
  <c r="BS213" i="1"/>
  <c r="BR213" i="1"/>
  <c r="BQ213" i="1"/>
  <c r="BN213" i="1"/>
  <c r="BO213" i="1"/>
  <c r="BP213" i="1"/>
  <c r="AP213" i="1"/>
  <c r="AQ213" i="1"/>
  <c r="AR213" i="1"/>
  <c r="AS213" i="1"/>
  <c r="AT213" i="1"/>
  <c r="AU213" i="1"/>
  <c r="AV213" i="1"/>
  <c r="AW213" i="1"/>
  <c r="AX213" i="1"/>
  <c r="AY213" i="1"/>
  <c r="AZ213" i="1"/>
  <c r="BA213" i="1"/>
  <c r="BB213" i="1"/>
  <c r="BC213" i="1"/>
  <c r="BD213" i="1"/>
  <c r="BE213" i="1"/>
  <c r="BF213" i="1"/>
  <c r="BG213" i="1"/>
  <c r="BH213" i="1"/>
  <c r="BI213" i="1"/>
  <c r="BJ213" i="1"/>
  <c r="BK213" i="1"/>
  <c r="BL213" i="1"/>
  <c r="BM213" i="1"/>
  <c r="AM213" i="1"/>
  <c r="CY212" i="1"/>
  <c r="CX212" i="1"/>
  <c r="CW212" i="1"/>
  <c r="CV212" i="1"/>
  <c r="CU212" i="1"/>
  <c r="CT212" i="1"/>
  <c r="CS212" i="1"/>
  <c r="CR212" i="1"/>
  <c r="CQ212" i="1"/>
  <c r="CP212" i="1"/>
  <c r="CO212" i="1"/>
  <c r="CN212" i="1"/>
  <c r="CM212" i="1"/>
  <c r="CL212" i="1"/>
  <c r="CK212" i="1"/>
  <c r="CJ212" i="1"/>
  <c r="CI212" i="1"/>
  <c r="CH212" i="1"/>
  <c r="CG212" i="1"/>
  <c r="CF212" i="1"/>
  <c r="CE212" i="1"/>
  <c r="CD212" i="1"/>
  <c r="CC212" i="1"/>
  <c r="CB212" i="1"/>
  <c r="BX212" i="1"/>
  <c r="BW212" i="1"/>
  <c r="BV212" i="1"/>
  <c r="BU212" i="1"/>
  <c r="BT212" i="1"/>
  <c r="BS212" i="1"/>
  <c r="BR212" i="1"/>
  <c r="BQ212" i="1"/>
  <c r="BP212" i="1"/>
  <c r="BO212" i="1"/>
  <c r="BN212" i="1"/>
  <c r="BY212" i="1"/>
  <c r="BZ212" i="1"/>
  <c r="AP212" i="1"/>
  <c r="AQ212" i="1"/>
  <c r="AR212" i="1"/>
  <c r="AS212" i="1"/>
  <c r="AT212" i="1"/>
  <c r="AU212" i="1"/>
  <c r="AV212" i="1"/>
  <c r="AW212" i="1"/>
  <c r="AX212" i="1"/>
  <c r="AY212" i="1"/>
  <c r="AZ212" i="1"/>
  <c r="BA212" i="1"/>
  <c r="BB212" i="1"/>
  <c r="BC212" i="1"/>
  <c r="BD212" i="1"/>
  <c r="BE212" i="1"/>
  <c r="BF212" i="1"/>
  <c r="BG212" i="1"/>
  <c r="BH212" i="1"/>
  <c r="BI212" i="1"/>
  <c r="BJ212" i="1"/>
  <c r="BK212" i="1"/>
  <c r="BL212" i="1"/>
  <c r="BM212" i="1"/>
  <c r="CA212" i="1"/>
  <c r="CY211" i="1"/>
  <c r="CX211" i="1"/>
  <c r="CW211" i="1"/>
  <c r="CV211" i="1"/>
  <c r="CU211" i="1"/>
  <c r="CT211" i="1"/>
  <c r="CS211" i="1"/>
  <c r="CR211" i="1"/>
  <c r="CQ211" i="1"/>
  <c r="CP211" i="1"/>
  <c r="CO211" i="1"/>
  <c r="CN211" i="1"/>
  <c r="CM211" i="1"/>
  <c r="CL211" i="1"/>
  <c r="CK211" i="1"/>
  <c r="CJ211" i="1"/>
  <c r="CI211" i="1"/>
  <c r="CH211" i="1"/>
  <c r="CG211" i="1"/>
  <c r="CF211" i="1"/>
  <c r="CE211" i="1"/>
  <c r="CD211" i="1"/>
  <c r="CC211" i="1"/>
  <c r="CB211" i="1"/>
  <c r="BX211" i="1"/>
  <c r="BW211" i="1"/>
  <c r="BV211" i="1"/>
  <c r="BU211" i="1"/>
  <c r="BT211" i="1"/>
  <c r="BS211" i="1"/>
  <c r="BR211" i="1"/>
  <c r="BQ211" i="1"/>
  <c r="BP211" i="1"/>
  <c r="BO211" i="1"/>
  <c r="BN211" i="1"/>
  <c r="AP211" i="1"/>
  <c r="AQ211" i="1"/>
  <c r="AR211" i="1"/>
  <c r="AS211" i="1"/>
  <c r="AT211" i="1"/>
  <c r="AU211" i="1"/>
  <c r="AV211" i="1"/>
  <c r="AW211" i="1"/>
  <c r="AX211" i="1"/>
  <c r="AY211" i="1"/>
  <c r="AZ211" i="1"/>
  <c r="BA211" i="1"/>
  <c r="BB211" i="1"/>
  <c r="BC211" i="1"/>
  <c r="BD211" i="1"/>
  <c r="BE211" i="1"/>
  <c r="BF211" i="1"/>
  <c r="BG211" i="1"/>
  <c r="BH211" i="1"/>
  <c r="BI211" i="1"/>
  <c r="BJ211" i="1"/>
  <c r="BK211" i="1"/>
  <c r="BL211" i="1"/>
  <c r="BM211" i="1"/>
  <c r="CY210" i="1"/>
  <c r="CX210" i="1"/>
  <c r="CW210" i="1"/>
  <c r="CV210" i="1"/>
  <c r="CU210" i="1"/>
  <c r="CT210" i="1"/>
  <c r="CS210" i="1"/>
  <c r="CR210" i="1"/>
  <c r="CQ210" i="1"/>
  <c r="CP210" i="1"/>
  <c r="CO210" i="1"/>
  <c r="CN210" i="1"/>
  <c r="CM210" i="1"/>
  <c r="CL210" i="1"/>
  <c r="CK210" i="1"/>
  <c r="CJ210" i="1"/>
  <c r="CI210" i="1"/>
  <c r="CH210" i="1"/>
  <c r="CG210" i="1"/>
  <c r="CF210" i="1"/>
  <c r="CE210" i="1"/>
  <c r="CD210" i="1"/>
  <c r="CC210" i="1"/>
  <c r="BX210" i="1"/>
  <c r="BW210" i="1"/>
  <c r="BV210" i="1"/>
  <c r="BU210" i="1"/>
  <c r="BT210" i="1"/>
  <c r="BS210" i="1"/>
  <c r="BR210" i="1"/>
  <c r="BQ210" i="1"/>
  <c r="BP210" i="1"/>
  <c r="BO210" i="1"/>
  <c r="BN210" i="1"/>
  <c r="AP210" i="1"/>
  <c r="AQ210" i="1"/>
  <c r="AR210" i="1"/>
  <c r="AS210" i="1"/>
  <c r="AT210" i="1"/>
  <c r="AU210" i="1"/>
  <c r="AV210" i="1"/>
  <c r="AW210" i="1"/>
  <c r="AX210" i="1"/>
  <c r="AY210" i="1"/>
  <c r="AZ210" i="1"/>
  <c r="BA210" i="1"/>
  <c r="BB210" i="1"/>
  <c r="BC210" i="1"/>
  <c r="BD210" i="1"/>
  <c r="BE210" i="1"/>
  <c r="BF210" i="1"/>
  <c r="BG210" i="1"/>
  <c r="BH210" i="1"/>
  <c r="BI210" i="1"/>
  <c r="BJ210" i="1"/>
  <c r="BK210" i="1"/>
  <c r="BL210" i="1"/>
  <c r="BM210" i="1"/>
  <c r="CY209" i="1"/>
  <c r="CX209" i="1"/>
  <c r="CW209" i="1"/>
  <c r="CV209" i="1"/>
  <c r="CU209" i="1"/>
  <c r="CT209" i="1"/>
  <c r="CS209" i="1"/>
  <c r="CR209" i="1"/>
  <c r="CQ209" i="1"/>
  <c r="CP209" i="1"/>
  <c r="CO209" i="1"/>
  <c r="CN209" i="1"/>
  <c r="CM209" i="1"/>
  <c r="CL209" i="1"/>
  <c r="CK209" i="1"/>
  <c r="CJ209" i="1"/>
  <c r="CI209" i="1"/>
  <c r="CH209" i="1"/>
  <c r="CG209" i="1"/>
  <c r="CF209" i="1"/>
  <c r="CE209" i="1"/>
  <c r="CD209" i="1"/>
  <c r="CC209" i="1"/>
  <c r="BX209" i="1"/>
  <c r="BW209" i="1"/>
  <c r="BV209" i="1"/>
  <c r="BU209" i="1"/>
  <c r="BT209" i="1"/>
  <c r="BS209" i="1"/>
  <c r="BR209" i="1"/>
  <c r="BQ209" i="1"/>
  <c r="BP209" i="1"/>
  <c r="BO209" i="1"/>
  <c r="BN209" i="1"/>
  <c r="BY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CY208" i="1"/>
  <c r="CX208" i="1"/>
  <c r="CW208" i="1"/>
  <c r="CV208" i="1"/>
  <c r="CU208" i="1"/>
  <c r="CT208" i="1"/>
  <c r="CS208" i="1"/>
  <c r="CR208" i="1"/>
  <c r="CQ208" i="1"/>
  <c r="CP208" i="1"/>
  <c r="CO208" i="1"/>
  <c r="CN208" i="1"/>
  <c r="CM208" i="1"/>
  <c r="CL208" i="1"/>
  <c r="CK208" i="1"/>
  <c r="CJ208" i="1"/>
  <c r="CI208" i="1"/>
  <c r="CH208" i="1"/>
  <c r="CG208" i="1"/>
  <c r="CF208" i="1"/>
  <c r="CE208" i="1"/>
  <c r="CD208" i="1"/>
  <c r="CC208" i="1"/>
  <c r="BX208" i="1"/>
  <c r="BW208" i="1"/>
  <c r="BV208" i="1"/>
  <c r="BU208" i="1"/>
  <c r="BT208" i="1"/>
  <c r="BS208" i="1"/>
  <c r="BR208" i="1"/>
  <c r="BQ208" i="1"/>
  <c r="BP208" i="1"/>
  <c r="BO208" i="1"/>
  <c r="BN208" i="1"/>
  <c r="BM208" i="1"/>
  <c r="BL208" i="1"/>
  <c r="BK208" i="1"/>
  <c r="BJ208" i="1"/>
  <c r="BI208" i="1"/>
  <c r="BH208" i="1"/>
  <c r="BG208" i="1"/>
  <c r="BF208" i="1"/>
  <c r="BE208" i="1"/>
  <c r="BD208" i="1"/>
  <c r="BC208" i="1"/>
  <c r="BB208" i="1"/>
  <c r="BA208" i="1"/>
  <c r="AZ208" i="1"/>
  <c r="AY208" i="1"/>
  <c r="AX208" i="1"/>
  <c r="AW208" i="1"/>
  <c r="AV208" i="1"/>
  <c r="AU208" i="1"/>
  <c r="AT208" i="1"/>
  <c r="AS208" i="1"/>
  <c r="AR208" i="1"/>
  <c r="AQ208" i="1"/>
  <c r="AP208" i="1"/>
  <c r="CY207" i="1"/>
  <c r="CX207" i="1"/>
  <c r="CW207" i="1"/>
  <c r="CV207" i="1"/>
  <c r="CU207" i="1"/>
  <c r="CT207" i="1"/>
  <c r="CS207" i="1"/>
  <c r="CR207" i="1"/>
  <c r="CQ207" i="1"/>
  <c r="CP207" i="1"/>
  <c r="CO207" i="1"/>
  <c r="CN207" i="1"/>
  <c r="CM207" i="1"/>
  <c r="CL207" i="1"/>
  <c r="CK207" i="1"/>
  <c r="CJ207" i="1"/>
  <c r="CI207" i="1"/>
  <c r="CH207" i="1"/>
  <c r="CG207" i="1"/>
  <c r="CF207" i="1"/>
  <c r="CE207" i="1"/>
  <c r="CD207" i="1"/>
  <c r="CC207" i="1"/>
  <c r="BX207" i="1"/>
  <c r="BW207" i="1"/>
  <c r="BV207" i="1"/>
  <c r="BU207" i="1"/>
  <c r="BT207" i="1"/>
  <c r="BS207" i="1"/>
  <c r="BR207" i="1"/>
  <c r="BQ207" i="1"/>
  <c r="BP207" i="1"/>
  <c r="BO207" i="1"/>
  <c r="BN207" i="1"/>
  <c r="AP207" i="1"/>
  <c r="AQ207" i="1"/>
  <c r="AR207" i="1"/>
  <c r="AS207" i="1"/>
  <c r="AT207" i="1"/>
  <c r="AU207" i="1"/>
  <c r="AV207" i="1"/>
  <c r="AW207" i="1"/>
  <c r="AX207" i="1"/>
  <c r="AY207" i="1"/>
  <c r="AZ207" i="1"/>
  <c r="BA207" i="1"/>
  <c r="BB207" i="1"/>
  <c r="BC207" i="1"/>
  <c r="BD207" i="1"/>
  <c r="BE207" i="1"/>
  <c r="BF207" i="1"/>
  <c r="BG207" i="1"/>
  <c r="BH207" i="1"/>
  <c r="BI207" i="1"/>
  <c r="BJ207" i="1"/>
  <c r="BK207" i="1"/>
  <c r="BL207" i="1"/>
  <c r="BM207" i="1"/>
  <c r="CY206" i="1"/>
  <c r="CX206" i="1"/>
  <c r="CW206" i="1"/>
  <c r="CV206" i="1"/>
  <c r="CU206" i="1"/>
  <c r="CT206" i="1"/>
  <c r="CS206" i="1"/>
  <c r="CR206" i="1"/>
  <c r="CQ206" i="1"/>
  <c r="CP206" i="1"/>
  <c r="CO206" i="1"/>
  <c r="CN206" i="1"/>
  <c r="CM206" i="1"/>
  <c r="CL206" i="1"/>
  <c r="CK206" i="1"/>
  <c r="CJ206" i="1"/>
  <c r="CI206" i="1"/>
  <c r="CH206" i="1"/>
  <c r="CG206" i="1"/>
  <c r="CF206" i="1"/>
  <c r="CE206" i="1"/>
  <c r="CC206" i="1"/>
  <c r="CD206" i="1"/>
  <c r="BX206" i="1"/>
  <c r="BW206" i="1"/>
  <c r="BV206" i="1"/>
  <c r="BU206" i="1"/>
  <c r="BT206" i="1"/>
  <c r="BS206" i="1"/>
  <c r="BR206" i="1"/>
  <c r="BQ206" i="1"/>
  <c r="BP206" i="1"/>
  <c r="BO206" i="1"/>
  <c r="BN206" i="1"/>
  <c r="BM206" i="1"/>
  <c r="BL206" i="1"/>
  <c r="BK206" i="1"/>
  <c r="BJ206" i="1"/>
  <c r="BI206" i="1"/>
  <c r="BH206" i="1"/>
  <c r="BG206" i="1"/>
  <c r="BF206" i="1"/>
  <c r="BE206" i="1"/>
  <c r="BD206" i="1"/>
  <c r="BC206" i="1"/>
  <c r="BB206" i="1"/>
  <c r="BA206" i="1"/>
  <c r="AZ206" i="1"/>
  <c r="AY206" i="1"/>
  <c r="AX206" i="1"/>
  <c r="AW206" i="1"/>
  <c r="AV206" i="1"/>
  <c r="AU206" i="1"/>
  <c r="AT206" i="1"/>
  <c r="AS206" i="1"/>
  <c r="AR206" i="1"/>
  <c r="AQ206" i="1"/>
  <c r="AP206" i="1"/>
  <c r="CY205" i="1"/>
  <c r="CX205" i="1"/>
  <c r="CW205" i="1"/>
  <c r="CV205" i="1"/>
  <c r="CU205" i="1"/>
  <c r="CT205" i="1"/>
  <c r="CS205" i="1"/>
  <c r="CR205" i="1"/>
  <c r="CQ205" i="1"/>
  <c r="CP205" i="1"/>
  <c r="CO205" i="1"/>
  <c r="CN205" i="1"/>
  <c r="CM205" i="1"/>
  <c r="CL205" i="1"/>
  <c r="CK205" i="1"/>
  <c r="CJ205" i="1"/>
  <c r="CI205" i="1"/>
  <c r="CH205" i="1"/>
  <c r="CG205" i="1"/>
  <c r="CF205" i="1"/>
  <c r="CE205" i="1"/>
  <c r="CD205" i="1"/>
  <c r="CC205" i="1"/>
  <c r="BX205" i="1"/>
  <c r="BW205" i="1"/>
  <c r="BV205" i="1"/>
  <c r="BU205" i="1"/>
  <c r="BT205" i="1"/>
  <c r="BS205" i="1"/>
  <c r="BR205" i="1"/>
  <c r="BQ205" i="1"/>
  <c r="BP205" i="1"/>
  <c r="BO205" i="1"/>
  <c r="BN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A205" i="1"/>
  <c r="CY204" i="1"/>
  <c r="CX204" i="1"/>
  <c r="CW204" i="1"/>
  <c r="CV204" i="1"/>
  <c r="CU204" i="1"/>
  <c r="CT204" i="1"/>
  <c r="CS204" i="1"/>
  <c r="CR204" i="1"/>
  <c r="CQ204" i="1"/>
  <c r="CP204" i="1"/>
  <c r="CO204" i="1"/>
  <c r="CN204" i="1"/>
  <c r="CM204" i="1"/>
  <c r="CL204" i="1"/>
  <c r="CK204" i="1"/>
  <c r="CJ204" i="1"/>
  <c r="CI204" i="1"/>
  <c r="CH204" i="1"/>
  <c r="CG204" i="1"/>
  <c r="CF204" i="1"/>
  <c r="CE204" i="1"/>
  <c r="CD204" i="1"/>
  <c r="CC204" i="1"/>
  <c r="CB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CY203" i="1"/>
  <c r="CX203" i="1"/>
  <c r="CW203" i="1"/>
  <c r="CV203" i="1"/>
  <c r="CU203" i="1"/>
  <c r="CT203" i="1"/>
  <c r="CS203" i="1"/>
  <c r="CR203" i="1"/>
  <c r="CQ203" i="1"/>
  <c r="CP203" i="1"/>
  <c r="CO203" i="1"/>
  <c r="CN203" i="1"/>
  <c r="CM203" i="1"/>
  <c r="CL203" i="1"/>
  <c r="CK203" i="1"/>
  <c r="CJ203" i="1"/>
  <c r="CI203" i="1"/>
  <c r="CH203" i="1"/>
  <c r="CG203" i="1"/>
  <c r="CF203" i="1"/>
  <c r="CE203" i="1"/>
  <c r="CD203" i="1"/>
  <c r="CC203" i="1"/>
  <c r="BX203" i="1"/>
  <c r="BW203" i="1"/>
  <c r="BV203" i="1"/>
  <c r="BU203" i="1"/>
  <c r="BT203" i="1"/>
  <c r="BS203" i="1"/>
  <c r="BR203" i="1"/>
  <c r="BQ203" i="1"/>
  <c r="BN203" i="1"/>
  <c r="BO203" i="1"/>
  <c r="BP203" i="1"/>
  <c r="BY203" i="1"/>
  <c r="BZ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CY202" i="1"/>
  <c r="CX202" i="1"/>
  <c r="CW202" i="1"/>
  <c r="CV202" i="1"/>
  <c r="CU202" i="1"/>
  <c r="CT202" i="1"/>
  <c r="CS202" i="1"/>
  <c r="CR202" i="1"/>
  <c r="CQ202" i="1"/>
  <c r="CP202" i="1"/>
  <c r="CO202" i="1"/>
  <c r="CN202" i="1"/>
  <c r="CM202" i="1"/>
  <c r="CL202" i="1"/>
  <c r="CK202" i="1"/>
  <c r="CJ202" i="1"/>
  <c r="CI202" i="1"/>
  <c r="CH202" i="1"/>
  <c r="CG202" i="1"/>
  <c r="CF202" i="1"/>
  <c r="CE202" i="1"/>
  <c r="CC202" i="1"/>
  <c r="CD202" i="1"/>
  <c r="CB202" i="1"/>
  <c r="BX202" i="1"/>
  <c r="BW202" i="1"/>
  <c r="BV202" i="1"/>
  <c r="BU202" i="1"/>
  <c r="BT202" i="1"/>
  <c r="BS202" i="1"/>
  <c r="BR202" i="1"/>
  <c r="BQ202" i="1"/>
  <c r="BP202" i="1"/>
  <c r="BO202" i="1"/>
  <c r="BN202" i="1"/>
  <c r="BM202" i="1"/>
  <c r="BL202" i="1"/>
  <c r="BK202" i="1"/>
  <c r="BJ202" i="1"/>
  <c r="BI202" i="1"/>
  <c r="BH202" i="1"/>
  <c r="BG202" i="1"/>
  <c r="BF202" i="1"/>
  <c r="BE202" i="1"/>
  <c r="BD202" i="1"/>
  <c r="BC202" i="1"/>
  <c r="BB202" i="1"/>
  <c r="BA202" i="1"/>
  <c r="AZ202" i="1"/>
  <c r="AY202" i="1"/>
  <c r="AX202" i="1"/>
  <c r="AW202" i="1"/>
  <c r="AV202" i="1"/>
  <c r="AU202" i="1"/>
  <c r="AT202" i="1"/>
  <c r="AS202" i="1"/>
  <c r="AR202" i="1"/>
  <c r="AQ202" i="1"/>
  <c r="AP202" i="1"/>
  <c r="CY201" i="1"/>
  <c r="CX201" i="1"/>
  <c r="CW201" i="1"/>
  <c r="CV201" i="1"/>
  <c r="CU201" i="1"/>
  <c r="CT201" i="1"/>
  <c r="CS201" i="1"/>
  <c r="CR201" i="1"/>
  <c r="CQ201" i="1"/>
  <c r="CP201" i="1"/>
  <c r="CO201" i="1"/>
  <c r="CN201" i="1"/>
  <c r="CM201" i="1"/>
  <c r="CL201" i="1"/>
  <c r="CK201" i="1"/>
  <c r="CJ201" i="1"/>
  <c r="CI201" i="1"/>
  <c r="CH201" i="1"/>
  <c r="CG201" i="1"/>
  <c r="CF201" i="1"/>
  <c r="CE201" i="1"/>
  <c r="CD201" i="1"/>
  <c r="CC201" i="1"/>
  <c r="CB201" i="1"/>
  <c r="BX201" i="1"/>
  <c r="BW201" i="1"/>
  <c r="BV201" i="1"/>
  <c r="BU201" i="1"/>
  <c r="BT201" i="1"/>
  <c r="BS201" i="1"/>
  <c r="BR201" i="1"/>
  <c r="BQ201" i="1"/>
  <c r="BN201" i="1"/>
  <c r="BO201" i="1"/>
  <c r="BP201" i="1"/>
  <c r="BY201" i="1"/>
  <c r="BZ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CY200" i="1"/>
  <c r="CX200" i="1"/>
  <c r="CW200" i="1"/>
  <c r="CV200" i="1"/>
  <c r="CU200" i="1"/>
  <c r="CT200" i="1"/>
  <c r="CS200" i="1"/>
  <c r="CR200" i="1"/>
  <c r="CQ200" i="1"/>
  <c r="CP200" i="1"/>
  <c r="CO200" i="1"/>
  <c r="CN200" i="1"/>
  <c r="CM200" i="1"/>
  <c r="CL200" i="1"/>
  <c r="CK200" i="1"/>
  <c r="CJ200" i="1"/>
  <c r="CI200" i="1"/>
  <c r="CH200" i="1"/>
  <c r="CG200" i="1"/>
  <c r="CF200" i="1"/>
  <c r="CE200" i="1"/>
  <c r="CD200" i="1"/>
  <c r="CC200" i="1"/>
  <c r="CB200" i="1"/>
  <c r="BX200" i="1"/>
  <c r="BW200" i="1"/>
  <c r="BV200" i="1"/>
  <c r="BU200" i="1"/>
  <c r="BT200" i="1"/>
  <c r="BS200" i="1"/>
  <c r="BR200" i="1"/>
  <c r="BQ200" i="1"/>
  <c r="BP200" i="1"/>
  <c r="BO200" i="1"/>
  <c r="BN200" i="1"/>
  <c r="BM200" i="1"/>
  <c r="BL200" i="1"/>
  <c r="BK200" i="1"/>
  <c r="BJ200" i="1"/>
  <c r="BI200" i="1"/>
  <c r="BH200" i="1"/>
  <c r="BG200" i="1"/>
  <c r="BF200" i="1"/>
  <c r="BE200" i="1"/>
  <c r="BD200" i="1"/>
  <c r="BC200" i="1"/>
  <c r="BB200" i="1"/>
  <c r="BA200" i="1"/>
  <c r="AZ200" i="1"/>
  <c r="AY200" i="1"/>
  <c r="AX200" i="1"/>
  <c r="AW200" i="1"/>
  <c r="AV200" i="1"/>
  <c r="AU200" i="1"/>
  <c r="AT200" i="1"/>
  <c r="AS200" i="1"/>
  <c r="AR200" i="1"/>
  <c r="AQ200" i="1"/>
  <c r="AP200" i="1"/>
  <c r="CY199" i="1"/>
  <c r="CX199" i="1"/>
  <c r="CW199" i="1"/>
  <c r="CV199" i="1"/>
  <c r="CU199" i="1"/>
  <c r="CT199" i="1"/>
  <c r="CS199" i="1"/>
  <c r="CR199" i="1"/>
  <c r="CQ199" i="1"/>
  <c r="CP199" i="1"/>
  <c r="CO199" i="1"/>
  <c r="CN199" i="1"/>
  <c r="CM199" i="1"/>
  <c r="CL199" i="1"/>
  <c r="CK199" i="1"/>
  <c r="CJ199" i="1"/>
  <c r="CI199" i="1"/>
  <c r="CH199" i="1"/>
  <c r="CG199" i="1"/>
  <c r="CF199" i="1"/>
  <c r="CE199" i="1"/>
  <c r="CD199" i="1"/>
  <c r="CC199" i="1"/>
  <c r="BX199" i="1"/>
  <c r="BW199" i="1"/>
  <c r="BV199" i="1"/>
  <c r="BU199" i="1"/>
  <c r="BT199" i="1"/>
  <c r="BS199" i="1"/>
  <c r="BR199" i="1"/>
  <c r="BQ199" i="1"/>
  <c r="BP199" i="1"/>
  <c r="BN199" i="1"/>
  <c r="BO199" i="1"/>
  <c r="BY199" i="1"/>
  <c r="BM199" i="1"/>
  <c r="BL199" i="1"/>
  <c r="BK199" i="1"/>
  <c r="BJ199" i="1"/>
  <c r="BI199" i="1"/>
  <c r="BH199" i="1"/>
  <c r="BG199" i="1"/>
  <c r="BF199" i="1"/>
  <c r="BE199" i="1"/>
  <c r="BD199" i="1"/>
  <c r="BC199" i="1"/>
  <c r="BB199" i="1"/>
  <c r="BA199" i="1"/>
  <c r="AZ199" i="1"/>
  <c r="AY199" i="1"/>
  <c r="AX199" i="1"/>
  <c r="AW199" i="1"/>
  <c r="AV199" i="1"/>
  <c r="AU199" i="1"/>
  <c r="AT199" i="1"/>
  <c r="AS199" i="1"/>
  <c r="AR199" i="1"/>
  <c r="AQ199" i="1"/>
  <c r="AP199" i="1"/>
  <c r="CY198" i="1"/>
  <c r="CX198" i="1"/>
  <c r="CW198" i="1"/>
  <c r="CV198" i="1"/>
  <c r="CU198" i="1"/>
  <c r="CT198" i="1"/>
  <c r="CS198" i="1"/>
  <c r="CR198" i="1"/>
  <c r="CQ198" i="1"/>
  <c r="CP198" i="1"/>
  <c r="CO198" i="1"/>
  <c r="CN198" i="1"/>
  <c r="CM198" i="1"/>
  <c r="CL198" i="1"/>
  <c r="CK198" i="1"/>
  <c r="CJ198" i="1"/>
  <c r="CI198" i="1"/>
  <c r="CH198" i="1"/>
  <c r="CG198" i="1"/>
  <c r="CF198" i="1"/>
  <c r="CE198" i="1"/>
  <c r="CC198" i="1"/>
  <c r="CD198" i="1"/>
  <c r="CB198" i="1"/>
  <c r="BX198" i="1"/>
  <c r="BW198" i="1"/>
  <c r="BV198" i="1"/>
  <c r="BU198" i="1"/>
  <c r="BT198" i="1"/>
  <c r="BS198" i="1"/>
  <c r="BR198" i="1"/>
  <c r="BQ198" i="1"/>
  <c r="BP198" i="1"/>
  <c r="BN198" i="1"/>
  <c r="BO198" i="1"/>
  <c r="BY198" i="1"/>
  <c r="BM198" i="1"/>
  <c r="BL198" i="1"/>
  <c r="BK198" i="1"/>
  <c r="BJ198" i="1"/>
  <c r="BI198" i="1"/>
  <c r="BH198" i="1"/>
  <c r="BG198" i="1"/>
  <c r="BF198" i="1"/>
  <c r="BE198" i="1"/>
  <c r="BD198" i="1"/>
  <c r="BC198" i="1"/>
  <c r="BB198" i="1"/>
  <c r="BA198" i="1"/>
  <c r="AZ198" i="1"/>
  <c r="AY198" i="1"/>
  <c r="AX198" i="1"/>
  <c r="AW198" i="1"/>
  <c r="AV198" i="1"/>
  <c r="AU198" i="1"/>
  <c r="AT198" i="1"/>
  <c r="AS198" i="1"/>
  <c r="AR198" i="1"/>
  <c r="AQ198" i="1"/>
  <c r="AP198" i="1"/>
  <c r="CY197" i="1"/>
  <c r="CX197" i="1"/>
  <c r="CW197" i="1"/>
  <c r="CV197" i="1"/>
  <c r="CU197" i="1"/>
  <c r="CT197" i="1"/>
  <c r="CS197" i="1"/>
  <c r="CR197" i="1"/>
  <c r="CQ197" i="1"/>
  <c r="CP197" i="1"/>
  <c r="CO197" i="1"/>
  <c r="CN197" i="1"/>
  <c r="CM197" i="1"/>
  <c r="CL197" i="1"/>
  <c r="CK197" i="1"/>
  <c r="CJ197" i="1"/>
  <c r="CI197" i="1"/>
  <c r="CH197" i="1"/>
  <c r="CG197" i="1"/>
  <c r="CF197" i="1"/>
  <c r="CE197" i="1"/>
  <c r="CD197" i="1"/>
  <c r="CC197" i="1"/>
  <c r="CB197" i="1"/>
  <c r="BX197" i="1"/>
  <c r="BW197" i="1"/>
  <c r="BV197" i="1"/>
  <c r="BU197" i="1"/>
  <c r="BT197" i="1"/>
  <c r="BS197" i="1"/>
  <c r="BR197" i="1"/>
  <c r="BQ197" i="1"/>
  <c r="BP197" i="1"/>
  <c r="BO197" i="1"/>
  <c r="BN197" i="1"/>
  <c r="BY197" i="1"/>
  <c r="BZ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CY196" i="1"/>
  <c r="CX196" i="1"/>
  <c r="CW196" i="1"/>
  <c r="CV196" i="1"/>
  <c r="CU196" i="1"/>
  <c r="CT196" i="1"/>
  <c r="CS196" i="1"/>
  <c r="CR196" i="1"/>
  <c r="CQ196" i="1"/>
  <c r="CP196" i="1"/>
  <c r="CO196" i="1"/>
  <c r="CN196" i="1"/>
  <c r="CM196" i="1"/>
  <c r="CL196" i="1"/>
  <c r="CK196" i="1"/>
  <c r="CJ196" i="1"/>
  <c r="CI196" i="1"/>
  <c r="CH196" i="1"/>
  <c r="CG196" i="1"/>
  <c r="CF196" i="1"/>
  <c r="CE196" i="1"/>
  <c r="CD196" i="1"/>
  <c r="CC196" i="1"/>
  <c r="BX196" i="1"/>
  <c r="BW196" i="1"/>
  <c r="BV196" i="1"/>
  <c r="BU196" i="1"/>
  <c r="BT196" i="1"/>
  <c r="BS196" i="1"/>
  <c r="BR196" i="1"/>
  <c r="BQ196" i="1"/>
  <c r="BP196" i="1"/>
  <c r="BO196" i="1"/>
  <c r="BN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CY195" i="1"/>
  <c r="CX195" i="1"/>
  <c r="CW195" i="1"/>
  <c r="CV195" i="1"/>
  <c r="CU195" i="1"/>
  <c r="CT195" i="1"/>
  <c r="CS195" i="1"/>
  <c r="CR195" i="1"/>
  <c r="CQ195" i="1"/>
  <c r="CP195" i="1"/>
  <c r="CO195" i="1"/>
  <c r="CN195" i="1"/>
  <c r="CM195" i="1"/>
  <c r="CL195" i="1"/>
  <c r="CK195" i="1"/>
  <c r="CJ195" i="1"/>
  <c r="CI195" i="1"/>
  <c r="CH195" i="1"/>
  <c r="CG195" i="1"/>
  <c r="CF195" i="1"/>
  <c r="CE195" i="1"/>
  <c r="CD195" i="1"/>
  <c r="CC195" i="1"/>
  <c r="BX195" i="1"/>
  <c r="BW195" i="1"/>
  <c r="BV195" i="1"/>
  <c r="BU195" i="1"/>
  <c r="BT195" i="1"/>
  <c r="BS195" i="1"/>
  <c r="BR195" i="1"/>
  <c r="BQ195" i="1"/>
  <c r="BP195" i="1"/>
  <c r="BO195" i="1"/>
  <c r="BN195" i="1"/>
  <c r="BM195" i="1"/>
  <c r="BL195" i="1"/>
  <c r="BK195" i="1"/>
  <c r="BJ195" i="1"/>
  <c r="BI195" i="1"/>
  <c r="BH195" i="1"/>
  <c r="BG195" i="1"/>
  <c r="BF195" i="1"/>
  <c r="BE195" i="1"/>
  <c r="BD195" i="1"/>
  <c r="BC195" i="1"/>
  <c r="BB195" i="1"/>
  <c r="BA195" i="1"/>
  <c r="AZ195" i="1"/>
  <c r="AY195" i="1"/>
  <c r="AX195" i="1"/>
  <c r="AW195" i="1"/>
  <c r="AV195" i="1"/>
  <c r="AU195" i="1"/>
  <c r="AT195" i="1"/>
  <c r="AS195" i="1"/>
  <c r="AR195" i="1"/>
  <c r="AQ195" i="1"/>
  <c r="AP195" i="1"/>
  <c r="CY194" i="1"/>
  <c r="CX194" i="1"/>
  <c r="CW194" i="1"/>
  <c r="CV194" i="1"/>
  <c r="CU194" i="1"/>
  <c r="CT194" i="1"/>
  <c r="CS194" i="1"/>
  <c r="CR194" i="1"/>
  <c r="CQ194" i="1"/>
  <c r="CP194" i="1"/>
  <c r="CO194" i="1"/>
  <c r="CN194" i="1"/>
  <c r="CM194" i="1"/>
  <c r="CL194" i="1"/>
  <c r="CK194" i="1"/>
  <c r="CJ194" i="1"/>
  <c r="CI194" i="1"/>
  <c r="CH194" i="1"/>
  <c r="CG194" i="1"/>
  <c r="CF194" i="1"/>
  <c r="CE194" i="1"/>
  <c r="CD194" i="1"/>
  <c r="CC194" i="1"/>
  <c r="CB194" i="1"/>
  <c r="BX194" i="1"/>
  <c r="BW194" i="1"/>
  <c r="BV194" i="1"/>
  <c r="BU194" i="1"/>
  <c r="BT194" i="1"/>
  <c r="BS194" i="1"/>
  <c r="BR194" i="1"/>
  <c r="BQ194" i="1"/>
  <c r="BP194" i="1"/>
  <c r="BO194" i="1"/>
  <c r="BN194" i="1"/>
  <c r="BM194" i="1"/>
  <c r="BL194" i="1"/>
  <c r="BK194" i="1"/>
  <c r="BJ194" i="1"/>
  <c r="BI194" i="1"/>
  <c r="BH194" i="1"/>
  <c r="BG194" i="1"/>
  <c r="BF194" i="1"/>
  <c r="BE194" i="1"/>
  <c r="BD194" i="1"/>
  <c r="BC194" i="1"/>
  <c r="BB194" i="1"/>
  <c r="BA194" i="1"/>
  <c r="AZ194" i="1"/>
  <c r="AY194" i="1"/>
  <c r="AX194" i="1"/>
  <c r="AW194" i="1"/>
  <c r="AV194" i="1"/>
  <c r="AU194" i="1"/>
  <c r="AT194" i="1"/>
  <c r="AS194" i="1"/>
  <c r="AR194" i="1"/>
  <c r="AQ194" i="1"/>
  <c r="AP194" i="1"/>
  <c r="CY193" i="1"/>
  <c r="CX193" i="1"/>
  <c r="CW193" i="1"/>
  <c r="CV193" i="1"/>
  <c r="CU193" i="1"/>
  <c r="CT193" i="1"/>
  <c r="CS193" i="1"/>
  <c r="CR193" i="1"/>
  <c r="CQ193" i="1"/>
  <c r="CP193" i="1"/>
  <c r="CO193" i="1"/>
  <c r="CN193" i="1"/>
  <c r="CM193" i="1"/>
  <c r="CL193" i="1"/>
  <c r="CK193" i="1"/>
  <c r="CJ193" i="1"/>
  <c r="CI193" i="1"/>
  <c r="CH193" i="1"/>
  <c r="CG193" i="1"/>
  <c r="CF193" i="1"/>
  <c r="CE193" i="1"/>
  <c r="CD193" i="1"/>
  <c r="CC193" i="1"/>
  <c r="BX193" i="1"/>
  <c r="BW193" i="1"/>
  <c r="BV193" i="1"/>
  <c r="BU193" i="1"/>
  <c r="BT193" i="1"/>
  <c r="BS193" i="1"/>
  <c r="BR193" i="1"/>
  <c r="BQ193" i="1"/>
  <c r="BP193" i="1"/>
  <c r="BN193" i="1"/>
  <c r="BO193" i="1"/>
  <c r="BY193" i="1"/>
  <c r="BZ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CA193" i="1"/>
  <c r="CY192" i="1"/>
  <c r="CX192" i="1"/>
  <c r="CW192" i="1"/>
  <c r="CV192" i="1"/>
  <c r="CU192" i="1"/>
  <c r="CT192" i="1"/>
  <c r="CS192" i="1"/>
  <c r="CR192" i="1"/>
  <c r="CQ192" i="1"/>
  <c r="CP192" i="1"/>
  <c r="CO192" i="1"/>
  <c r="CN192" i="1"/>
  <c r="CM192" i="1"/>
  <c r="CL192" i="1"/>
  <c r="CK192" i="1"/>
  <c r="CJ192" i="1"/>
  <c r="CI192" i="1"/>
  <c r="CH192" i="1"/>
  <c r="CG192" i="1"/>
  <c r="CF192" i="1"/>
  <c r="CE192" i="1"/>
  <c r="CD192" i="1"/>
  <c r="CC192" i="1"/>
  <c r="BX192" i="1"/>
  <c r="BW192" i="1"/>
  <c r="BV192" i="1"/>
  <c r="BU192" i="1"/>
  <c r="BT192" i="1"/>
  <c r="BS192" i="1"/>
  <c r="BR192" i="1"/>
  <c r="BQ192" i="1"/>
  <c r="BN192" i="1"/>
  <c r="BO192" i="1"/>
  <c r="BP192" i="1"/>
  <c r="BY192" i="1"/>
  <c r="BZ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CA192" i="1"/>
  <c r="CY191" i="1"/>
  <c r="CX191" i="1"/>
  <c r="CW191" i="1"/>
  <c r="CV191" i="1"/>
  <c r="CU191" i="1"/>
  <c r="CT191" i="1"/>
  <c r="CS191" i="1"/>
  <c r="CR191" i="1"/>
  <c r="CQ191" i="1"/>
  <c r="CP191" i="1"/>
  <c r="CO191" i="1"/>
  <c r="CN191" i="1"/>
  <c r="CM191" i="1"/>
  <c r="CL191" i="1"/>
  <c r="CK191" i="1"/>
  <c r="CJ191" i="1"/>
  <c r="CI191" i="1"/>
  <c r="CH191" i="1"/>
  <c r="CG191" i="1"/>
  <c r="CF191" i="1"/>
  <c r="CE191" i="1"/>
  <c r="CC191" i="1"/>
  <c r="CD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CY190" i="1"/>
  <c r="CX190" i="1"/>
  <c r="CW190" i="1"/>
  <c r="CV190" i="1"/>
  <c r="CU190" i="1"/>
  <c r="CT190" i="1"/>
  <c r="CS190" i="1"/>
  <c r="CR190" i="1"/>
  <c r="CQ190" i="1"/>
  <c r="CP190" i="1"/>
  <c r="CO190" i="1"/>
  <c r="CN190" i="1"/>
  <c r="CM190" i="1"/>
  <c r="CL190" i="1"/>
  <c r="CK190" i="1"/>
  <c r="CJ190" i="1"/>
  <c r="CI190" i="1"/>
  <c r="CH190" i="1"/>
  <c r="CG190" i="1"/>
  <c r="CF190" i="1"/>
  <c r="CE190" i="1"/>
  <c r="CD190" i="1"/>
  <c r="CC190" i="1"/>
  <c r="CB190" i="1"/>
  <c r="BX190" i="1"/>
  <c r="BW190" i="1"/>
  <c r="BV190" i="1"/>
  <c r="BU190" i="1"/>
  <c r="BT190" i="1"/>
  <c r="BS190" i="1"/>
  <c r="BR190" i="1"/>
  <c r="BQ190" i="1"/>
  <c r="BP190" i="1"/>
  <c r="BO190" i="1"/>
  <c r="BN190" i="1"/>
  <c r="BY190" i="1"/>
  <c r="BZ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CY189" i="1"/>
  <c r="CX189" i="1"/>
  <c r="CW189" i="1"/>
  <c r="CV189" i="1"/>
  <c r="CU189" i="1"/>
  <c r="CT189" i="1"/>
  <c r="CS189" i="1"/>
  <c r="CR189" i="1"/>
  <c r="CQ189" i="1"/>
  <c r="CP189" i="1"/>
  <c r="CO189" i="1"/>
  <c r="CN189" i="1"/>
  <c r="CM189" i="1"/>
  <c r="CL189" i="1"/>
  <c r="CK189" i="1"/>
  <c r="CJ189" i="1"/>
  <c r="CI189" i="1"/>
  <c r="CH189" i="1"/>
  <c r="CG189" i="1"/>
  <c r="CF189" i="1"/>
  <c r="CE189" i="1"/>
  <c r="CD189" i="1"/>
  <c r="CC189" i="1"/>
  <c r="CB189" i="1"/>
  <c r="BX189" i="1"/>
  <c r="BW189" i="1"/>
  <c r="BV189" i="1"/>
  <c r="BU189" i="1"/>
  <c r="BT189" i="1"/>
  <c r="BS189" i="1"/>
  <c r="BR189" i="1"/>
  <c r="BQ189" i="1"/>
  <c r="BP189" i="1"/>
  <c r="BO189" i="1"/>
  <c r="BN189" i="1"/>
  <c r="BY189" i="1"/>
  <c r="BZ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CA189" i="1"/>
  <c r="CY188" i="1"/>
  <c r="CX188" i="1"/>
  <c r="CW188" i="1"/>
  <c r="CV188" i="1"/>
  <c r="CU188" i="1"/>
  <c r="CT188" i="1"/>
  <c r="CS188" i="1"/>
  <c r="CR188" i="1"/>
  <c r="CQ188" i="1"/>
  <c r="CP188" i="1"/>
  <c r="CO188" i="1"/>
  <c r="CN188" i="1"/>
  <c r="CM188" i="1"/>
  <c r="CL188" i="1"/>
  <c r="CK188" i="1"/>
  <c r="CJ188" i="1"/>
  <c r="CI188" i="1"/>
  <c r="CH188" i="1"/>
  <c r="CG188" i="1"/>
  <c r="CF188" i="1"/>
  <c r="CE188" i="1"/>
  <c r="CD188" i="1"/>
  <c r="CC188" i="1"/>
  <c r="BX188" i="1"/>
  <c r="BW188" i="1"/>
  <c r="BV188" i="1"/>
  <c r="BU188" i="1"/>
  <c r="BT188" i="1"/>
  <c r="BS188" i="1"/>
  <c r="BR188" i="1"/>
  <c r="BQ188" i="1"/>
  <c r="BN188" i="1"/>
  <c r="BO188" i="1"/>
  <c r="BP188" i="1"/>
  <c r="BY188" i="1"/>
  <c r="BZ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CA188" i="1"/>
  <c r="CY187" i="1"/>
  <c r="CX187" i="1"/>
  <c r="CW187" i="1"/>
  <c r="CV187" i="1"/>
  <c r="CU187" i="1"/>
  <c r="CT187" i="1"/>
  <c r="CS187" i="1"/>
  <c r="CR187" i="1"/>
  <c r="CQ187" i="1"/>
  <c r="CP187" i="1"/>
  <c r="CO187" i="1"/>
  <c r="CN187" i="1"/>
  <c r="CM187" i="1"/>
  <c r="CL187" i="1"/>
  <c r="CK187" i="1"/>
  <c r="CJ187" i="1"/>
  <c r="CI187" i="1"/>
  <c r="CH187" i="1"/>
  <c r="CG187" i="1"/>
  <c r="CF187" i="1"/>
  <c r="CC187" i="1"/>
  <c r="CD187" i="1"/>
  <c r="CE187" i="1"/>
  <c r="CB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A187" i="1"/>
  <c r="N1" i="1"/>
  <c r="CY186" i="1"/>
  <c r="CX186" i="1"/>
  <c r="CW186" i="1"/>
  <c r="CV186" i="1"/>
  <c r="CU186" i="1"/>
  <c r="CT186" i="1"/>
  <c r="CS186" i="1"/>
  <c r="CR186" i="1"/>
  <c r="CQ186" i="1"/>
  <c r="CP186" i="1"/>
  <c r="CO186" i="1"/>
  <c r="CN186" i="1"/>
  <c r="CM186" i="1"/>
  <c r="CL186" i="1"/>
  <c r="CK186" i="1"/>
  <c r="CJ186" i="1"/>
  <c r="CI186" i="1"/>
  <c r="CH186" i="1"/>
  <c r="CG186" i="1"/>
  <c r="CF186" i="1"/>
  <c r="CE186" i="1"/>
  <c r="CC186" i="1"/>
  <c r="CD186" i="1"/>
  <c r="BX186" i="1"/>
  <c r="BN186" i="1"/>
  <c r="BO186" i="1"/>
  <c r="BP186" i="1"/>
  <c r="BQ186" i="1"/>
  <c r="BR186" i="1"/>
  <c r="BS186" i="1"/>
  <c r="BT186" i="1"/>
  <c r="BU186" i="1"/>
  <c r="BV186" i="1"/>
  <c r="BW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CY185" i="1"/>
  <c r="CX185" i="1"/>
  <c r="CW185" i="1"/>
  <c r="CV185" i="1"/>
  <c r="CU185" i="1"/>
  <c r="CT185" i="1"/>
  <c r="CS185" i="1"/>
  <c r="CR185" i="1"/>
  <c r="CQ185" i="1"/>
  <c r="CP185" i="1"/>
  <c r="CO185" i="1"/>
  <c r="CN185" i="1"/>
  <c r="CM185" i="1"/>
  <c r="CL185" i="1"/>
  <c r="CK185" i="1"/>
  <c r="CJ185" i="1"/>
  <c r="CI185" i="1"/>
  <c r="CH185" i="1"/>
  <c r="CG185" i="1"/>
  <c r="CF185" i="1"/>
  <c r="CE185" i="1"/>
  <c r="CD185" i="1"/>
  <c r="CC185" i="1"/>
  <c r="BX185" i="1"/>
  <c r="BW185" i="1"/>
  <c r="BV185" i="1"/>
  <c r="BU185" i="1"/>
  <c r="BT185" i="1"/>
  <c r="BS185" i="1"/>
  <c r="BR185" i="1"/>
  <c r="BN185" i="1"/>
  <c r="BO185" i="1"/>
  <c r="BP185" i="1"/>
  <c r="BQ185" i="1"/>
  <c r="BY185" i="1"/>
  <c r="BZ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CA185" i="1"/>
  <c r="CY184" i="1"/>
  <c r="CX184" i="1"/>
  <c r="CW184" i="1"/>
  <c r="CV184" i="1"/>
  <c r="CU184" i="1"/>
  <c r="CT184" i="1"/>
  <c r="CS184" i="1"/>
  <c r="CR184" i="1"/>
  <c r="CQ184" i="1"/>
  <c r="CP184" i="1"/>
  <c r="CO184" i="1"/>
  <c r="CN184" i="1"/>
  <c r="CM184" i="1"/>
  <c r="CL184" i="1"/>
  <c r="CK184" i="1"/>
  <c r="CJ184" i="1"/>
  <c r="CI184" i="1"/>
  <c r="CH184" i="1"/>
  <c r="CG184" i="1"/>
  <c r="CF184" i="1"/>
  <c r="CE184" i="1"/>
  <c r="CD184" i="1"/>
  <c r="CC184" i="1"/>
  <c r="CB184" i="1"/>
  <c r="BX184" i="1"/>
  <c r="BW184" i="1"/>
  <c r="BV184" i="1"/>
  <c r="BU184" i="1"/>
  <c r="BT184" i="1"/>
  <c r="BS184" i="1"/>
  <c r="BR184" i="1"/>
  <c r="BQ184" i="1"/>
  <c r="BP184" i="1"/>
  <c r="BO184" i="1"/>
  <c r="BN184" i="1"/>
  <c r="BY184" i="1"/>
  <c r="BZ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CY183" i="1"/>
  <c r="CX183" i="1"/>
  <c r="CW183" i="1"/>
  <c r="CV183" i="1"/>
  <c r="CU183" i="1"/>
  <c r="CT183" i="1"/>
  <c r="CS183" i="1"/>
  <c r="CR183" i="1"/>
  <c r="CQ183" i="1"/>
  <c r="CP183" i="1"/>
  <c r="CO183" i="1"/>
  <c r="CN183" i="1"/>
  <c r="CM183" i="1"/>
  <c r="CL183" i="1"/>
  <c r="CK183" i="1"/>
  <c r="CJ183" i="1"/>
  <c r="CI183" i="1"/>
  <c r="CH183" i="1"/>
  <c r="CG183" i="1"/>
  <c r="CF183" i="1"/>
  <c r="CE183" i="1"/>
  <c r="CC183" i="1"/>
  <c r="CD183" i="1"/>
  <c r="CB183" i="1"/>
  <c r="BX183" i="1"/>
  <c r="BW183" i="1"/>
  <c r="BV183" i="1"/>
  <c r="BU183" i="1"/>
  <c r="BT183" i="1"/>
  <c r="BS183" i="1"/>
  <c r="BR183" i="1"/>
  <c r="BQ183" i="1"/>
  <c r="BP183" i="1"/>
  <c r="BO183" i="1"/>
  <c r="BN183" i="1"/>
  <c r="BY183" i="1"/>
  <c r="BM183" i="1"/>
  <c r="BL183" i="1"/>
  <c r="BK183" i="1"/>
  <c r="BJ183" i="1"/>
  <c r="BI183" i="1"/>
  <c r="BH183" i="1"/>
  <c r="BG183" i="1"/>
  <c r="BF183" i="1"/>
  <c r="BE183" i="1"/>
  <c r="BD183" i="1"/>
  <c r="BC183" i="1"/>
  <c r="BB183" i="1"/>
  <c r="BA183" i="1"/>
  <c r="AZ183" i="1"/>
  <c r="AY183" i="1"/>
  <c r="AX183" i="1"/>
  <c r="AW183" i="1"/>
  <c r="AV183" i="1"/>
  <c r="AU183" i="1"/>
  <c r="AT183" i="1"/>
  <c r="AS183" i="1"/>
  <c r="AR183" i="1"/>
  <c r="AQ183" i="1"/>
  <c r="AP183" i="1"/>
  <c r="CY182" i="1"/>
  <c r="CX182" i="1"/>
  <c r="CW182" i="1"/>
  <c r="CV182" i="1"/>
  <c r="CU182" i="1"/>
  <c r="CT182" i="1"/>
  <c r="CS182" i="1"/>
  <c r="CR182" i="1"/>
  <c r="CQ182" i="1"/>
  <c r="CP182" i="1"/>
  <c r="CO182" i="1"/>
  <c r="CN182" i="1"/>
  <c r="CM182" i="1"/>
  <c r="CL182" i="1"/>
  <c r="CK182" i="1"/>
  <c r="CJ182" i="1"/>
  <c r="CI182" i="1"/>
  <c r="CH182" i="1"/>
  <c r="CG182" i="1"/>
  <c r="CF182" i="1"/>
  <c r="CE182" i="1"/>
  <c r="CD182" i="1"/>
  <c r="CC182" i="1"/>
  <c r="CB182" i="1"/>
  <c r="BX182" i="1"/>
  <c r="BW182" i="1"/>
  <c r="BV182" i="1"/>
  <c r="BU182" i="1"/>
  <c r="BT182" i="1"/>
  <c r="BS182" i="1"/>
  <c r="BR182" i="1"/>
  <c r="BQ182" i="1"/>
  <c r="BP182" i="1"/>
  <c r="BO182" i="1"/>
  <c r="BN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CY181" i="1"/>
  <c r="CX181" i="1"/>
  <c r="CW181" i="1"/>
  <c r="CV181" i="1"/>
  <c r="CU181" i="1"/>
  <c r="CT181" i="1"/>
  <c r="CS181" i="1"/>
  <c r="CR181" i="1"/>
  <c r="CQ181" i="1"/>
  <c r="CP181" i="1"/>
  <c r="CO181" i="1"/>
  <c r="CN181" i="1"/>
  <c r="CM181" i="1"/>
  <c r="CL181" i="1"/>
  <c r="CK181" i="1"/>
  <c r="CJ181" i="1"/>
  <c r="CI181" i="1"/>
  <c r="CH181" i="1"/>
  <c r="CG181" i="1"/>
  <c r="CF181" i="1"/>
  <c r="CE181" i="1"/>
  <c r="CD181" i="1"/>
  <c r="CC181" i="1"/>
  <c r="CB181" i="1"/>
  <c r="BX181" i="1"/>
  <c r="BW181" i="1"/>
  <c r="BV181" i="1"/>
  <c r="BU181" i="1"/>
  <c r="BT181" i="1"/>
  <c r="BS181" i="1"/>
  <c r="BR181" i="1"/>
  <c r="BQ181" i="1"/>
  <c r="BN181" i="1"/>
  <c r="BO181" i="1"/>
  <c r="BP181" i="1"/>
  <c r="BY181" i="1"/>
  <c r="BZ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CA181" i="1"/>
  <c r="CY180" i="1"/>
  <c r="CX180" i="1"/>
  <c r="CW180" i="1"/>
  <c r="CV180" i="1"/>
  <c r="CU180" i="1"/>
  <c r="CT180" i="1"/>
  <c r="CS180" i="1"/>
  <c r="CR180" i="1"/>
  <c r="CQ180" i="1"/>
  <c r="CP180" i="1"/>
  <c r="CO180" i="1"/>
  <c r="CN180" i="1"/>
  <c r="CM180" i="1"/>
  <c r="CL180" i="1"/>
  <c r="CK180" i="1"/>
  <c r="CJ180" i="1"/>
  <c r="CI180" i="1"/>
  <c r="CH180" i="1"/>
  <c r="CG180" i="1"/>
  <c r="CF180" i="1"/>
  <c r="CE180" i="1"/>
  <c r="CD180" i="1"/>
  <c r="CC180" i="1"/>
  <c r="CB180" i="1"/>
  <c r="BN180" i="1"/>
  <c r="BO180" i="1"/>
  <c r="BP180" i="1"/>
  <c r="BQ180" i="1"/>
  <c r="BR180" i="1"/>
  <c r="BS180" i="1"/>
  <c r="BT180" i="1"/>
  <c r="BU180" i="1"/>
  <c r="BV180" i="1"/>
  <c r="BW180" i="1"/>
  <c r="BX180" i="1"/>
  <c r="BY180" i="1"/>
  <c r="BZ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CA180" i="1"/>
  <c r="CY179" i="1"/>
  <c r="CX179" i="1"/>
  <c r="CW179" i="1"/>
  <c r="CV179" i="1"/>
  <c r="CU179" i="1"/>
  <c r="CT179" i="1"/>
  <c r="CS179" i="1"/>
  <c r="CR179" i="1"/>
  <c r="CQ179" i="1"/>
  <c r="CP179" i="1"/>
  <c r="CO179" i="1"/>
  <c r="CN179" i="1"/>
  <c r="CM179" i="1"/>
  <c r="CL179" i="1"/>
  <c r="CK179" i="1"/>
  <c r="CJ179" i="1"/>
  <c r="CI179" i="1"/>
  <c r="CH179" i="1"/>
  <c r="CG179" i="1"/>
  <c r="CF179" i="1"/>
  <c r="CE179" i="1"/>
  <c r="CD179" i="1"/>
  <c r="CC179" i="1"/>
  <c r="BX179" i="1"/>
  <c r="BN179" i="1"/>
  <c r="BO179" i="1"/>
  <c r="BP179" i="1"/>
  <c r="BQ179" i="1"/>
  <c r="BR179" i="1"/>
  <c r="BS179" i="1"/>
  <c r="BT179" i="1"/>
  <c r="BU179" i="1"/>
  <c r="BV179" i="1"/>
  <c r="BW179" i="1"/>
  <c r="BY179" i="1"/>
  <c r="BZ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CA179" i="1"/>
  <c r="CY178" i="1"/>
  <c r="CX178" i="1"/>
  <c r="CW178" i="1"/>
  <c r="CV178" i="1"/>
  <c r="CU178" i="1"/>
  <c r="CT178" i="1"/>
  <c r="CS178" i="1"/>
  <c r="CR178" i="1"/>
  <c r="CQ178" i="1"/>
  <c r="CP178" i="1"/>
  <c r="CO178" i="1"/>
  <c r="CN178" i="1"/>
  <c r="CM178" i="1"/>
  <c r="CL178" i="1"/>
  <c r="CK178" i="1"/>
  <c r="CJ178" i="1"/>
  <c r="CI178" i="1"/>
  <c r="CH178" i="1"/>
  <c r="CG178" i="1"/>
  <c r="CF178" i="1"/>
  <c r="CE178" i="1"/>
  <c r="CD178" i="1"/>
  <c r="CC178" i="1"/>
  <c r="CB178" i="1"/>
  <c r="BX178" i="1"/>
  <c r="BW178" i="1"/>
  <c r="BV178" i="1"/>
  <c r="BU178" i="1"/>
  <c r="BT178" i="1"/>
  <c r="BS178" i="1"/>
  <c r="BR178" i="1"/>
  <c r="BQ178" i="1"/>
  <c r="BP178" i="1"/>
  <c r="BO178" i="1"/>
  <c r="BN178" i="1"/>
  <c r="BY178" i="1"/>
  <c r="BZ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CA178" i="1"/>
  <c r="CY177" i="1"/>
  <c r="CX177" i="1"/>
  <c r="CW177" i="1"/>
  <c r="CV177" i="1"/>
  <c r="CU177" i="1"/>
  <c r="CT177" i="1"/>
  <c r="CS177" i="1"/>
  <c r="CR177" i="1"/>
  <c r="CQ177" i="1"/>
  <c r="CP177" i="1"/>
  <c r="CO177" i="1"/>
  <c r="CN177" i="1"/>
  <c r="CM177" i="1"/>
  <c r="CL177" i="1"/>
  <c r="CK177" i="1"/>
  <c r="CJ177" i="1"/>
  <c r="CI177" i="1"/>
  <c r="CH177" i="1"/>
  <c r="CG177" i="1"/>
  <c r="CF177" i="1"/>
  <c r="CE177" i="1"/>
  <c r="CD177" i="1"/>
  <c r="CC177" i="1"/>
  <c r="CB177" i="1"/>
  <c r="BX177" i="1"/>
  <c r="BW177" i="1"/>
  <c r="BV177" i="1"/>
  <c r="BU177" i="1"/>
  <c r="BT177" i="1"/>
  <c r="BS177" i="1"/>
  <c r="BR177" i="1"/>
  <c r="BQ177" i="1"/>
  <c r="BN177" i="1"/>
  <c r="BO177" i="1"/>
  <c r="BP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CY176" i="1"/>
  <c r="CX176" i="1"/>
  <c r="CW176" i="1"/>
  <c r="CV176" i="1"/>
  <c r="CU176" i="1"/>
  <c r="CT176" i="1"/>
  <c r="CS176" i="1"/>
  <c r="CR176" i="1"/>
  <c r="CQ176" i="1"/>
  <c r="CP176" i="1"/>
  <c r="CO176" i="1"/>
  <c r="CN176" i="1"/>
  <c r="CM176" i="1"/>
  <c r="CL176" i="1"/>
  <c r="CK176" i="1"/>
  <c r="CJ176" i="1"/>
  <c r="CI176" i="1"/>
  <c r="CH176" i="1"/>
  <c r="CG176" i="1"/>
  <c r="CF176" i="1"/>
  <c r="CE176" i="1"/>
  <c r="CD176" i="1"/>
  <c r="CC176" i="1"/>
  <c r="BX176" i="1"/>
  <c r="BW176" i="1"/>
  <c r="BV176" i="1"/>
  <c r="BU176" i="1"/>
  <c r="BT176" i="1"/>
  <c r="BS176" i="1"/>
  <c r="BR176" i="1"/>
  <c r="BQ176" i="1"/>
  <c r="BP176" i="1"/>
  <c r="BO176" i="1"/>
  <c r="BN176" i="1"/>
  <c r="BY176" i="1"/>
  <c r="BZ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CA176" i="1"/>
  <c r="CY175" i="1"/>
  <c r="CX175" i="1"/>
  <c r="CW175" i="1"/>
  <c r="CV175" i="1"/>
  <c r="CU175" i="1"/>
  <c r="CT175" i="1"/>
  <c r="CS175" i="1"/>
  <c r="CR175" i="1"/>
  <c r="CQ175" i="1"/>
  <c r="CP175" i="1"/>
  <c r="CO175" i="1"/>
  <c r="CN175" i="1"/>
  <c r="CM175" i="1"/>
  <c r="CL175" i="1"/>
  <c r="CK175" i="1"/>
  <c r="CJ175" i="1"/>
  <c r="CI175" i="1"/>
  <c r="CH175" i="1"/>
  <c r="CG175" i="1"/>
  <c r="CF175" i="1"/>
  <c r="CE175" i="1"/>
  <c r="CD175" i="1"/>
  <c r="CC175" i="1"/>
  <c r="BX175" i="1"/>
  <c r="BW175" i="1"/>
  <c r="BV175" i="1"/>
  <c r="BU175" i="1"/>
  <c r="BT175" i="1"/>
  <c r="BS175" i="1"/>
  <c r="BR175" i="1"/>
  <c r="BQ175" i="1"/>
  <c r="BP175" i="1"/>
  <c r="BO175" i="1"/>
  <c r="BN175" i="1"/>
  <c r="BY175" i="1"/>
  <c r="BZ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CA175" i="1"/>
  <c r="CY174" i="1"/>
  <c r="CX174" i="1"/>
  <c r="CW174" i="1"/>
  <c r="CV174" i="1"/>
  <c r="CU174" i="1"/>
  <c r="CT174" i="1"/>
  <c r="CS174" i="1"/>
  <c r="CR174" i="1"/>
  <c r="CQ174" i="1"/>
  <c r="CP174" i="1"/>
  <c r="CO174" i="1"/>
  <c r="CN174" i="1"/>
  <c r="CM174" i="1"/>
  <c r="CL174" i="1"/>
  <c r="CK174" i="1"/>
  <c r="CJ174" i="1"/>
  <c r="CI174" i="1"/>
  <c r="CH174" i="1"/>
  <c r="CG174" i="1"/>
  <c r="CF174" i="1"/>
  <c r="CE174" i="1"/>
  <c r="CD174" i="1"/>
  <c r="CC174" i="1"/>
  <c r="BX174" i="1"/>
  <c r="BW174" i="1"/>
  <c r="BV174" i="1"/>
  <c r="BU174" i="1"/>
  <c r="BT174" i="1"/>
  <c r="BS174" i="1"/>
  <c r="BR174" i="1"/>
  <c r="BQ174" i="1"/>
  <c r="BP174" i="1"/>
  <c r="BN174" i="1"/>
  <c r="BO174" i="1"/>
  <c r="BY174" i="1"/>
  <c r="BZ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CA174" i="1"/>
  <c r="CY173" i="1"/>
  <c r="CX173" i="1"/>
  <c r="CW173" i="1"/>
  <c r="CV173" i="1"/>
  <c r="CU173" i="1"/>
  <c r="CT173" i="1"/>
  <c r="CS173" i="1"/>
  <c r="CR173" i="1"/>
  <c r="CQ173" i="1"/>
  <c r="CP173" i="1"/>
  <c r="CO173" i="1"/>
  <c r="CN173" i="1"/>
  <c r="CM173" i="1"/>
  <c r="CL173" i="1"/>
  <c r="CK173" i="1"/>
  <c r="CJ173" i="1"/>
  <c r="CI173" i="1"/>
  <c r="CH173" i="1"/>
  <c r="CG173" i="1"/>
  <c r="CF173" i="1"/>
  <c r="CE173" i="1"/>
  <c r="CD173" i="1"/>
  <c r="CC173" i="1"/>
  <c r="CB173" i="1"/>
  <c r="BX173" i="1"/>
  <c r="BW173" i="1"/>
  <c r="BV173" i="1"/>
  <c r="BU173" i="1"/>
  <c r="BT173" i="1"/>
  <c r="BS173" i="1"/>
  <c r="BR173" i="1"/>
  <c r="BQ173" i="1"/>
  <c r="BN173" i="1"/>
  <c r="BO173" i="1"/>
  <c r="BP173" i="1"/>
  <c r="BY173" i="1"/>
  <c r="BZ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CA173" i="1"/>
  <c r="CY172" i="1"/>
  <c r="CX172" i="1"/>
  <c r="CW172" i="1"/>
  <c r="CV172" i="1"/>
  <c r="CU172" i="1"/>
  <c r="CT172" i="1"/>
  <c r="CS172" i="1"/>
  <c r="CR172" i="1"/>
  <c r="CQ172" i="1"/>
  <c r="CP172" i="1"/>
  <c r="CO172" i="1"/>
  <c r="CN172" i="1"/>
  <c r="CM172" i="1"/>
  <c r="CL172" i="1"/>
  <c r="CK172" i="1"/>
  <c r="CJ172" i="1"/>
  <c r="CI172" i="1"/>
  <c r="CH172" i="1"/>
  <c r="CG172" i="1"/>
  <c r="CF172" i="1"/>
  <c r="CC172" i="1"/>
  <c r="CD172" i="1"/>
  <c r="CE172" i="1"/>
  <c r="CB172" i="1"/>
  <c r="BN172" i="1"/>
  <c r="BO172" i="1"/>
  <c r="BP172" i="1"/>
  <c r="BQ172" i="1"/>
  <c r="BR172" i="1"/>
  <c r="BS172" i="1"/>
  <c r="BT172" i="1"/>
  <c r="BU172" i="1"/>
  <c r="BV172" i="1"/>
  <c r="BW172" i="1"/>
  <c r="BX172" i="1"/>
  <c r="BY172" i="1"/>
  <c r="BZ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CA172" i="1"/>
  <c r="CY171" i="1"/>
  <c r="CX171" i="1"/>
  <c r="CW171" i="1"/>
  <c r="CV171" i="1"/>
  <c r="CU171" i="1"/>
  <c r="CT171" i="1"/>
  <c r="CS171" i="1"/>
  <c r="CR171" i="1"/>
  <c r="CQ171" i="1"/>
  <c r="CP171" i="1"/>
  <c r="CO171" i="1"/>
  <c r="CN171" i="1"/>
  <c r="CM171" i="1"/>
  <c r="CL171" i="1"/>
  <c r="CK171" i="1"/>
  <c r="CJ171" i="1"/>
  <c r="CI171" i="1"/>
  <c r="CH171" i="1"/>
  <c r="CG171" i="1"/>
  <c r="CF171" i="1"/>
  <c r="CE171" i="1"/>
  <c r="CD171" i="1"/>
  <c r="CC171" i="1"/>
  <c r="BX171" i="1"/>
  <c r="BW171" i="1"/>
  <c r="BV171" i="1"/>
  <c r="BU171" i="1"/>
  <c r="BT171" i="1"/>
  <c r="BS171" i="1"/>
  <c r="BR171" i="1"/>
  <c r="BQ171" i="1"/>
  <c r="BP171" i="1"/>
  <c r="BO171" i="1"/>
  <c r="BN171" i="1"/>
  <c r="BY171" i="1"/>
  <c r="BZ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CA171" i="1"/>
  <c r="CY170" i="1"/>
  <c r="CX170" i="1"/>
  <c r="CW170" i="1"/>
  <c r="CV170" i="1"/>
  <c r="CU170" i="1"/>
  <c r="CT170" i="1"/>
  <c r="CS170" i="1"/>
  <c r="CR170" i="1"/>
  <c r="CQ170" i="1"/>
  <c r="CP170" i="1"/>
  <c r="CO170" i="1"/>
  <c r="CN170" i="1"/>
  <c r="CM170" i="1"/>
  <c r="CL170" i="1"/>
  <c r="CK170" i="1"/>
  <c r="CJ170" i="1"/>
  <c r="CI170" i="1"/>
  <c r="CH170" i="1"/>
  <c r="CG170" i="1"/>
  <c r="CF170" i="1"/>
  <c r="CE170" i="1"/>
  <c r="CC170" i="1"/>
  <c r="CD170" i="1"/>
  <c r="CB170" i="1"/>
  <c r="BX170" i="1"/>
  <c r="BN170" i="1"/>
  <c r="BO170" i="1"/>
  <c r="BP170" i="1"/>
  <c r="BQ170" i="1"/>
  <c r="BR170" i="1"/>
  <c r="BS170" i="1"/>
  <c r="BT170" i="1"/>
  <c r="BU170" i="1"/>
  <c r="BV170" i="1"/>
  <c r="BW170" i="1"/>
  <c r="BY170" i="1"/>
  <c r="BZ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CA170" i="1"/>
  <c r="CY169" i="1"/>
  <c r="CX169" i="1"/>
  <c r="CW169" i="1"/>
  <c r="CV169" i="1"/>
  <c r="CU169" i="1"/>
  <c r="CT169" i="1"/>
  <c r="CS169" i="1"/>
  <c r="CR169" i="1"/>
  <c r="CQ169" i="1"/>
  <c r="CP169" i="1"/>
  <c r="CO169" i="1"/>
  <c r="CN169" i="1"/>
  <c r="CM169" i="1"/>
  <c r="CL169" i="1"/>
  <c r="CK169" i="1"/>
  <c r="CJ169" i="1"/>
  <c r="CI169" i="1"/>
  <c r="CH169" i="1"/>
  <c r="CG169" i="1"/>
  <c r="CF169" i="1"/>
  <c r="CE169" i="1"/>
  <c r="CC169" i="1"/>
  <c r="CD169" i="1"/>
  <c r="CB169" i="1"/>
  <c r="BX169" i="1"/>
  <c r="BW169" i="1"/>
  <c r="BV169" i="1"/>
  <c r="BU169" i="1"/>
  <c r="BT169" i="1"/>
  <c r="BS169" i="1"/>
  <c r="BR169" i="1"/>
  <c r="BQ169" i="1"/>
  <c r="BN169" i="1"/>
  <c r="BO169" i="1"/>
  <c r="BP169" i="1"/>
  <c r="BY169" i="1"/>
  <c r="BZ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CA169" i="1"/>
  <c r="CY168" i="1"/>
  <c r="CX168" i="1"/>
  <c r="CW168" i="1"/>
  <c r="CV168" i="1"/>
  <c r="CU168" i="1"/>
  <c r="CT168" i="1"/>
  <c r="CS168" i="1"/>
  <c r="CR168" i="1"/>
  <c r="CQ168" i="1"/>
  <c r="CP168" i="1"/>
  <c r="CO168" i="1"/>
  <c r="CN168" i="1"/>
  <c r="CM168" i="1"/>
  <c r="CL168" i="1"/>
  <c r="CK168" i="1"/>
  <c r="CJ168" i="1"/>
  <c r="CI168" i="1"/>
  <c r="CH168" i="1"/>
  <c r="CG168" i="1"/>
  <c r="CF168" i="1"/>
  <c r="CC168" i="1"/>
  <c r="CD168" i="1"/>
  <c r="CE168" i="1"/>
  <c r="CB168" i="1"/>
  <c r="BX168" i="1"/>
  <c r="BW168" i="1"/>
  <c r="BV168" i="1"/>
  <c r="BU168" i="1"/>
  <c r="BT168" i="1"/>
  <c r="BS168" i="1"/>
  <c r="BR168" i="1"/>
  <c r="BQ168" i="1"/>
  <c r="BP168" i="1"/>
  <c r="BN168" i="1"/>
  <c r="BO168" i="1"/>
  <c r="BY168" i="1"/>
  <c r="BZ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CA168" i="1"/>
  <c r="CY167" i="1"/>
  <c r="CX167" i="1"/>
  <c r="CW167" i="1"/>
  <c r="CV167" i="1"/>
  <c r="CU167" i="1"/>
  <c r="CT167" i="1"/>
  <c r="CS167" i="1"/>
  <c r="CR167" i="1"/>
  <c r="CQ167" i="1"/>
  <c r="CP167" i="1"/>
  <c r="CO167" i="1"/>
  <c r="CN167" i="1"/>
  <c r="CM167" i="1"/>
  <c r="CL167" i="1"/>
  <c r="CK167" i="1"/>
  <c r="CJ167" i="1"/>
  <c r="CI167" i="1"/>
  <c r="CH167" i="1"/>
  <c r="CG167" i="1"/>
  <c r="CF167" i="1"/>
  <c r="CE167" i="1"/>
  <c r="CC167" i="1"/>
  <c r="CD167" i="1"/>
  <c r="CB167" i="1"/>
  <c r="BX167" i="1"/>
  <c r="BW167" i="1"/>
  <c r="BV167" i="1"/>
  <c r="BU167" i="1"/>
  <c r="BT167" i="1"/>
  <c r="BS167" i="1"/>
  <c r="BR167" i="1"/>
  <c r="BQ167" i="1"/>
  <c r="BP167" i="1"/>
  <c r="BO167" i="1"/>
  <c r="BN167" i="1"/>
  <c r="BY167" i="1"/>
  <c r="BZ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CA167" i="1"/>
  <c r="CY166" i="1"/>
  <c r="CX166" i="1"/>
  <c r="CW166" i="1"/>
  <c r="CV166" i="1"/>
  <c r="CU166" i="1"/>
  <c r="CT166" i="1"/>
  <c r="CS166" i="1"/>
  <c r="CR166" i="1"/>
  <c r="CQ166" i="1"/>
  <c r="CP166" i="1"/>
  <c r="CO166" i="1"/>
  <c r="CN166" i="1"/>
  <c r="CM166" i="1"/>
  <c r="CL166" i="1"/>
  <c r="CK166" i="1"/>
  <c r="CJ166" i="1"/>
  <c r="CI166" i="1"/>
  <c r="CH166" i="1"/>
  <c r="CG166" i="1"/>
  <c r="CF166" i="1"/>
  <c r="CE166" i="1"/>
  <c r="CC166" i="1"/>
  <c r="CD166" i="1"/>
  <c r="BX166" i="1"/>
  <c r="BW166" i="1"/>
  <c r="BV166" i="1"/>
  <c r="BU166" i="1"/>
  <c r="BT166" i="1"/>
  <c r="BS166" i="1"/>
  <c r="BR166" i="1"/>
  <c r="BQ166" i="1"/>
  <c r="BP166" i="1"/>
  <c r="BO166" i="1"/>
  <c r="BN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CY165" i="1"/>
  <c r="CX165" i="1"/>
  <c r="CW165" i="1"/>
  <c r="CV165" i="1"/>
  <c r="CU165" i="1"/>
  <c r="CT165" i="1"/>
  <c r="CS165" i="1"/>
  <c r="CR165" i="1"/>
  <c r="CQ165" i="1"/>
  <c r="CP165" i="1"/>
  <c r="CO165" i="1"/>
  <c r="CN165" i="1"/>
  <c r="CM165" i="1"/>
  <c r="CL165" i="1"/>
  <c r="CK165" i="1"/>
  <c r="CJ165" i="1"/>
  <c r="CI165" i="1"/>
  <c r="CH165" i="1"/>
  <c r="CG165" i="1"/>
  <c r="CF165" i="1"/>
  <c r="CE165" i="1"/>
  <c r="CC165" i="1"/>
  <c r="CD165" i="1"/>
  <c r="CB165" i="1"/>
  <c r="BX165" i="1"/>
  <c r="BW165" i="1"/>
  <c r="BV165" i="1"/>
  <c r="BU165" i="1"/>
  <c r="BT165" i="1"/>
  <c r="BS165" i="1"/>
  <c r="BR165" i="1"/>
  <c r="BQ165" i="1"/>
  <c r="BN165" i="1"/>
  <c r="BO165" i="1"/>
  <c r="BP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CY164" i="1"/>
  <c r="CX164" i="1"/>
  <c r="CW164" i="1"/>
  <c r="CV164" i="1"/>
  <c r="CU164" i="1"/>
  <c r="CT164" i="1"/>
  <c r="CS164" i="1"/>
  <c r="CR164" i="1"/>
  <c r="CQ164" i="1"/>
  <c r="CP164" i="1"/>
  <c r="CO164" i="1"/>
  <c r="CN164" i="1"/>
  <c r="CM164" i="1"/>
  <c r="CL164" i="1"/>
  <c r="CK164" i="1"/>
  <c r="CJ164" i="1"/>
  <c r="CI164" i="1"/>
  <c r="CH164" i="1"/>
  <c r="CG164" i="1"/>
  <c r="CF164" i="1"/>
  <c r="CE164" i="1"/>
  <c r="CD164" i="1"/>
  <c r="CC164" i="1"/>
  <c r="CB164" i="1"/>
  <c r="BN164" i="1"/>
  <c r="BO164" i="1"/>
  <c r="BP164" i="1"/>
  <c r="BQ164" i="1"/>
  <c r="BR164" i="1"/>
  <c r="BS164" i="1"/>
  <c r="BT164" i="1"/>
  <c r="BU164" i="1"/>
  <c r="BV164" i="1"/>
  <c r="BW164" i="1"/>
  <c r="BX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CY163" i="1"/>
  <c r="CX163" i="1"/>
  <c r="CW163" i="1"/>
  <c r="CV163" i="1"/>
  <c r="CU163" i="1"/>
  <c r="CT163" i="1"/>
  <c r="CS163" i="1"/>
  <c r="CR163" i="1"/>
  <c r="CQ163" i="1"/>
  <c r="CP163" i="1"/>
  <c r="CO163" i="1"/>
  <c r="CN163" i="1"/>
  <c r="CM163" i="1"/>
  <c r="CL163" i="1"/>
  <c r="CK163" i="1"/>
  <c r="CJ163" i="1"/>
  <c r="CI163" i="1"/>
  <c r="CH163" i="1"/>
  <c r="CG163" i="1"/>
  <c r="CF163" i="1"/>
  <c r="CE163" i="1"/>
  <c r="CD163" i="1"/>
  <c r="CC163" i="1"/>
  <c r="CB163" i="1"/>
  <c r="BX163" i="1"/>
  <c r="BW163" i="1"/>
  <c r="BV163" i="1"/>
  <c r="BU163" i="1"/>
  <c r="BT163" i="1"/>
  <c r="BS163" i="1"/>
  <c r="BR163" i="1"/>
  <c r="BQ163" i="1"/>
  <c r="BP163" i="1"/>
  <c r="BO163" i="1"/>
  <c r="BN163" i="1"/>
  <c r="BM163" i="1"/>
  <c r="BL163" i="1"/>
  <c r="BK163" i="1"/>
  <c r="BJ163" i="1"/>
  <c r="BI163" i="1"/>
  <c r="BH163" i="1"/>
  <c r="BG163" i="1"/>
  <c r="BF163" i="1"/>
  <c r="BE163" i="1"/>
  <c r="BD163" i="1"/>
  <c r="BC163" i="1"/>
  <c r="BB163" i="1"/>
  <c r="BA163" i="1"/>
  <c r="AZ163" i="1"/>
  <c r="AY163" i="1"/>
  <c r="AX163" i="1"/>
  <c r="AW163" i="1"/>
  <c r="AV163" i="1"/>
  <c r="AU163" i="1"/>
  <c r="AT163" i="1"/>
  <c r="AS163" i="1"/>
  <c r="AR163" i="1"/>
  <c r="AQ163" i="1"/>
  <c r="AP163" i="1"/>
  <c r="CY162" i="1"/>
  <c r="CX162" i="1"/>
  <c r="CW162" i="1"/>
  <c r="CV162" i="1"/>
  <c r="CU162" i="1"/>
  <c r="CT162" i="1"/>
  <c r="CS162" i="1"/>
  <c r="CR162" i="1"/>
  <c r="CQ162" i="1"/>
  <c r="CP162" i="1"/>
  <c r="CO162" i="1"/>
  <c r="CN162" i="1"/>
  <c r="CM162" i="1"/>
  <c r="CL162" i="1"/>
  <c r="CK162" i="1"/>
  <c r="CJ162" i="1"/>
  <c r="CI162" i="1"/>
  <c r="CH162" i="1"/>
  <c r="CG162" i="1"/>
  <c r="CF162" i="1"/>
  <c r="CE162" i="1"/>
  <c r="CC162" i="1"/>
  <c r="CD162" i="1"/>
  <c r="CB162" i="1"/>
  <c r="BX162" i="1"/>
  <c r="BW162" i="1"/>
  <c r="BV162" i="1"/>
  <c r="BU162" i="1"/>
  <c r="BT162" i="1"/>
  <c r="BS162" i="1"/>
  <c r="BR162" i="1"/>
  <c r="BQ162" i="1"/>
  <c r="BP162" i="1"/>
  <c r="BN162" i="1"/>
  <c r="BO162" i="1"/>
  <c r="BY162" i="1"/>
  <c r="BZ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CA162" i="1"/>
  <c r="CY161" i="1"/>
  <c r="CX161" i="1"/>
  <c r="CW161" i="1"/>
  <c r="CV161" i="1"/>
  <c r="CU161" i="1"/>
  <c r="CT161" i="1"/>
  <c r="CS161" i="1"/>
  <c r="CR161" i="1"/>
  <c r="CQ161" i="1"/>
  <c r="CP161" i="1"/>
  <c r="CO161" i="1"/>
  <c r="CN161" i="1"/>
  <c r="CM161" i="1"/>
  <c r="CL161" i="1"/>
  <c r="CK161" i="1"/>
  <c r="CJ161" i="1"/>
  <c r="CI161" i="1"/>
  <c r="CH161" i="1"/>
  <c r="CG161" i="1"/>
  <c r="CF161" i="1"/>
  <c r="CE161" i="1"/>
  <c r="CD161" i="1"/>
  <c r="CC161" i="1"/>
  <c r="CB161" i="1"/>
  <c r="BX161" i="1"/>
  <c r="BW161" i="1"/>
  <c r="BV161" i="1"/>
  <c r="BU161" i="1"/>
  <c r="BT161" i="1"/>
  <c r="BS161" i="1"/>
  <c r="BR161" i="1"/>
  <c r="BQ161" i="1"/>
  <c r="BN161" i="1"/>
  <c r="BO161" i="1"/>
  <c r="BP161" i="1"/>
  <c r="BY161" i="1"/>
  <c r="BZ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CA161" i="1"/>
  <c r="CY160" i="1"/>
  <c r="CX160" i="1"/>
  <c r="CW160" i="1"/>
  <c r="CV160" i="1"/>
  <c r="CU160" i="1"/>
  <c r="CT160" i="1"/>
  <c r="CS160" i="1"/>
  <c r="CR160" i="1"/>
  <c r="CQ160" i="1"/>
  <c r="CP160" i="1"/>
  <c r="CO160" i="1"/>
  <c r="CN160" i="1"/>
  <c r="CM160" i="1"/>
  <c r="CL160" i="1"/>
  <c r="CK160" i="1"/>
  <c r="CJ160" i="1"/>
  <c r="CI160" i="1"/>
  <c r="CH160" i="1"/>
  <c r="CG160" i="1"/>
  <c r="CF160" i="1"/>
  <c r="CE160" i="1"/>
  <c r="CD160" i="1"/>
  <c r="CC160" i="1"/>
  <c r="CB160" i="1"/>
  <c r="BX160" i="1"/>
  <c r="BW160" i="1"/>
  <c r="BV160" i="1"/>
  <c r="BU160" i="1"/>
  <c r="BT160" i="1"/>
  <c r="BS160" i="1"/>
  <c r="BR160" i="1"/>
  <c r="BQ160" i="1"/>
  <c r="BP160" i="1"/>
  <c r="BO160" i="1"/>
  <c r="BN160" i="1"/>
  <c r="BY160" i="1"/>
  <c r="BZ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CA160" i="1"/>
  <c r="CY159" i="1"/>
  <c r="CX159" i="1"/>
  <c r="CW159" i="1"/>
  <c r="CV159" i="1"/>
  <c r="CU159" i="1"/>
  <c r="CT159" i="1"/>
  <c r="CS159" i="1"/>
  <c r="CR159" i="1"/>
  <c r="CQ159" i="1"/>
  <c r="CP159" i="1"/>
  <c r="CO159" i="1"/>
  <c r="CN159" i="1"/>
  <c r="CM159" i="1"/>
  <c r="CL159" i="1"/>
  <c r="CK159" i="1"/>
  <c r="CJ159" i="1"/>
  <c r="CI159" i="1"/>
  <c r="CH159" i="1"/>
  <c r="CG159" i="1"/>
  <c r="CF159" i="1"/>
  <c r="CE159" i="1"/>
  <c r="CD159" i="1"/>
  <c r="CC159" i="1"/>
  <c r="CB159" i="1"/>
  <c r="BX159" i="1"/>
  <c r="BW159" i="1"/>
  <c r="BV159" i="1"/>
  <c r="BU159" i="1"/>
  <c r="BT159" i="1"/>
  <c r="BS159" i="1"/>
  <c r="BR159" i="1"/>
  <c r="BQ159" i="1"/>
  <c r="BP159" i="1"/>
  <c r="BO159" i="1"/>
  <c r="BN159" i="1"/>
  <c r="BM159" i="1"/>
  <c r="BL159" i="1"/>
  <c r="BK159" i="1"/>
  <c r="BJ159" i="1"/>
  <c r="BI159" i="1"/>
  <c r="BH159" i="1"/>
  <c r="BG159" i="1"/>
  <c r="BF159" i="1"/>
  <c r="BE159" i="1"/>
  <c r="BD159" i="1"/>
  <c r="BC159" i="1"/>
  <c r="BB159" i="1"/>
  <c r="BA159" i="1"/>
  <c r="AZ159" i="1"/>
  <c r="AY159" i="1"/>
  <c r="AX159" i="1"/>
  <c r="AW159" i="1"/>
  <c r="AV159" i="1"/>
  <c r="AU159" i="1"/>
  <c r="AT159" i="1"/>
  <c r="AS159" i="1"/>
  <c r="AR159" i="1"/>
  <c r="AQ159" i="1"/>
  <c r="AP159" i="1"/>
  <c r="CY158" i="1"/>
  <c r="CX158" i="1"/>
  <c r="CW158" i="1"/>
  <c r="CV158" i="1"/>
  <c r="CU158" i="1"/>
  <c r="CT158" i="1"/>
  <c r="CS158" i="1"/>
  <c r="CR158" i="1"/>
  <c r="CQ158" i="1"/>
  <c r="CP158" i="1"/>
  <c r="CO158" i="1"/>
  <c r="CN158" i="1"/>
  <c r="CM158" i="1"/>
  <c r="CL158" i="1"/>
  <c r="CK158" i="1"/>
  <c r="CJ158" i="1"/>
  <c r="CI158" i="1"/>
  <c r="CH158" i="1"/>
  <c r="CG158" i="1"/>
  <c r="CF158" i="1"/>
  <c r="CE158" i="1"/>
  <c r="CD158" i="1"/>
  <c r="CC158" i="1"/>
  <c r="BX158" i="1"/>
  <c r="BW158" i="1"/>
  <c r="BV158" i="1"/>
  <c r="BU158" i="1"/>
  <c r="BT158" i="1"/>
  <c r="BS158" i="1"/>
  <c r="BR158" i="1"/>
  <c r="BQ158" i="1"/>
  <c r="BP158" i="1"/>
  <c r="BO158" i="1"/>
  <c r="BN158" i="1"/>
  <c r="BY158" i="1"/>
  <c r="BZ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CA158" i="1"/>
  <c r="CY157" i="1"/>
  <c r="CX157" i="1"/>
  <c r="CW157" i="1"/>
  <c r="CV157" i="1"/>
  <c r="CU157" i="1"/>
  <c r="CT157" i="1"/>
  <c r="CS157" i="1"/>
  <c r="CR157" i="1"/>
  <c r="CQ157" i="1"/>
  <c r="CP157" i="1"/>
  <c r="CO157" i="1"/>
  <c r="CN157" i="1"/>
  <c r="CM157" i="1"/>
  <c r="CL157" i="1"/>
  <c r="CK157" i="1"/>
  <c r="CJ157" i="1"/>
  <c r="CI157" i="1"/>
  <c r="CH157" i="1"/>
  <c r="CG157" i="1"/>
  <c r="CF157" i="1"/>
  <c r="CE157" i="1"/>
  <c r="CD157" i="1"/>
  <c r="CC157" i="1"/>
  <c r="CB157" i="1"/>
  <c r="BX157" i="1"/>
  <c r="BW157" i="1"/>
  <c r="BV157" i="1"/>
  <c r="BU157" i="1"/>
  <c r="BT157" i="1"/>
  <c r="BS157" i="1"/>
  <c r="BR157" i="1"/>
  <c r="BQ157" i="1"/>
  <c r="BN157" i="1"/>
  <c r="BO157" i="1"/>
  <c r="BP157" i="1"/>
  <c r="BY157" i="1"/>
  <c r="BZ157" i="1"/>
  <c r="AP157" i="1"/>
  <c r="AQ157" i="1"/>
  <c r="AR157" i="1"/>
  <c r="AS157" i="1"/>
  <c r="AT157" i="1"/>
  <c r="AU157" i="1"/>
  <c r="AV157" i="1"/>
  <c r="AW157" i="1"/>
  <c r="AX157" i="1"/>
  <c r="AY157" i="1"/>
  <c r="AZ157" i="1"/>
  <c r="BA157" i="1"/>
  <c r="BB157" i="1"/>
  <c r="BC157" i="1"/>
  <c r="BD157" i="1"/>
  <c r="BE157" i="1"/>
  <c r="BF157" i="1"/>
  <c r="BG157" i="1"/>
  <c r="BH157" i="1"/>
  <c r="BI157" i="1"/>
  <c r="BJ157" i="1"/>
  <c r="BK157" i="1"/>
  <c r="BL157" i="1"/>
  <c r="BM157" i="1"/>
  <c r="CY156" i="1"/>
  <c r="CX156" i="1"/>
  <c r="CW156" i="1"/>
  <c r="CV156" i="1"/>
  <c r="CU156" i="1"/>
  <c r="CT156" i="1"/>
  <c r="CS156" i="1"/>
  <c r="CR156" i="1"/>
  <c r="CQ156" i="1"/>
  <c r="CP156" i="1"/>
  <c r="CO156" i="1"/>
  <c r="CN156" i="1"/>
  <c r="CM156" i="1"/>
  <c r="CL156" i="1"/>
  <c r="CK156" i="1"/>
  <c r="CJ156" i="1"/>
  <c r="CI156" i="1"/>
  <c r="CH156" i="1"/>
  <c r="CG156" i="1"/>
  <c r="CF156" i="1"/>
  <c r="CE156" i="1"/>
  <c r="CD156" i="1"/>
  <c r="CC156" i="1"/>
  <c r="BN156" i="1"/>
  <c r="BO156" i="1"/>
  <c r="BP156" i="1"/>
  <c r="BQ156" i="1"/>
  <c r="BR156" i="1"/>
  <c r="BS156" i="1"/>
  <c r="BT156" i="1"/>
  <c r="BU156" i="1"/>
  <c r="BV156" i="1"/>
  <c r="BW156" i="1"/>
  <c r="BX156" i="1"/>
  <c r="AP156" i="1"/>
  <c r="AQ156" i="1"/>
  <c r="AR156" i="1"/>
  <c r="AS156" i="1"/>
  <c r="AT156" i="1"/>
  <c r="AU156" i="1"/>
  <c r="AV156" i="1"/>
  <c r="AW156" i="1"/>
  <c r="AX156" i="1"/>
  <c r="AY156" i="1"/>
  <c r="AZ156" i="1"/>
  <c r="BA156" i="1"/>
  <c r="BB156" i="1"/>
  <c r="BC156" i="1"/>
  <c r="BD156" i="1"/>
  <c r="BE156" i="1"/>
  <c r="BF156" i="1"/>
  <c r="BG156" i="1"/>
  <c r="BH156" i="1"/>
  <c r="BI156" i="1"/>
  <c r="BJ156" i="1"/>
  <c r="BK156" i="1"/>
  <c r="BL156" i="1"/>
  <c r="BM156" i="1"/>
  <c r="CY155" i="1"/>
  <c r="CX155" i="1"/>
  <c r="CW155" i="1"/>
  <c r="CV155" i="1"/>
  <c r="CU155" i="1"/>
  <c r="CT155" i="1"/>
  <c r="CS155" i="1"/>
  <c r="CR155" i="1"/>
  <c r="CQ155" i="1"/>
  <c r="CP155" i="1"/>
  <c r="CO155" i="1"/>
  <c r="CN155" i="1"/>
  <c r="CM155" i="1"/>
  <c r="CL155" i="1"/>
  <c r="CK155" i="1"/>
  <c r="CJ155" i="1"/>
  <c r="CI155" i="1"/>
  <c r="CH155" i="1"/>
  <c r="CG155" i="1"/>
  <c r="CF155" i="1"/>
  <c r="CE155" i="1"/>
  <c r="CD155" i="1"/>
  <c r="CC155" i="1"/>
  <c r="BX155" i="1"/>
  <c r="BW155" i="1"/>
  <c r="BV155" i="1"/>
  <c r="BU155" i="1"/>
  <c r="BT155" i="1"/>
  <c r="BS155" i="1"/>
  <c r="BR155" i="1"/>
  <c r="BQ155" i="1"/>
  <c r="BN155" i="1"/>
  <c r="BO155" i="1"/>
  <c r="BP155" i="1"/>
  <c r="BY155" i="1"/>
  <c r="BZ155" i="1"/>
  <c r="AP155" i="1"/>
  <c r="AQ155" i="1"/>
  <c r="AR155" i="1"/>
  <c r="AS155" i="1"/>
  <c r="AT155" i="1"/>
  <c r="AU155" i="1"/>
  <c r="AV155" i="1"/>
  <c r="AW155" i="1"/>
  <c r="AX155" i="1"/>
  <c r="AY155" i="1"/>
  <c r="AZ155" i="1"/>
  <c r="BA155" i="1"/>
  <c r="BB155" i="1"/>
  <c r="BC155" i="1"/>
  <c r="BD155" i="1"/>
  <c r="BE155" i="1"/>
  <c r="BF155" i="1"/>
  <c r="BG155" i="1"/>
  <c r="BH155" i="1"/>
  <c r="BI155" i="1"/>
  <c r="BJ155" i="1"/>
  <c r="BK155" i="1"/>
  <c r="BL155" i="1"/>
  <c r="BM155" i="1"/>
  <c r="CA155" i="1"/>
  <c r="CY154" i="1"/>
  <c r="CX154" i="1"/>
  <c r="CW154" i="1"/>
  <c r="CV154" i="1"/>
  <c r="CU154" i="1"/>
  <c r="CT154" i="1"/>
  <c r="CS154" i="1"/>
  <c r="CR154" i="1"/>
  <c r="CQ154" i="1"/>
  <c r="CP154" i="1"/>
  <c r="CO154" i="1"/>
  <c r="CN154" i="1"/>
  <c r="CM154" i="1"/>
  <c r="CL154" i="1"/>
  <c r="CK154" i="1"/>
  <c r="CJ154" i="1"/>
  <c r="CI154" i="1"/>
  <c r="CH154" i="1"/>
  <c r="CG154" i="1"/>
  <c r="CF154" i="1"/>
  <c r="CE154" i="1"/>
  <c r="CC154" i="1"/>
  <c r="CD154" i="1"/>
  <c r="CB154" i="1"/>
  <c r="BX154" i="1"/>
  <c r="BW154" i="1"/>
  <c r="BV154" i="1"/>
  <c r="BU154" i="1"/>
  <c r="BT154" i="1"/>
  <c r="BS154" i="1"/>
  <c r="BR154" i="1"/>
  <c r="BQ154" i="1"/>
  <c r="BP154" i="1"/>
  <c r="BN154" i="1"/>
  <c r="BO154" i="1"/>
  <c r="BY154" i="1"/>
  <c r="BZ154" i="1"/>
  <c r="AP154" i="1"/>
  <c r="AQ154" i="1"/>
  <c r="AR154" i="1"/>
  <c r="AS154" i="1"/>
  <c r="AT154" i="1"/>
  <c r="AU154" i="1"/>
  <c r="AV154" i="1"/>
  <c r="AW154" i="1"/>
  <c r="AX154" i="1"/>
  <c r="AY154" i="1"/>
  <c r="AZ154" i="1"/>
  <c r="BA154" i="1"/>
  <c r="BB154" i="1"/>
  <c r="BC154" i="1"/>
  <c r="BD154" i="1"/>
  <c r="BE154" i="1"/>
  <c r="BF154" i="1"/>
  <c r="BG154" i="1"/>
  <c r="BH154" i="1"/>
  <c r="BI154" i="1"/>
  <c r="BJ154" i="1"/>
  <c r="BK154" i="1"/>
  <c r="BL154" i="1"/>
  <c r="BM154" i="1"/>
  <c r="CA154" i="1"/>
  <c r="CY153" i="1"/>
  <c r="CX153" i="1"/>
  <c r="CW153" i="1"/>
  <c r="CV153" i="1"/>
  <c r="CU153" i="1"/>
  <c r="CT153" i="1"/>
  <c r="CS153" i="1"/>
  <c r="CR153" i="1"/>
  <c r="CQ153" i="1"/>
  <c r="CP153" i="1"/>
  <c r="CO153" i="1"/>
  <c r="CN153" i="1"/>
  <c r="CM153" i="1"/>
  <c r="CL153" i="1"/>
  <c r="CK153" i="1"/>
  <c r="CJ153" i="1"/>
  <c r="CI153" i="1"/>
  <c r="CH153" i="1"/>
  <c r="CG153" i="1"/>
  <c r="CF153" i="1"/>
  <c r="CE153" i="1"/>
  <c r="CD153" i="1"/>
  <c r="CC153" i="1"/>
  <c r="CB153" i="1"/>
  <c r="BX153" i="1"/>
  <c r="BW153" i="1"/>
  <c r="BV153" i="1"/>
  <c r="BU153" i="1"/>
  <c r="BT153" i="1"/>
  <c r="BS153" i="1"/>
  <c r="BR153" i="1"/>
  <c r="BQ153" i="1"/>
  <c r="BN153" i="1"/>
  <c r="BO153" i="1"/>
  <c r="BP153" i="1"/>
  <c r="AP153" i="1"/>
  <c r="AQ153" i="1"/>
  <c r="AR153" i="1"/>
  <c r="AS153" i="1"/>
  <c r="AT153" i="1"/>
  <c r="AU153" i="1"/>
  <c r="AV153" i="1"/>
  <c r="AW153" i="1"/>
  <c r="AX153" i="1"/>
  <c r="AY153" i="1"/>
  <c r="AZ153" i="1"/>
  <c r="BA153" i="1"/>
  <c r="BB153" i="1"/>
  <c r="BC153" i="1"/>
  <c r="BD153" i="1"/>
  <c r="BE153" i="1"/>
  <c r="BF153" i="1"/>
  <c r="BG153" i="1"/>
  <c r="BH153" i="1"/>
  <c r="BI153" i="1"/>
  <c r="BJ153" i="1"/>
  <c r="BK153" i="1"/>
  <c r="BL153" i="1"/>
  <c r="BM153" i="1"/>
  <c r="CY152" i="1"/>
  <c r="CX152" i="1"/>
  <c r="CW152" i="1"/>
  <c r="CV152" i="1"/>
  <c r="CU152" i="1"/>
  <c r="CT152" i="1"/>
  <c r="CS152" i="1"/>
  <c r="CR152" i="1"/>
  <c r="CQ152" i="1"/>
  <c r="CP152" i="1"/>
  <c r="CO152" i="1"/>
  <c r="CN152" i="1"/>
  <c r="CM152" i="1"/>
  <c r="CL152" i="1"/>
  <c r="CK152" i="1"/>
  <c r="CJ152" i="1"/>
  <c r="CI152" i="1"/>
  <c r="CH152" i="1"/>
  <c r="CG152" i="1"/>
  <c r="CF152" i="1"/>
  <c r="CE152" i="1"/>
  <c r="CD152" i="1"/>
  <c r="CC152" i="1"/>
  <c r="BX152" i="1"/>
  <c r="BW152" i="1"/>
  <c r="BV152" i="1"/>
  <c r="BU152" i="1"/>
  <c r="BT152" i="1"/>
  <c r="BS152" i="1"/>
  <c r="BR152" i="1"/>
  <c r="BQ152" i="1"/>
  <c r="BP152" i="1"/>
  <c r="BO152" i="1"/>
  <c r="BN152" i="1"/>
  <c r="AP152" i="1"/>
  <c r="AQ152" i="1"/>
  <c r="AR152" i="1"/>
  <c r="AS152" i="1"/>
  <c r="AT152" i="1"/>
  <c r="AU152" i="1"/>
  <c r="AV152" i="1"/>
  <c r="AW152" i="1"/>
  <c r="AX152" i="1"/>
  <c r="AY152" i="1"/>
  <c r="AZ152" i="1"/>
  <c r="BA152" i="1"/>
  <c r="BB152" i="1"/>
  <c r="BC152" i="1"/>
  <c r="BD152" i="1"/>
  <c r="BE152" i="1"/>
  <c r="BF152" i="1"/>
  <c r="BG152" i="1"/>
  <c r="BH152" i="1"/>
  <c r="BI152" i="1"/>
  <c r="BJ152" i="1"/>
  <c r="BK152" i="1"/>
  <c r="BL152" i="1"/>
  <c r="BM152" i="1"/>
  <c r="CY151" i="1"/>
  <c r="CX151" i="1"/>
  <c r="CW151" i="1"/>
  <c r="CV151" i="1"/>
  <c r="CU151" i="1"/>
  <c r="CT151" i="1"/>
  <c r="CS151" i="1"/>
  <c r="CR151" i="1"/>
  <c r="CQ151" i="1"/>
  <c r="CP151" i="1"/>
  <c r="CO151" i="1"/>
  <c r="CN151" i="1"/>
  <c r="CM151" i="1"/>
  <c r="CL151" i="1"/>
  <c r="CK151" i="1"/>
  <c r="CJ151" i="1"/>
  <c r="CI151" i="1"/>
  <c r="CH151" i="1"/>
  <c r="CG151" i="1"/>
  <c r="CF151" i="1"/>
  <c r="CE151" i="1"/>
  <c r="CD151" i="1"/>
  <c r="CC151" i="1"/>
  <c r="BX151" i="1"/>
  <c r="BW151" i="1"/>
  <c r="BV151" i="1"/>
  <c r="BU151" i="1"/>
  <c r="BT151" i="1"/>
  <c r="BS151" i="1"/>
  <c r="BR151" i="1"/>
  <c r="BQ151" i="1"/>
  <c r="BP151" i="1"/>
  <c r="BO151" i="1"/>
  <c r="BN151" i="1"/>
  <c r="BY151" i="1"/>
  <c r="BZ151" i="1"/>
  <c r="AP151" i="1"/>
  <c r="AQ151" i="1"/>
  <c r="AR151" i="1"/>
  <c r="AS151" i="1"/>
  <c r="AT151" i="1"/>
  <c r="AU151" i="1"/>
  <c r="AV151" i="1"/>
  <c r="AW151" i="1"/>
  <c r="AX151" i="1"/>
  <c r="AY151" i="1"/>
  <c r="AZ151" i="1"/>
  <c r="BA151" i="1"/>
  <c r="BB151" i="1"/>
  <c r="BC151" i="1"/>
  <c r="BD151" i="1"/>
  <c r="BE151" i="1"/>
  <c r="BF151" i="1"/>
  <c r="BG151" i="1"/>
  <c r="BH151" i="1"/>
  <c r="BI151" i="1"/>
  <c r="BJ151" i="1"/>
  <c r="BK151" i="1"/>
  <c r="BL151" i="1"/>
  <c r="BM151" i="1"/>
  <c r="CY150" i="1"/>
  <c r="CX150" i="1"/>
  <c r="CW150" i="1"/>
  <c r="CV150" i="1"/>
  <c r="CU150" i="1"/>
  <c r="CT150" i="1"/>
  <c r="CS150" i="1"/>
  <c r="CR150" i="1"/>
  <c r="CQ150" i="1"/>
  <c r="CP150" i="1"/>
  <c r="CO150" i="1"/>
  <c r="CN150" i="1"/>
  <c r="CM150" i="1"/>
  <c r="CL150" i="1"/>
  <c r="CK150" i="1"/>
  <c r="CJ150" i="1"/>
  <c r="CI150" i="1"/>
  <c r="CH150" i="1"/>
  <c r="CG150" i="1"/>
  <c r="CF150" i="1"/>
  <c r="CE150" i="1"/>
  <c r="CD150" i="1"/>
  <c r="CC150" i="1"/>
  <c r="BX150" i="1"/>
  <c r="BW150" i="1"/>
  <c r="BV150" i="1"/>
  <c r="BU150" i="1"/>
  <c r="BT150" i="1"/>
  <c r="BS150" i="1"/>
  <c r="BR150" i="1"/>
  <c r="BQ150" i="1"/>
  <c r="BN150" i="1"/>
  <c r="BO150" i="1"/>
  <c r="BP150" i="1"/>
  <c r="BY150" i="1"/>
  <c r="BZ150" i="1"/>
  <c r="AP150" i="1"/>
  <c r="AQ150" i="1"/>
  <c r="AR150" i="1"/>
  <c r="AS150" i="1"/>
  <c r="AT150" i="1"/>
  <c r="AU150" i="1"/>
  <c r="AV150" i="1"/>
  <c r="AW150" i="1"/>
  <c r="AX150" i="1"/>
  <c r="AY150" i="1"/>
  <c r="AZ150" i="1"/>
  <c r="BA150" i="1"/>
  <c r="BB150" i="1"/>
  <c r="BC150" i="1"/>
  <c r="BD150" i="1"/>
  <c r="BE150" i="1"/>
  <c r="BF150" i="1"/>
  <c r="BG150" i="1"/>
  <c r="BH150" i="1"/>
  <c r="BI150" i="1"/>
  <c r="BJ150" i="1"/>
  <c r="BK150" i="1"/>
  <c r="BL150" i="1"/>
  <c r="BM150" i="1"/>
  <c r="CA150" i="1"/>
  <c r="CY149" i="1"/>
  <c r="CX149" i="1"/>
  <c r="CW149" i="1"/>
  <c r="CV149" i="1"/>
  <c r="CU149" i="1"/>
  <c r="CT149" i="1"/>
  <c r="CS149" i="1"/>
  <c r="CR149" i="1"/>
  <c r="CQ149" i="1"/>
  <c r="CP149" i="1"/>
  <c r="CO149" i="1"/>
  <c r="CN149" i="1"/>
  <c r="CM149" i="1"/>
  <c r="CL149" i="1"/>
  <c r="CK149" i="1"/>
  <c r="CJ149" i="1"/>
  <c r="CI149" i="1"/>
  <c r="CH149" i="1"/>
  <c r="CG149" i="1"/>
  <c r="CF149" i="1"/>
  <c r="CE149" i="1"/>
  <c r="CC149" i="1"/>
  <c r="CD149" i="1"/>
  <c r="CB149" i="1"/>
  <c r="BX149" i="1"/>
  <c r="BW149" i="1"/>
  <c r="BV149" i="1"/>
  <c r="BU149" i="1"/>
  <c r="BT149" i="1"/>
  <c r="BS149" i="1"/>
  <c r="BR149" i="1"/>
  <c r="BQ149" i="1"/>
  <c r="BN149" i="1"/>
  <c r="BO149" i="1"/>
  <c r="BP149" i="1"/>
  <c r="BY149" i="1"/>
  <c r="BZ149" i="1"/>
  <c r="AP149" i="1"/>
  <c r="AQ149" i="1"/>
  <c r="AR149" i="1"/>
  <c r="AS149" i="1"/>
  <c r="AT149" i="1"/>
  <c r="AU149" i="1"/>
  <c r="AV149" i="1"/>
  <c r="AW149" i="1"/>
  <c r="AX149" i="1"/>
  <c r="AY149" i="1"/>
  <c r="AZ149" i="1"/>
  <c r="BA149" i="1"/>
  <c r="BB149" i="1"/>
  <c r="BC149" i="1"/>
  <c r="BD149" i="1"/>
  <c r="BE149" i="1"/>
  <c r="BF149" i="1"/>
  <c r="BG149" i="1"/>
  <c r="BH149" i="1"/>
  <c r="BI149" i="1"/>
  <c r="BJ149" i="1"/>
  <c r="BK149" i="1"/>
  <c r="BL149" i="1"/>
  <c r="BM149" i="1"/>
  <c r="CA149" i="1"/>
  <c r="CY148" i="1"/>
  <c r="CX148" i="1"/>
  <c r="CW148" i="1"/>
  <c r="CV148" i="1"/>
  <c r="CU148" i="1"/>
  <c r="CT148" i="1"/>
  <c r="CS148" i="1"/>
  <c r="CR148" i="1"/>
  <c r="CQ148" i="1"/>
  <c r="CP148" i="1"/>
  <c r="CO148" i="1"/>
  <c r="CN148" i="1"/>
  <c r="CM148" i="1"/>
  <c r="CL148" i="1"/>
  <c r="CK148" i="1"/>
  <c r="CJ148" i="1"/>
  <c r="CI148" i="1"/>
  <c r="CH148" i="1"/>
  <c r="CG148" i="1"/>
  <c r="CF148" i="1"/>
  <c r="CC148" i="1"/>
  <c r="CD148" i="1"/>
  <c r="CE148" i="1"/>
  <c r="BN148" i="1"/>
  <c r="BO148" i="1"/>
  <c r="BP148" i="1"/>
  <c r="BQ148" i="1"/>
  <c r="BR148" i="1"/>
  <c r="BS148" i="1"/>
  <c r="BT148" i="1"/>
  <c r="BU148" i="1"/>
  <c r="BV148" i="1"/>
  <c r="BW148" i="1"/>
  <c r="BX148" i="1"/>
  <c r="AP148" i="1"/>
  <c r="AQ148" i="1"/>
  <c r="AR148" i="1"/>
  <c r="AS148" i="1"/>
  <c r="AT148" i="1"/>
  <c r="AU148" i="1"/>
  <c r="AV148" i="1"/>
  <c r="AW148" i="1"/>
  <c r="AX148" i="1"/>
  <c r="AY148" i="1"/>
  <c r="AZ148" i="1"/>
  <c r="BA148" i="1"/>
  <c r="BB148" i="1"/>
  <c r="BC148" i="1"/>
  <c r="BD148" i="1"/>
  <c r="BE148" i="1"/>
  <c r="BF148" i="1"/>
  <c r="BG148" i="1"/>
  <c r="BH148" i="1"/>
  <c r="BI148" i="1"/>
  <c r="BJ148" i="1"/>
  <c r="BK148" i="1"/>
  <c r="BL148" i="1"/>
  <c r="BM148" i="1"/>
  <c r="CY147" i="1"/>
  <c r="CX147" i="1"/>
  <c r="CW147" i="1"/>
  <c r="CV147" i="1"/>
  <c r="CU147" i="1"/>
  <c r="CT147" i="1"/>
  <c r="CS147" i="1"/>
  <c r="CR147" i="1"/>
  <c r="CQ147" i="1"/>
  <c r="CP147" i="1"/>
  <c r="CO147" i="1"/>
  <c r="CN147" i="1"/>
  <c r="CM147" i="1"/>
  <c r="CL147" i="1"/>
  <c r="CK147" i="1"/>
  <c r="CJ147" i="1"/>
  <c r="CI147" i="1"/>
  <c r="CH147" i="1"/>
  <c r="CG147" i="1"/>
  <c r="CF147" i="1"/>
  <c r="CE147" i="1"/>
  <c r="CC147" i="1"/>
  <c r="CD147" i="1"/>
  <c r="CB147" i="1"/>
  <c r="BX147" i="1"/>
  <c r="BW147" i="1"/>
  <c r="BV147" i="1"/>
  <c r="BU147" i="1"/>
  <c r="BT147" i="1"/>
  <c r="BS147" i="1"/>
  <c r="BR147" i="1"/>
  <c r="BQ147" i="1"/>
  <c r="BP147" i="1"/>
  <c r="BO147" i="1"/>
  <c r="BN147" i="1"/>
  <c r="BM147" i="1"/>
  <c r="BL147" i="1"/>
  <c r="BK147" i="1"/>
  <c r="BJ147" i="1"/>
  <c r="BI147" i="1"/>
  <c r="BH147" i="1"/>
  <c r="BG147" i="1"/>
  <c r="BF147" i="1"/>
  <c r="BE147" i="1"/>
  <c r="BD147" i="1"/>
  <c r="BC147" i="1"/>
  <c r="BB147" i="1"/>
  <c r="BA147" i="1"/>
  <c r="AZ147" i="1"/>
  <c r="AY147" i="1"/>
  <c r="AX147" i="1"/>
  <c r="AW147" i="1"/>
  <c r="AV147" i="1"/>
  <c r="AU147" i="1"/>
  <c r="AT147" i="1"/>
  <c r="AS147" i="1"/>
  <c r="AR147" i="1"/>
  <c r="AQ147" i="1"/>
  <c r="AP147" i="1"/>
  <c r="CY146" i="1"/>
  <c r="CX146" i="1"/>
  <c r="CW146" i="1"/>
  <c r="CV146" i="1"/>
  <c r="CU146" i="1"/>
  <c r="CT146" i="1"/>
  <c r="CS146" i="1"/>
  <c r="CR146" i="1"/>
  <c r="CQ146" i="1"/>
  <c r="CP146" i="1"/>
  <c r="CO146" i="1"/>
  <c r="CN146" i="1"/>
  <c r="CM146" i="1"/>
  <c r="CL146" i="1"/>
  <c r="CK146" i="1"/>
  <c r="CJ146" i="1"/>
  <c r="CI146" i="1"/>
  <c r="CH146" i="1"/>
  <c r="CG146" i="1"/>
  <c r="CF146" i="1"/>
  <c r="CE146" i="1"/>
  <c r="CC146" i="1"/>
  <c r="CD146" i="1"/>
  <c r="CB146" i="1"/>
  <c r="BX146" i="1"/>
  <c r="BN146" i="1"/>
  <c r="BO146" i="1"/>
  <c r="BP146" i="1"/>
  <c r="BQ146" i="1"/>
  <c r="BR146" i="1"/>
  <c r="BS146" i="1"/>
  <c r="BT146" i="1"/>
  <c r="BU146" i="1"/>
  <c r="BV146" i="1"/>
  <c r="BW146" i="1"/>
  <c r="BY146" i="1"/>
  <c r="BZ146" i="1"/>
  <c r="AP146" i="1"/>
  <c r="AQ146" i="1"/>
  <c r="AR146" i="1"/>
  <c r="AS146" i="1"/>
  <c r="AT146" i="1"/>
  <c r="AU146" i="1"/>
  <c r="AV146" i="1"/>
  <c r="AW146" i="1"/>
  <c r="AX146" i="1"/>
  <c r="AY146" i="1"/>
  <c r="AZ146" i="1"/>
  <c r="BA146" i="1"/>
  <c r="BB146" i="1"/>
  <c r="BC146" i="1"/>
  <c r="BD146" i="1"/>
  <c r="BE146" i="1"/>
  <c r="BF146" i="1"/>
  <c r="BG146" i="1"/>
  <c r="BH146" i="1"/>
  <c r="BI146" i="1"/>
  <c r="BJ146" i="1"/>
  <c r="BK146" i="1"/>
  <c r="BL146" i="1"/>
  <c r="BM146" i="1"/>
  <c r="CA146" i="1"/>
  <c r="CY145" i="1"/>
  <c r="CX145" i="1"/>
  <c r="CW145" i="1"/>
  <c r="CV145" i="1"/>
  <c r="CU145" i="1"/>
  <c r="CT145" i="1"/>
  <c r="CS145" i="1"/>
  <c r="CR145" i="1"/>
  <c r="CQ145" i="1"/>
  <c r="CP145" i="1"/>
  <c r="CO145" i="1"/>
  <c r="CN145" i="1"/>
  <c r="CM145" i="1"/>
  <c r="CL145" i="1"/>
  <c r="CK145" i="1"/>
  <c r="CJ145" i="1"/>
  <c r="CI145" i="1"/>
  <c r="CH145" i="1"/>
  <c r="CG145" i="1"/>
  <c r="CF145" i="1"/>
  <c r="CE145" i="1"/>
  <c r="CD145" i="1"/>
  <c r="CC145" i="1"/>
  <c r="CB145" i="1"/>
  <c r="BX145" i="1"/>
  <c r="BW145" i="1"/>
  <c r="BV145" i="1"/>
  <c r="BU145" i="1"/>
  <c r="BT145" i="1"/>
  <c r="BS145" i="1"/>
  <c r="BR145" i="1"/>
  <c r="BQ145" i="1"/>
  <c r="BN145" i="1"/>
  <c r="BO145" i="1"/>
  <c r="BP145" i="1"/>
  <c r="BY145" i="1"/>
  <c r="BZ145" i="1"/>
  <c r="AP145" i="1"/>
  <c r="AQ145" i="1"/>
  <c r="AR145" i="1"/>
  <c r="AS145" i="1"/>
  <c r="AT145" i="1"/>
  <c r="AU145" i="1"/>
  <c r="AV145" i="1"/>
  <c r="AW145" i="1"/>
  <c r="AX145" i="1"/>
  <c r="AY145" i="1"/>
  <c r="AZ145" i="1"/>
  <c r="BA145" i="1"/>
  <c r="BB145" i="1"/>
  <c r="BC145" i="1"/>
  <c r="BD145" i="1"/>
  <c r="BE145" i="1"/>
  <c r="BF145" i="1"/>
  <c r="BG145" i="1"/>
  <c r="BH145" i="1"/>
  <c r="BI145" i="1"/>
  <c r="BJ145" i="1"/>
  <c r="BK145" i="1"/>
  <c r="BL145" i="1"/>
  <c r="BM145" i="1"/>
  <c r="CA145" i="1"/>
  <c r="AM145" i="1"/>
  <c r="CY144" i="1"/>
  <c r="CX144" i="1"/>
  <c r="CW144" i="1"/>
  <c r="CV144" i="1"/>
  <c r="CU144" i="1"/>
  <c r="CT144" i="1"/>
  <c r="CS144" i="1"/>
  <c r="CR144" i="1"/>
  <c r="CQ144" i="1"/>
  <c r="CP144" i="1"/>
  <c r="CO144" i="1"/>
  <c r="CN144" i="1"/>
  <c r="CM144" i="1"/>
  <c r="CL144" i="1"/>
  <c r="CK144" i="1"/>
  <c r="CJ144" i="1"/>
  <c r="CI144" i="1"/>
  <c r="CH144" i="1"/>
  <c r="CG144" i="1"/>
  <c r="CF144" i="1"/>
  <c r="CE144" i="1"/>
  <c r="CD144" i="1"/>
  <c r="CC144" i="1"/>
  <c r="BX144" i="1"/>
  <c r="BW144" i="1"/>
  <c r="BV144" i="1"/>
  <c r="BU144" i="1"/>
  <c r="BT144" i="1"/>
  <c r="BS144" i="1"/>
  <c r="BR144" i="1"/>
  <c r="BQ144" i="1"/>
  <c r="BP144" i="1"/>
  <c r="BO144" i="1"/>
  <c r="BN144" i="1"/>
  <c r="BM144" i="1"/>
  <c r="BL144" i="1"/>
  <c r="BK144" i="1"/>
  <c r="BJ144" i="1"/>
  <c r="BI144" i="1"/>
  <c r="BH144" i="1"/>
  <c r="BG144" i="1"/>
  <c r="BF144" i="1"/>
  <c r="BE144" i="1"/>
  <c r="BD144" i="1"/>
  <c r="BC144" i="1"/>
  <c r="BB144" i="1"/>
  <c r="BA144" i="1"/>
  <c r="AZ144" i="1"/>
  <c r="AY144" i="1"/>
  <c r="AX144" i="1"/>
  <c r="AW144" i="1"/>
  <c r="AV144" i="1"/>
  <c r="AU144" i="1"/>
  <c r="AT144" i="1"/>
  <c r="AS144" i="1"/>
  <c r="AR144" i="1"/>
  <c r="AQ144" i="1"/>
  <c r="AP144" i="1"/>
  <c r="CY143" i="1"/>
  <c r="CX143" i="1"/>
  <c r="CW143" i="1"/>
  <c r="CV143" i="1"/>
  <c r="CU143" i="1"/>
  <c r="CT143" i="1"/>
  <c r="CS143" i="1"/>
  <c r="CR143" i="1"/>
  <c r="CQ143" i="1"/>
  <c r="CP143" i="1"/>
  <c r="CO143" i="1"/>
  <c r="CN143" i="1"/>
  <c r="CM143" i="1"/>
  <c r="CL143" i="1"/>
  <c r="CK143" i="1"/>
  <c r="CJ143" i="1"/>
  <c r="CI143" i="1"/>
  <c r="CH143" i="1"/>
  <c r="CG143" i="1"/>
  <c r="CF143" i="1"/>
  <c r="CE143" i="1"/>
  <c r="CD143" i="1"/>
  <c r="CC143" i="1"/>
  <c r="CB143" i="1"/>
  <c r="BX143" i="1"/>
  <c r="BW143" i="1"/>
  <c r="BV143" i="1"/>
  <c r="BU143" i="1"/>
  <c r="BT143" i="1"/>
  <c r="BS143" i="1"/>
  <c r="BR143" i="1"/>
  <c r="BQ143" i="1"/>
  <c r="BP143" i="1"/>
  <c r="BO143" i="1"/>
  <c r="BN143" i="1"/>
  <c r="BY143" i="1"/>
  <c r="BZ143" i="1"/>
  <c r="AP143" i="1"/>
  <c r="AQ143" i="1"/>
  <c r="AR143" i="1"/>
  <c r="AS143" i="1"/>
  <c r="AT143" i="1"/>
  <c r="AU143" i="1"/>
  <c r="AV143" i="1"/>
  <c r="AW143" i="1"/>
  <c r="AX143" i="1"/>
  <c r="AY143" i="1"/>
  <c r="AZ143" i="1"/>
  <c r="BA143" i="1"/>
  <c r="BB143" i="1"/>
  <c r="BC143" i="1"/>
  <c r="BD143" i="1"/>
  <c r="BE143" i="1"/>
  <c r="BF143" i="1"/>
  <c r="BG143" i="1"/>
  <c r="BH143" i="1"/>
  <c r="BI143" i="1"/>
  <c r="BJ143" i="1"/>
  <c r="BK143" i="1"/>
  <c r="BL143" i="1"/>
  <c r="BM143" i="1"/>
  <c r="CA143" i="1"/>
  <c r="CY142" i="1"/>
  <c r="CX142" i="1"/>
  <c r="CW142" i="1"/>
  <c r="CV142" i="1"/>
  <c r="CU142" i="1"/>
  <c r="CT142" i="1"/>
  <c r="CS142" i="1"/>
  <c r="CR142" i="1"/>
  <c r="CQ142" i="1"/>
  <c r="CP142" i="1"/>
  <c r="CO142" i="1"/>
  <c r="CN142" i="1"/>
  <c r="CM142" i="1"/>
  <c r="CL142" i="1"/>
  <c r="CK142" i="1"/>
  <c r="CJ142" i="1"/>
  <c r="CI142" i="1"/>
  <c r="CH142" i="1"/>
  <c r="CG142" i="1"/>
  <c r="CF142" i="1"/>
  <c r="CE142" i="1"/>
  <c r="CD142" i="1"/>
  <c r="CC142" i="1"/>
  <c r="BX142" i="1"/>
  <c r="BW142" i="1"/>
  <c r="BV142" i="1"/>
  <c r="BU142" i="1"/>
  <c r="BT142" i="1"/>
  <c r="BS142" i="1"/>
  <c r="BR142" i="1"/>
  <c r="BQ142" i="1"/>
  <c r="BP142" i="1"/>
  <c r="BO142" i="1"/>
  <c r="BN142" i="1"/>
  <c r="AP142" i="1"/>
  <c r="AQ142" i="1"/>
  <c r="AR142" i="1"/>
  <c r="AS142" i="1"/>
  <c r="AT142" i="1"/>
  <c r="AU142" i="1"/>
  <c r="AV142" i="1"/>
  <c r="AW142" i="1"/>
  <c r="AX142" i="1"/>
  <c r="AY142" i="1"/>
  <c r="AZ142" i="1"/>
  <c r="BA142" i="1"/>
  <c r="BB142" i="1"/>
  <c r="BC142" i="1"/>
  <c r="BD142" i="1"/>
  <c r="BE142" i="1"/>
  <c r="BF142" i="1"/>
  <c r="BG142" i="1"/>
  <c r="BH142" i="1"/>
  <c r="BI142" i="1"/>
  <c r="BJ142" i="1"/>
  <c r="BK142" i="1"/>
  <c r="BL142" i="1"/>
  <c r="BM142" i="1"/>
  <c r="CY141" i="1"/>
  <c r="CX141" i="1"/>
  <c r="CW141" i="1"/>
  <c r="CV141" i="1"/>
  <c r="CU141" i="1"/>
  <c r="CT141" i="1"/>
  <c r="CS141" i="1"/>
  <c r="CR141" i="1"/>
  <c r="CQ141" i="1"/>
  <c r="CP141" i="1"/>
  <c r="CO141" i="1"/>
  <c r="CN141" i="1"/>
  <c r="CM141" i="1"/>
  <c r="CL141" i="1"/>
  <c r="CK141" i="1"/>
  <c r="CJ141" i="1"/>
  <c r="CI141" i="1"/>
  <c r="CH141" i="1"/>
  <c r="CG141" i="1"/>
  <c r="CF141" i="1"/>
  <c r="CE141" i="1"/>
  <c r="CD141" i="1"/>
  <c r="CC141" i="1"/>
  <c r="BN141" i="1"/>
  <c r="BO141" i="1"/>
  <c r="BP141" i="1"/>
  <c r="BQ141" i="1"/>
  <c r="BR141" i="1"/>
  <c r="BS141" i="1"/>
  <c r="BT141" i="1"/>
  <c r="BU141" i="1"/>
  <c r="BV141" i="1"/>
  <c r="BW141" i="1"/>
  <c r="BX141" i="1"/>
  <c r="AP141" i="1"/>
  <c r="AQ141" i="1"/>
  <c r="AR141" i="1"/>
  <c r="AS141" i="1"/>
  <c r="AT141" i="1"/>
  <c r="AU141" i="1"/>
  <c r="AV141" i="1"/>
  <c r="AW141" i="1"/>
  <c r="AX141" i="1"/>
  <c r="AY141" i="1"/>
  <c r="AZ141" i="1"/>
  <c r="BA141" i="1"/>
  <c r="BB141" i="1"/>
  <c r="BC141" i="1"/>
  <c r="BD141" i="1"/>
  <c r="BE141" i="1"/>
  <c r="BF141" i="1"/>
  <c r="BG141" i="1"/>
  <c r="BH141" i="1"/>
  <c r="BI141" i="1"/>
  <c r="BJ141" i="1"/>
  <c r="BK141" i="1"/>
  <c r="BL141" i="1"/>
  <c r="BM141" i="1"/>
  <c r="CY140" i="1"/>
  <c r="CX140" i="1"/>
  <c r="CW140" i="1"/>
  <c r="CV140" i="1"/>
  <c r="CU140" i="1"/>
  <c r="CT140" i="1"/>
  <c r="CS140" i="1"/>
  <c r="CR140" i="1"/>
  <c r="CQ140" i="1"/>
  <c r="CP140" i="1"/>
  <c r="CO140" i="1"/>
  <c r="CN140" i="1"/>
  <c r="CM140" i="1"/>
  <c r="CL140" i="1"/>
  <c r="CK140" i="1"/>
  <c r="CJ140" i="1"/>
  <c r="CI140" i="1"/>
  <c r="CH140" i="1"/>
  <c r="CG140" i="1"/>
  <c r="CF140" i="1"/>
  <c r="CE140" i="1"/>
  <c r="CD140" i="1"/>
  <c r="CC140" i="1"/>
  <c r="BX140" i="1"/>
  <c r="BW140" i="1"/>
  <c r="BV140" i="1"/>
  <c r="BU140" i="1"/>
  <c r="BT140" i="1"/>
  <c r="BS140" i="1"/>
  <c r="BR140" i="1"/>
  <c r="BQ140" i="1"/>
  <c r="BP140" i="1"/>
  <c r="BO140" i="1"/>
  <c r="BN140" i="1"/>
  <c r="BY140" i="1"/>
  <c r="BZ140" i="1"/>
  <c r="AP140" i="1"/>
  <c r="AQ140" i="1"/>
  <c r="AR140" i="1"/>
  <c r="AS140" i="1"/>
  <c r="AT140" i="1"/>
  <c r="AU140" i="1"/>
  <c r="AV140" i="1"/>
  <c r="AW140" i="1"/>
  <c r="AX140" i="1"/>
  <c r="AY140" i="1"/>
  <c r="AZ140" i="1"/>
  <c r="BA140" i="1"/>
  <c r="BB140" i="1"/>
  <c r="BC140" i="1"/>
  <c r="BD140" i="1"/>
  <c r="BE140" i="1"/>
  <c r="BF140" i="1"/>
  <c r="BG140" i="1"/>
  <c r="BH140" i="1"/>
  <c r="BI140" i="1"/>
  <c r="BJ140" i="1"/>
  <c r="BK140" i="1"/>
  <c r="BL140" i="1"/>
  <c r="BM140" i="1"/>
  <c r="CA140" i="1"/>
  <c r="CY139" i="1"/>
  <c r="CX139" i="1"/>
  <c r="CW139" i="1"/>
  <c r="CV139" i="1"/>
  <c r="CU139" i="1"/>
  <c r="CT139" i="1"/>
  <c r="CS139" i="1"/>
  <c r="CR139" i="1"/>
  <c r="CQ139" i="1"/>
  <c r="CP139" i="1"/>
  <c r="CO139" i="1"/>
  <c r="CN139" i="1"/>
  <c r="CM139" i="1"/>
  <c r="CL139" i="1"/>
  <c r="CK139" i="1"/>
  <c r="CJ139" i="1"/>
  <c r="CI139" i="1"/>
  <c r="CH139" i="1"/>
  <c r="CG139" i="1"/>
  <c r="CF139" i="1"/>
  <c r="CE139" i="1"/>
  <c r="CD139" i="1"/>
  <c r="CC139" i="1"/>
  <c r="BX139" i="1"/>
  <c r="BW139" i="1"/>
  <c r="BV139" i="1"/>
  <c r="BU139" i="1"/>
  <c r="BT139" i="1"/>
  <c r="BS139" i="1"/>
  <c r="BR139" i="1"/>
  <c r="BQ139" i="1"/>
  <c r="BP139" i="1"/>
  <c r="BO139" i="1"/>
  <c r="BN139" i="1"/>
  <c r="BY139" i="1"/>
  <c r="BZ139" i="1"/>
  <c r="AP139" i="1"/>
  <c r="AQ139" i="1"/>
  <c r="AR139" i="1"/>
  <c r="AS139" i="1"/>
  <c r="AT139" i="1"/>
  <c r="AU139" i="1"/>
  <c r="AV139" i="1"/>
  <c r="AW139" i="1"/>
  <c r="AX139" i="1"/>
  <c r="AY139" i="1"/>
  <c r="AZ139" i="1"/>
  <c r="BA139" i="1"/>
  <c r="BB139" i="1"/>
  <c r="BC139" i="1"/>
  <c r="BD139" i="1"/>
  <c r="BE139" i="1"/>
  <c r="BF139" i="1"/>
  <c r="BG139" i="1"/>
  <c r="BH139" i="1"/>
  <c r="BI139" i="1"/>
  <c r="BJ139" i="1"/>
  <c r="BK139" i="1"/>
  <c r="BL139" i="1"/>
  <c r="BM139" i="1"/>
  <c r="CY138" i="1"/>
  <c r="CX138" i="1"/>
  <c r="CW138" i="1"/>
  <c r="CV138" i="1"/>
  <c r="CU138" i="1"/>
  <c r="CT138" i="1"/>
  <c r="CS138" i="1"/>
  <c r="CR138" i="1"/>
  <c r="CQ138" i="1"/>
  <c r="CP138" i="1"/>
  <c r="CO138" i="1"/>
  <c r="CN138" i="1"/>
  <c r="CM138" i="1"/>
  <c r="CL138" i="1"/>
  <c r="CK138" i="1"/>
  <c r="CJ138" i="1"/>
  <c r="CI138" i="1"/>
  <c r="CH138" i="1"/>
  <c r="CG138" i="1"/>
  <c r="CF138" i="1"/>
  <c r="CE138" i="1"/>
  <c r="CC138" i="1"/>
  <c r="CD138" i="1"/>
  <c r="CB138" i="1"/>
  <c r="BX138" i="1"/>
  <c r="BW138" i="1"/>
  <c r="BV138" i="1"/>
  <c r="BU138" i="1"/>
  <c r="BT138" i="1"/>
  <c r="BS138" i="1"/>
  <c r="BR138" i="1"/>
  <c r="BQ138" i="1"/>
  <c r="BP138" i="1"/>
  <c r="BO138" i="1"/>
  <c r="BN138" i="1"/>
  <c r="BY138" i="1"/>
  <c r="BM138" i="1"/>
  <c r="BL138" i="1"/>
  <c r="BK138" i="1"/>
  <c r="BJ138" i="1"/>
  <c r="BI138" i="1"/>
  <c r="BH138" i="1"/>
  <c r="BG138" i="1"/>
  <c r="BF138" i="1"/>
  <c r="BE138" i="1"/>
  <c r="BD138" i="1"/>
  <c r="BC138" i="1"/>
  <c r="BB138" i="1"/>
  <c r="BA138" i="1"/>
  <c r="AZ138" i="1"/>
  <c r="AY138" i="1"/>
  <c r="AX138" i="1"/>
  <c r="AW138" i="1"/>
  <c r="AV138" i="1"/>
  <c r="AU138" i="1"/>
  <c r="AT138" i="1"/>
  <c r="AS138" i="1"/>
  <c r="AR138" i="1"/>
  <c r="AQ138" i="1"/>
  <c r="AP138" i="1"/>
  <c r="CY137" i="1"/>
  <c r="CX137" i="1"/>
  <c r="CW137" i="1"/>
  <c r="CV137" i="1"/>
  <c r="CU137" i="1"/>
  <c r="CT137" i="1"/>
  <c r="CS137" i="1"/>
  <c r="CR137" i="1"/>
  <c r="CQ137" i="1"/>
  <c r="CP137" i="1"/>
  <c r="CO137" i="1"/>
  <c r="CN137" i="1"/>
  <c r="CM137" i="1"/>
  <c r="CL137" i="1"/>
  <c r="CK137" i="1"/>
  <c r="CJ137" i="1"/>
  <c r="CI137" i="1"/>
  <c r="CH137" i="1"/>
  <c r="CG137" i="1"/>
  <c r="CF137" i="1"/>
  <c r="CE137" i="1"/>
  <c r="CD137" i="1"/>
  <c r="CC137" i="1"/>
  <c r="BX137" i="1"/>
  <c r="BW137" i="1"/>
  <c r="BV137" i="1"/>
  <c r="BU137" i="1"/>
  <c r="BT137" i="1"/>
  <c r="BS137" i="1"/>
  <c r="BR137" i="1"/>
  <c r="BQ137" i="1"/>
  <c r="BP137" i="1"/>
  <c r="BO137" i="1"/>
  <c r="BN137" i="1"/>
  <c r="BY137" i="1"/>
  <c r="BZ137" i="1"/>
  <c r="AP137" i="1"/>
  <c r="AQ137" i="1"/>
  <c r="AR137" i="1"/>
  <c r="AS137" i="1"/>
  <c r="AT137" i="1"/>
  <c r="AU137" i="1"/>
  <c r="AV137" i="1"/>
  <c r="AW137" i="1"/>
  <c r="AX137" i="1"/>
  <c r="AY137" i="1"/>
  <c r="AZ137" i="1"/>
  <c r="BA137" i="1"/>
  <c r="BB137" i="1"/>
  <c r="BC137" i="1"/>
  <c r="BD137" i="1"/>
  <c r="BE137" i="1"/>
  <c r="BF137" i="1"/>
  <c r="BG137" i="1"/>
  <c r="BH137" i="1"/>
  <c r="BI137" i="1"/>
  <c r="BJ137" i="1"/>
  <c r="BK137" i="1"/>
  <c r="BL137" i="1"/>
  <c r="BM137" i="1"/>
  <c r="CY136" i="1"/>
  <c r="CX136" i="1"/>
  <c r="CW136" i="1"/>
  <c r="CV136" i="1"/>
  <c r="CU136" i="1"/>
  <c r="CT136" i="1"/>
  <c r="CS136" i="1"/>
  <c r="CR136" i="1"/>
  <c r="CQ136" i="1"/>
  <c r="CP136" i="1"/>
  <c r="CO136" i="1"/>
  <c r="CN136" i="1"/>
  <c r="CM136" i="1"/>
  <c r="CL136" i="1"/>
  <c r="CK136" i="1"/>
  <c r="CJ136" i="1"/>
  <c r="CI136" i="1"/>
  <c r="CH136" i="1"/>
  <c r="CG136" i="1"/>
  <c r="CF136" i="1"/>
  <c r="CE136" i="1"/>
  <c r="CD136" i="1"/>
  <c r="CC136" i="1"/>
  <c r="BX136" i="1"/>
  <c r="BW136" i="1"/>
  <c r="BV136" i="1"/>
  <c r="BU136" i="1"/>
  <c r="BT136" i="1"/>
  <c r="BS136" i="1"/>
  <c r="BR136" i="1"/>
  <c r="BQ136" i="1"/>
  <c r="BP136" i="1"/>
  <c r="BO136" i="1"/>
  <c r="BN136" i="1"/>
  <c r="AP136" i="1"/>
  <c r="AQ136" i="1"/>
  <c r="AR136" i="1"/>
  <c r="AS136" i="1"/>
  <c r="AT136" i="1"/>
  <c r="AU136" i="1"/>
  <c r="AV136" i="1"/>
  <c r="AW136" i="1"/>
  <c r="AX136" i="1"/>
  <c r="AY136" i="1"/>
  <c r="AZ136" i="1"/>
  <c r="BA136" i="1"/>
  <c r="BB136" i="1"/>
  <c r="BC136" i="1"/>
  <c r="BD136" i="1"/>
  <c r="BE136" i="1"/>
  <c r="BF136" i="1"/>
  <c r="BG136" i="1"/>
  <c r="BH136" i="1"/>
  <c r="BI136" i="1"/>
  <c r="BJ136" i="1"/>
  <c r="BK136" i="1"/>
  <c r="BL136" i="1"/>
  <c r="BM136" i="1"/>
  <c r="AM136" i="1"/>
  <c r="CY135" i="1"/>
  <c r="CX135" i="1"/>
  <c r="CW135" i="1"/>
  <c r="CV135" i="1"/>
  <c r="CU135" i="1"/>
  <c r="CT135" i="1"/>
  <c r="CS135" i="1"/>
  <c r="CR135" i="1"/>
  <c r="CQ135" i="1"/>
  <c r="CP135" i="1"/>
  <c r="CO135" i="1"/>
  <c r="CN135" i="1"/>
  <c r="CM135" i="1"/>
  <c r="CL135" i="1"/>
  <c r="CK135" i="1"/>
  <c r="CJ135" i="1"/>
  <c r="CI135" i="1"/>
  <c r="CH135" i="1"/>
  <c r="CG135" i="1"/>
  <c r="CF135" i="1"/>
  <c r="CE135" i="1"/>
  <c r="CD135" i="1"/>
  <c r="CC135" i="1"/>
  <c r="CB135" i="1"/>
  <c r="BX135" i="1"/>
  <c r="BW135" i="1"/>
  <c r="BV135" i="1"/>
  <c r="BU135" i="1"/>
  <c r="BT135" i="1"/>
  <c r="BS135" i="1"/>
  <c r="BR135" i="1"/>
  <c r="BQ135" i="1"/>
  <c r="BN135" i="1"/>
  <c r="BO135" i="1"/>
  <c r="BP135" i="1"/>
  <c r="BY135" i="1"/>
  <c r="BZ135" i="1"/>
  <c r="AP135" i="1"/>
  <c r="AQ135" i="1"/>
  <c r="AR135" i="1"/>
  <c r="AS135" i="1"/>
  <c r="AT135" i="1"/>
  <c r="AU135" i="1"/>
  <c r="AV135" i="1"/>
  <c r="AW135" i="1"/>
  <c r="AX135" i="1"/>
  <c r="AY135" i="1"/>
  <c r="AZ135" i="1"/>
  <c r="BA135" i="1"/>
  <c r="BB135" i="1"/>
  <c r="BC135" i="1"/>
  <c r="BD135" i="1"/>
  <c r="BE135" i="1"/>
  <c r="BF135" i="1"/>
  <c r="BG135" i="1"/>
  <c r="BH135" i="1"/>
  <c r="BI135" i="1"/>
  <c r="BJ135" i="1"/>
  <c r="BK135" i="1"/>
  <c r="BL135" i="1"/>
  <c r="BM135" i="1"/>
  <c r="CA135" i="1"/>
  <c r="AM135" i="1"/>
  <c r="CY134" i="1"/>
  <c r="CX134" i="1"/>
  <c r="CW134" i="1"/>
  <c r="CV134" i="1"/>
  <c r="CC134" i="1"/>
  <c r="CD134" i="1"/>
  <c r="CE134" i="1"/>
  <c r="CF134" i="1"/>
  <c r="CG134" i="1"/>
  <c r="CH134" i="1"/>
  <c r="CI134" i="1"/>
  <c r="CJ134" i="1"/>
  <c r="CK134" i="1"/>
  <c r="CL134" i="1"/>
  <c r="CM134" i="1"/>
  <c r="CN134" i="1"/>
  <c r="CO134" i="1"/>
  <c r="CP134" i="1"/>
  <c r="CQ134" i="1"/>
  <c r="CR134" i="1"/>
  <c r="CS134" i="1"/>
  <c r="CT134" i="1"/>
  <c r="CU134" i="1"/>
  <c r="BX134" i="1"/>
  <c r="BW134" i="1"/>
  <c r="BV134" i="1"/>
  <c r="BU134" i="1"/>
  <c r="BT134" i="1"/>
  <c r="BS134" i="1"/>
  <c r="BR134" i="1"/>
  <c r="BQ134" i="1"/>
  <c r="BP134" i="1"/>
  <c r="BO134" i="1"/>
  <c r="BN134" i="1"/>
  <c r="AP134" i="1"/>
  <c r="AQ134" i="1"/>
  <c r="AR134" i="1"/>
  <c r="AS134" i="1"/>
  <c r="AT134" i="1"/>
  <c r="AU134" i="1"/>
  <c r="AV134" i="1"/>
  <c r="AW134" i="1"/>
  <c r="AX134" i="1"/>
  <c r="AY134" i="1"/>
  <c r="AZ134" i="1"/>
  <c r="BA134" i="1"/>
  <c r="BB134" i="1"/>
  <c r="BC134" i="1"/>
  <c r="BD134" i="1"/>
  <c r="BE134" i="1"/>
  <c r="BF134" i="1"/>
  <c r="BG134" i="1"/>
  <c r="BH134" i="1"/>
  <c r="BI134" i="1"/>
  <c r="BJ134" i="1"/>
  <c r="BK134" i="1"/>
  <c r="BL134" i="1"/>
  <c r="BM134" i="1"/>
  <c r="CY133" i="1"/>
  <c r="CX133" i="1"/>
  <c r="CW133" i="1"/>
  <c r="CV133" i="1"/>
  <c r="CU133" i="1"/>
  <c r="CT133" i="1"/>
  <c r="CS133" i="1"/>
  <c r="CR133" i="1"/>
  <c r="CQ133" i="1"/>
  <c r="CP133" i="1"/>
  <c r="CO133" i="1"/>
  <c r="CN133" i="1"/>
  <c r="CM133" i="1"/>
  <c r="CL133" i="1"/>
  <c r="CK133" i="1"/>
  <c r="CJ133" i="1"/>
  <c r="CI133" i="1"/>
  <c r="CH133" i="1"/>
  <c r="CG133" i="1"/>
  <c r="CF133" i="1"/>
  <c r="CE133" i="1"/>
  <c r="CC133" i="1"/>
  <c r="CD133" i="1"/>
  <c r="CB133" i="1"/>
  <c r="BX133" i="1"/>
  <c r="BW133" i="1"/>
  <c r="BV133" i="1"/>
  <c r="BU133" i="1"/>
  <c r="BT133" i="1"/>
  <c r="BS133" i="1"/>
  <c r="BR133" i="1"/>
  <c r="BQ133" i="1"/>
  <c r="BP133" i="1"/>
  <c r="BN133" i="1"/>
  <c r="BO133" i="1"/>
  <c r="BY133" i="1"/>
  <c r="BZ133" i="1"/>
  <c r="AP133" i="1"/>
  <c r="AQ133" i="1"/>
  <c r="AR133" i="1"/>
  <c r="AS133" i="1"/>
  <c r="AT133" i="1"/>
  <c r="AU133" i="1"/>
  <c r="AV133" i="1"/>
  <c r="AW133" i="1"/>
  <c r="AX133" i="1"/>
  <c r="AY133" i="1"/>
  <c r="AZ133" i="1"/>
  <c r="BA133" i="1"/>
  <c r="BB133" i="1"/>
  <c r="BC133" i="1"/>
  <c r="BD133" i="1"/>
  <c r="BE133" i="1"/>
  <c r="BF133" i="1"/>
  <c r="BG133" i="1"/>
  <c r="BH133" i="1"/>
  <c r="BI133" i="1"/>
  <c r="BJ133" i="1"/>
  <c r="BK133" i="1"/>
  <c r="BL133" i="1"/>
  <c r="BM133" i="1"/>
  <c r="CA133" i="1"/>
  <c r="CY132" i="1"/>
  <c r="CX132" i="1"/>
  <c r="CW132" i="1"/>
  <c r="CV132" i="1"/>
  <c r="CU132" i="1"/>
  <c r="CT132" i="1"/>
  <c r="CS132" i="1"/>
  <c r="CR132" i="1"/>
  <c r="CQ132" i="1"/>
  <c r="CP132" i="1"/>
  <c r="CO132" i="1"/>
  <c r="CN132" i="1"/>
  <c r="CM132" i="1"/>
  <c r="CL132" i="1"/>
  <c r="CK132" i="1"/>
  <c r="CJ132" i="1"/>
  <c r="CI132" i="1"/>
  <c r="CH132" i="1"/>
  <c r="CG132" i="1"/>
  <c r="CF132" i="1"/>
  <c r="CE132" i="1"/>
  <c r="CC132" i="1"/>
  <c r="CD132" i="1"/>
  <c r="CB132" i="1"/>
  <c r="BX132" i="1"/>
  <c r="BW132" i="1"/>
  <c r="BV132" i="1"/>
  <c r="BU132" i="1"/>
  <c r="BT132" i="1"/>
  <c r="BS132" i="1"/>
  <c r="BR132" i="1"/>
  <c r="BQ132" i="1"/>
  <c r="BN132" i="1"/>
  <c r="BO132" i="1"/>
  <c r="BP132" i="1"/>
  <c r="BY132" i="1"/>
  <c r="BZ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CA132" i="1"/>
  <c r="CY131" i="1"/>
  <c r="CX131" i="1"/>
  <c r="CW131" i="1"/>
  <c r="CV131" i="1"/>
  <c r="CU131" i="1"/>
  <c r="CT131" i="1"/>
  <c r="CS131" i="1"/>
  <c r="CR131" i="1"/>
  <c r="CQ131" i="1"/>
  <c r="CP131" i="1"/>
  <c r="CO131" i="1"/>
  <c r="CN131" i="1"/>
  <c r="CM131" i="1"/>
  <c r="CL131" i="1"/>
  <c r="CK131" i="1"/>
  <c r="CJ131" i="1"/>
  <c r="CI131" i="1"/>
  <c r="CH131" i="1"/>
  <c r="CG131" i="1"/>
  <c r="CF131" i="1"/>
  <c r="CE131" i="1"/>
  <c r="CD131" i="1"/>
  <c r="CC131" i="1"/>
  <c r="CB131" i="1"/>
  <c r="BX131" i="1"/>
  <c r="BW131" i="1"/>
  <c r="BV131" i="1"/>
  <c r="BU131" i="1"/>
  <c r="BT131" i="1"/>
  <c r="BS131" i="1"/>
  <c r="BR131" i="1"/>
  <c r="BQ131" i="1"/>
  <c r="BN131" i="1"/>
  <c r="BO131" i="1"/>
  <c r="BP131" i="1"/>
  <c r="BY131" i="1"/>
  <c r="BZ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CY130" i="1"/>
  <c r="CX130" i="1"/>
  <c r="CW130" i="1"/>
  <c r="CV130" i="1"/>
  <c r="CC130" i="1"/>
  <c r="CD130" i="1"/>
  <c r="CE130" i="1"/>
  <c r="CF130" i="1"/>
  <c r="CG130" i="1"/>
  <c r="CH130" i="1"/>
  <c r="CI130" i="1"/>
  <c r="CJ130" i="1"/>
  <c r="CK130" i="1"/>
  <c r="CL130" i="1"/>
  <c r="CM130" i="1"/>
  <c r="CN130" i="1"/>
  <c r="CO130" i="1"/>
  <c r="CP130" i="1"/>
  <c r="CQ130" i="1"/>
  <c r="CR130" i="1"/>
  <c r="CS130" i="1"/>
  <c r="CT130" i="1"/>
  <c r="CU130" i="1"/>
  <c r="CB130" i="1"/>
  <c r="BX130" i="1"/>
  <c r="BW130" i="1"/>
  <c r="BV130" i="1"/>
  <c r="BU130" i="1"/>
  <c r="BT130" i="1"/>
  <c r="BS130" i="1"/>
  <c r="BR130" i="1"/>
  <c r="BQ130" i="1"/>
  <c r="BN130" i="1"/>
  <c r="BO130" i="1"/>
  <c r="BP130" i="1"/>
  <c r="BY130" i="1"/>
  <c r="BZ130" i="1"/>
  <c r="AP130" i="1"/>
  <c r="AQ130" i="1"/>
  <c r="AR130" i="1"/>
  <c r="AS130" i="1"/>
  <c r="AT130" i="1"/>
  <c r="AU130" i="1"/>
  <c r="AV130" i="1"/>
  <c r="AW130" i="1"/>
  <c r="AX130" i="1"/>
  <c r="AY130" i="1"/>
  <c r="AZ130" i="1"/>
  <c r="BA130" i="1"/>
  <c r="BB130" i="1"/>
  <c r="BC130" i="1"/>
  <c r="BD130" i="1"/>
  <c r="BE130" i="1"/>
  <c r="BF130" i="1"/>
  <c r="BG130" i="1"/>
  <c r="BH130" i="1"/>
  <c r="BI130" i="1"/>
  <c r="BJ130" i="1"/>
  <c r="BK130" i="1"/>
  <c r="BL130" i="1"/>
  <c r="BM130" i="1"/>
  <c r="CA130" i="1"/>
  <c r="CY129" i="1"/>
  <c r="CX129" i="1"/>
  <c r="CW129" i="1"/>
  <c r="CV129" i="1"/>
  <c r="CU129" i="1"/>
  <c r="CT129" i="1"/>
  <c r="CS129" i="1"/>
  <c r="CR129" i="1"/>
  <c r="CQ129" i="1"/>
  <c r="CP129" i="1"/>
  <c r="CO129" i="1"/>
  <c r="CN129" i="1"/>
  <c r="CM129" i="1"/>
  <c r="CL129" i="1"/>
  <c r="CK129" i="1"/>
  <c r="CJ129" i="1"/>
  <c r="CI129" i="1"/>
  <c r="CH129" i="1"/>
  <c r="CG129" i="1"/>
  <c r="CF129" i="1"/>
  <c r="CE129" i="1"/>
  <c r="CC129" i="1"/>
  <c r="CD129" i="1"/>
  <c r="CB129" i="1"/>
  <c r="BX129" i="1"/>
  <c r="BW129" i="1"/>
  <c r="BV129" i="1"/>
  <c r="BU129" i="1"/>
  <c r="BT129" i="1"/>
  <c r="BS129" i="1"/>
  <c r="BR129" i="1"/>
  <c r="BQ129" i="1"/>
  <c r="BP129" i="1"/>
  <c r="BN129" i="1"/>
  <c r="BO129" i="1"/>
  <c r="BY129" i="1"/>
  <c r="BM129" i="1"/>
  <c r="BL129" i="1"/>
  <c r="BK129" i="1"/>
  <c r="BJ129" i="1"/>
  <c r="BI129" i="1"/>
  <c r="BH129" i="1"/>
  <c r="BG129" i="1"/>
  <c r="BF129" i="1"/>
  <c r="BE129" i="1"/>
  <c r="BD129" i="1"/>
  <c r="BC129" i="1"/>
  <c r="BB129" i="1"/>
  <c r="BA129" i="1"/>
  <c r="AZ129" i="1"/>
  <c r="AY129" i="1"/>
  <c r="AX129" i="1"/>
  <c r="AW129" i="1"/>
  <c r="AV129" i="1"/>
  <c r="AU129" i="1"/>
  <c r="AT129" i="1"/>
  <c r="AS129" i="1"/>
  <c r="AR129" i="1"/>
  <c r="AQ129" i="1"/>
  <c r="AP129" i="1"/>
  <c r="CY128" i="1"/>
  <c r="CX128" i="1"/>
  <c r="CW128" i="1"/>
  <c r="CV128" i="1"/>
  <c r="CU128" i="1"/>
  <c r="CT128" i="1"/>
  <c r="CS128" i="1"/>
  <c r="CR128" i="1"/>
  <c r="CQ128" i="1"/>
  <c r="CP128" i="1"/>
  <c r="CO128" i="1"/>
  <c r="CN128" i="1"/>
  <c r="CM128" i="1"/>
  <c r="CL128" i="1"/>
  <c r="CK128" i="1"/>
  <c r="CJ128" i="1"/>
  <c r="CI128" i="1"/>
  <c r="CH128" i="1"/>
  <c r="CG128" i="1"/>
  <c r="CF128" i="1"/>
  <c r="CE128" i="1"/>
  <c r="CD128" i="1"/>
  <c r="CC128" i="1"/>
  <c r="BX128" i="1"/>
  <c r="BW128" i="1"/>
  <c r="BV128" i="1"/>
  <c r="BU128" i="1"/>
  <c r="BT128" i="1"/>
  <c r="BS128" i="1"/>
  <c r="BR128" i="1"/>
  <c r="BQ128" i="1"/>
  <c r="BN128" i="1"/>
  <c r="BO128" i="1"/>
  <c r="BP128" i="1"/>
  <c r="BY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CY127" i="1"/>
  <c r="CX127" i="1"/>
  <c r="CW127" i="1"/>
  <c r="CV127" i="1"/>
  <c r="CU127" i="1"/>
  <c r="CT127" i="1"/>
  <c r="CS127" i="1"/>
  <c r="CR127" i="1"/>
  <c r="CQ127" i="1"/>
  <c r="CP127" i="1"/>
  <c r="CO127" i="1"/>
  <c r="CN127" i="1"/>
  <c r="CM127" i="1"/>
  <c r="CL127" i="1"/>
  <c r="CK127" i="1"/>
  <c r="CJ127" i="1"/>
  <c r="CI127" i="1"/>
  <c r="CH127" i="1"/>
  <c r="CG127" i="1"/>
  <c r="CF127" i="1"/>
  <c r="CE127" i="1"/>
  <c r="CD127" i="1"/>
  <c r="CC127" i="1"/>
  <c r="BX127" i="1"/>
  <c r="BW127" i="1"/>
  <c r="BV127" i="1"/>
  <c r="BU127" i="1"/>
  <c r="BT127" i="1"/>
  <c r="BS127" i="1"/>
  <c r="BR127" i="1"/>
  <c r="BQ127" i="1"/>
  <c r="BN127" i="1"/>
  <c r="BO127" i="1"/>
  <c r="BP127" i="1"/>
  <c r="BY127" i="1"/>
  <c r="BZ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CA127" i="1"/>
  <c r="AM127" i="1"/>
  <c r="CY126" i="1"/>
  <c r="CX126" i="1"/>
  <c r="CW126" i="1"/>
  <c r="CV126" i="1"/>
  <c r="CU126" i="1"/>
  <c r="CT126" i="1"/>
  <c r="CS126" i="1"/>
  <c r="CR126" i="1"/>
  <c r="CQ126" i="1"/>
  <c r="CP126" i="1"/>
  <c r="CO126" i="1"/>
  <c r="CN126" i="1"/>
  <c r="CM126" i="1"/>
  <c r="CL126" i="1"/>
  <c r="CK126" i="1"/>
  <c r="CJ126" i="1"/>
  <c r="CI126" i="1"/>
  <c r="CH126" i="1"/>
  <c r="CG126" i="1"/>
  <c r="CF126" i="1"/>
  <c r="CE126" i="1"/>
  <c r="CD126" i="1"/>
  <c r="CC126" i="1"/>
  <c r="CB126" i="1"/>
  <c r="BX126" i="1"/>
  <c r="BW126" i="1"/>
  <c r="BV126" i="1"/>
  <c r="BU126" i="1"/>
  <c r="BT126" i="1"/>
  <c r="BS126" i="1"/>
  <c r="BR126" i="1"/>
  <c r="BQ126" i="1"/>
  <c r="BP126" i="1"/>
  <c r="BO126" i="1"/>
  <c r="BN126" i="1"/>
  <c r="BY126" i="1"/>
  <c r="BZ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CA126" i="1"/>
  <c r="CY125" i="1"/>
  <c r="CX125" i="1"/>
  <c r="CW125" i="1"/>
  <c r="CV125" i="1"/>
  <c r="CU125" i="1"/>
  <c r="CT125" i="1"/>
  <c r="CS125" i="1"/>
  <c r="CR125" i="1"/>
  <c r="CQ125" i="1"/>
  <c r="CP125" i="1"/>
  <c r="CO125" i="1"/>
  <c r="CN125" i="1"/>
  <c r="CM125" i="1"/>
  <c r="CL125" i="1"/>
  <c r="CK125" i="1"/>
  <c r="CJ125" i="1"/>
  <c r="CI125" i="1"/>
  <c r="CH125" i="1"/>
  <c r="CG125" i="1"/>
  <c r="CF125" i="1"/>
  <c r="CC125" i="1"/>
  <c r="CD125" i="1"/>
  <c r="CE125" i="1"/>
  <c r="CB125" i="1"/>
  <c r="BX125" i="1"/>
  <c r="BW125" i="1"/>
  <c r="BV125" i="1"/>
  <c r="BU125" i="1"/>
  <c r="BT125" i="1"/>
  <c r="BS125" i="1"/>
  <c r="BR125" i="1"/>
  <c r="BQ125" i="1"/>
  <c r="BN125" i="1"/>
  <c r="BO125" i="1"/>
  <c r="BP125" i="1"/>
  <c r="BY125" i="1"/>
  <c r="BZ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CA125" i="1"/>
  <c r="CY124" i="1"/>
  <c r="CX124" i="1"/>
  <c r="CW124" i="1"/>
  <c r="CV124" i="1"/>
  <c r="CU124" i="1"/>
  <c r="CT124" i="1"/>
  <c r="CS124" i="1"/>
  <c r="CR124" i="1"/>
  <c r="CQ124" i="1"/>
  <c r="CP124" i="1"/>
  <c r="CO124" i="1"/>
  <c r="CN124" i="1"/>
  <c r="CM124" i="1"/>
  <c r="CL124" i="1"/>
  <c r="CK124" i="1"/>
  <c r="CJ124" i="1"/>
  <c r="CI124" i="1"/>
  <c r="CH124" i="1"/>
  <c r="CG124" i="1"/>
  <c r="CF124" i="1"/>
  <c r="CE124" i="1"/>
  <c r="CD124" i="1"/>
  <c r="CC124" i="1"/>
  <c r="CB124" i="1"/>
  <c r="BN124" i="1"/>
  <c r="BO124" i="1"/>
  <c r="BP124" i="1"/>
  <c r="BQ124" i="1"/>
  <c r="BR124" i="1"/>
  <c r="BS124" i="1"/>
  <c r="BT124" i="1"/>
  <c r="BU124" i="1"/>
  <c r="BV124" i="1"/>
  <c r="BW124" i="1"/>
  <c r="BX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CY123" i="1"/>
  <c r="CX123" i="1"/>
  <c r="CW123" i="1"/>
  <c r="CV123" i="1"/>
  <c r="CU123" i="1"/>
  <c r="CT123" i="1"/>
  <c r="CS123" i="1"/>
  <c r="CR123" i="1"/>
  <c r="CQ123" i="1"/>
  <c r="CP123" i="1"/>
  <c r="CO123" i="1"/>
  <c r="CN123" i="1"/>
  <c r="CM123" i="1"/>
  <c r="CL123" i="1"/>
  <c r="CK123" i="1"/>
  <c r="CJ123" i="1"/>
  <c r="CI123" i="1"/>
  <c r="CH123" i="1"/>
  <c r="CG123" i="1"/>
  <c r="CF123" i="1"/>
  <c r="CE123" i="1"/>
  <c r="CD123" i="1"/>
  <c r="CC123" i="1"/>
  <c r="BX123" i="1"/>
  <c r="BW123" i="1"/>
  <c r="BV123" i="1"/>
  <c r="BU123" i="1"/>
  <c r="BT123" i="1"/>
  <c r="BS123" i="1"/>
  <c r="BR123" i="1"/>
  <c r="BQ123" i="1"/>
  <c r="BP123" i="1"/>
  <c r="BO123" i="1"/>
  <c r="BN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CY122" i="1"/>
  <c r="CX122" i="1"/>
  <c r="CW122" i="1"/>
  <c r="CV122" i="1"/>
  <c r="CU122" i="1"/>
  <c r="CT122" i="1"/>
  <c r="CS122" i="1"/>
  <c r="CR122" i="1"/>
  <c r="CQ122" i="1"/>
  <c r="CP122" i="1"/>
  <c r="CO122" i="1"/>
  <c r="CN122" i="1"/>
  <c r="CM122" i="1"/>
  <c r="CL122" i="1"/>
  <c r="CK122" i="1"/>
  <c r="CJ122" i="1"/>
  <c r="CI122" i="1"/>
  <c r="CH122" i="1"/>
  <c r="CG122" i="1"/>
  <c r="CF122" i="1"/>
  <c r="CE122" i="1"/>
  <c r="CD122" i="1"/>
  <c r="CC122" i="1"/>
  <c r="CB122" i="1"/>
  <c r="BX122" i="1"/>
  <c r="BW122" i="1"/>
  <c r="BV122" i="1"/>
  <c r="BU122" i="1"/>
  <c r="BT122" i="1"/>
  <c r="BS122" i="1"/>
  <c r="BR122" i="1"/>
  <c r="BQ122" i="1"/>
  <c r="BP122" i="1"/>
  <c r="BN122" i="1"/>
  <c r="BO122" i="1"/>
  <c r="BY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CY121" i="1"/>
  <c r="CX121" i="1"/>
  <c r="CW121" i="1"/>
  <c r="CV121" i="1"/>
  <c r="CU121" i="1"/>
  <c r="CT121" i="1"/>
  <c r="CS121" i="1"/>
  <c r="CR121" i="1"/>
  <c r="CQ121" i="1"/>
  <c r="CP121" i="1"/>
  <c r="CO121" i="1"/>
  <c r="CN121" i="1"/>
  <c r="CM121" i="1"/>
  <c r="CL121" i="1"/>
  <c r="CK121" i="1"/>
  <c r="CJ121" i="1"/>
  <c r="CI121" i="1"/>
  <c r="CH121" i="1"/>
  <c r="CG121" i="1"/>
  <c r="CF121" i="1"/>
  <c r="CE121" i="1"/>
  <c r="CD121" i="1"/>
  <c r="CC121" i="1"/>
  <c r="BX121" i="1"/>
  <c r="BW121" i="1"/>
  <c r="BV121" i="1"/>
  <c r="BU121" i="1"/>
  <c r="BT121" i="1"/>
  <c r="BS121" i="1"/>
  <c r="BR121" i="1"/>
  <c r="BQ121" i="1"/>
  <c r="BN121" i="1"/>
  <c r="BO121" i="1"/>
  <c r="BP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CY120" i="1"/>
  <c r="CX120" i="1"/>
  <c r="CW120" i="1"/>
  <c r="CV120" i="1"/>
  <c r="CU120" i="1"/>
  <c r="CT120" i="1"/>
  <c r="CS120" i="1"/>
  <c r="CR120" i="1"/>
  <c r="CQ120" i="1"/>
  <c r="CP120" i="1"/>
  <c r="CO120" i="1"/>
  <c r="CN120" i="1"/>
  <c r="CM120" i="1"/>
  <c r="CL120" i="1"/>
  <c r="CK120" i="1"/>
  <c r="CJ120" i="1"/>
  <c r="CI120" i="1"/>
  <c r="CH120" i="1"/>
  <c r="CG120" i="1"/>
  <c r="CF120" i="1"/>
  <c r="CE120" i="1"/>
  <c r="CD120" i="1"/>
  <c r="CC120" i="1"/>
  <c r="CB120" i="1"/>
  <c r="BX120" i="1"/>
  <c r="BW120" i="1"/>
  <c r="BV120" i="1"/>
  <c r="BU120" i="1"/>
  <c r="BT120" i="1"/>
  <c r="BS120" i="1"/>
  <c r="BR120" i="1"/>
  <c r="BQ120" i="1"/>
  <c r="BP120" i="1"/>
  <c r="BO120" i="1"/>
  <c r="BN120" i="1"/>
  <c r="BY120" i="1"/>
  <c r="BZ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CA120" i="1"/>
  <c r="CY119" i="1"/>
  <c r="CX119" i="1"/>
  <c r="CW119" i="1"/>
  <c r="CV119" i="1"/>
  <c r="CU119" i="1"/>
  <c r="CT119" i="1"/>
  <c r="CS119" i="1"/>
  <c r="CR119" i="1"/>
  <c r="CQ119" i="1"/>
  <c r="CP119" i="1"/>
  <c r="CO119" i="1"/>
  <c r="CN119" i="1"/>
  <c r="CM119" i="1"/>
  <c r="CL119" i="1"/>
  <c r="CK119" i="1"/>
  <c r="CJ119" i="1"/>
  <c r="CI119" i="1"/>
  <c r="CH119" i="1"/>
  <c r="CG119" i="1"/>
  <c r="CF119" i="1"/>
  <c r="CE119" i="1"/>
  <c r="CD119" i="1"/>
  <c r="CC119" i="1"/>
  <c r="BX119" i="1"/>
  <c r="BW119" i="1"/>
  <c r="BV119" i="1"/>
  <c r="BU119" i="1"/>
  <c r="BT119" i="1"/>
  <c r="BS119" i="1"/>
  <c r="BR119" i="1"/>
  <c r="BQ119" i="1"/>
  <c r="BP119" i="1"/>
  <c r="BO119" i="1"/>
  <c r="BN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CY118" i="1"/>
  <c r="CX118" i="1"/>
  <c r="CW118" i="1"/>
  <c r="CV118" i="1"/>
  <c r="CU118" i="1"/>
  <c r="CT118" i="1"/>
  <c r="CS118" i="1"/>
  <c r="CR118" i="1"/>
  <c r="CQ118" i="1"/>
  <c r="CP118" i="1"/>
  <c r="CO118" i="1"/>
  <c r="CN118" i="1"/>
  <c r="CM118" i="1"/>
  <c r="CL118" i="1"/>
  <c r="CK118" i="1"/>
  <c r="CJ118" i="1"/>
  <c r="CI118" i="1"/>
  <c r="CH118" i="1"/>
  <c r="CG118" i="1"/>
  <c r="CF118" i="1"/>
  <c r="CE118" i="1"/>
  <c r="CD118" i="1"/>
  <c r="CC118" i="1"/>
  <c r="BX118" i="1"/>
  <c r="BW118" i="1"/>
  <c r="BV118" i="1"/>
  <c r="BU118" i="1"/>
  <c r="BT118" i="1"/>
  <c r="BS118" i="1"/>
  <c r="BR118" i="1"/>
  <c r="BQ118" i="1"/>
  <c r="BP118" i="1"/>
  <c r="BO118" i="1"/>
  <c r="BN118" i="1"/>
  <c r="BY118" i="1"/>
  <c r="BZ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CA118" i="1"/>
  <c r="CY117" i="1"/>
  <c r="CX117" i="1"/>
  <c r="CW117" i="1"/>
  <c r="CV117" i="1"/>
  <c r="CU117" i="1"/>
  <c r="CT117" i="1"/>
  <c r="CS117" i="1"/>
  <c r="CR117" i="1"/>
  <c r="CQ117" i="1"/>
  <c r="CP117" i="1"/>
  <c r="CO117" i="1"/>
  <c r="CN117" i="1"/>
  <c r="CM117" i="1"/>
  <c r="CL117" i="1"/>
  <c r="CK117" i="1"/>
  <c r="CJ117" i="1"/>
  <c r="CI117" i="1"/>
  <c r="CH117" i="1"/>
  <c r="CG117" i="1"/>
  <c r="CF117" i="1"/>
  <c r="CE117" i="1"/>
  <c r="CD117" i="1"/>
  <c r="CC117" i="1"/>
  <c r="BX117" i="1"/>
  <c r="BW117" i="1"/>
  <c r="BV117" i="1"/>
  <c r="BU117" i="1"/>
  <c r="BT117" i="1"/>
  <c r="BS117" i="1"/>
  <c r="BR117" i="1"/>
  <c r="BQ117" i="1"/>
  <c r="BN117" i="1"/>
  <c r="BO117" i="1"/>
  <c r="BP117" i="1"/>
  <c r="AP117" i="1"/>
  <c r="AQ117" i="1"/>
  <c r="AR117" i="1"/>
  <c r="AS117" i="1"/>
  <c r="AT117" i="1"/>
  <c r="AU117" i="1"/>
  <c r="AV117" i="1"/>
  <c r="AW117" i="1"/>
  <c r="AX117" i="1"/>
  <c r="AY117" i="1"/>
  <c r="AZ117" i="1"/>
  <c r="BA117" i="1"/>
  <c r="BB117" i="1"/>
  <c r="BC117" i="1"/>
  <c r="BD117" i="1"/>
  <c r="BE117" i="1"/>
  <c r="BF117" i="1"/>
  <c r="BG117" i="1"/>
  <c r="BH117" i="1"/>
  <c r="BI117" i="1"/>
  <c r="BJ117" i="1"/>
  <c r="BK117" i="1"/>
  <c r="BL117" i="1"/>
  <c r="BM117" i="1"/>
  <c r="CY116" i="1"/>
  <c r="CX116" i="1"/>
  <c r="CW116" i="1"/>
  <c r="CV116" i="1"/>
  <c r="CU116" i="1"/>
  <c r="CT116" i="1"/>
  <c r="CS116" i="1"/>
  <c r="CR116" i="1"/>
  <c r="CQ116" i="1"/>
  <c r="CP116" i="1"/>
  <c r="CO116" i="1"/>
  <c r="CN116" i="1"/>
  <c r="CM116" i="1"/>
  <c r="CL116" i="1"/>
  <c r="CK116" i="1"/>
  <c r="CJ116" i="1"/>
  <c r="CI116" i="1"/>
  <c r="CH116" i="1"/>
  <c r="CG116" i="1"/>
  <c r="CF116" i="1"/>
  <c r="CE116" i="1"/>
  <c r="CD116" i="1"/>
  <c r="CC116" i="1"/>
  <c r="BN116" i="1"/>
  <c r="BO116" i="1"/>
  <c r="BP116" i="1"/>
  <c r="BQ116" i="1"/>
  <c r="BR116" i="1"/>
  <c r="BS116" i="1"/>
  <c r="BT116" i="1"/>
  <c r="BU116" i="1"/>
  <c r="BV116" i="1"/>
  <c r="BW116" i="1"/>
  <c r="BX116" i="1"/>
  <c r="AP116" i="1"/>
  <c r="AQ116" i="1"/>
  <c r="AR116" i="1"/>
  <c r="AS116" i="1"/>
  <c r="AT116" i="1"/>
  <c r="AU116" i="1"/>
  <c r="AV116" i="1"/>
  <c r="AW116" i="1"/>
  <c r="AX116" i="1"/>
  <c r="AY116" i="1"/>
  <c r="AZ116" i="1"/>
  <c r="BA116" i="1"/>
  <c r="BB116" i="1"/>
  <c r="BC116" i="1"/>
  <c r="BD116" i="1"/>
  <c r="BE116" i="1"/>
  <c r="BF116" i="1"/>
  <c r="BG116" i="1"/>
  <c r="BH116" i="1"/>
  <c r="BI116" i="1"/>
  <c r="BJ116" i="1"/>
  <c r="BK116" i="1"/>
  <c r="BL116" i="1"/>
  <c r="BM116" i="1"/>
  <c r="CY115" i="1"/>
  <c r="CX115" i="1"/>
  <c r="CW115" i="1"/>
  <c r="CV115" i="1"/>
  <c r="CU115" i="1"/>
  <c r="CT115" i="1"/>
  <c r="CS115" i="1"/>
  <c r="CR115" i="1"/>
  <c r="CQ115" i="1"/>
  <c r="CP115" i="1"/>
  <c r="CO115" i="1"/>
  <c r="CN115" i="1"/>
  <c r="CM115" i="1"/>
  <c r="CL115" i="1"/>
  <c r="CK115" i="1"/>
  <c r="CJ115" i="1"/>
  <c r="CI115" i="1"/>
  <c r="CH115" i="1"/>
  <c r="CG115" i="1"/>
  <c r="CF115" i="1"/>
  <c r="CE115" i="1"/>
  <c r="CD115" i="1"/>
  <c r="CC115" i="1"/>
  <c r="CB115" i="1"/>
  <c r="BX115" i="1"/>
  <c r="BW115" i="1"/>
  <c r="BV115" i="1"/>
  <c r="BU115" i="1"/>
  <c r="BT115" i="1"/>
  <c r="BS115" i="1"/>
  <c r="BR115" i="1"/>
  <c r="BQ115" i="1"/>
  <c r="BP115" i="1"/>
  <c r="BO115" i="1"/>
  <c r="BN115" i="1"/>
  <c r="BY115" i="1"/>
  <c r="BZ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CA115" i="1"/>
  <c r="CY114" i="1"/>
  <c r="CX114" i="1"/>
  <c r="CW114" i="1"/>
  <c r="CV114" i="1"/>
  <c r="CU114" i="1"/>
  <c r="CT114" i="1"/>
  <c r="CS114" i="1"/>
  <c r="CR114" i="1"/>
  <c r="CQ114" i="1"/>
  <c r="CP114" i="1"/>
  <c r="CO114" i="1"/>
  <c r="CN114" i="1"/>
  <c r="CM114" i="1"/>
  <c r="CL114" i="1"/>
  <c r="CK114" i="1"/>
  <c r="CJ114" i="1"/>
  <c r="CI114" i="1"/>
  <c r="CH114" i="1"/>
  <c r="CG114" i="1"/>
  <c r="CF114" i="1"/>
  <c r="CE114" i="1"/>
  <c r="CD114" i="1"/>
  <c r="CC114" i="1"/>
  <c r="BX114" i="1"/>
  <c r="BW114" i="1"/>
  <c r="BV114" i="1"/>
  <c r="BU114" i="1"/>
  <c r="BT114" i="1"/>
  <c r="BS114" i="1"/>
  <c r="BR114" i="1"/>
  <c r="BQ114" i="1"/>
  <c r="BN114" i="1"/>
  <c r="BO114" i="1"/>
  <c r="BP114" i="1"/>
  <c r="BY114" i="1"/>
  <c r="BZ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CA114" i="1"/>
  <c r="CY113" i="1"/>
  <c r="CX113" i="1"/>
  <c r="CW113" i="1"/>
  <c r="CV113" i="1"/>
  <c r="CU113" i="1"/>
  <c r="CT113" i="1"/>
  <c r="CS113" i="1"/>
  <c r="CR113" i="1"/>
  <c r="CQ113" i="1"/>
  <c r="CP113" i="1"/>
  <c r="CO113" i="1"/>
  <c r="CN113" i="1"/>
  <c r="CM113" i="1"/>
  <c r="CL113" i="1"/>
  <c r="CK113" i="1"/>
  <c r="CJ113" i="1"/>
  <c r="CI113" i="1"/>
  <c r="CH113" i="1"/>
  <c r="CG113" i="1"/>
  <c r="CF113" i="1"/>
  <c r="CE113" i="1"/>
  <c r="CC113" i="1"/>
  <c r="CD113" i="1"/>
  <c r="CB113" i="1"/>
  <c r="BX113" i="1"/>
  <c r="BW113" i="1"/>
  <c r="BV113" i="1"/>
  <c r="BU113" i="1"/>
  <c r="BT113" i="1"/>
  <c r="BS113" i="1"/>
  <c r="BR113" i="1"/>
  <c r="BQ113" i="1"/>
  <c r="BN113" i="1"/>
  <c r="BO113" i="1"/>
  <c r="BP113" i="1"/>
  <c r="BY113" i="1"/>
  <c r="BZ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CA113" i="1"/>
  <c r="CY112" i="1"/>
  <c r="CX112" i="1"/>
  <c r="CW112" i="1"/>
  <c r="CV112" i="1"/>
  <c r="CU112" i="1"/>
  <c r="CT112" i="1"/>
  <c r="CS112" i="1"/>
  <c r="CR112" i="1"/>
  <c r="CQ112" i="1"/>
  <c r="CP112" i="1"/>
  <c r="CO112" i="1"/>
  <c r="CN112" i="1"/>
  <c r="CM112" i="1"/>
  <c r="CL112" i="1"/>
  <c r="CK112" i="1"/>
  <c r="CJ112" i="1"/>
  <c r="CI112" i="1"/>
  <c r="CH112" i="1"/>
  <c r="CG112" i="1"/>
  <c r="CF112" i="1"/>
  <c r="CE112" i="1"/>
  <c r="CD112" i="1"/>
  <c r="CC112" i="1"/>
  <c r="CB112" i="1"/>
  <c r="BX112" i="1"/>
  <c r="BW112" i="1"/>
  <c r="BV112" i="1"/>
  <c r="BU112" i="1"/>
  <c r="BT112" i="1"/>
  <c r="BS112" i="1"/>
  <c r="BR112" i="1"/>
  <c r="BQ112" i="1"/>
  <c r="BP112" i="1"/>
  <c r="BO112" i="1"/>
  <c r="BN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CY111" i="1"/>
  <c r="CX111" i="1"/>
  <c r="CW111" i="1"/>
  <c r="CV111" i="1"/>
  <c r="CU111" i="1"/>
  <c r="CT111" i="1"/>
  <c r="CS111" i="1"/>
  <c r="CR111" i="1"/>
  <c r="CQ111" i="1"/>
  <c r="CP111" i="1"/>
  <c r="CO111" i="1"/>
  <c r="CN111" i="1"/>
  <c r="CM111" i="1"/>
  <c r="CL111" i="1"/>
  <c r="CK111" i="1"/>
  <c r="CJ111" i="1"/>
  <c r="CI111" i="1"/>
  <c r="CH111" i="1"/>
  <c r="CG111" i="1"/>
  <c r="CF111" i="1"/>
  <c r="CE111" i="1"/>
  <c r="CC111" i="1"/>
  <c r="CD111" i="1"/>
  <c r="CB111" i="1"/>
  <c r="BX111" i="1"/>
  <c r="BW111" i="1"/>
  <c r="BV111" i="1"/>
  <c r="BU111" i="1"/>
  <c r="BT111" i="1"/>
  <c r="BS111" i="1"/>
  <c r="BR111" i="1"/>
  <c r="BQ111" i="1"/>
  <c r="BP111" i="1"/>
  <c r="BN111" i="1"/>
  <c r="BO111" i="1"/>
  <c r="BY111" i="1"/>
  <c r="BZ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CA111" i="1"/>
  <c r="CY110" i="1"/>
  <c r="CX110" i="1"/>
  <c r="CW110" i="1"/>
  <c r="CV110" i="1"/>
  <c r="CU110" i="1"/>
  <c r="CT110" i="1"/>
  <c r="CS110" i="1"/>
  <c r="CR110" i="1"/>
  <c r="CQ110" i="1"/>
  <c r="CP110" i="1"/>
  <c r="CO110" i="1"/>
  <c r="CN110" i="1"/>
  <c r="CM110" i="1"/>
  <c r="CL110" i="1"/>
  <c r="CK110" i="1"/>
  <c r="CJ110" i="1"/>
  <c r="CI110" i="1"/>
  <c r="CH110" i="1"/>
  <c r="CG110" i="1"/>
  <c r="CF110" i="1"/>
  <c r="CE110" i="1"/>
  <c r="CD110" i="1"/>
  <c r="CC110" i="1"/>
  <c r="BX110" i="1"/>
  <c r="BW110" i="1"/>
  <c r="BV110" i="1"/>
  <c r="BU110" i="1"/>
  <c r="BT110" i="1"/>
  <c r="BS110" i="1"/>
  <c r="BR110" i="1"/>
  <c r="BQ110" i="1"/>
  <c r="BP110" i="1"/>
  <c r="BO110" i="1"/>
  <c r="BN110" i="1"/>
  <c r="BY110" i="1"/>
  <c r="BZ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CA110" i="1"/>
  <c r="CY109" i="1"/>
  <c r="CX109" i="1"/>
  <c r="CW109" i="1"/>
  <c r="CV109" i="1"/>
  <c r="CU109" i="1"/>
  <c r="CT109" i="1"/>
  <c r="CS109" i="1"/>
  <c r="CR109" i="1"/>
  <c r="CQ109" i="1"/>
  <c r="CP109" i="1"/>
  <c r="CO109" i="1"/>
  <c r="CN109" i="1"/>
  <c r="CM109" i="1"/>
  <c r="CL109" i="1"/>
  <c r="CK109" i="1"/>
  <c r="CJ109" i="1"/>
  <c r="CI109" i="1"/>
  <c r="CH109" i="1"/>
  <c r="CG109" i="1"/>
  <c r="CF109" i="1"/>
  <c r="CE109" i="1"/>
  <c r="CC109" i="1"/>
  <c r="CD109" i="1"/>
  <c r="BX109" i="1"/>
  <c r="BW109" i="1"/>
  <c r="BV109" i="1"/>
  <c r="BU109" i="1"/>
  <c r="BT109" i="1"/>
  <c r="BS109" i="1"/>
  <c r="BR109" i="1"/>
  <c r="BQ109" i="1"/>
  <c r="BN109" i="1"/>
  <c r="BO109" i="1"/>
  <c r="BP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AM109" i="1"/>
  <c r="CY108" i="1"/>
  <c r="CX108" i="1"/>
  <c r="CW108" i="1"/>
  <c r="CV108" i="1"/>
  <c r="CU108" i="1"/>
  <c r="CT108" i="1"/>
  <c r="CS108" i="1"/>
  <c r="CR108" i="1"/>
  <c r="CQ108" i="1"/>
  <c r="CP108" i="1"/>
  <c r="CO108" i="1"/>
  <c r="CN108" i="1"/>
  <c r="CM108" i="1"/>
  <c r="CL108" i="1"/>
  <c r="CK108" i="1"/>
  <c r="CJ108" i="1"/>
  <c r="CI108" i="1"/>
  <c r="CH108" i="1"/>
  <c r="CG108" i="1"/>
  <c r="CF108" i="1"/>
  <c r="CE108" i="1"/>
  <c r="CD108" i="1"/>
  <c r="CC108" i="1"/>
  <c r="CB108" i="1"/>
  <c r="BX108" i="1"/>
  <c r="BW108" i="1"/>
  <c r="BV108" i="1"/>
  <c r="BU108" i="1"/>
  <c r="BT108" i="1"/>
  <c r="BS108" i="1"/>
  <c r="BR108" i="1"/>
  <c r="BQ108" i="1"/>
  <c r="BP108" i="1"/>
  <c r="BO108" i="1"/>
  <c r="BN108" i="1"/>
  <c r="BM108" i="1"/>
  <c r="BL108" i="1"/>
  <c r="BK108" i="1"/>
  <c r="BJ108" i="1"/>
  <c r="BI108" i="1"/>
  <c r="BH108" i="1"/>
  <c r="BG108" i="1"/>
  <c r="BF108" i="1"/>
  <c r="BE108" i="1"/>
  <c r="BD108" i="1"/>
  <c r="BC108" i="1"/>
  <c r="BB108" i="1"/>
  <c r="BA108" i="1"/>
  <c r="AZ108" i="1"/>
  <c r="AY108" i="1"/>
  <c r="AX108" i="1"/>
  <c r="AW108" i="1"/>
  <c r="AV108" i="1"/>
  <c r="AU108" i="1"/>
  <c r="AT108" i="1"/>
  <c r="AS108" i="1"/>
  <c r="AR108" i="1"/>
  <c r="AQ108" i="1"/>
  <c r="AP108" i="1"/>
  <c r="CY107" i="1"/>
  <c r="CX107" i="1"/>
  <c r="CW107" i="1"/>
  <c r="CV107" i="1"/>
  <c r="CU107" i="1"/>
  <c r="CT107" i="1"/>
  <c r="CS107" i="1"/>
  <c r="CR107" i="1"/>
  <c r="CQ107" i="1"/>
  <c r="CP107" i="1"/>
  <c r="CO107" i="1"/>
  <c r="CN107" i="1"/>
  <c r="CM107" i="1"/>
  <c r="CL107" i="1"/>
  <c r="CK107" i="1"/>
  <c r="CJ107" i="1"/>
  <c r="CI107" i="1"/>
  <c r="CH107" i="1"/>
  <c r="CG107" i="1"/>
  <c r="CF107" i="1"/>
  <c r="CE107" i="1"/>
  <c r="CD107" i="1"/>
  <c r="CC107" i="1"/>
  <c r="BX107" i="1"/>
  <c r="BW107" i="1"/>
  <c r="BV107" i="1"/>
  <c r="BU107" i="1"/>
  <c r="BT107" i="1"/>
  <c r="BS107" i="1"/>
  <c r="BR107" i="1"/>
  <c r="BQ107" i="1"/>
  <c r="BP107" i="1"/>
  <c r="BO107" i="1"/>
  <c r="BN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CY106" i="1"/>
  <c r="CX106" i="1"/>
  <c r="CW106" i="1"/>
  <c r="CV106" i="1"/>
  <c r="CU106" i="1"/>
  <c r="CT106" i="1"/>
  <c r="CS106" i="1"/>
  <c r="CR106" i="1"/>
  <c r="CQ106" i="1"/>
  <c r="CP106" i="1"/>
  <c r="CO106" i="1"/>
  <c r="CN106" i="1"/>
  <c r="CM106" i="1"/>
  <c r="CL106" i="1"/>
  <c r="CK106" i="1"/>
  <c r="CJ106" i="1"/>
  <c r="CI106" i="1"/>
  <c r="CH106" i="1"/>
  <c r="CG106" i="1"/>
  <c r="CF106" i="1"/>
  <c r="CE106" i="1"/>
  <c r="CD106" i="1"/>
  <c r="CC106" i="1"/>
  <c r="CB106" i="1"/>
  <c r="BX106" i="1"/>
  <c r="BW106" i="1"/>
  <c r="BV106" i="1"/>
  <c r="BU106" i="1"/>
  <c r="BT106" i="1"/>
  <c r="BS106" i="1"/>
  <c r="BR106" i="1"/>
  <c r="BQ106" i="1"/>
  <c r="BP106" i="1"/>
  <c r="BO106" i="1"/>
  <c r="BN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CY105" i="1"/>
  <c r="CX105" i="1"/>
  <c r="CW105" i="1"/>
  <c r="CV105" i="1"/>
  <c r="CU105" i="1"/>
  <c r="CT105" i="1"/>
  <c r="CS105" i="1"/>
  <c r="CR105" i="1"/>
  <c r="CQ105" i="1"/>
  <c r="CP105" i="1"/>
  <c r="CO105" i="1"/>
  <c r="CN105" i="1"/>
  <c r="CM105" i="1"/>
  <c r="CL105" i="1"/>
  <c r="CK105" i="1"/>
  <c r="CJ105" i="1"/>
  <c r="CI105" i="1"/>
  <c r="CH105" i="1"/>
  <c r="CG105" i="1"/>
  <c r="CF105" i="1"/>
  <c r="CE105" i="1"/>
  <c r="CD105" i="1"/>
  <c r="CC105" i="1"/>
  <c r="BX105" i="1"/>
  <c r="BW105" i="1"/>
  <c r="BV105" i="1"/>
  <c r="BU105" i="1"/>
  <c r="BT105" i="1"/>
  <c r="BS105" i="1"/>
  <c r="BR105" i="1"/>
  <c r="BQ105" i="1"/>
  <c r="BP105" i="1"/>
  <c r="BO105" i="1"/>
  <c r="BN105" i="1"/>
  <c r="BY105" i="1"/>
  <c r="BZ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CA105" i="1"/>
  <c r="CY104" i="1"/>
  <c r="CX104" i="1"/>
  <c r="CW104" i="1"/>
  <c r="CV104" i="1"/>
  <c r="CU104" i="1"/>
  <c r="CT104" i="1"/>
  <c r="CS104" i="1"/>
  <c r="CR104" i="1"/>
  <c r="CQ104" i="1"/>
  <c r="CP104" i="1"/>
  <c r="CO104" i="1"/>
  <c r="CN104" i="1"/>
  <c r="CM104" i="1"/>
  <c r="CL104" i="1"/>
  <c r="CK104" i="1"/>
  <c r="CJ104" i="1"/>
  <c r="CI104" i="1"/>
  <c r="CH104" i="1"/>
  <c r="CG104" i="1"/>
  <c r="CF104" i="1"/>
  <c r="CE104" i="1"/>
  <c r="CD104" i="1"/>
  <c r="CC104" i="1"/>
  <c r="CB104" i="1"/>
  <c r="BX104" i="1"/>
  <c r="BW104" i="1"/>
  <c r="BV104" i="1"/>
  <c r="BU104" i="1"/>
  <c r="BT104" i="1"/>
  <c r="BS104" i="1"/>
  <c r="BR104" i="1"/>
  <c r="BQ104" i="1"/>
  <c r="BP104" i="1"/>
  <c r="BO104" i="1"/>
  <c r="BN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CY103" i="1"/>
  <c r="CX103" i="1"/>
  <c r="CW103" i="1"/>
  <c r="CV103" i="1"/>
  <c r="CU103" i="1"/>
  <c r="CT103" i="1"/>
  <c r="CS103" i="1"/>
  <c r="CR103" i="1"/>
  <c r="CQ103" i="1"/>
  <c r="CP103" i="1"/>
  <c r="CO103" i="1"/>
  <c r="CN103" i="1"/>
  <c r="CM103" i="1"/>
  <c r="CL103" i="1"/>
  <c r="CK103" i="1"/>
  <c r="CJ103" i="1"/>
  <c r="CI103" i="1"/>
  <c r="CH103" i="1"/>
  <c r="CG103" i="1"/>
  <c r="CF103" i="1"/>
  <c r="CE103" i="1"/>
  <c r="CD103" i="1"/>
  <c r="CC103" i="1"/>
  <c r="BX103" i="1"/>
  <c r="BW103" i="1"/>
  <c r="BV103" i="1"/>
  <c r="BU103" i="1"/>
  <c r="BT103" i="1"/>
  <c r="BS103" i="1"/>
  <c r="BR103" i="1"/>
  <c r="BQ103" i="1"/>
  <c r="BP103" i="1"/>
  <c r="BO103" i="1"/>
  <c r="BN103" i="1"/>
  <c r="BY103" i="1"/>
  <c r="AP103" i="1"/>
  <c r="AQ103" i="1"/>
  <c r="AR103" i="1"/>
  <c r="AS103" i="1"/>
  <c r="AT103" i="1"/>
  <c r="AU103" i="1"/>
  <c r="AV103" i="1"/>
  <c r="AW103" i="1"/>
  <c r="AX103" i="1"/>
  <c r="AY103" i="1"/>
  <c r="AZ103" i="1"/>
  <c r="BA103" i="1"/>
  <c r="BB103" i="1"/>
  <c r="BC103" i="1"/>
  <c r="BD103" i="1"/>
  <c r="BE103" i="1"/>
  <c r="BF103" i="1"/>
  <c r="BG103" i="1"/>
  <c r="BH103" i="1"/>
  <c r="BI103" i="1"/>
  <c r="BJ103" i="1"/>
  <c r="BK103" i="1"/>
  <c r="BL103" i="1"/>
  <c r="BM103" i="1"/>
  <c r="CY102" i="1"/>
  <c r="CX102" i="1"/>
  <c r="CW102" i="1"/>
  <c r="CV102" i="1"/>
  <c r="CU102" i="1"/>
  <c r="CT102" i="1"/>
  <c r="CS102" i="1"/>
  <c r="CR102" i="1"/>
  <c r="CQ102" i="1"/>
  <c r="CP102" i="1"/>
  <c r="CO102" i="1"/>
  <c r="CN102" i="1"/>
  <c r="CM102" i="1"/>
  <c r="CL102" i="1"/>
  <c r="CK102" i="1"/>
  <c r="CJ102" i="1"/>
  <c r="CI102" i="1"/>
  <c r="CH102" i="1"/>
  <c r="CG102" i="1"/>
  <c r="CF102" i="1"/>
  <c r="CE102" i="1"/>
  <c r="CD102" i="1"/>
  <c r="CC102" i="1"/>
  <c r="CB102" i="1"/>
  <c r="BX102" i="1"/>
  <c r="BW102" i="1"/>
  <c r="BV102" i="1"/>
  <c r="BU102" i="1"/>
  <c r="BT102" i="1"/>
  <c r="BS102" i="1"/>
  <c r="BR102" i="1"/>
  <c r="BQ102" i="1"/>
  <c r="BP102" i="1"/>
  <c r="BO102" i="1"/>
  <c r="BN102" i="1"/>
  <c r="BY102" i="1"/>
  <c r="BZ102" i="1"/>
  <c r="AP102" i="1"/>
  <c r="AQ102" i="1"/>
  <c r="AR102" i="1"/>
  <c r="AS102" i="1"/>
  <c r="AT102" i="1"/>
  <c r="AU102" i="1"/>
  <c r="AV102" i="1"/>
  <c r="AW102" i="1"/>
  <c r="AX102" i="1"/>
  <c r="AY102" i="1"/>
  <c r="AZ102" i="1"/>
  <c r="BA102" i="1"/>
  <c r="BB102" i="1"/>
  <c r="BC102" i="1"/>
  <c r="BD102" i="1"/>
  <c r="BE102" i="1"/>
  <c r="BF102" i="1"/>
  <c r="BG102" i="1"/>
  <c r="BH102" i="1"/>
  <c r="BI102" i="1"/>
  <c r="BJ102" i="1"/>
  <c r="BK102" i="1"/>
  <c r="BL102" i="1"/>
  <c r="BM102" i="1"/>
  <c r="CY101" i="1"/>
  <c r="CX101" i="1"/>
  <c r="CW101" i="1"/>
  <c r="CV101" i="1"/>
  <c r="CU101" i="1"/>
  <c r="CT101" i="1"/>
  <c r="CS101" i="1"/>
  <c r="CR101" i="1"/>
  <c r="CQ101" i="1"/>
  <c r="CP101" i="1"/>
  <c r="CO101" i="1"/>
  <c r="CN101" i="1"/>
  <c r="CM101" i="1"/>
  <c r="CL101" i="1"/>
  <c r="CK101" i="1"/>
  <c r="CJ101" i="1"/>
  <c r="CI101" i="1"/>
  <c r="CH101" i="1"/>
  <c r="CG101" i="1"/>
  <c r="CF101" i="1"/>
  <c r="CE101" i="1"/>
  <c r="CC101" i="1"/>
  <c r="CD101" i="1"/>
  <c r="CB101" i="1"/>
  <c r="BX101" i="1"/>
  <c r="BW101" i="1"/>
  <c r="BV101" i="1"/>
  <c r="BU101" i="1"/>
  <c r="BT101" i="1"/>
  <c r="BS101" i="1"/>
  <c r="BR101" i="1"/>
  <c r="BQ101" i="1"/>
  <c r="BP101" i="1"/>
  <c r="BO101" i="1"/>
  <c r="BN101" i="1"/>
  <c r="BY101" i="1"/>
  <c r="BZ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CA101" i="1"/>
  <c r="CY100" i="1"/>
  <c r="CX100" i="1"/>
  <c r="CW100" i="1"/>
  <c r="CV100" i="1"/>
  <c r="CU100" i="1"/>
  <c r="CT100" i="1"/>
  <c r="CS100" i="1"/>
  <c r="CR100" i="1"/>
  <c r="CQ100" i="1"/>
  <c r="CP100" i="1"/>
  <c r="CO100" i="1"/>
  <c r="CN100" i="1"/>
  <c r="CM100" i="1"/>
  <c r="CL100" i="1"/>
  <c r="CK100" i="1"/>
  <c r="CJ100" i="1"/>
  <c r="CI100" i="1"/>
  <c r="CH100" i="1"/>
  <c r="CG100" i="1"/>
  <c r="CF100" i="1"/>
  <c r="CE100" i="1"/>
  <c r="CD100" i="1"/>
  <c r="CC100" i="1"/>
  <c r="BX100" i="1"/>
  <c r="BW100" i="1"/>
  <c r="BV100" i="1"/>
  <c r="BU100" i="1"/>
  <c r="BT100" i="1"/>
  <c r="BS100" i="1"/>
  <c r="BR100" i="1"/>
  <c r="BQ100" i="1"/>
  <c r="BP100" i="1"/>
  <c r="BO100" i="1"/>
  <c r="BN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CY99" i="1"/>
  <c r="CX99" i="1"/>
  <c r="CW99" i="1"/>
  <c r="CV99" i="1"/>
  <c r="CU99" i="1"/>
  <c r="CT99" i="1"/>
  <c r="CS99" i="1"/>
  <c r="CR99" i="1"/>
  <c r="CQ99" i="1"/>
  <c r="CP99" i="1"/>
  <c r="CO99" i="1"/>
  <c r="CN99" i="1"/>
  <c r="CM99" i="1"/>
  <c r="CL99" i="1"/>
  <c r="CK99" i="1"/>
  <c r="CJ99" i="1"/>
  <c r="CI99" i="1"/>
  <c r="CH99" i="1"/>
  <c r="CG99" i="1"/>
  <c r="CF99" i="1"/>
  <c r="CE99" i="1"/>
  <c r="CC99" i="1"/>
  <c r="CD99" i="1"/>
  <c r="CB99" i="1"/>
  <c r="BX99" i="1"/>
  <c r="BN99" i="1"/>
  <c r="BO99" i="1"/>
  <c r="BP99" i="1"/>
  <c r="BQ99" i="1"/>
  <c r="BR99" i="1"/>
  <c r="BS99" i="1"/>
  <c r="BT99" i="1"/>
  <c r="BU99" i="1"/>
  <c r="BV99" i="1"/>
  <c r="BW99" i="1"/>
  <c r="BY99" i="1"/>
  <c r="BZ99" i="1"/>
  <c r="AP99" i="1"/>
  <c r="AQ99" i="1"/>
  <c r="AR99" i="1"/>
  <c r="AS99" i="1"/>
  <c r="AT99" i="1"/>
  <c r="AU99" i="1"/>
  <c r="AV99" i="1"/>
  <c r="AW99" i="1"/>
  <c r="AX99" i="1"/>
  <c r="AY99" i="1"/>
  <c r="AZ99" i="1"/>
  <c r="BA99" i="1"/>
  <c r="BB99" i="1"/>
  <c r="BC99" i="1"/>
  <c r="BD99" i="1"/>
  <c r="BE99" i="1"/>
  <c r="BF99" i="1"/>
  <c r="BG99" i="1"/>
  <c r="BH99" i="1"/>
  <c r="BI99" i="1"/>
  <c r="BJ99" i="1"/>
  <c r="BK99" i="1"/>
  <c r="BL99" i="1"/>
  <c r="BM99" i="1"/>
  <c r="CA99" i="1"/>
  <c r="CY98" i="1"/>
  <c r="CX98" i="1"/>
  <c r="CW98" i="1"/>
  <c r="CV98" i="1"/>
  <c r="CU98" i="1"/>
  <c r="CT98" i="1"/>
  <c r="CS98" i="1"/>
  <c r="CR98" i="1"/>
  <c r="CQ98" i="1"/>
  <c r="CP98" i="1"/>
  <c r="CO98" i="1"/>
  <c r="CN98" i="1"/>
  <c r="CM98" i="1"/>
  <c r="CL98" i="1"/>
  <c r="CK98" i="1"/>
  <c r="CJ98" i="1"/>
  <c r="CI98" i="1"/>
  <c r="CH98" i="1"/>
  <c r="CG98" i="1"/>
  <c r="CF98" i="1"/>
  <c r="CE98" i="1"/>
  <c r="CC98" i="1"/>
  <c r="CD98" i="1"/>
  <c r="CB98" i="1"/>
  <c r="BX98" i="1"/>
  <c r="BW98" i="1"/>
  <c r="BV98" i="1"/>
  <c r="BU98" i="1"/>
  <c r="BT98" i="1"/>
  <c r="BS98" i="1"/>
  <c r="BR98" i="1"/>
  <c r="BQ98" i="1"/>
  <c r="BP98" i="1"/>
  <c r="BN98" i="1"/>
  <c r="BO98" i="1"/>
  <c r="BY98" i="1"/>
  <c r="BZ98" i="1"/>
  <c r="AP98" i="1"/>
  <c r="AQ98" i="1"/>
  <c r="AR98" i="1"/>
  <c r="AS98" i="1"/>
  <c r="AT98" i="1"/>
  <c r="AU98" i="1"/>
  <c r="AV98" i="1"/>
  <c r="AW98" i="1"/>
  <c r="AX98" i="1"/>
  <c r="AY98" i="1"/>
  <c r="AZ98" i="1"/>
  <c r="BA98" i="1"/>
  <c r="BB98" i="1"/>
  <c r="BC98" i="1"/>
  <c r="BD98" i="1"/>
  <c r="BE98" i="1"/>
  <c r="BF98" i="1"/>
  <c r="BG98" i="1"/>
  <c r="BH98" i="1"/>
  <c r="BI98" i="1"/>
  <c r="BJ98" i="1"/>
  <c r="BK98" i="1"/>
  <c r="BL98" i="1"/>
  <c r="BM98" i="1"/>
  <c r="CA98" i="1"/>
  <c r="CY97" i="1"/>
  <c r="CX97" i="1"/>
  <c r="CW97" i="1"/>
  <c r="CV97" i="1"/>
  <c r="CU97" i="1"/>
  <c r="CT97" i="1"/>
  <c r="CS97" i="1"/>
  <c r="CR97" i="1"/>
  <c r="CQ97" i="1"/>
  <c r="CP97" i="1"/>
  <c r="CO97" i="1"/>
  <c r="CN97" i="1"/>
  <c r="CM97" i="1"/>
  <c r="CL97" i="1"/>
  <c r="CK97" i="1"/>
  <c r="CJ97" i="1"/>
  <c r="CI97" i="1"/>
  <c r="CH97" i="1"/>
  <c r="CG97" i="1"/>
  <c r="CF97" i="1"/>
  <c r="CC97" i="1"/>
  <c r="CD97" i="1"/>
  <c r="CE97" i="1"/>
  <c r="CB97" i="1"/>
  <c r="BX97" i="1"/>
  <c r="BW97" i="1"/>
  <c r="BV97" i="1"/>
  <c r="BU97" i="1"/>
  <c r="BT97" i="1"/>
  <c r="BS97" i="1"/>
  <c r="BR97" i="1"/>
  <c r="BQ97" i="1"/>
  <c r="BP97" i="1"/>
  <c r="BO97" i="1"/>
  <c r="BN97" i="1"/>
  <c r="AP97" i="1"/>
  <c r="AQ97" i="1"/>
  <c r="AR97" i="1"/>
  <c r="AS97" i="1"/>
  <c r="AT97" i="1"/>
  <c r="AU97" i="1"/>
  <c r="AV97" i="1"/>
  <c r="AW97" i="1"/>
  <c r="AX97" i="1"/>
  <c r="AY97" i="1"/>
  <c r="AZ97" i="1"/>
  <c r="BA97" i="1"/>
  <c r="BB97" i="1"/>
  <c r="BC97" i="1"/>
  <c r="BD97" i="1"/>
  <c r="BE97" i="1"/>
  <c r="BF97" i="1"/>
  <c r="BG97" i="1"/>
  <c r="BH97" i="1"/>
  <c r="BI97" i="1"/>
  <c r="BJ97" i="1"/>
  <c r="BK97" i="1"/>
  <c r="BL97" i="1"/>
  <c r="BM97" i="1"/>
  <c r="CY96" i="1"/>
  <c r="CX96" i="1"/>
  <c r="CW96" i="1"/>
  <c r="CV96" i="1"/>
  <c r="CU96" i="1"/>
  <c r="CT96" i="1"/>
  <c r="CS96" i="1"/>
  <c r="CR96" i="1"/>
  <c r="CQ96" i="1"/>
  <c r="CP96" i="1"/>
  <c r="CO96" i="1"/>
  <c r="CN96" i="1"/>
  <c r="CM96" i="1"/>
  <c r="CL96" i="1"/>
  <c r="CK96" i="1"/>
  <c r="CJ96" i="1"/>
  <c r="CI96" i="1"/>
  <c r="CH96" i="1"/>
  <c r="CG96" i="1"/>
  <c r="CF96" i="1"/>
  <c r="CE96" i="1"/>
  <c r="CD96" i="1"/>
  <c r="CC96" i="1"/>
  <c r="CB96" i="1"/>
  <c r="BX96" i="1"/>
  <c r="BW96" i="1"/>
  <c r="BV96" i="1"/>
  <c r="BU96" i="1"/>
  <c r="BT96" i="1"/>
  <c r="BS96" i="1"/>
  <c r="BR96" i="1"/>
  <c r="BQ96" i="1"/>
  <c r="BP96" i="1"/>
  <c r="BO96" i="1"/>
  <c r="BN96" i="1"/>
  <c r="BY96" i="1"/>
  <c r="BZ96" i="1"/>
  <c r="AP96" i="1"/>
  <c r="AQ96" i="1"/>
  <c r="AR96" i="1"/>
  <c r="AS96" i="1"/>
  <c r="AT96" i="1"/>
  <c r="AU96" i="1"/>
  <c r="AV96" i="1"/>
  <c r="AW96" i="1"/>
  <c r="AX96" i="1"/>
  <c r="AY96" i="1"/>
  <c r="AZ96" i="1"/>
  <c r="BA96" i="1"/>
  <c r="BB96" i="1"/>
  <c r="BC96" i="1"/>
  <c r="BD96" i="1"/>
  <c r="BE96" i="1"/>
  <c r="BF96" i="1"/>
  <c r="BG96" i="1"/>
  <c r="BH96" i="1"/>
  <c r="BI96" i="1"/>
  <c r="BJ96" i="1"/>
  <c r="BK96" i="1"/>
  <c r="BL96" i="1"/>
  <c r="BM96" i="1"/>
  <c r="CA96" i="1"/>
  <c r="CY95" i="1"/>
  <c r="CX95" i="1"/>
  <c r="CW95" i="1"/>
  <c r="CV95" i="1"/>
  <c r="CU95" i="1"/>
  <c r="CT95" i="1"/>
  <c r="CS95" i="1"/>
  <c r="CR95" i="1"/>
  <c r="CQ95" i="1"/>
  <c r="CP95" i="1"/>
  <c r="CO95" i="1"/>
  <c r="CN95" i="1"/>
  <c r="CM95" i="1"/>
  <c r="CL95" i="1"/>
  <c r="CK95" i="1"/>
  <c r="CJ95" i="1"/>
  <c r="CI95" i="1"/>
  <c r="CH95" i="1"/>
  <c r="CG95" i="1"/>
  <c r="CF95" i="1"/>
  <c r="CE95" i="1"/>
  <c r="CD95" i="1"/>
  <c r="CC95" i="1"/>
  <c r="CB95" i="1"/>
  <c r="BX95" i="1"/>
  <c r="BW95" i="1"/>
  <c r="BV95" i="1"/>
  <c r="BU95" i="1"/>
  <c r="BT95" i="1"/>
  <c r="BS95" i="1"/>
  <c r="BR95" i="1"/>
  <c r="BQ95" i="1"/>
  <c r="BP95" i="1"/>
  <c r="BO95" i="1"/>
  <c r="BN95" i="1"/>
  <c r="BY95" i="1"/>
  <c r="BZ95" i="1"/>
  <c r="AP95" i="1"/>
  <c r="AQ95" i="1"/>
  <c r="AR95" i="1"/>
  <c r="AS95" i="1"/>
  <c r="AT95" i="1"/>
  <c r="AU95" i="1"/>
  <c r="AV95" i="1"/>
  <c r="AW95" i="1"/>
  <c r="AX95" i="1"/>
  <c r="AY95" i="1"/>
  <c r="AZ95" i="1"/>
  <c r="BA95" i="1"/>
  <c r="BB95" i="1"/>
  <c r="BC95" i="1"/>
  <c r="BD95" i="1"/>
  <c r="BE95" i="1"/>
  <c r="BF95" i="1"/>
  <c r="BG95" i="1"/>
  <c r="BH95" i="1"/>
  <c r="BI95" i="1"/>
  <c r="BJ95" i="1"/>
  <c r="BK95" i="1"/>
  <c r="BL95" i="1"/>
  <c r="BM95" i="1"/>
  <c r="CA95" i="1"/>
  <c r="AM95" i="1"/>
  <c r="CY94" i="1"/>
  <c r="CX94" i="1"/>
  <c r="CW94" i="1"/>
  <c r="CV94" i="1"/>
  <c r="CU94" i="1"/>
  <c r="CT94" i="1"/>
  <c r="CS94" i="1"/>
  <c r="CR94" i="1"/>
  <c r="CQ94" i="1"/>
  <c r="CP94" i="1"/>
  <c r="CO94" i="1"/>
  <c r="CN94" i="1"/>
  <c r="CM94" i="1"/>
  <c r="CL94" i="1"/>
  <c r="CK94" i="1"/>
  <c r="CJ94" i="1"/>
  <c r="CI94" i="1"/>
  <c r="CH94" i="1"/>
  <c r="CG94" i="1"/>
  <c r="CF94" i="1"/>
  <c r="CE94" i="1"/>
  <c r="CD94" i="1"/>
  <c r="CC94" i="1"/>
  <c r="BX94" i="1"/>
  <c r="BW94" i="1"/>
  <c r="BV94" i="1"/>
  <c r="BU94" i="1"/>
  <c r="BT94" i="1"/>
  <c r="BS94" i="1"/>
  <c r="BR94" i="1"/>
  <c r="BQ94" i="1"/>
  <c r="BN94" i="1"/>
  <c r="BO94" i="1"/>
  <c r="BP94" i="1"/>
  <c r="BY94" i="1"/>
  <c r="BZ94" i="1"/>
  <c r="AP94" i="1"/>
  <c r="AQ94" i="1"/>
  <c r="AR94" i="1"/>
  <c r="AS94" i="1"/>
  <c r="AT94" i="1"/>
  <c r="AU94" i="1"/>
  <c r="AV94" i="1"/>
  <c r="AW94" i="1"/>
  <c r="AX94" i="1"/>
  <c r="AY94" i="1"/>
  <c r="AZ94" i="1"/>
  <c r="BA94" i="1"/>
  <c r="BB94" i="1"/>
  <c r="BC94" i="1"/>
  <c r="BD94" i="1"/>
  <c r="BE94" i="1"/>
  <c r="BF94" i="1"/>
  <c r="BG94" i="1"/>
  <c r="BH94" i="1"/>
  <c r="BI94" i="1"/>
  <c r="BJ94" i="1"/>
  <c r="BK94" i="1"/>
  <c r="BL94" i="1"/>
  <c r="BM94" i="1"/>
  <c r="CA94" i="1"/>
  <c r="CY93" i="1"/>
  <c r="CX93" i="1"/>
  <c r="CW93" i="1"/>
  <c r="CV93" i="1"/>
  <c r="CU93" i="1"/>
  <c r="CT93" i="1"/>
  <c r="CS93" i="1"/>
  <c r="CR93" i="1"/>
  <c r="CQ93" i="1"/>
  <c r="CP93" i="1"/>
  <c r="CO93" i="1"/>
  <c r="CN93" i="1"/>
  <c r="CM93" i="1"/>
  <c r="CL93" i="1"/>
  <c r="CK93" i="1"/>
  <c r="CJ93" i="1"/>
  <c r="CI93" i="1"/>
  <c r="CH93" i="1"/>
  <c r="CG93" i="1"/>
  <c r="CF93" i="1"/>
  <c r="CC93" i="1"/>
  <c r="CD93" i="1"/>
  <c r="CE93" i="1"/>
  <c r="CB93" i="1"/>
  <c r="BX93" i="1"/>
  <c r="BW93" i="1"/>
  <c r="BV93" i="1"/>
  <c r="BU93" i="1"/>
  <c r="BT93" i="1"/>
  <c r="BS93" i="1"/>
  <c r="BR93" i="1"/>
  <c r="BQ93" i="1"/>
  <c r="BP93" i="1"/>
  <c r="BO93" i="1"/>
  <c r="BN93" i="1"/>
  <c r="BM93" i="1"/>
  <c r="BL93" i="1"/>
  <c r="BK93" i="1"/>
  <c r="BJ93" i="1"/>
  <c r="BI93" i="1"/>
  <c r="BH93" i="1"/>
  <c r="BG93" i="1"/>
  <c r="BF93" i="1"/>
  <c r="BE93" i="1"/>
  <c r="BD93" i="1"/>
  <c r="BC93" i="1"/>
  <c r="BB93" i="1"/>
  <c r="BA93" i="1"/>
  <c r="AZ93" i="1"/>
  <c r="AY93" i="1"/>
  <c r="AX93" i="1"/>
  <c r="AW93" i="1"/>
  <c r="AV93" i="1"/>
  <c r="AU93" i="1"/>
  <c r="AT93" i="1"/>
  <c r="AS93" i="1"/>
  <c r="AR93" i="1"/>
  <c r="AQ93" i="1"/>
  <c r="AP93" i="1"/>
  <c r="CY92" i="1"/>
  <c r="CX92" i="1"/>
  <c r="CW92" i="1"/>
  <c r="CV92" i="1"/>
  <c r="CU92" i="1"/>
  <c r="CT92" i="1"/>
  <c r="CS92" i="1"/>
  <c r="CR92" i="1"/>
  <c r="CQ92" i="1"/>
  <c r="CP92" i="1"/>
  <c r="CO92" i="1"/>
  <c r="CN92" i="1"/>
  <c r="CM92" i="1"/>
  <c r="CL92" i="1"/>
  <c r="CK92" i="1"/>
  <c r="CJ92" i="1"/>
  <c r="CI92" i="1"/>
  <c r="CH92" i="1"/>
  <c r="CG92" i="1"/>
  <c r="CF92" i="1"/>
  <c r="CE92" i="1"/>
  <c r="CD92" i="1"/>
  <c r="CC92" i="1"/>
  <c r="CB92" i="1"/>
  <c r="BX92" i="1"/>
  <c r="BW92" i="1"/>
  <c r="BV92" i="1"/>
  <c r="BU92" i="1"/>
  <c r="BT92" i="1"/>
  <c r="BS92" i="1"/>
  <c r="BR92" i="1"/>
  <c r="BQ92" i="1"/>
  <c r="BN92" i="1"/>
  <c r="BO92" i="1"/>
  <c r="BP92" i="1"/>
  <c r="AP92" i="1"/>
  <c r="AQ92" i="1"/>
  <c r="AR92" i="1"/>
  <c r="AS92" i="1"/>
  <c r="AT92" i="1"/>
  <c r="AU92" i="1"/>
  <c r="AV92" i="1"/>
  <c r="AW92" i="1"/>
  <c r="AX92" i="1"/>
  <c r="AY92" i="1"/>
  <c r="AZ92" i="1"/>
  <c r="BA92" i="1"/>
  <c r="BB92" i="1"/>
  <c r="BC92" i="1"/>
  <c r="BD92" i="1"/>
  <c r="BE92" i="1"/>
  <c r="BF92" i="1"/>
  <c r="BG92" i="1"/>
  <c r="BH92" i="1"/>
  <c r="BI92" i="1"/>
  <c r="BJ92" i="1"/>
  <c r="BK92" i="1"/>
  <c r="BL92" i="1"/>
  <c r="BM92" i="1"/>
  <c r="CY91" i="1"/>
  <c r="CX91" i="1"/>
  <c r="CW91" i="1"/>
  <c r="CV91" i="1"/>
  <c r="CU91" i="1"/>
  <c r="CT91" i="1"/>
  <c r="CS91" i="1"/>
  <c r="CR91" i="1"/>
  <c r="CQ91" i="1"/>
  <c r="CP91" i="1"/>
  <c r="CO91" i="1"/>
  <c r="CN91" i="1"/>
  <c r="CM91" i="1"/>
  <c r="CL91" i="1"/>
  <c r="CK91" i="1"/>
  <c r="CJ91" i="1"/>
  <c r="CI91" i="1"/>
  <c r="CH91" i="1"/>
  <c r="CG91" i="1"/>
  <c r="CF91" i="1"/>
  <c r="CE91" i="1"/>
  <c r="CD91" i="1"/>
  <c r="CC91" i="1"/>
  <c r="CB91" i="1"/>
  <c r="BX91" i="1"/>
  <c r="BW91" i="1"/>
  <c r="BV91" i="1"/>
  <c r="BU91" i="1"/>
  <c r="BT91" i="1"/>
  <c r="BS91" i="1"/>
  <c r="BR91" i="1"/>
  <c r="BQ91" i="1"/>
  <c r="BN91" i="1"/>
  <c r="BO91" i="1"/>
  <c r="BP91" i="1"/>
  <c r="BY91" i="1"/>
  <c r="BZ91" i="1"/>
  <c r="AP91" i="1"/>
  <c r="AQ91" i="1"/>
  <c r="AR91" i="1"/>
  <c r="AS91" i="1"/>
  <c r="AT91" i="1"/>
  <c r="AU91" i="1"/>
  <c r="AV91" i="1"/>
  <c r="AW91" i="1"/>
  <c r="AX91" i="1"/>
  <c r="AY91" i="1"/>
  <c r="AZ91" i="1"/>
  <c r="BA91" i="1"/>
  <c r="BB91" i="1"/>
  <c r="BC91" i="1"/>
  <c r="BD91" i="1"/>
  <c r="BE91" i="1"/>
  <c r="BF91" i="1"/>
  <c r="BG91" i="1"/>
  <c r="BH91" i="1"/>
  <c r="BI91" i="1"/>
  <c r="BJ91" i="1"/>
  <c r="BK91" i="1"/>
  <c r="BL91" i="1"/>
  <c r="BM91" i="1"/>
  <c r="CA91" i="1"/>
  <c r="CY90" i="1"/>
  <c r="CX90" i="1"/>
  <c r="CW90" i="1"/>
  <c r="CV90" i="1"/>
  <c r="CU90" i="1"/>
  <c r="CT90" i="1"/>
  <c r="CS90" i="1"/>
  <c r="CR90" i="1"/>
  <c r="CQ90" i="1"/>
  <c r="CP90" i="1"/>
  <c r="CO90" i="1"/>
  <c r="CN90" i="1"/>
  <c r="CM90" i="1"/>
  <c r="CL90" i="1"/>
  <c r="CK90" i="1"/>
  <c r="CJ90" i="1"/>
  <c r="CI90" i="1"/>
  <c r="CH90" i="1"/>
  <c r="CG90" i="1"/>
  <c r="CF90" i="1"/>
  <c r="CE90" i="1"/>
  <c r="CD90" i="1"/>
  <c r="CC90" i="1"/>
  <c r="BX90" i="1"/>
  <c r="BW90" i="1"/>
  <c r="BV90" i="1"/>
  <c r="BU90" i="1"/>
  <c r="BT90" i="1"/>
  <c r="BS90" i="1"/>
  <c r="BR90" i="1"/>
  <c r="BQ90" i="1"/>
  <c r="BN90" i="1"/>
  <c r="BO90" i="1"/>
  <c r="BP90" i="1"/>
  <c r="BY90" i="1"/>
  <c r="BZ90" i="1"/>
  <c r="AP90" i="1"/>
  <c r="AQ90" i="1"/>
  <c r="AR90" i="1"/>
  <c r="AS90" i="1"/>
  <c r="AT90" i="1"/>
  <c r="AU90" i="1"/>
  <c r="AV90" i="1"/>
  <c r="AW90" i="1"/>
  <c r="AX90" i="1"/>
  <c r="AY90" i="1"/>
  <c r="AZ90" i="1"/>
  <c r="BA90" i="1"/>
  <c r="BB90" i="1"/>
  <c r="BC90" i="1"/>
  <c r="BD90" i="1"/>
  <c r="BE90" i="1"/>
  <c r="BF90" i="1"/>
  <c r="BG90" i="1"/>
  <c r="BH90" i="1"/>
  <c r="BI90" i="1"/>
  <c r="BJ90" i="1"/>
  <c r="BK90" i="1"/>
  <c r="BL90" i="1"/>
  <c r="BM90" i="1"/>
  <c r="CA90" i="1"/>
  <c r="CY89" i="1"/>
  <c r="CX89" i="1"/>
  <c r="CW89" i="1"/>
  <c r="CV89" i="1"/>
  <c r="CU89" i="1"/>
  <c r="CT89" i="1"/>
  <c r="CS89" i="1"/>
  <c r="CR89" i="1"/>
  <c r="CQ89" i="1"/>
  <c r="CP89" i="1"/>
  <c r="CO89" i="1"/>
  <c r="CN89" i="1"/>
  <c r="CM89" i="1"/>
  <c r="CL89" i="1"/>
  <c r="CK89" i="1"/>
  <c r="CJ89" i="1"/>
  <c r="CI89" i="1"/>
  <c r="CH89" i="1"/>
  <c r="CG89" i="1"/>
  <c r="CF89" i="1"/>
  <c r="CE89" i="1"/>
  <c r="CC89" i="1"/>
  <c r="CD89" i="1"/>
  <c r="BX89" i="1"/>
  <c r="BW89" i="1"/>
  <c r="BV89" i="1"/>
  <c r="BU89" i="1"/>
  <c r="BT89" i="1"/>
  <c r="BS89" i="1"/>
  <c r="BR89" i="1"/>
  <c r="BQ89" i="1"/>
  <c r="BP89" i="1"/>
  <c r="BO89" i="1"/>
  <c r="BN89" i="1"/>
  <c r="BY89" i="1"/>
  <c r="BZ89" i="1"/>
  <c r="AP89" i="1"/>
  <c r="AQ89" i="1"/>
  <c r="AR89" i="1"/>
  <c r="AS89" i="1"/>
  <c r="AT89" i="1"/>
  <c r="AU89" i="1"/>
  <c r="AV89" i="1"/>
  <c r="AW89" i="1"/>
  <c r="AX89" i="1"/>
  <c r="AY89" i="1"/>
  <c r="AZ89" i="1"/>
  <c r="BA89" i="1"/>
  <c r="BB89" i="1"/>
  <c r="BC89" i="1"/>
  <c r="BD89" i="1"/>
  <c r="BE89" i="1"/>
  <c r="BF89" i="1"/>
  <c r="BG89" i="1"/>
  <c r="BH89" i="1"/>
  <c r="BI89" i="1"/>
  <c r="BJ89" i="1"/>
  <c r="BK89" i="1"/>
  <c r="BL89" i="1"/>
  <c r="BM89" i="1"/>
  <c r="CA89" i="1"/>
  <c r="CY88" i="1"/>
  <c r="CX88" i="1"/>
  <c r="CW88" i="1"/>
  <c r="CV88" i="1"/>
  <c r="CU88" i="1"/>
  <c r="CT88" i="1"/>
  <c r="CS88" i="1"/>
  <c r="CR88" i="1"/>
  <c r="CQ88" i="1"/>
  <c r="CP88" i="1"/>
  <c r="CO88" i="1"/>
  <c r="CN88" i="1"/>
  <c r="CM88" i="1"/>
  <c r="CL88" i="1"/>
  <c r="CK88" i="1"/>
  <c r="CJ88" i="1"/>
  <c r="CI88" i="1"/>
  <c r="CH88" i="1"/>
  <c r="CG88" i="1"/>
  <c r="CF88" i="1"/>
  <c r="CE88" i="1"/>
  <c r="CC88" i="1"/>
  <c r="CD88" i="1"/>
  <c r="BX88" i="1"/>
  <c r="BN88" i="1"/>
  <c r="BO88" i="1"/>
  <c r="BP88" i="1"/>
  <c r="BQ88" i="1"/>
  <c r="BR88" i="1"/>
  <c r="BS88" i="1"/>
  <c r="BT88" i="1"/>
  <c r="BU88" i="1"/>
  <c r="BV88" i="1"/>
  <c r="BW88" i="1"/>
  <c r="BY88" i="1"/>
  <c r="BZ88" i="1"/>
  <c r="AP88" i="1"/>
  <c r="AQ88" i="1"/>
  <c r="AR88" i="1"/>
  <c r="AS88" i="1"/>
  <c r="AT88" i="1"/>
  <c r="AU88" i="1"/>
  <c r="AV88" i="1"/>
  <c r="AW88" i="1"/>
  <c r="AX88" i="1"/>
  <c r="AY88" i="1"/>
  <c r="AZ88" i="1"/>
  <c r="BA88" i="1"/>
  <c r="BB88" i="1"/>
  <c r="BC88" i="1"/>
  <c r="BD88" i="1"/>
  <c r="BE88" i="1"/>
  <c r="BF88" i="1"/>
  <c r="BG88" i="1"/>
  <c r="BH88" i="1"/>
  <c r="BI88" i="1"/>
  <c r="BJ88" i="1"/>
  <c r="BK88" i="1"/>
  <c r="BL88" i="1"/>
  <c r="BM88" i="1"/>
  <c r="CA88" i="1"/>
  <c r="CY87" i="1"/>
  <c r="CX87" i="1"/>
  <c r="CW87" i="1"/>
  <c r="CV87" i="1"/>
  <c r="CU87" i="1"/>
  <c r="CT87" i="1"/>
  <c r="CS87" i="1"/>
  <c r="CR87" i="1"/>
  <c r="CQ87" i="1"/>
  <c r="CP87" i="1"/>
  <c r="CO87" i="1"/>
  <c r="CN87" i="1"/>
  <c r="CM87" i="1"/>
  <c r="CL87" i="1"/>
  <c r="CK87" i="1"/>
  <c r="CJ87" i="1"/>
  <c r="CI87" i="1"/>
  <c r="CH87" i="1"/>
  <c r="CG87" i="1"/>
  <c r="CF87" i="1"/>
  <c r="CE87" i="1"/>
  <c r="CD87" i="1"/>
  <c r="CC87" i="1"/>
  <c r="CB87" i="1"/>
  <c r="BX87" i="1"/>
  <c r="BW87" i="1"/>
  <c r="BV87" i="1"/>
  <c r="BU87" i="1"/>
  <c r="BT87" i="1"/>
  <c r="BS87" i="1"/>
  <c r="BR87" i="1"/>
  <c r="BQ87" i="1"/>
  <c r="BP87" i="1"/>
  <c r="BO87" i="1"/>
  <c r="BN87" i="1"/>
  <c r="AP87" i="1"/>
  <c r="AQ87" i="1"/>
  <c r="AR87" i="1"/>
  <c r="AS87" i="1"/>
  <c r="AT87" i="1"/>
  <c r="AU87" i="1"/>
  <c r="AV87" i="1"/>
  <c r="AW87" i="1"/>
  <c r="AX87" i="1"/>
  <c r="AY87" i="1"/>
  <c r="AZ87" i="1"/>
  <c r="BA87" i="1"/>
  <c r="BB87" i="1"/>
  <c r="BC87" i="1"/>
  <c r="BD87" i="1"/>
  <c r="BE87" i="1"/>
  <c r="BF87" i="1"/>
  <c r="BG87" i="1"/>
  <c r="BH87" i="1"/>
  <c r="BI87" i="1"/>
  <c r="BJ87" i="1"/>
  <c r="BK87" i="1"/>
  <c r="BL87" i="1"/>
  <c r="BM87" i="1"/>
  <c r="CY86" i="1"/>
  <c r="CX86" i="1"/>
  <c r="CW86" i="1"/>
  <c r="CV86" i="1"/>
  <c r="CU86" i="1"/>
  <c r="CT86" i="1"/>
  <c r="CS86" i="1"/>
  <c r="CR86" i="1"/>
  <c r="CQ86" i="1"/>
  <c r="CP86" i="1"/>
  <c r="CO86" i="1"/>
  <c r="CN86" i="1"/>
  <c r="CM86" i="1"/>
  <c r="CL86" i="1"/>
  <c r="CK86" i="1"/>
  <c r="CJ86" i="1"/>
  <c r="CI86" i="1"/>
  <c r="CH86" i="1"/>
  <c r="CG86" i="1"/>
  <c r="CF86" i="1"/>
  <c r="CE86" i="1"/>
  <c r="CC86" i="1"/>
  <c r="CD86" i="1"/>
  <c r="CB86" i="1"/>
  <c r="BX86" i="1"/>
  <c r="BN86" i="1"/>
  <c r="BO86" i="1"/>
  <c r="BP86" i="1"/>
  <c r="BQ86" i="1"/>
  <c r="BR86" i="1"/>
  <c r="BS86" i="1"/>
  <c r="BT86" i="1"/>
  <c r="BU86" i="1"/>
  <c r="BV86" i="1"/>
  <c r="BW86" i="1"/>
  <c r="AP86" i="1"/>
  <c r="AQ86" i="1"/>
  <c r="AR86" i="1"/>
  <c r="AS86" i="1"/>
  <c r="AT86" i="1"/>
  <c r="AU86" i="1"/>
  <c r="AV86" i="1"/>
  <c r="AW86" i="1"/>
  <c r="AX86" i="1"/>
  <c r="AY86" i="1"/>
  <c r="AZ86" i="1"/>
  <c r="BA86" i="1"/>
  <c r="BB86" i="1"/>
  <c r="BC86" i="1"/>
  <c r="BD86" i="1"/>
  <c r="BE86" i="1"/>
  <c r="BF86" i="1"/>
  <c r="BG86" i="1"/>
  <c r="BH86" i="1"/>
  <c r="BI86" i="1"/>
  <c r="BJ86" i="1"/>
  <c r="BK86" i="1"/>
  <c r="BL86" i="1"/>
  <c r="BM86" i="1"/>
  <c r="CY85" i="1"/>
  <c r="CX85" i="1"/>
  <c r="CW85" i="1"/>
  <c r="CV85" i="1"/>
  <c r="CU85" i="1"/>
  <c r="CT85" i="1"/>
  <c r="CS85" i="1"/>
  <c r="CR85" i="1"/>
  <c r="CQ85" i="1"/>
  <c r="CP85" i="1"/>
  <c r="CO85" i="1"/>
  <c r="CN85" i="1"/>
  <c r="CM85" i="1"/>
  <c r="CL85" i="1"/>
  <c r="CK85" i="1"/>
  <c r="CJ85" i="1"/>
  <c r="CI85" i="1"/>
  <c r="CH85" i="1"/>
  <c r="CG85" i="1"/>
  <c r="CF85" i="1"/>
  <c r="CE85" i="1"/>
  <c r="CD85" i="1"/>
  <c r="CC85" i="1"/>
  <c r="CB85" i="1"/>
  <c r="BX85" i="1"/>
  <c r="BW85" i="1"/>
  <c r="BV85" i="1"/>
  <c r="BU85" i="1"/>
  <c r="BT85" i="1"/>
  <c r="BS85" i="1"/>
  <c r="BR85" i="1"/>
  <c r="BN85" i="1"/>
  <c r="BO85" i="1"/>
  <c r="BP85" i="1"/>
  <c r="BQ85" i="1"/>
  <c r="BY85" i="1"/>
  <c r="BZ85" i="1"/>
  <c r="AP85" i="1"/>
  <c r="AQ85" i="1"/>
  <c r="AR85" i="1"/>
  <c r="AS85" i="1"/>
  <c r="AT85" i="1"/>
  <c r="AU85" i="1"/>
  <c r="AV85" i="1"/>
  <c r="AW85" i="1"/>
  <c r="AX85" i="1"/>
  <c r="AY85" i="1"/>
  <c r="AZ85" i="1"/>
  <c r="BA85" i="1"/>
  <c r="BB85" i="1"/>
  <c r="BC85" i="1"/>
  <c r="BD85" i="1"/>
  <c r="BE85" i="1"/>
  <c r="BF85" i="1"/>
  <c r="BG85" i="1"/>
  <c r="BH85" i="1"/>
  <c r="BI85" i="1"/>
  <c r="BJ85" i="1"/>
  <c r="BK85" i="1"/>
  <c r="BL85" i="1"/>
  <c r="BM85" i="1"/>
  <c r="CA85" i="1"/>
  <c r="CY84" i="1"/>
  <c r="CX84" i="1"/>
  <c r="CW84" i="1"/>
  <c r="CV84" i="1"/>
  <c r="CU84" i="1"/>
  <c r="CT84" i="1"/>
  <c r="CS84" i="1"/>
  <c r="CR84" i="1"/>
  <c r="CQ84" i="1"/>
  <c r="CP84" i="1"/>
  <c r="CO84" i="1"/>
  <c r="CN84" i="1"/>
  <c r="CM84" i="1"/>
  <c r="CL84" i="1"/>
  <c r="CK84" i="1"/>
  <c r="CJ84" i="1"/>
  <c r="CI84" i="1"/>
  <c r="CH84" i="1"/>
  <c r="CG84" i="1"/>
  <c r="CF84" i="1"/>
  <c r="CE84" i="1"/>
  <c r="CC84" i="1"/>
  <c r="CD84" i="1"/>
  <c r="CB84" i="1"/>
  <c r="BX84" i="1"/>
  <c r="BN84" i="1"/>
  <c r="BO84" i="1"/>
  <c r="BP84" i="1"/>
  <c r="BQ84" i="1"/>
  <c r="BR84" i="1"/>
  <c r="BS84" i="1"/>
  <c r="BT84" i="1"/>
  <c r="BU84" i="1"/>
  <c r="BV84" i="1"/>
  <c r="BW84" i="1"/>
  <c r="AP84" i="1"/>
  <c r="AQ84" i="1"/>
  <c r="AR84" i="1"/>
  <c r="AS84" i="1"/>
  <c r="AT84" i="1"/>
  <c r="AU84" i="1"/>
  <c r="AV84" i="1"/>
  <c r="AW84" i="1"/>
  <c r="AX84" i="1"/>
  <c r="AY84" i="1"/>
  <c r="AZ84" i="1"/>
  <c r="BA84" i="1"/>
  <c r="BB84" i="1"/>
  <c r="BC84" i="1"/>
  <c r="BD84" i="1"/>
  <c r="BE84" i="1"/>
  <c r="BF84" i="1"/>
  <c r="BG84" i="1"/>
  <c r="BH84" i="1"/>
  <c r="BI84" i="1"/>
  <c r="BJ84" i="1"/>
  <c r="BK84" i="1"/>
  <c r="BL84" i="1"/>
  <c r="BM84" i="1"/>
  <c r="CY83" i="1"/>
  <c r="CX83" i="1"/>
  <c r="CW83" i="1"/>
  <c r="CV83" i="1"/>
  <c r="CU83" i="1"/>
  <c r="CT83" i="1"/>
  <c r="CS83" i="1"/>
  <c r="CR83" i="1"/>
  <c r="CQ83" i="1"/>
  <c r="CP83" i="1"/>
  <c r="CO83" i="1"/>
  <c r="CN83" i="1"/>
  <c r="CM83" i="1"/>
  <c r="CL83" i="1"/>
  <c r="CK83" i="1"/>
  <c r="CJ83" i="1"/>
  <c r="CI83" i="1"/>
  <c r="CH83" i="1"/>
  <c r="CG83" i="1"/>
  <c r="CF83" i="1"/>
  <c r="CE83" i="1"/>
  <c r="CD83" i="1"/>
  <c r="CC83" i="1"/>
  <c r="BX83" i="1"/>
  <c r="BW83" i="1"/>
  <c r="BV83" i="1"/>
  <c r="BU83" i="1"/>
  <c r="BT83" i="1"/>
  <c r="BS83" i="1"/>
  <c r="BR83" i="1"/>
  <c r="BQ83" i="1"/>
  <c r="BP83" i="1"/>
  <c r="BO83" i="1"/>
  <c r="BN83" i="1"/>
  <c r="BY83" i="1"/>
  <c r="BZ83" i="1"/>
  <c r="AP83" i="1"/>
  <c r="AQ83" i="1"/>
  <c r="AR83" i="1"/>
  <c r="AS83" i="1"/>
  <c r="AT83" i="1"/>
  <c r="AU83" i="1"/>
  <c r="AV83" i="1"/>
  <c r="AW83" i="1"/>
  <c r="AX83" i="1"/>
  <c r="AY83" i="1"/>
  <c r="AZ83" i="1"/>
  <c r="BA83" i="1"/>
  <c r="BB83" i="1"/>
  <c r="BC83" i="1"/>
  <c r="BD83" i="1"/>
  <c r="BE83" i="1"/>
  <c r="BF83" i="1"/>
  <c r="BG83" i="1"/>
  <c r="BH83" i="1"/>
  <c r="BI83" i="1"/>
  <c r="BJ83" i="1"/>
  <c r="BK83" i="1"/>
  <c r="BL83" i="1"/>
  <c r="BM83" i="1"/>
  <c r="CA83" i="1"/>
  <c r="CY82" i="1"/>
  <c r="CX82" i="1"/>
  <c r="CW82" i="1"/>
  <c r="CV82" i="1"/>
  <c r="CU82" i="1"/>
  <c r="CT82" i="1"/>
  <c r="CS82" i="1"/>
  <c r="CR82" i="1"/>
  <c r="CQ82" i="1"/>
  <c r="CP82" i="1"/>
  <c r="CO82" i="1"/>
  <c r="CN82" i="1"/>
  <c r="CM82" i="1"/>
  <c r="CL82" i="1"/>
  <c r="CK82" i="1"/>
  <c r="CJ82" i="1"/>
  <c r="CI82" i="1"/>
  <c r="CH82" i="1"/>
  <c r="CG82" i="1"/>
  <c r="CF82" i="1"/>
  <c r="CE82" i="1"/>
  <c r="CD82" i="1"/>
  <c r="CC82" i="1"/>
  <c r="CB82" i="1"/>
  <c r="BX82" i="1"/>
  <c r="BW82" i="1"/>
  <c r="BV82" i="1"/>
  <c r="BU82" i="1"/>
  <c r="BT82" i="1"/>
  <c r="BS82" i="1"/>
  <c r="BR82" i="1"/>
  <c r="BQ82" i="1"/>
  <c r="BP82" i="1"/>
  <c r="BN82" i="1"/>
  <c r="BO82" i="1"/>
  <c r="AP82" i="1"/>
  <c r="AQ82" i="1"/>
  <c r="AR82" i="1"/>
  <c r="AS82" i="1"/>
  <c r="AT82" i="1"/>
  <c r="AU82" i="1"/>
  <c r="AV82" i="1"/>
  <c r="AW82" i="1"/>
  <c r="AX82" i="1"/>
  <c r="AY82" i="1"/>
  <c r="AZ82" i="1"/>
  <c r="BA82" i="1"/>
  <c r="BB82" i="1"/>
  <c r="BC82" i="1"/>
  <c r="BD82" i="1"/>
  <c r="BE82" i="1"/>
  <c r="BF82" i="1"/>
  <c r="BG82" i="1"/>
  <c r="BH82" i="1"/>
  <c r="BI82" i="1"/>
  <c r="BJ82" i="1"/>
  <c r="BK82" i="1"/>
  <c r="BL82" i="1"/>
  <c r="BM82" i="1"/>
  <c r="CY81" i="1"/>
  <c r="CX81" i="1"/>
  <c r="CW81" i="1"/>
  <c r="CV81" i="1"/>
  <c r="CU81" i="1"/>
  <c r="CT81" i="1"/>
  <c r="CS81" i="1"/>
  <c r="CR81" i="1"/>
  <c r="CQ81" i="1"/>
  <c r="CP81" i="1"/>
  <c r="CO81" i="1"/>
  <c r="CN81" i="1"/>
  <c r="CM81" i="1"/>
  <c r="CL81" i="1"/>
  <c r="CK81" i="1"/>
  <c r="CJ81" i="1"/>
  <c r="CI81" i="1"/>
  <c r="CH81" i="1"/>
  <c r="CG81" i="1"/>
  <c r="CF81" i="1"/>
  <c r="CE81" i="1"/>
  <c r="CD81" i="1"/>
  <c r="CC81" i="1"/>
  <c r="BX81" i="1"/>
  <c r="BW81" i="1"/>
  <c r="BV81" i="1"/>
  <c r="BU81" i="1"/>
  <c r="BT81" i="1"/>
  <c r="BS81" i="1"/>
  <c r="BR81" i="1"/>
  <c r="BQ81" i="1"/>
  <c r="BP81" i="1"/>
  <c r="BO81" i="1"/>
  <c r="BN81" i="1"/>
  <c r="BY81" i="1"/>
  <c r="BZ81" i="1"/>
  <c r="AP81" i="1"/>
  <c r="AQ81" i="1"/>
  <c r="AR81" i="1"/>
  <c r="AS81" i="1"/>
  <c r="AT81" i="1"/>
  <c r="AU81" i="1"/>
  <c r="AV81" i="1"/>
  <c r="AW81" i="1"/>
  <c r="AX81" i="1"/>
  <c r="AY81" i="1"/>
  <c r="AZ81" i="1"/>
  <c r="BA81" i="1"/>
  <c r="BB81" i="1"/>
  <c r="BC81" i="1"/>
  <c r="BD81" i="1"/>
  <c r="BE81" i="1"/>
  <c r="BF81" i="1"/>
  <c r="BG81" i="1"/>
  <c r="BH81" i="1"/>
  <c r="BI81" i="1"/>
  <c r="BJ81" i="1"/>
  <c r="BK81" i="1"/>
  <c r="BL81" i="1"/>
  <c r="BM81" i="1"/>
  <c r="CY80" i="1"/>
  <c r="CX80" i="1"/>
  <c r="CW80" i="1"/>
  <c r="CV80" i="1"/>
  <c r="CU80" i="1"/>
  <c r="CT80" i="1"/>
  <c r="CS80" i="1"/>
  <c r="CR80" i="1"/>
  <c r="CQ80" i="1"/>
  <c r="CP80" i="1"/>
  <c r="CO80" i="1"/>
  <c r="CN80" i="1"/>
  <c r="CM80" i="1"/>
  <c r="CL80" i="1"/>
  <c r="CK80" i="1"/>
  <c r="CJ80" i="1"/>
  <c r="CI80" i="1"/>
  <c r="CH80" i="1"/>
  <c r="CG80" i="1"/>
  <c r="CF80" i="1"/>
  <c r="CE80" i="1"/>
  <c r="CD80" i="1"/>
  <c r="CC80" i="1"/>
  <c r="BX80" i="1"/>
  <c r="BW80" i="1"/>
  <c r="BV80" i="1"/>
  <c r="BU80" i="1"/>
  <c r="BT80" i="1"/>
  <c r="BS80" i="1"/>
  <c r="BR80" i="1"/>
  <c r="BQ80" i="1"/>
  <c r="BP80" i="1"/>
  <c r="BN80" i="1"/>
  <c r="BO80" i="1"/>
  <c r="AP80" i="1"/>
  <c r="AQ80" i="1"/>
  <c r="AR80" i="1"/>
  <c r="AS80" i="1"/>
  <c r="AT80" i="1"/>
  <c r="AU80" i="1"/>
  <c r="AV80" i="1"/>
  <c r="AW80" i="1"/>
  <c r="AX80" i="1"/>
  <c r="AY80" i="1"/>
  <c r="AZ80" i="1"/>
  <c r="BA80" i="1"/>
  <c r="BB80" i="1"/>
  <c r="BC80" i="1"/>
  <c r="BD80" i="1"/>
  <c r="BE80" i="1"/>
  <c r="BF80" i="1"/>
  <c r="BG80" i="1"/>
  <c r="BH80" i="1"/>
  <c r="BI80" i="1"/>
  <c r="BJ80" i="1"/>
  <c r="BK80" i="1"/>
  <c r="BL80" i="1"/>
  <c r="BM80" i="1"/>
  <c r="CY79" i="1"/>
  <c r="CX79" i="1"/>
  <c r="CW79" i="1"/>
  <c r="CV79" i="1"/>
  <c r="CU79" i="1"/>
  <c r="CT79" i="1"/>
  <c r="CS79" i="1"/>
  <c r="CR79" i="1"/>
  <c r="CQ79" i="1"/>
  <c r="CP79" i="1"/>
  <c r="CO79" i="1"/>
  <c r="CN79" i="1"/>
  <c r="CM79" i="1"/>
  <c r="CL79" i="1"/>
  <c r="CK79" i="1"/>
  <c r="CJ79" i="1"/>
  <c r="CI79" i="1"/>
  <c r="CH79" i="1"/>
  <c r="CG79" i="1"/>
  <c r="CF79" i="1"/>
  <c r="CE79" i="1"/>
  <c r="CD79" i="1"/>
  <c r="CC79" i="1"/>
  <c r="CB79" i="1"/>
  <c r="BX79" i="1"/>
  <c r="BW79" i="1"/>
  <c r="BV79" i="1"/>
  <c r="BU79" i="1"/>
  <c r="BT79" i="1"/>
  <c r="BS79" i="1"/>
  <c r="BR79" i="1"/>
  <c r="BQ79" i="1"/>
  <c r="BN79" i="1"/>
  <c r="BO79" i="1"/>
  <c r="BP79" i="1"/>
  <c r="BY79" i="1"/>
  <c r="BZ79" i="1"/>
  <c r="AP79" i="1"/>
  <c r="AQ79" i="1"/>
  <c r="AR79" i="1"/>
  <c r="AS79" i="1"/>
  <c r="AT79" i="1"/>
  <c r="AU79" i="1"/>
  <c r="AV79" i="1"/>
  <c r="AW79" i="1"/>
  <c r="AX79" i="1"/>
  <c r="AY79" i="1"/>
  <c r="AZ79" i="1"/>
  <c r="BA79" i="1"/>
  <c r="BB79" i="1"/>
  <c r="BC79" i="1"/>
  <c r="BD79" i="1"/>
  <c r="BE79" i="1"/>
  <c r="BF79" i="1"/>
  <c r="BG79" i="1"/>
  <c r="BH79" i="1"/>
  <c r="BI79" i="1"/>
  <c r="BJ79" i="1"/>
  <c r="BK79" i="1"/>
  <c r="BL79" i="1"/>
  <c r="BM79" i="1"/>
  <c r="CA79" i="1"/>
  <c r="CY78" i="1"/>
  <c r="CX78" i="1"/>
  <c r="CW78" i="1"/>
  <c r="CV78" i="1"/>
  <c r="CU78" i="1"/>
  <c r="CT78" i="1"/>
  <c r="CS78" i="1"/>
  <c r="CR78" i="1"/>
  <c r="CQ78" i="1"/>
  <c r="CP78" i="1"/>
  <c r="CO78" i="1"/>
  <c r="CN78" i="1"/>
  <c r="CM78" i="1"/>
  <c r="CL78" i="1"/>
  <c r="CK78" i="1"/>
  <c r="CJ78" i="1"/>
  <c r="CI78" i="1"/>
  <c r="CH78" i="1"/>
  <c r="CG78" i="1"/>
  <c r="CF78" i="1"/>
  <c r="CE78" i="1"/>
  <c r="CD78" i="1"/>
  <c r="CC78" i="1"/>
  <c r="BX78" i="1"/>
  <c r="BW78" i="1"/>
  <c r="BV78" i="1"/>
  <c r="BU78" i="1"/>
  <c r="BT78" i="1"/>
  <c r="BS78" i="1"/>
  <c r="BR78" i="1"/>
  <c r="BQ78" i="1"/>
  <c r="BP78" i="1"/>
  <c r="BN78" i="1"/>
  <c r="BO78" i="1"/>
  <c r="BY78" i="1"/>
  <c r="BZ78" i="1"/>
  <c r="AP78" i="1"/>
  <c r="AQ78" i="1"/>
  <c r="AR78" i="1"/>
  <c r="AS78" i="1"/>
  <c r="AT78" i="1"/>
  <c r="AU78" i="1"/>
  <c r="AV78" i="1"/>
  <c r="AW78" i="1"/>
  <c r="AX78" i="1"/>
  <c r="AY78" i="1"/>
  <c r="AZ78" i="1"/>
  <c r="BA78" i="1"/>
  <c r="BB78" i="1"/>
  <c r="BC78" i="1"/>
  <c r="BD78" i="1"/>
  <c r="BE78" i="1"/>
  <c r="BF78" i="1"/>
  <c r="BG78" i="1"/>
  <c r="BH78" i="1"/>
  <c r="BI78" i="1"/>
  <c r="BJ78" i="1"/>
  <c r="BK78" i="1"/>
  <c r="BL78" i="1"/>
  <c r="BM78" i="1"/>
  <c r="CA78" i="1"/>
  <c r="CY77" i="1"/>
  <c r="CX77" i="1"/>
  <c r="CW77" i="1"/>
  <c r="CV77" i="1"/>
  <c r="CU77" i="1"/>
  <c r="CT77" i="1"/>
  <c r="CS77" i="1"/>
  <c r="CR77" i="1"/>
  <c r="CQ77" i="1"/>
  <c r="CP77" i="1"/>
  <c r="CO77" i="1"/>
  <c r="CN77" i="1"/>
  <c r="CM77" i="1"/>
  <c r="CL77" i="1"/>
  <c r="CK77" i="1"/>
  <c r="CJ77" i="1"/>
  <c r="CI77" i="1"/>
  <c r="CH77" i="1"/>
  <c r="CG77" i="1"/>
  <c r="CF77" i="1"/>
  <c r="CE77" i="1"/>
  <c r="CD77" i="1"/>
  <c r="CC77" i="1"/>
  <c r="BX77" i="1"/>
  <c r="BW77" i="1"/>
  <c r="BV77" i="1"/>
  <c r="BU77" i="1"/>
  <c r="BT77" i="1"/>
  <c r="BS77" i="1"/>
  <c r="BR77" i="1"/>
  <c r="BQ77" i="1"/>
  <c r="BP77" i="1"/>
  <c r="BO77" i="1"/>
  <c r="BN77" i="1"/>
  <c r="BY77" i="1"/>
  <c r="BM77" i="1"/>
  <c r="BL77" i="1"/>
  <c r="BK77" i="1"/>
  <c r="BJ77" i="1"/>
  <c r="BI77" i="1"/>
  <c r="BH77" i="1"/>
  <c r="BG77" i="1"/>
  <c r="BF77" i="1"/>
  <c r="BE77" i="1"/>
  <c r="BD77" i="1"/>
  <c r="BC77" i="1"/>
  <c r="BB77" i="1"/>
  <c r="BA77" i="1"/>
  <c r="AZ77" i="1"/>
  <c r="AY77" i="1"/>
  <c r="AX77" i="1"/>
  <c r="AW77" i="1"/>
  <c r="AV77" i="1"/>
  <c r="AU77" i="1"/>
  <c r="AT77" i="1"/>
  <c r="AS77" i="1"/>
  <c r="AR77" i="1"/>
  <c r="AQ77" i="1"/>
  <c r="AP77" i="1"/>
  <c r="CY76" i="1"/>
  <c r="CX76" i="1"/>
  <c r="CW76" i="1"/>
  <c r="CV76" i="1"/>
  <c r="CU76" i="1"/>
  <c r="CT76" i="1"/>
  <c r="CS76" i="1"/>
  <c r="CR76" i="1"/>
  <c r="CQ76" i="1"/>
  <c r="CP76" i="1"/>
  <c r="CO76" i="1"/>
  <c r="CN76" i="1"/>
  <c r="CM76" i="1"/>
  <c r="CL76" i="1"/>
  <c r="CK76" i="1"/>
  <c r="CJ76" i="1"/>
  <c r="CI76" i="1"/>
  <c r="CH76" i="1"/>
  <c r="CG76" i="1"/>
  <c r="CF76" i="1"/>
  <c r="CE76" i="1"/>
  <c r="CD76" i="1"/>
  <c r="CC76" i="1"/>
  <c r="CB76" i="1"/>
  <c r="BX76" i="1"/>
  <c r="BW76" i="1"/>
  <c r="BV76" i="1"/>
  <c r="BU76" i="1"/>
  <c r="BT76" i="1"/>
  <c r="BS76" i="1"/>
  <c r="BR76" i="1"/>
  <c r="BQ76" i="1"/>
  <c r="BP76" i="1"/>
  <c r="BN76" i="1"/>
  <c r="BO76" i="1"/>
  <c r="AP76" i="1"/>
  <c r="AQ76" i="1"/>
  <c r="AR76" i="1"/>
  <c r="AS76" i="1"/>
  <c r="AT76" i="1"/>
  <c r="AU76" i="1"/>
  <c r="AV76" i="1"/>
  <c r="AW76" i="1"/>
  <c r="AX76" i="1"/>
  <c r="AY76" i="1"/>
  <c r="AZ76" i="1"/>
  <c r="BA76" i="1"/>
  <c r="BB76" i="1"/>
  <c r="BC76" i="1"/>
  <c r="BD76" i="1"/>
  <c r="BE76" i="1"/>
  <c r="BF76" i="1"/>
  <c r="BG76" i="1"/>
  <c r="BH76" i="1"/>
  <c r="BI76" i="1"/>
  <c r="BJ76" i="1"/>
  <c r="BK76" i="1"/>
  <c r="BL76" i="1"/>
  <c r="BM76" i="1"/>
  <c r="CY75" i="1"/>
  <c r="CX75" i="1"/>
  <c r="CW75" i="1"/>
  <c r="CV75" i="1"/>
  <c r="CU75" i="1"/>
  <c r="CT75" i="1"/>
  <c r="CS75" i="1"/>
  <c r="CR75" i="1"/>
  <c r="CQ75" i="1"/>
  <c r="CP75" i="1"/>
  <c r="CO75" i="1"/>
  <c r="CN75" i="1"/>
  <c r="CM75" i="1"/>
  <c r="CL75" i="1"/>
  <c r="CK75" i="1"/>
  <c r="CJ75" i="1"/>
  <c r="CI75" i="1"/>
  <c r="CH75" i="1"/>
  <c r="CG75" i="1"/>
  <c r="CF75" i="1"/>
  <c r="CE75" i="1"/>
  <c r="CC75" i="1"/>
  <c r="CD75" i="1"/>
  <c r="CB75" i="1"/>
  <c r="BX75" i="1"/>
  <c r="BW75" i="1"/>
  <c r="BV75" i="1"/>
  <c r="BU75" i="1"/>
  <c r="BT75" i="1"/>
  <c r="BS75" i="1"/>
  <c r="BR75" i="1"/>
  <c r="BQ75" i="1"/>
  <c r="BP75" i="1"/>
  <c r="BN75" i="1"/>
  <c r="BO75" i="1"/>
  <c r="BY75" i="1"/>
  <c r="BZ75" i="1"/>
  <c r="AP75" i="1"/>
  <c r="AQ75" i="1"/>
  <c r="AR75" i="1"/>
  <c r="AS75" i="1"/>
  <c r="AT75" i="1"/>
  <c r="AU75" i="1"/>
  <c r="AV75" i="1"/>
  <c r="AW75" i="1"/>
  <c r="AX75" i="1"/>
  <c r="AY75" i="1"/>
  <c r="AZ75" i="1"/>
  <c r="BA75" i="1"/>
  <c r="BB75" i="1"/>
  <c r="BC75" i="1"/>
  <c r="BD75" i="1"/>
  <c r="BE75" i="1"/>
  <c r="BF75" i="1"/>
  <c r="BG75" i="1"/>
  <c r="BH75" i="1"/>
  <c r="BI75" i="1"/>
  <c r="BJ75" i="1"/>
  <c r="BK75" i="1"/>
  <c r="BL75" i="1"/>
  <c r="BM75" i="1"/>
  <c r="CA75" i="1"/>
  <c r="CY74" i="1"/>
  <c r="CX74" i="1"/>
  <c r="CW74" i="1"/>
  <c r="CV74" i="1"/>
  <c r="CU74" i="1"/>
  <c r="CT74" i="1"/>
  <c r="CS74" i="1"/>
  <c r="CR74" i="1"/>
  <c r="CQ74" i="1"/>
  <c r="CP74" i="1"/>
  <c r="CO74" i="1"/>
  <c r="CN74" i="1"/>
  <c r="CM74" i="1"/>
  <c r="CL74" i="1"/>
  <c r="CK74" i="1"/>
  <c r="CJ74" i="1"/>
  <c r="CI74" i="1"/>
  <c r="CH74" i="1"/>
  <c r="CG74" i="1"/>
  <c r="CF74" i="1"/>
  <c r="CE74" i="1"/>
  <c r="CC74" i="1"/>
  <c r="CD74" i="1"/>
  <c r="CB74" i="1"/>
  <c r="BX74" i="1"/>
  <c r="BW74" i="1"/>
  <c r="BV74" i="1"/>
  <c r="BU74" i="1"/>
  <c r="BT74" i="1"/>
  <c r="BS74" i="1"/>
  <c r="BR74" i="1"/>
  <c r="BQ74" i="1"/>
  <c r="BP74" i="1"/>
  <c r="BN74" i="1"/>
  <c r="BO74" i="1"/>
  <c r="BY74" i="1"/>
  <c r="BZ74" i="1"/>
  <c r="AP74" i="1"/>
  <c r="AQ74" i="1"/>
  <c r="AR74" i="1"/>
  <c r="AS74" i="1"/>
  <c r="AT74" i="1"/>
  <c r="AU74" i="1"/>
  <c r="AV74" i="1"/>
  <c r="AW74" i="1"/>
  <c r="AX74" i="1"/>
  <c r="AY74" i="1"/>
  <c r="AZ74" i="1"/>
  <c r="BA74" i="1"/>
  <c r="BB74" i="1"/>
  <c r="BC74" i="1"/>
  <c r="BD74" i="1"/>
  <c r="BE74" i="1"/>
  <c r="BF74" i="1"/>
  <c r="BG74" i="1"/>
  <c r="BH74" i="1"/>
  <c r="BI74" i="1"/>
  <c r="BJ74" i="1"/>
  <c r="BK74" i="1"/>
  <c r="BL74" i="1"/>
  <c r="BM74" i="1"/>
  <c r="CA74" i="1"/>
  <c r="CY73" i="1"/>
  <c r="CX73" i="1"/>
  <c r="CW73" i="1"/>
  <c r="CV73" i="1"/>
  <c r="CU73" i="1"/>
  <c r="CT73" i="1"/>
  <c r="CS73" i="1"/>
  <c r="CR73" i="1"/>
  <c r="CQ73" i="1"/>
  <c r="CP73" i="1"/>
  <c r="CO73" i="1"/>
  <c r="CN73" i="1"/>
  <c r="CM73" i="1"/>
  <c r="CL73" i="1"/>
  <c r="CK73" i="1"/>
  <c r="CJ73" i="1"/>
  <c r="CI73" i="1"/>
  <c r="CH73" i="1"/>
  <c r="CG73" i="1"/>
  <c r="CF73" i="1"/>
  <c r="CE73" i="1"/>
  <c r="CD73" i="1"/>
  <c r="CC73" i="1"/>
  <c r="CB73" i="1"/>
  <c r="BX73" i="1"/>
  <c r="BW73" i="1"/>
  <c r="BV73" i="1"/>
  <c r="BU73" i="1"/>
  <c r="BT73" i="1"/>
  <c r="BS73" i="1"/>
  <c r="BR73" i="1"/>
  <c r="BQ73" i="1"/>
  <c r="BP73" i="1"/>
  <c r="BO73" i="1"/>
  <c r="BN73" i="1"/>
  <c r="BY73" i="1"/>
  <c r="BZ73" i="1"/>
  <c r="AP73" i="1"/>
  <c r="AQ73" i="1"/>
  <c r="AR73" i="1"/>
  <c r="AS73" i="1"/>
  <c r="AT73" i="1"/>
  <c r="AU73" i="1"/>
  <c r="AV73" i="1"/>
  <c r="AW73" i="1"/>
  <c r="AX73" i="1"/>
  <c r="AY73" i="1"/>
  <c r="AZ73" i="1"/>
  <c r="BA73" i="1"/>
  <c r="BB73" i="1"/>
  <c r="BC73" i="1"/>
  <c r="BD73" i="1"/>
  <c r="BE73" i="1"/>
  <c r="BF73" i="1"/>
  <c r="BG73" i="1"/>
  <c r="BH73" i="1"/>
  <c r="BI73" i="1"/>
  <c r="BJ73" i="1"/>
  <c r="BK73" i="1"/>
  <c r="BL73" i="1"/>
  <c r="BM73" i="1"/>
  <c r="CA73" i="1"/>
  <c r="CY72" i="1"/>
  <c r="CX72" i="1"/>
  <c r="CW72" i="1"/>
  <c r="CV72" i="1"/>
  <c r="CU72" i="1"/>
  <c r="CT72" i="1"/>
  <c r="CS72" i="1"/>
  <c r="CR72" i="1"/>
  <c r="CQ72" i="1"/>
  <c r="CP72" i="1"/>
  <c r="CO72" i="1"/>
  <c r="CN72" i="1"/>
  <c r="CM72" i="1"/>
  <c r="CL72" i="1"/>
  <c r="CK72" i="1"/>
  <c r="CJ72" i="1"/>
  <c r="CI72" i="1"/>
  <c r="CH72" i="1"/>
  <c r="CG72" i="1"/>
  <c r="CF72" i="1"/>
  <c r="CE72" i="1"/>
  <c r="CC72" i="1"/>
  <c r="CD72" i="1"/>
  <c r="CB72" i="1"/>
  <c r="BX72" i="1"/>
  <c r="BW72" i="1"/>
  <c r="BV72" i="1"/>
  <c r="BU72" i="1"/>
  <c r="BT72" i="1"/>
  <c r="BS72" i="1"/>
  <c r="BR72" i="1"/>
  <c r="BQ72" i="1"/>
  <c r="BP72" i="1"/>
  <c r="BN72" i="1"/>
  <c r="BO72" i="1"/>
  <c r="BY72" i="1"/>
  <c r="BZ72" i="1"/>
  <c r="AP72" i="1"/>
  <c r="AQ72" i="1"/>
  <c r="AR72" i="1"/>
  <c r="AS72" i="1"/>
  <c r="AT72" i="1"/>
  <c r="AU72" i="1"/>
  <c r="AV72" i="1"/>
  <c r="AW72" i="1"/>
  <c r="AX72" i="1"/>
  <c r="AY72" i="1"/>
  <c r="AZ72" i="1"/>
  <c r="BA72" i="1"/>
  <c r="BB72" i="1"/>
  <c r="BC72" i="1"/>
  <c r="BD72" i="1"/>
  <c r="BE72" i="1"/>
  <c r="BF72" i="1"/>
  <c r="BG72" i="1"/>
  <c r="BH72" i="1"/>
  <c r="BI72" i="1"/>
  <c r="BJ72" i="1"/>
  <c r="BK72" i="1"/>
  <c r="BL72" i="1"/>
  <c r="BM72" i="1"/>
  <c r="CA72" i="1"/>
  <c r="CY71" i="1"/>
  <c r="CX71" i="1"/>
  <c r="CW71" i="1"/>
  <c r="CV71" i="1"/>
  <c r="CU71" i="1"/>
  <c r="CT71" i="1"/>
  <c r="CS71" i="1"/>
  <c r="CR71" i="1"/>
  <c r="CQ71" i="1"/>
  <c r="CP71" i="1"/>
  <c r="CO71" i="1"/>
  <c r="CN71" i="1"/>
  <c r="CM71" i="1"/>
  <c r="CL71" i="1"/>
  <c r="CK71" i="1"/>
  <c r="CJ71" i="1"/>
  <c r="CI71" i="1"/>
  <c r="CH71" i="1"/>
  <c r="CG71" i="1"/>
  <c r="CF71" i="1"/>
  <c r="CE71" i="1"/>
  <c r="CD71" i="1"/>
  <c r="CC71" i="1"/>
  <c r="CB71" i="1"/>
  <c r="BX71" i="1"/>
  <c r="BW71" i="1"/>
  <c r="BV71" i="1"/>
  <c r="BU71" i="1"/>
  <c r="BT71" i="1"/>
  <c r="BS71" i="1"/>
  <c r="BR71" i="1"/>
  <c r="BQ71" i="1"/>
  <c r="BP71" i="1"/>
  <c r="BO71" i="1"/>
  <c r="BN71" i="1"/>
  <c r="AP71" i="1"/>
  <c r="AQ71" i="1"/>
  <c r="AR71" i="1"/>
  <c r="AS71" i="1"/>
  <c r="AT71" i="1"/>
  <c r="AU71" i="1"/>
  <c r="AV71" i="1"/>
  <c r="AW71" i="1"/>
  <c r="AX71" i="1"/>
  <c r="AY71" i="1"/>
  <c r="AZ71" i="1"/>
  <c r="BA71" i="1"/>
  <c r="BB71" i="1"/>
  <c r="BC71" i="1"/>
  <c r="BD71" i="1"/>
  <c r="BE71" i="1"/>
  <c r="BF71" i="1"/>
  <c r="BG71" i="1"/>
  <c r="BH71" i="1"/>
  <c r="BI71" i="1"/>
  <c r="BJ71" i="1"/>
  <c r="BK71" i="1"/>
  <c r="BL71" i="1"/>
  <c r="BM71" i="1"/>
  <c r="CY70" i="1"/>
  <c r="CX70" i="1"/>
  <c r="CW70" i="1"/>
  <c r="CV70" i="1"/>
  <c r="CU70" i="1"/>
  <c r="CT70" i="1"/>
  <c r="CS70" i="1"/>
  <c r="CR70" i="1"/>
  <c r="CQ70" i="1"/>
  <c r="CP70" i="1"/>
  <c r="CO70" i="1"/>
  <c r="CN70" i="1"/>
  <c r="CM70" i="1"/>
  <c r="CL70" i="1"/>
  <c r="CK70" i="1"/>
  <c r="CJ70" i="1"/>
  <c r="CI70" i="1"/>
  <c r="CH70" i="1"/>
  <c r="CG70" i="1"/>
  <c r="CF70" i="1"/>
  <c r="CE70" i="1"/>
  <c r="CD70" i="1"/>
  <c r="CC70" i="1"/>
  <c r="CB70" i="1"/>
  <c r="BX70" i="1"/>
  <c r="BW70" i="1"/>
  <c r="BV70" i="1"/>
  <c r="BU70" i="1"/>
  <c r="BT70" i="1"/>
  <c r="BS70" i="1"/>
  <c r="BR70" i="1"/>
  <c r="BQ70" i="1"/>
  <c r="BP70" i="1"/>
  <c r="BN70" i="1"/>
  <c r="BO70" i="1"/>
  <c r="AP70" i="1"/>
  <c r="AQ70" i="1"/>
  <c r="AR70" i="1"/>
  <c r="AS70" i="1"/>
  <c r="AT70" i="1"/>
  <c r="AU70" i="1"/>
  <c r="AV70" i="1"/>
  <c r="AW70" i="1"/>
  <c r="AX70" i="1"/>
  <c r="AY70" i="1"/>
  <c r="AZ70" i="1"/>
  <c r="BA70" i="1"/>
  <c r="BB70" i="1"/>
  <c r="BC70" i="1"/>
  <c r="BD70" i="1"/>
  <c r="BE70" i="1"/>
  <c r="BF70" i="1"/>
  <c r="BG70" i="1"/>
  <c r="BH70" i="1"/>
  <c r="BI70" i="1"/>
  <c r="BJ70" i="1"/>
  <c r="BK70" i="1"/>
  <c r="BL70" i="1"/>
  <c r="BM70" i="1"/>
  <c r="CY69" i="1"/>
  <c r="CX69" i="1"/>
  <c r="CW69" i="1"/>
  <c r="CV69" i="1"/>
  <c r="CU69" i="1"/>
  <c r="CT69" i="1"/>
  <c r="CS69" i="1"/>
  <c r="CR69" i="1"/>
  <c r="CQ69" i="1"/>
  <c r="CP69" i="1"/>
  <c r="CO69" i="1"/>
  <c r="CN69" i="1"/>
  <c r="CM69" i="1"/>
  <c r="CL69" i="1"/>
  <c r="CK69" i="1"/>
  <c r="CJ69" i="1"/>
  <c r="CI69" i="1"/>
  <c r="CH69" i="1"/>
  <c r="CG69" i="1"/>
  <c r="CF69" i="1"/>
  <c r="CE69" i="1"/>
  <c r="CC69" i="1"/>
  <c r="CD69" i="1"/>
  <c r="BX69" i="1"/>
  <c r="BN69" i="1"/>
  <c r="BO69" i="1"/>
  <c r="BP69" i="1"/>
  <c r="BQ69" i="1"/>
  <c r="BR69" i="1"/>
  <c r="BS69" i="1"/>
  <c r="BT69" i="1"/>
  <c r="BU69" i="1"/>
  <c r="BV69" i="1"/>
  <c r="BW69" i="1"/>
  <c r="AP69" i="1"/>
  <c r="AQ69" i="1"/>
  <c r="AR69" i="1"/>
  <c r="AS69" i="1"/>
  <c r="AT69" i="1"/>
  <c r="AU69" i="1"/>
  <c r="AV69" i="1"/>
  <c r="AW69" i="1"/>
  <c r="AX69" i="1"/>
  <c r="AY69" i="1"/>
  <c r="AZ69" i="1"/>
  <c r="BA69" i="1"/>
  <c r="BB69" i="1"/>
  <c r="BC69" i="1"/>
  <c r="BD69" i="1"/>
  <c r="BE69" i="1"/>
  <c r="BF69" i="1"/>
  <c r="BG69" i="1"/>
  <c r="BH69" i="1"/>
  <c r="BI69" i="1"/>
  <c r="BJ69" i="1"/>
  <c r="BK69" i="1"/>
  <c r="BL69" i="1"/>
  <c r="BM69" i="1"/>
  <c r="CY68" i="1"/>
  <c r="CX68" i="1"/>
  <c r="CW68" i="1"/>
  <c r="CV68" i="1"/>
  <c r="CU68" i="1"/>
  <c r="CT68" i="1"/>
  <c r="CS68" i="1"/>
  <c r="CR68" i="1"/>
  <c r="CQ68" i="1"/>
  <c r="CP68" i="1"/>
  <c r="CO68" i="1"/>
  <c r="CN68" i="1"/>
  <c r="CM68" i="1"/>
  <c r="CL68" i="1"/>
  <c r="CK68" i="1"/>
  <c r="CJ68" i="1"/>
  <c r="CI68" i="1"/>
  <c r="CH68" i="1"/>
  <c r="CG68" i="1"/>
  <c r="CF68" i="1"/>
  <c r="CE68" i="1"/>
  <c r="CD68" i="1"/>
  <c r="CC68" i="1"/>
  <c r="CB68" i="1"/>
  <c r="BX68" i="1"/>
  <c r="BW68" i="1"/>
  <c r="BV68" i="1"/>
  <c r="BU68" i="1"/>
  <c r="BT68" i="1"/>
  <c r="BS68" i="1"/>
  <c r="BR68" i="1"/>
  <c r="BQ68" i="1"/>
  <c r="BP68" i="1"/>
  <c r="BN68" i="1"/>
  <c r="BO68" i="1"/>
  <c r="BY68" i="1"/>
  <c r="BZ68" i="1"/>
  <c r="AP68" i="1"/>
  <c r="AQ68" i="1"/>
  <c r="AR68" i="1"/>
  <c r="AS68" i="1"/>
  <c r="AT68" i="1"/>
  <c r="AU68" i="1"/>
  <c r="AV68" i="1"/>
  <c r="AW68" i="1"/>
  <c r="AX68" i="1"/>
  <c r="AY68" i="1"/>
  <c r="AZ68" i="1"/>
  <c r="BA68" i="1"/>
  <c r="BB68" i="1"/>
  <c r="BC68" i="1"/>
  <c r="BD68" i="1"/>
  <c r="BE68" i="1"/>
  <c r="BF68" i="1"/>
  <c r="BG68" i="1"/>
  <c r="BH68" i="1"/>
  <c r="BI68" i="1"/>
  <c r="BJ68" i="1"/>
  <c r="BK68" i="1"/>
  <c r="BL68" i="1"/>
  <c r="BM68" i="1"/>
  <c r="CA68" i="1"/>
  <c r="CY67" i="1"/>
  <c r="CX67" i="1"/>
  <c r="CW67" i="1"/>
  <c r="CV67" i="1"/>
  <c r="CU67" i="1"/>
  <c r="CT67" i="1"/>
  <c r="CS67" i="1"/>
  <c r="CR67" i="1"/>
  <c r="CQ67" i="1"/>
  <c r="CP67" i="1"/>
  <c r="CO67" i="1"/>
  <c r="CN67" i="1"/>
  <c r="CM67" i="1"/>
  <c r="CL67" i="1"/>
  <c r="CK67" i="1"/>
  <c r="CJ67" i="1"/>
  <c r="CI67" i="1"/>
  <c r="CH67" i="1"/>
  <c r="CG67" i="1"/>
  <c r="CF67" i="1"/>
  <c r="CE67" i="1"/>
  <c r="CD67" i="1"/>
  <c r="CC67" i="1"/>
  <c r="CB67" i="1"/>
  <c r="BX67" i="1"/>
  <c r="BW67" i="1"/>
  <c r="BV67" i="1"/>
  <c r="BU67" i="1"/>
  <c r="BT67" i="1"/>
  <c r="BS67" i="1"/>
  <c r="BR67" i="1"/>
  <c r="BQ67" i="1"/>
  <c r="BP67" i="1"/>
  <c r="BO67" i="1"/>
  <c r="BN67" i="1"/>
  <c r="BY67" i="1"/>
  <c r="BZ67" i="1"/>
  <c r="AP67" i="1"/>
  <c r="AQ67" i="1"/>
  <c r="AR67" i="1"/>
  <c r="AS67" i="1"/>
  <c r="AT67" i="1"/>
  <c r="AU67" i="1"/>
  <c r="AV67" i="1"/>
  <c r="AW67" i="1"/>
  <c r="AX67" i="1"/>
  <c r="AY67" i="1"/>
  <c r="AZ67" i="1"/>
  <c r="BA67" i="1"/>
  <c r="BB67" i="1"/>
  <c r="BC67" i="1"/>
  <c r="BD67" i="1"/>
  <c r="BE67" i="1"/>
  <c r="BF67" i="1"/>
  <c r="BG67" i="1"/>
  <c r="BH67" i="1"/>
  <c r="BI67" i="1"/>
  <c r="BJ67" i="1"/>
  <c r="BK67" i="1"/>
  <c r="BL67" i="1"/>
  <c r="BM67" i="1"/>
  <c r="CA67" i="1"/>
  <c r="CY66" i="1"/>
  <c r="CX66" i="1"/>
  <c r="CW66" i="1"/>
  <c r="CV66" i="1"/>
  <c r="CU66" i="1"/>
  <c r="CT66" i="1"/>
  <c r="CS66" i="1"/>
  <c r="CR66" i="1"/>
  <c r="CQ66" i="1"/>
  <c r="CP66" i="1"/>
  <c r="CO66" i="1"/>
  <c r="CN66" i="1"/>
  <c r="CM66" i="1"/>
  <c r="CL66" i="1"/>
  <c r="CK66" i="1"/>
  <c r="CJ66" i="1"/>
  <c r="CI66" i="1"/>
  <c r="CH66" i="1"/>
  <c r="CG66" i="1"/>
  <c r="CF66" i="1"/>
  <c r="CE66" i="1"/>
  <c r="CD66" i="1"/>
  <c r="CC66" i="1"/>
  <c r="CB66" i="1"/>
  <c r="BX66" i="1"/>
  <c r="BW66" i="1"/>
  <c r="BV66" i="1"/>
  <c r="BU66" i="1"/>
  <c r="BT66" i="1"/>
  <c r="BS66" i="1"/>
  <c r="BR66" i="1"/>
  <c r="BQ66" i="1"/>
  <c r="BP66" i="1"/>
  <c r="BN66" i="1"/>
  <c r="BO66" i="1"/>
  <c r="BY66" i="1"/>
  <c r="BZ66" i="1"/>
  <c r="AP66" i="1"/>
  <c r="AQ66" i="1"/>
  <c r="AR66" i="1"/>
  <c r="AS66" i="1"/>
  <c r="AT66" i="1"/>
  <c r="AU66" i="1"/>
  <c r="AV66" i="1"/>
  <c r="AW66" i="1"/>
  <c r="AX66" i="1"/>
  <c r="AY66" i="1"/>
  <c r="AZ66" i="1"/>
  <c r="BA66" i="1"/>
  <c r="BB66" i="1"/>
  <c r="BC66" i="1"/>
  <c r="BD66" i="1"/>
  <c r="BE66" i="1"/>
  <c r="BF66" i="1"/>
  <c r="BG66" i="1"/>
  <c r="BH66" i="1"/>
  <c r="BI66" i="1"/>
  <c r="BJ66" i="1"/>
  <c r="BK66" i="1"/>
  <c r="BL66" i="1"/>
  <c r="BM66" i="1"/>
  <c r="CA66" i="1"/>
  <c r="CY65" i="1"/>
  <c r="CX65" i="1"/>
  <c r="CW65" i="1"/>
  <c r="CV65" i="1"/>
  <c r="CU65" i="1"/>
  <c r="CT65" i="1"/>
  <c r="CS65" i="1"/>
  <c r="CR65" i="1"/>
  <c r="CQ65" i="1"/>
  <c r="CP65" i="1"/>
  <c r="CO65" i="1"/>
  <c r="CN65" i="1"/>
  <c r="CM65" i="1"/>
  <c r="CL65" i="1"/>
  <c r="CK65" i="1"/>
  <c r="CJ65" i="1"/>
  <c r="CI65" i="1"/>
  <c r="CH65" i="1"/>
  <c r="CG65" i="1"/>
  <c r="CF65" i="1"/>
  <c r="CE65" i="1"/>
  <c r="CD65" i="1"/>
  <c r="CC65" i="1"/>
  <c r="CB65" i="1"/>
  <c r="BX65" i="1"/>
  <c r="BW65" i="1"/>
  <c r="BV65" i="1"/>
  <c r="BU65" i="1"/>
  <c r="BT65" i="1"/>
  <c r="BS65" i="1"/>
  <c r="BR65" i="1"/>
  <c r="BQ65" i="1"/>
  <c r="BP65" i="1"/>
  <c r="BO65" i="1"/>
  <c r="BN65" i="1"/>
  <c r="AP65" i="1"/>
  <c r="AQ65" i="1"/>
  <c r="AR65" i="1"/>
  <c r="AS65" i="1"/>
  <c r="AT65" i="1"/>
  <c r="AU65" i="1"/>
  <c r="AV65" i="1"/>
  <c r="AW65" i="1"/>
  <c r="AX65" i="1"/>
  <c r="AY65" i="1"/>
  <c r="AZ65" i="1"/>
  <c r="BA65" i="1"/>
  <c r="BB65" i="1"/>
  <c r="BC65" i="1"/>
  <c r="BD65" i="1"/>
  <c r="BE65" i="1"/>
  <c r="BF65" i="1"/>
  <c r="BG65" i="1"/>
  <c r="BH65" i="1"/>
  <c r="BI65" i="1"/>
  <c r="BJ65" i="1"/>
  <c r="BK65" i="1"/>
  <c r="BL65" i="1"/>
  <c r="BM65" i="1"/>
  <c r="CY64" i="1"/>
  <c r="CX64" i="1"/>
  <c r="CW64" i="1"/>
  <c r="CV64" i="1"/>
  <c r="CU64" i="1"/>
  <c r="CT64" i="1"/>
  <c r="CS64" i="1"/>
  <c r="CR64" i="1"/>
  <c r="CQ64" i="1"/>
  <c r="CP64" i="1"/>
  <c r="CO64" i="1"/>
  <c r="CN64" i="1"/>
  <c r="CM64" i="1"/>
  <c r="CL64" i="1"/>
  <c r="CK64" i="1"/>
  <c r="CJ64" i="1"/>
  <c r="CI64" i="1"/>
  <c r="CH64" i="1"/>
  <c r="CG64" i="1"/>
  <c r="CF64" i="1"/>
  <c r="CE64" i="1"/>
  <c r="CD64" i="1"/>
  <c r="CC64" i="1"/>
  <c r="BX64" i="1"/>
  <c r="BW64" i="1"/>
  <c r="BV64" i="1"/>
  <c r="BU64" i="1"/>
  <c r="BT64" i="1"/>
  <c r="BS64" i="1"/>
  <c r="BR64" i="1"/>
  <c r="BQ64" i="1"/>
  <c r="BP64" i="1"/>
  <c r="BN64" i="1"/>
  <c r="BO64" i="1"/>
  <c r="BY64" i="1"/>
  <c r="BZ64" i="1"/>
  <c r="AP64" i="1"/>
  <c r="AQ64" i="1"/>
  <c r="AR64" i="1"/>
  <c r="AS64" i="1"/>
  <c r="AT64" i="1"/>
  <c r="AU64" i="1"/>
  <c r="AV64" i="1"/>
  <c r="AW64" i="1"/>
  <c r="AX64" i="1"/>
  <c r="AY64" i="1"/>
  <c r="AZ64" i="1"/>
  <c r="BA64" i="1"/>
  <c r="BB64" i="1"/>
  <c r="BC64" i="1"/>
  <c r="BD64" i="1"/>
  <c r="BE64" i="1"/>
  <c r="BF64" i="1"/>
  <c r="BG64" i="1"/>
  <c r="BH64" i="1"/>
  <c r="BI64" i="1"/>
  <c r="BJ64" i="1"/>
  <c r="BK64" i="1"/>
  <c r="BL64" i="1"/>
  <c r="BM64" i="1"/>
  <c r="CA64" i="1"/>
  <c r="CY63" i="1"/>
  <c r="CX63" i="1"/>
  <c r="CW63" i="1"/>
  <c r="CV63" i="1"/>
  <c r="CU63" i="1"/>
  <c r="CT63" i="1"/>
  <c r="CS63" i="1"/>
  <c r="CR63" i="1"/>
  <c r="CQ63" i="1"/>
  <c r="CP63" i="1"/>
  <c r="CO63" i="1"/>
  <c r="CN63" i="1"/>
  <c r="CM63" i="1"/>
  <c r="CL63" i="1"/>
  <c r="CK63" i="1"/>
  <c r="CJ63" i="1"/>
  <c r="CI63" i="1"/>
  <c r="CH63" i="1"/>
  <c r="CG63" i="1"/>
  <c r="CF63" i="1"/>
  <c r="CE63" i="1"/>
  <c r="CD63" i="1"/>
  <c r="CC63" i="1"/>
  <c r="BX63" i="1"/>
  <c r="BW63" i="1"/>
  <c r="BV63" i="1"/>
  <c r="BU63" i="1"/>
  <c r="BT63" i="1"/>
  <c r="BS63" i="1"/>
  <c r="BR63" i="1"/>
  <c r="BQ63" i="1"/>
  <c r="BP63" i="1"/>
  <c r="BO63" i="1"/>
  <c r="BN63" i="1"/>
  <c r="BY63" i="1"/>
  <c r="BZ63" i="1"/>
  <c r="AP63" i="1"/>
  <c r="AQ63" i="1"/>
  <c r="AR63" i="1"/>
  <c r="AS63" i="1"/>
  <c r="AT63" i="1"/>
  <c r="AU63" i="1"/>
  <c r="AV63" i="1"/>
  <c r="AW63" i="1"/>
  <c r="AX63" i="1"/>
  <c r="AY63" i="1"/>
  <c r="AZ63" i="1"/>
  <c r="BA63" i="1"/>
  <c r="BB63" i="1"/>
  <c r="BC63" i="1"/>
  <c r="BD63" i="1"/>
  <c r="BE63" i="1"/>
  <c r="BF63" i="1"/>
  <c r="BG63" i="1"/>
  <c r="BH63" i="1"/>
  <c r="BI63" i="1"/>
  <c r="BJ63" i="1"/>
  <c r="BK63" i="1"/>
  <c r="BL63" i="1"/>
  <c r="BM63" i="1"/>
  <c r="CA63" i="1"/>
  <c r="CY62" i="1"/>
  <c r="CX62" i="1"/>
  <c r="CW62" i="1"/>
  <c r="CV62" i="1"/>
  <c r="CU62" i="1"/>
  <c r="CT62" i="1"/>
  <c r="CS62" i="1"/>
  <c r="CR62" i="1"/>
  <c r="CQ62" i="1"/>
  <c r="CP62" i="1"/>
  <c r="CO62" i="1"/>
  <c r="CN62" i="1"/>
  <c r="CM62" i="1"/>
  <c r="CL62" i="1"/>
  <c r="CK62" i="1"/>
  <c r="CJ62" i="1"/>
  <c r="CI62" i="1"/>
  <c r="CH62" i="1"/>
  <c r="CG62" i="1"/>
  <c r="CF62" i="1"/>
  <c r="CE62" i="1"/>
  <c r="CD62" i="1"/>
  <c r="CC62" i="1"/>
  <c r="CB62" i="1"/>
  <c r="BX62" i="1"/>
  <c r="BW62" i="1"/>
  <c r="BV62" i="1"/>
  <c r="BU62" i="1"/>
  <c r="BT62" i="1"/>
  <c r="BS62" i="1"/>
  <c r="BR62" i="1"/>
  <c r="BN62" i="1"/>
  <c r="BO62" i="1"/>
  <c r="BP62" i="1"/>
  <c r="BQ62" i="1"/>
  <c r="BY62" i="1"/>
  <c r="BZ62" i="1"/>
  <c r="AP62" i="1"/>
  <c r="AQ62" i="1"/>
  <c r="AR62" i="1"/>
  <c r="AS62" i="1"/>
  <c r="AT62" i="1"/>
  <c r="AU62" i="1"/>
  <c r="AV62" i="1"/>
  <c r="AW62" i="1"/>
  <c r="AX62" i="1"/>
  <c r="AY62" i="1"/>
  <c r="AZ62" i="1"/>
  <c r="BA62" i="1"/>
  <c r="BB62" i="1"/>
  <c r="BC62" i="1"/>
  <c r="BD62" i="1"/>
  <c r="BE62" i="1"/>
  <c r="BF62" i="1"/>
  <c r="BG62" i="1"/>
  <c r="BH62" i="1"/>
  <c r="BI62" i="1"/>
  <c r="BJ62" i="1"/>
  <c r="BK62" i="1"/>
  <c r="BL62" i="1"/>
  <c r="BM62" i="1"/>
  <c r="CA62" i="1"/>
  <c r="CY61" i="1"/>
  <c r="CX61" i="1"/>
  <c r="CW61" i="1"/>
  <c r="CV61" i="1"/>
  <c r="CU61" i="1"/>
  <c r="CT61" i="1"/>
  <c r="CS61" i="1"/>
  <c r="CR61" i="1"/>
  <c r="CQ61" i="1"/>
  <c r="CP61" i="1"/>
  <c r="CO61" i="1"/>
  <c r="CN61" i="1"/>
  <c r="CM61" i="1"/>
  <c r="CL61" i="1"/>
  <c r="CK61" i="1"/>
  <c r="CJ61" i="1"/>
  <c r="CI61" i="1"/>
  <c r="CH61" i="1"/>
  <c r="CG61" i="1"/>
  <c r="CF61" i="1"/>
  <c r="CE61" i="1"/>
  <c r="CC61" i="1"/>
  <c r="CD61" i="1"/>
  <c r="CB61" i="1"/>
  <c r="BX61" i="1"/>
  <c r="BN61" i="1"/>
  <c r="BO61" i="1"/>
  <c r="BP61" i="1"/>
  <c r="BQ61" i="1"/>
  <c r="BR61" i="1"/>
  <c r="BS61" i="1"/>
  <c r="BT61" i="1"/>
  <c r="BU61" i="1"/>
  <c r="BV61" i="1"/>
  <c r="BW61" i="1"/>
  <c r="BY61" i="1"/>
  <c r="BZ61" i="1"/>
  <c r="AP61" i="1"/>
  <c r="AQ61" i="1"/>
  <c r="AR61" i="1"/>
  <c r="AS61" i="1"/>
  <c r="AT61" i="1"/>
  <c r="AU61" i="1"/>
  <c r="AV61" i="1"/>
  <c r="AW61" i="1"/>
  <c r="AX61" i="1"/>
  <c r="AY61" i="1"/>
  <c r="AZ61" i="1"/>
  <c r="BA61" i="1"/>
  <c r="BB61" i="1"/>
  <c r="BC61" i="1"/>
  <c r="BD61" i="1"/>
  <c r="BE61" i="1"/>
  <c r="BF61" i="1"/>
  <c r="BG61" i="1"/>
  <c r="BH61" i="1"/>
  <c r="BI61" i="1"/>
  <c r="BJ61" i="1"/>
  <c r="BK61" i="1"/>
  <c r="BL61" i="1"/>
  <c r="BM61" i="1"/>
  <c r="CA61" i="1"/>
  <c r="CY60" i="1"/>
  <c r="CX60" i="1"/>
  <c r="CW60" i="1"/>
  <c r="CV60" i="1"/>
  <c r="CU60" i="1"/>
  <c r="CT60" i="1"/>
  <c r="CS60" i="1"/>
  <c r="CR60" i="1"/>
  <c r="CQ60" i="1"/>
  <c r="CP60" i="1"/>
  <c r="CO60" i="1"/>
  <c r="CN60" i="1"/>
  <c r="CM60" i="1"/>
  <c r="CL60" i="1"/>
  <c r="CK60" i="1"/>
  <c r="CJ60" i="1"/>
  <c r="CI60" i="1"/>
  <c r="CH60" i="1"/>
  <c r="CG60" i="1"/>
  <c r="CF60" i="1"/>
  <c r="CE60" i="1"/>
  <c r="CD60" i="1"/>
  <c r="CC60" i="1"/>
  <c r="CB60" i="1"/>
  <c r="BX60" i="1"/>
  <c r="BW60" i="1"/>
  <c r="BV60" i="1"/>
  <c r="BU60" i="1"/>
  <c r="BT60" i="1"/>
  <c r="BS60" i="1"/>
  <c r="BR60" i="1"/>
  <c r="BQ60" i="1"/>
  <c r="BN60" i="1"/>
  <c r="BO60" i="1"/>
  <c r="BP60" i="1"/>
  <c r="BY60" i="1"/>
  <c r="BZ60" i="1"/>
  <c r="AP60" i="1"/>
  <c r="AQ60" i="1"/>
  <c r="AR60" i="1"/>
  <c r="AS60" i="1"/>
  <c r="AT60" i="1"/>
  <c r="AU60" i="1"/>
  <c r="AV60" i="1"/>
  <c r="AW60" i="1"/>
  <c r="AX60" i="1"/>
  <c r="AY60" i="1"/>
  <c r="AZ60" i="1"/>
  <c r="BA60" i="1"/>
  <c r="BB60" i="1"/>
  <c r="BC60" i="1"/>
  <c r="BD60" i="1"/>
  <c r="BE60" i="1"/>
  <c r="BF60" i="1"/>
  <c r="BG60" i="1"/>
  <c r="BH60" i="1"/>
  <c r="BI60" i="1"/>
  <c r="BJ60" i="1"/>
  <c r="BK60" i="1"/>
  <c r="BL60" i="1"/>
  <c r="BM60" i="1"/>
  <c r="CA60" i="1"/>
  <c r="CY59" i="1"/>
  <c r="CX59" i="1"/>
  <c r="CW59" i="1"/>
  <c r="CV59" i="1"/>
  <c r="CU59" i="1"/>
  <c r="CT59" i="1"/>
  <c r="CS59" i="1"/>
  <c r="CR59" i="1"/>
  <c r="CQ59" i="1"/>
  <c r="CP59" i="1"/>
  <c r="CO59" i="1"/>
  <c r="CN59" i="1"/>
  <c r="CM59" i="1"/>
  <c r="CL59" i="1"/>
  <c r="CK59" i="1"/>
  <c r="CJ59" i="1"/>
  <c r="CI59" i="1"/>
  <c r="CH59" i="1"/>
  <c r="CG59" i="1"/>
  <c r="CF59" i="1"/>
  <c r="CE59" i="1"/>
  <c r="CD59" i="1"/>
  <c r="CC59" i="1"/>
  <c r="CB59" i="1"/>
  <c r="BX59" i="1"/>
  <c r="BW59" i="1"/>
  <c r="BV59" i="1"/>
  <c r="BU59" i="1"/>
  <c r="BT59" i="1"/>
  <c r="BS59" i="1"/>
  <c r="BR59" i="1"/>
  <c r="BQ59" i="1"/>
  <c r="BP59" i="1"/>
  <c r="BO59" i="1"/>
  <c r="BN59" i="1"/>
  <c r="AP59" i="1"/>
  <c r="AQ59" i="1"/>
  <c r="AR59" i="1"/>
  <c r="AS59" i="1"/>
  <c r="AT59" i="1"/>
  <c r="AU59" i="1"/>
  <c r="AV59" i="1"/>
  <c r="AW59" i="1"/>
  <c r="AX59" i="1"/>
  <c r="AY59" i="1"/>
  <c r="AZ59" i="1"/>
  <c r="BA59" i="1"/>
  <c r="BB59" i="1"/>
  <c r="BC59" i="1"/>
  <c r="BD59" i="1"/>
  <c r="BE59" i="1"/>
  <c r="BF59" i="1"/>
  <c r="BG59" i="1"/>
  <c r="BH59" i="1"/>
  <c r="BI59" i="1"/>
  <c r="BJ59" i="1"/>
  <c r="BK59" i="1"/>
  <c r="BL59" i="1"/>
  <c r="BM59" i="1"/>
  <c r="CY58" i="1"/>
  <c r="CX58" i="1"/>
  <c r="CW58" i="1"/>
  <c r="CV58" i="1"/>
  <c r="CU58" i="1"/>
  <c r="CT58" i="1"/>
  <c r="CS58" i="1"/>
  <c r="CR58" i="1"/>
  <c r="CQ58" i="1"/>
  <c r="CP58" i="1"/>
  <c r="CO58" i="1"/>
  <c r="CN58" i="1"/>
  <c r="CM58" i="1"/>
  <c r="CL58" i="1"/>
  <c r="CK58" i="1"/>
  <c r="CJ58" i="1"/>
  <c r="CI58" i="1"/>
  <c r="CH58" i="1"/>
  <c r="CG58" i="1"/>
  <c r="CF58" i="1"/>
  <c r="CE58" i="1"/>
  <c r="CD58" i="1"/>
  <c r="CC58" i="1"/>
  <c r="CB58" i="1"/>
  <c r="BX58" i="1"/>
  <c r="BW58" i="1"/>
  <c r="BV58" i="1"/>
  <c r="BU58" i="1"/>
  <c r="BT58" i="1"/>
  <c r="BS58" i="1"/>
  <c r="BR58" i="1"/>
  <c r="BQ58" i="1"/>
  <c r="BP58" i="1"/>
  <c r="BN58" i="1"/>
  <c r="BO58" i="1"/>
  <c r="BY58" i="1"/>
  <c r="BZ58" i="1"/>
  <c r="AP58" i="1"/>
  <c r="AQ58" i="1"/>
  <c r="AR58" i="1"/>
  <c r="AS58" i="1"/>
  <c r="AT58" i="1"/>
  <c r="AU58" i="1"/>
  <c r="AV58" i="1"/>
  <c r="AW58" i="1"/>
  <c r="AX58" i="1"/>
  <c r="AY58" i="1"/>
  <c r="AZ58" i="1"/>
  <c r="BA58" i="1"/>
  <c r="BB58" i="1"/>
  <c r="BC58" i="1"/>
  <c r="BD58" i="1"/>
  <c r="BE58" i="1"/>
  <c r="BF58" i="1"/>
  <c r="BG58" i="1"/>
  <c r="BH58" i="1"/>
  <c r="BI58" i="1"/>
  <c r="BJ58" i="1"/>
  <c r="BK58" i="1"/>
  <c r="BL58" i="1"/>
  <c r="BM58" i="1"/>
  <c r="CA58" i="1"/>
  <c r="CY57" i="1"/>
  <c r="CX57" i="1"/>
  <c r="CW57" i="1"/>
  <c r="CV57" i="1"/>
  <c r="CU57" i="1"/>
  <c r="CT57" i="1"/>
  <c r="CS57" i="1"/>
  <c r="CR57" i="1"/>
  <c r="CQ57" i="1"/>
  <c r="CP57" i="1"/>
  <c r="CO57" i="1"/>
  <c r="CN57" i="1"/>
  <c r="CM57" i="1"/>
  <c r="CL57" i="1"/>
  <c r="CK57" i="1"/>
  <c r="CJ57" i="1"/>
  <c r="CI57" i="1"/>
  <c r="CH57" i="1"/>
  <c r="CG57" i="1"/>
  <c r="CF57" i="1"/>
  <c r="CE57" i="1"/>
  <c r="CD57" i="1"/>
  <c r="CC57" i="1"/>
  <c r="CB57" i="1"/>
  <c r="BX57" i="1"/>
  <c r="BW57" i="1"/>
  <c r="BV57" i="1"/>
  <c r="BU57" i="1"/>
  <c r="BT57" i="1"/>
  <c r="BS57" i="1"/>
  <c r="BR57" i="1"/>
  <c r="BQ57" i="1"/>
  <c r="BN57" i="1"/>
  <c r="BO57" i="1"/>
  <c r="BP57" i="1"/>
  <c r="BY57" i="1"/>
  <c r="BZ57" i="1"/>
  <c r="AP57" i="1"/>
  <c r="AQ57" i="1"/>
  <c r="AR57" i="1"/>
  <c r="AS57" i="1"/>
  <c r="AT57" i="1"/>
  <c r="AU57" i="1"/>
  <c r="AV57" i="1"/>
  <c r="AW57" i="1"/>
  <c r="AX57" i="1"/>
  <c r="AY57" i="1"/>
  <c r="AZ57" i="1"/>
  <c r="BA57" i="1"/>
  <c r="BB57" i="1"/>
  <c r="BC57" i="1"/>
  <c r="BD57" i="1"/>
  <c r="BE57" i="1"/>
  <c r="BF57" i="1"/>
  <c r="BG57" i="1"/>
  <c r="BH57" i="1"/>
  <c r="BI57" i="1"/>
  <c r="BJ57" i="1"/>
  <c r="BK57" i="1"/>
  <c r="BL57" i="1"/>
  <c r="BM57" i="1"/>
  <c r="CA57" i="1"/>
  <c r="CY56" i="1"/>
  <c r="CX56" i="1"/>
  <c r="CW56" i="1"/>
  <c r="CV56" i="1"/>
  <c r="CU56" i="1"/>
  <c r="CT56" i="1"/>
  <c r="CS56" i="1"/>
  <c r="CR56" i="1"/>
  <c r="CQ56" i="1"/>
  <c r="CP56" i="1"/>
  <c r="CO56" i="1"/>
  <c r="CN56" i="1"/>
  <c r="CM56" i="1"/>
  <c r="CL56" i="1"/>
  <c r="CK56" i="1"/>
  <c r="CJ56" i="1"/>
  <c r="CI56" i="1"/>
  <c r="CH56" i="1"/>
  <c r="CG56" i="1"/>
  <c r="CF56" i="1"/>
  <c r="CE56" i="1"/>
  <c r="CD56" i="1"/>
  <c r="CC56" i="1"/>
  <c r="BX56" i="1"/>
  <c r="BW56" i="1"/>
  <c r="BV56" i="1"/>
  <c r="BU56" i="1"/>
  <c r="BT56" i="1"/>
  <c r="BS56" i="1"/>
  <c r="BR56" i="1"/>
  <c r="BQ56" i="1"/>
  <c r="BP56" i="1"/>
  <c r="BN56" i="1"/>
  <c r="BO56" i="1"/>
  <c r="BY56" i="1"/>
  <c r="BZ56" i="1"/>
  <c r="AP56" i="1"/>
  <c r="AQ56" i="1"/>
  <c r="AR56" i="1"/>
  <c r="AS56" i="1"/>
  <c r="AT56" i="1"/>
  <c r="AU56" i="1"/>
  <c r="AV56" i="1"/>
  <c r="AW56" i="1"/>
  <c r="AX56" i="1"/>
  <c r="AY56" i="1"/>
  <c r="AZ56" i="1"/>
  <c r="BA56" i="1"/>
  <c r="BB56" i="1"/>
  <c r="BC56" i="1"/>
  <c r="BD56" i="1"/>
  <c r="BE56" i="1"/>
  <c r="BF56" i="1"/>
  <c r="BG56" i="1"/>
  <c r="BH56" i="1"/>
  <c r="BI56" i="1"/>
  <c r="BJ56" i="1"/>
  <c r="BK56" i="1"/>
  <c r="BL56" i="1"/>
  <c r="BM56" i="1"/>
  <c r="CA56" i="1"/>
  <c r="CY55" i="1"/>
  <c r="CX55" i="1"/>
  <c r="CW55" i="1"/>
  <c r="CV55" i="1"/>
  <c r="CU55" i="1"/>
  <c r="CT55" i="1"/>
  <c r="CS55" i="1"/>
  <c r="CR55" i="1"/>
  <c r="CQ55" i="1"/>
  <c r="CP55" i="1"/>
  <c r="CO55" i="1"/>
  <c r="CN55" i="1"/>
  <c r="CM55" i="1"/>
  <c r="CL55" i="1"/>
  <c r="CK55" i="1"/>
  <c r="CJ55" i="1"/>
  <c r="CI55" i="1"/>
  <c r="CH55" i="1"/>
  <c r="CG55" i="1"/>
  <c r="CF55" i="1"/>
  <c r="CE55" i="1"/>
  <c r="CD55" i="1"/>
  <c r="CC55" i="1"/>
  <c r="CB55" i="1"/>
  <c r="BX55" i="1"/>
  <c r="BW55" i="1"/>
  <c r="BV55" i="1"/>
  <c r="BU55" i="1"/>
  <c r="BT55" i="1"/>
  <c r="BS55" i="1"/>
  <c r="BR55" i="1"/>
  <c r="BQ55" i="1"/>
  <c r="BP55" i="1"/>
  <c r="BO55" i="1"/>
  <c r="BN55" i="1"/>
  <c r="AP55" i="1"/>
  <c r="AQ55" i="1"/>
  <c r="AR55" i="1"/>
  <c r="AS55" i="1"/>
  <c r="AT55" i="1"/>
  <c r="AU55" i="1"/>
  <c r="AV55" i="1"/>
  <c r="AW55" i="1"/>
  <c r="AX55" i="1"/>
  <c r="AY55" i="1"/>
  <c r="AZ55" i="1"/>
  <c r="BA55" i="1"/>
  <c r="BB55" i="1"/>
  <c r="BC55" i="1"/>
  <c r="BD55" i="1"/>
  <c r="BE55" i="1"/>
  <c r="BF55" i="1"/>
  <c r="BG55" i="1"/>
  <c r="BH55" i="1"/>
  <c r="BI55" i="1"/>
  <c r="BJ55" i="1"/>
  <c r="BK55" i="1"/>
  <c r="BL55" i="1"/>
  <c r="BM55" i="1"/>
  <c r="CY54" i="1"/>
  <c r="CX54" i="1"/>
  <c r="CW54" i="1"/>
  <c r="CV54" i="1"/>
  <c r="CU54" i="1"/>
  <c r="CT54" i="1"/>
  <c r="CS54" i="1"/>
  <c r="CR54" i="1"/>
  <c r="CQ54" i="1"/>
  <c r="CP54" i="1"/>
  <c r="CO54" i="1"/>
  <c r="CN54" i="1"/>
  <c r="CC54" i="1"/>
  <c r="CD54" i="1"/>
  <c r="CE54" i="1"/>
  <c r="CF54" i="1"/>
  <c r="CG54" i="1"/>
  <c r="CH54" i="1"/>
  <c r="CI54" i="1"/>
  <c r="CJ54" i="1"/>
  <c r="CK54" i="1"/>
  <c r="CL54" i="1"/>
  <c r="CM54" i="1"/>
  <c r="CB54" i="1"/>
  <c r="BX54" i="1"/>
  <c r="BW54" i="1"/>
  <c r="BV54" i="1"/>
  <c r="BU54" i="1"/>
  <c r="BT54" i="1"/>
  <c r="BS54" i="1"/>
  <c r="BR54" i="1"/>
  <c r="BQ54" i="1"/>
  <c r="BP54" i="1"/>
  <c r="BN54" i="1"/>
  <c r="BO54" i="1"/>
  <c r="BY54" i="1"/>
  <c r="BZ54" i="1"/>
  <c r="AP54" i="1"/>
  <c r="AQ54" i="1"/>
  <c r="AR54" i="1"/>
  <c r="AS54" i="1"/>
  <c r="AT54" i="1"/>
  <c r="AU54" i="1"/>
  <c r="AV54" i="1"/>
  <c r="AW54" i="1"/>
  <c r="AX54" i="1"/>
  <c r="AY54" i="1"/>
  <c r="AZ54" i="1"/>
  <c r="BA54" i="1"/>
  <c r="BB54" i="1"/>
  <c r="BC54" i="1"/>
  <c r="BD54" i="1"/>
  <c r="BE54" i="1"/>
  <c r="BF54" i="1"/>
  <c r="BG54" i="1"/>
  <c r="BH54" i="1"/>
  <c r="BI54" i="1"/>
  <c r="BJ54" i="1"/>
  <c r="BK54" i="1"/>
  <c r="BL54" i="1"/>
  <c r="BM54" i="1"/>
  <c r="CA54" i="1"/>
  <c r="AM54" i="1"/>
  <c r="CY53" i="1"/>
  <c r="CX53" i="1"/>
  <c r="CW53" i="1"/>
  <c r="CV53" i="1"/>
  <c r="CU53" i="1"/>
  <c r="CT53" i="1"/>
  <c r="CS53" i="1"/>
  <c r="CR53" i="1"/>
  <c r="CQ53" i="1"/>
  <c r="CP53" i="1"/>
  <c r="CO53" i="1"/>
  <c r="CN53" i="1"/>
  <c r="CM53" i="1"/>
  <c r="CL53" i="1"/>
  <c r="CK53" i="1"/>
  <c r="CJ53" i="1"/>
  <c r="CI53" i="1"/>
  <c r="CH53" i="1"/>
  <c r="CG53" i="1"/>
  <c r="CF53" i="1"/>
  <c r="CE53" i="1"/>
  <c r="CC53" i="1"/>
  <c r="CD53" i="1"/>
  <c r="BX53" i="1"/>
  <c r="BW53" i="1"/>
  <c r="BV53" i="1"/>
  <c r="BU53" i="1"/>
  <c r="BT53" i="1"/>
  <c r="BS53" i="1"/>
  <c r="BR53" i="1"/>
  <c r="BQ53" i="1"/>
  <c r="BP53" i="1"/>
  <c r="BN53" i="1"/>
  <c r="BO53" i="1"/>
  <c r="BY53" i="1"/>
  <c r="BZ53" i="1"/>
  <c r="AP53" i="1"/>
  <c r="AQ53" i="1"/>
  <c r="AR53" i="1"/>
  <c r="AS53" i="1"/>
  <c r="AT53" i="1"/>
  <c r="AU53" i="1"/>
  <c r="AV53" i="1"/>
  <c r="AW53" i="1"/>
  <c r="AX53" i="1"/>
  <c r="AY53" i="1"/>
  <c r="AZ53" i="1"/>
  <c r="BA53" i="1"/>
  <c r="BB53" i="1"/>
  <c r="BC53" i="1"/>
  <c r="BD53" i="1"/>
  <c r="BE53" i="1"/>
  <c r="BF53" i="1"/>
  <c r="BG53" i="1"/>
  <c r="BH53" i="1"/>
  <c r="BI53" i="1"/>
  <c r="BJ53" i="1"/>
  <c r="BK53" i="1"/>
  <c r="BL53" i="1"/>
  <c r="BM53" i="1"/>
  <c r="CA53" i="1"/>
  <c r="CY52" i="1"/>
  <c r="CX52" i="1"/>
  <c r="CW52" i="1"/>
  <c r="CV52" i="1"/>
  <c r="CU52" i="1"/>
  <c r="CT52" i="1"/>
  <c r="CS52" i="1"/>
  <c r="CR52" i="1"/>
  <c r="CQ52" i="1"/>
  <c r="CP52" i="1"/>
  <c r="CO52" i="1"/>
  <c r="CN52" i="1"/>
  <c r="CM52" i="1"/>
  <c r="CL52" i="1"/>
  <c r="CK52" i="1"/>
  <c r="CJ52" i="1"/>
  <c r="CI52" i="1"/>
  <c r="CH52" i="1"/>
  <c r="CG52" i="1"/>
  <c r="CF52" i="1"/>
  <c r="CE52" i="1"/>
  <c r="CC52" i="1"/>
  <c r="CD52" i="1"/>
  <c r="CB52" i="1"/>
  <c r="BX52" i="1"/>
  <c r="BW52" i="1"/>
  <c r="BV52" i="1"/>
  <c r="BU52" i="1"/>
  <c r="BT52" i="1"/>
  <c r="BS52" i="1"/>
  <c r="BR52" i="1"/>
  <c r="BQ52" i="1"/>
  <c r="BN52" i="1"/>
  <c r="BO52" i="1"/>
  <c r="BP52" i="1"/>
  <c r="BY52" i="1"/>
  <c r="BZ52" i="1"/>
  <c r="AP52" i="1"/>
  <c r="AQ52" i="1"/>
  <c r="AR52" i="1"/>
  <c r="AS52" i="1"/>
  <c r="AT52" i="1"/>
  <c r="AU52" i="1"/>
  <c r="AV52" i="1"/>
  <c r="AW52" i="1"/>
  <c r="AX52" i="1"/>
  <c r="AY52" i="1"/>
  <c r="AZ52" i="1"/>
  <c r="BA52" i="1"/>
  <c r="BB52" i="1"/>
  <c r="BC52" i="1"/>
  <c r="BD52" i="1"/>
  <c r="BE52" i="1"/>
  <c r="BF52" i="1"/>
  <c r="BG52" i="1"/>
  <c r="BH52" i="1"/>
  <c r="BI52" i="1"/>
  <c r="BJ52" i="1"/>
  <c r="BK52" i="1"/>
  <c r="BL52" i="1"/>
  <c r="BM52" i="1"/>
  <c r="CA52" i="1"/>
  <c r="AM52" i="1"/>
  <c r="CY51" i="1"/>
  <c r="CX51" i="1"/>
  <c r="CW51" i="1"/>
  <c r="CV51" i="1"/>
  <c r="CU51" i="1"/>
  <c r="CT51" i="1"/>
  <c r="CS51" i="1"/>
  <c r="CR51" i="1"/>
  <c r="CQ51" i="1"/>
  <c r="CP51" i="1"/>
  <c r="CO51" i="1"/>
  <c r="CN51" i="1"/>
  <c r="CM51" i="1"/>
  <c r="CL51" i="1"/>
  <c r="CK51" i="1"/>
  <c r="CJ51" i="1"/>
  <c r="CI51" i="1"/>
  <c r="CH51" i="1"/>
  <c r="CG51" i="1"/>
  <c r="CF51" i="1"/>
  <c r="CE51" i="1"/>
  <c r="CD51" i="1"/>
  <c r="CC51" i="1"/>
  <c r="BX51" i="1"/>
  <c r="BW51" i="1"/>
  <c r="BV51" i="1"/>
  <c r="BU51" i="1"/>
  <c r="BT51" i="1"/>
  <c r="BS51" i="1"/>
  <c r="BR51" i="1"/>
  <c r="BQ51" i="1"/>
  <c r="BP51" i="1"/>
  <c r="BO51" i="1"/>
  <c r="BN51" i="1"/>
  <c r="AP51" i="1"/>
  <c r="AQ51" i="1"/>
  <c r="AR51" i="1"/>
  <c r="AS51" i="1"/>
  <c r="AT51" i="1"/>
  <c r="AU51" i="1"/>
  <c r="AV51" i="1"/>
  <c r="AW51" i="1"/>
  <c r="AX51" i="1"/>
  <c r="AY51" i="1"/>
  <c r="AZ51" i="1"/>
  <c r="BA51" i="1"/>
  <c r="BB51" i="1"/>
  <c r="BC51" i="1"/>
  <c r="BD51" i="1"/>
  <c r="BE51" i="1"/>
  <c r="BF51" i="1"/>
  <c r="BG51" i="1"/>
  <c r="BH51" i="1"/>
  <c r="BI51" i="1"/>
  <c r="BJ51" i="1"/>
  <c r="BK51" i="1"/>
  <c r="BL51" i="1"/>
  <c r="BM51" i="1"/>
  <c r="CY50" i="1"/>
  <c r="CX50" i="1"/>
  <c r="CW50" i="1"/>
  <c r="CV50" i="1"/>
  <c r="CU50" i="1"/>
  <c r="CT50" i="1"/>
  <c r="CS50" i="1"/>
  <c r="CR50" i="1"/>
  <c r="CQ50" i="1"/>
  <c r="CP50" i="1"/>
  <c r="CO50" i="1"/>
  <c r="CN50" i="1"/>
  <c r="CM50" i="1"/>
  <c r="CL50" i="1"/>
  <c r="CK50" i="1"/>
  <c r="CJ50" i="1"/>
  <c r="CI50" i="1"/>
  <c r="CH50" i="1"/>
  <c r="CG50" i="1"/>
  <c r="CF50" i="1"/>
  <c r="CE50" i="1"/>
  <c r="CD50" i="1"/>
  <c r="CC50" i="1"/>
  <c r="CB50" i="1"/>
  <c r="BX50" i="1"/>
  <c r="BW50" i="1"/>
  <c r="BV50" i="1"/>
  <c r="BU50" i="1"/>
  <c r="BT50" i="1"/>
  <c r="BS50" i="1"/>
  <c r="BR50" i="1"/>
  <c r="BQ50" i="1"/>
  <c r="BN50" i="1"/>
  <c r="BO50" i="1"/>
  <c r="BP50" i="1"/>
  <c r="BY50" i="1"/>
  <c r="BZ50" i="1"/>
  <c r="AP50" i="1"/>
  <c r="AQ50" i="1"/>
  <c r="AR50" i="1"/>
  <c r="AS50" i="1"/>
  <c r="AT50" i="1"/>
  <c r="AU50" i="1"/>
  <c r="AV50" i="1"/>
  <c r="AW50" i="1"/>
  <c r="AX50" i="1"/>
  <c r="AY50" i="1"/>
  <c r="AZ50" i="1"/>
  <c r="BA50" i="1"/>
  <c r="BB50" i="1"/>
  <c r="BC50" i="1"/>
  <c r="BD50" i="1"/>
  <c r="BE50" i="1"/>
  <c r="BF50" i="1"/>
  <c r="BG50" i="1"/>
  <c r="BH50" i="1"/>
  <c r="BI50" i="1"/>
  <c r="BJ50" i="1"/>
  <c r="BK50" i="1"/>
  <c r="BL50" i="1"/>
  <c r="BM50" i="1"/>
  <c r="CA50" i="1"/>
  <c r="CY49" i="1"/>
  <c r="CX49" i="1"/>
  <c r="CW49" i="1"/>
  <c r="CV49" i="1"/>
  <c r="CU49" i="1"/>
  <c r="CT49" i="1"/>
  <c r="CS49" i="1"/>
  <c r="CR49" i="1"/>
  <c r="CQ49" i="1"/>
  <c r="CP49" i="1"/>
  <c r="CO49" i="1"/>
  <c r="CN49" i="1"/>
  <c r="CM49" i="1"/>
  <c r="CL49" i="1"/>
  <c r="CK49" i="1"/>
  <c r="CJ49" i="1"/>
  <c r="CI49" i="1"/>
  <c r="CH49" i="1"/>
  <c r="CG49" i="1"/>
  <c r="CF49" i="1"/>
  <c r="CE49" i="1"/>
  <c r="CC49" i="1"/>
  <c r="CD49" i="1"/>
  <c r="CB49" i="1"/>
  <c r="BX49" i="1"/>
  <c r="BW49" i="1"/>
  <c r="BV49" i="1"/>
  <c r="BU49" i="1"/>
  <c r="BT49" i="1"/>
  <c r="BS49" i="1"/>
  <c r="BR49" i="1"/>
  <c r="BQ49" i="1"/>
  <c r="BP49" i="1"/>
  <c r="BN49" i="1"/>
  <c r="BO49" i="1"/>
  <c r="BY49" i="1"/>
  <c r="BZ49" i="1"/>
  <c r="AP49" i="1"/>
  <c r="AQ49" i="1"/>
  <c r="AR49" i="1"/>
  <c r="AS49" i="1"/>
  <c r="AT49" i="1"/>
  <c r="AU49" i="1"/>
  <c r="AV49" i="1"/>
  <c r="AW49" i="1"/>
  <c r="AX49" i="1"/>
  <c r="AY49" i="1"/>
  <c r="AZ49" i="1"/>
  <c r="BA49" i="1"/>
  <c r="BB49" i="1"/>
  <c r="BC49" i="1"/>
  <c r="BD49" i="1"/>
  <c r="BE49" i="1"/>
  <c r="BF49" i="1"/>
  <c r="BG49" i="1"/>
  <c r="BH49" i="1"/>
  <c r="BI49" i="1"/>
  <c r="BJ49" i="1"/>
  <c r="BK49" i="1"/>
  <c r="BL49" i="1"/>
  <c r="BM49" i="1"/>
  <c r="CA49" i="1"/>
  <c r="CY48" i="1"/>
  <c r="CX48" i="1"/>
  <c r="CW48" i="1"/>
  <c r="CV48" i="1"/>
  <c r="CU48" i="1"/>
  <c r="CT48" i="1"/>
  <c r="CS48" i="1"/>
  <c r="CR48" i="1"/>
  <c r="CQ48" i="1"/>
  <c r="CP48" i="1"/>
  <c r="CO48" i="1"/>
  <c r="CN48" i="1"/>
  <c r="CM48" i="1"/>
  <c r="CL48" i="1"/>
  <c r="CK48" i="1"/>
  <c r="CJ48" i="1"/>
  <c r="CI48" i="1"/>
  <c r="CH48" i="1"/>
  <c r="CG48" i="1"/>
  <c r="CF48" i="1"/>
  <c r="CE48" i="1"/>
  <c r="CC48" i="1"/>
  <c r="CD48" i="1"/>
  <c r="CB48" i="1"/>
  <c r="CY47" i="1"/>
  <c r="CX47" i="1"/>
  <c r="CW47" i="1"/>
  <c r="CV47" i="1"/>
  <c r="CU47" i="1"/>
  <c r="CT47" i="1"/>
  <c r="CS47" i="1"/>
  <c r="CR47" i="1"/>
  <c r="CQ47" i="1"/>
  <c r="CP47" i="1"/>
  <c r="CO47" i="1"/>
  <c r="CN47" i="1"/>
  <c r="CM47" i="1"/>
  <c r="CL47" i="1"/>
  <c r="CK47" i="1"/>
  <c r="CJ47" i="1"/>
  <c r="CI47" i="1"/>
  <c r="CH47" i="1"/>
  <c r="CG47" i="1"/>
  <c r="CF47" i="1"/>
  <c r="CE47" i="1"/>
  <c r="CD47" i="1"/>
  <c r="CC47" i="1"/>
  <c r="CB47" i="1"/>
  <c r="BX47" i="1"/>
  <c r="BW47" i="1"/>
  <c r="BV47" i="1"/>
  <c r="BU47" i="1"/>
  <c r="BT47" i="1"/>
  <c r="BS47" i="1"/>
  <c r="BR47" i="1"/>
  <c r="BQ47" i="1"/>
  <c r="BN47" i="1"/>
  <c r="BO47" i="1"/>
  <c r="BP47" i="1"/>
  <c r="BY47" i="1"/>
  <c r="BZ47" i="1"/>
  <c r="AP47" i="1"/>
  <c r="AQ47" i="1"/>
  <c r="AR47" i="1"/>
  <c r="AS47" i="1"/>
  <c r="AT47" i="1"/>
  <c r="AU47" i="1"/>
  <c r="AV47" i="1"/>
  <c r="AW47" i="1"/>
  <c r="AX47" i="1"/>
  <c r="AY47" i="1"/>
  <c r="AZ47" i="1"/>
  <c r="BA47" i="1"/>
  <c r="BB47" i="1"/>
  <c r="BC47" i="1"/>
  <c r="BD47" i="1"/>
  <c r="BE47" i="1"/>
  <c r="BF47" i="1"/>
  <c r="BG47" i="1"/>
  <c r="BH47" i="1"/>
  <c r="BI47" i="1"/>
  <c r="BJ47" i="1"/>
  <c r="BK47" i="1"/>
  <c r="BL47" i="1"/>
  <c r="BM47" i="1"/>
  <c r="CA47" i="1"/>
  <c r="CY46" i="1"/>
  <c r="CX46" i="1"/>
  <c r="CW46" i="1"/>
  <c r="CV46" i="1"/>
  <c r="CU46" i="1"/>
  <c r="CT46" i="1"/>
  <c r="CS46" i="1"/>
  <c r="CR46" i="1"/>
  <c r="CQ46" i="1"/>
  <c r="CP46" i="1"/>
  <c r="CO46" i="1"/>
  <c r="CN46" i="1"/>
  <c r="CM46" i="1"/>
  <c r="CL46" i="1"/>
  <c r="CK46" i="1"/>
  <c r="CJ46" i="1"/>
  <c r="CI46" i="1"/>
  <c r="CH46" i="1"/>
  <c r="CG46" i="1"/>
  <c r="CF46" i="1"/>
  <c r="CE46" i="1"/>
  <c r="CC46" i="1"/>
  <c r="CD46" i="1"/>
  <c r="CB46" i="1"/>
  <c r="BX46" i="1"/>
  <c r="BW46" i="1"/>
  <c r="BV46" i="1"/>
  <c r="BU46" i="1"/>
  <c r="BT46" i="1"/>
  <c r="BS46" i="1"/>
  <c r="BR46" i="1"/>
  <c r="BQ46" i="1"/>
  <c r="BP46" i="1"/>
  <c r="BO46" i="1"/>
  <c r="BN46" i="1"/>
  <c r="AP46" i="1"/>
  <c r="AQ46" i="1"/>
  <c r="AR46" i="1"/>
  <c r="AS46" i="1"/>
  <c r="AT46" i="1"/>
  <c r="AU46" i="1"/>
  <c r="AV46" i="1"/>
  <c r="AW46" i="1"/>
  <c r="AX46" i="1"/>
  <c r="AY46" i="1"/>
  <c r="AZ46" i="1"/>
  <c r="BA46" i="1"/>
  <c r="BB46" i="1"/>
  <c r="BC46" i="1"/>
  <c r="BD46" i="1"/>
  <c r="BE46" i="1"/>
  <c r="BF46" i="1"/>
  <c r="BG46" i="1"/>
  <c r="BH46" i="1"/>
  <c r="BI46" i="1"/>
  <c r="BJ46" i="1"/>
  <c r="BK46" i="1"/>
  <c r="BL46" i="1"/>
  <c r="BM46" i="1"/>
  <c r="CY45" i="1"/>
  <c r="CX45" i="1"/>
  <c r="CW45" i="1"/>
  <c r="CV45" i="1"/>
  <c r="CU45" i="1"/>
  <c r="CT45" i="1"/>
  <c r="CS45" i="1"/>
  <c r="CR45" i="1"/>
  <c r="CQ45" i="1"/>
  <c r="CP45" i="1"/>
  <c r="CO45" i="1"/>
  <c r="CN45" i="1"/>
  <c r="CM45" i="1"/>
  <c r="CL45" i="1"/>
  <c r="CK45" i="1"/>
  <c r="CJ45" i="1"/>
  <c r="CI45" i="1"/>
  <c r="CH45" i="1"/>
  <c r="CG45" i="1"/>
  <c r="CF45" i="1"/>
  <c r="CE45" i="1"/>
  <c r="CD45" i="1"/>
  <c r="CC45" i="1"/>
  <c r="BX45" i="1"/>
  <c r="BW45" i="1"/>
  <c r="BV45" i="1"/>
  <c r="BU45" i="1"/>
  <c r="BT45" i="1"/>
  <c r="BS45" i="1"/>
  <c r="BR45" i="1"/>
  <c r="BQ45" i="1"/>
  <c r="BN45" i="1"/>
  <c r="BO45" i="1"/>
  <c r="BP45" i="1"/>
  <c r="BY45" i="1"/>
  <c r="BZ45" i="1"/>
  <c r="AP45" i="1"/>
  <c r="AQ45" i="1"/>
  <c r="AR45" i="1"/>
  <c r="AS45" i="1"/>
  <c r="AT45" i="1"/>
  <c r="AU45" i="1"/>
  <c r="AV45" i="1"/>
  <c r="AW45" i="1"/>
  <c r="AX45" i="1"/>
  <c r="AY45" i="1"/>
  <c r="AZ45" i="1"/>
  <c r="BA45" i="1"/>
  <c r="BB45" i="1"/>
  <c r="BC45" i="1"/>
  <c r="BD45" i="1"/>
  <c r="BE45" i="1"/>
  <c r="BF45" i="1"/>
  <c r="BG45" i="1"/>
  <c r="BH45" i="1"/>
  <c r="BI45" i="1"/>
  <c r="BJ45" i="1"/>
  <c r="BK45" i="1"/>
  <c r="BL45" i="1"/>
  <c r="BM45" i="1"/>
  <c r="CA45" i="1"/>
  <c r="CY44" i="1"/>
  <c r="CX44" i="1"/>
  <c r="CW44" i="1"/>
  <c r="CV44" i="1"/>
  <c r="CU44" i="1"/>
  <c r="CT44" i="1"/>
  <c r="CS44" i="1"/>
  <c r="CR44" i="1"/>
  <c r="CQ44" i="1"/>
  <c r="CP44" i="1"/>
  <c r="CO44" i="1"/>
  <c r="CN44" i="1"/>
  <c r="CM44" i="1"/>
  <c r="CL44" i="1"/>
  <c r="CK44" i="1"/>
  <c r="CJ44" i="1"/>
  <c r="CI44" i="1"/>
  <c r="CH44" i="1"/>
  <c r="CG44" i="1"/>
  <c r="CF44" i="1"/>
  <c r="CE44" i="1"/>
  <c r="CC44" i="1"/>
  <c r="CD44" i="1"/>
  <c r="CB44" i="1"/>
  <c r="BX44" i="1"/>
  <c r="BW44" i="1"/>
  <c r="BV44" i="1"/>
  <c r="BU44" i="1"/>
  <c r="BT44" i="1"/>
  <c r="BS44" i="1"/>
  <c r="BR44" i="1"/>
  <c r="BQ44" i="1"/>
  <c r="BP44" i="1"/>
  <c r="BN44" i="1"/>
  <c r="BO44" i="1"/>
  <c r="BY44" i="1"/>
  <c r="BZ44" i="1"/>
  <c r="AP44" i="1"/>
  <c r="AQ44" i="1"/>
  <c r="AR44" i="1"/>
  <c r="AS44" i="1"/>
  <c r="AT44" i="1"/>
  <c r="AU44" i="1"/>
  <c r="AV44" i="1"/>
  <c r="AW44" i="1"/>
  <c r="AX44" i="1"/>
  <c r="AY44" i="1"/>
  <c r="AZ44" i="1"/>
  <c r="BA44" i="1"/>
  <c r="BB44" i="1"/>
  <c r="BC44" i="1"/>
  <c r="BD44" i="1"/>
  <c r="BE44" i="1"/>
  <c r="BF44" i="1"/>
  <c r="BG44" i="1"/>
  <c r="BH44" i="1"/>
  <c r="BI44" i="1"/>
  <c r="BJ44" i="1"/>
  <c r="BK44" i="1"/>
  <c r="BL44" i="1"/>
  <c r="BM44" i="1"/>
  <c r="CA44" i="1"/>
  <c r="CY43" i="1"/>
  <c r="CX43" i="1"/>
  <c r="CW43" i="1"/>
  <c r="CV43" i="1"/>
  <c r="CU43" i="1"/>
  <c r="CT43" i="1"/>
  <c r="CS43" i="1"/>
  <c r="CR43" i="1"/>
  <c r="CQ43" i="1"/>
  <c r="CP43" i="1"/>
  <c r="CO43" i="1"/>
  <c r="CN43" i="1"/>
  <c r="CM43" i="1"/>
  <c r="CL43" i="1"/>
  <c r="CK43" i="1"/>
  <c r="CJ43" i="1"/>
  <c r="CI43" i="1"/>
  <c r="CH43" i="1"/>
  <c r="CG43" i="1"/>
  <c r="CF43" i="1"/>
  <c r="CE43" i="1"/>
  <c r="CD43" i="1"/>
  <c r="CC43" i="1"/>
  <c r="CB43" i="1"/>
  <c r="BX43" i="1"/>
  <c r="BW43" i="1"/>
  <c r="BV43" i="1"/>
  <c r="BU43" i="1"/>
  <c r="BT43" i="1"/>
  <c r="BS43" i="1"/>
  <c r="BR43" i="1"/>
  <c r="BQ43" i="1"/>
  <c r="BN43" i="1"/>
  <c r="BO43" i="1"/>
  <c r="BP43" i="1"/>
  <c r="AP43" i="1"/>
  <c r="AQ43" i="1"/>
  <c r="AR43" i="1"/>
  <c r="AS43" i="1"/>
  <c r="AT43" i="1"/>
  <c r="AU43" i="1"/>
  <c r="AV43" i="1"/>
  <c r="AW43" i="1"/>
  <c r="AX43" i="1"/>
  <c r="AY43" i="1"/>
  <c r="AZ43" i="1"/>
  <c r="BA43" i="1"/>
  <c r="BB43" i="1"/>
  <c r="BC43" i="1"/>
  <c r="BD43" i="1"/>
  <c r="BE43" i="1"/>
  <c r="BF43" i="1"/>
  <c r="BG43" i="1"/>
  <c r="BH43" i="1"/>
  <c r="BI43" i="1"/>
  <c r="BJ43" i="1"/>
  <c r="BK43" i="1"/>
  <c r="BL43" i="1"/>
  <c r="BM43" i="1"/>
  <c r="CY42" i="1"/>
  <c r="CX42" i="1"/>
  <c r="CW42" i="1"/>
  <c r="CV42" i="1"/>
  <c r="CU42" i="1"/>
  <c r="CT42" i="1"/>
  <c r="CS42" i="1"/>
  <c r="CR42" i="1"/>
  <c r="CQ42" i="1"/>
  <c r="CP42" i="1"/>
  <c r="CO42" i="1"/>
  <c r="CN42" i="1"/>
  <c r="CM42" i="1"/>
  <c r="CL42" i="1"/>
  <c r="CK42" i="1"/>
  <c r="CJ42" i="1"/>
  <c r="CI42" i="1"/>
  <c r="CH42" i="1"/>
  <c r="CG42" i="1"/>
  <c r="CF42" i="1"/>
  <c r="CE42" i="1"/>
  <c r="CC42" i="1"/>
  <c r="CD42" i="1"/>
  <c r="CB42" i="1"/>
  <c r="BX42" i="1"/>
  <c r="BW42" i="1"/>
  <c r="BV42" i="1"/>
  <c r="BU42" i="1"/>
  <c r="BT42" i="1"/>
  <c r="BS42" i="1"/>
  <c r="BR42" i="1"/>
  <c r="BQ42" i="1"/>
  <c r="BP42" i="1"/>
  <c r="BO42" i="1"/>
  <c r="BN42" i="1"/>
  <c r="BY42" i="1"/>
  <c r="BZ42" i="1"/>
  <c r="AP42" i="1"/>
  <c r="AQ42" i="1"/>
  <c r="AR42" i="1"/>
  <c r="AS42" i="1"/>
  <c r="AT42" i="1"/>
  <c r="AU42" i="1"/>
  <c r="AV42" i="1"/>
  <c r="AW42" i="1"/>
  <c r="AX42" i="1"/>
  <c r="AY42" i="1"/>
  <c r="AZ42" i="1"/>
  <c r="BA42" i="1"/>
  <c r="BB42" i="1"/>
  <c r="BC42" i="1"/>
  <c r="BD42" i="1"/>
  <c r="BE42" i="1"/>
  <c r="BF42" i="1"/>
  <c r="BG42" i="1"/>
  <c r="BH42" i="1"/>
  <c r="BI42" i="1"/>
  <c r="BJ42" i="1"/>
  <c r="BK42" i="1"/>
  <c r="BL42" i="1"/>
  <c r="BM42" i="1"/>
  <c r="CA42" i="1"/>
  <c r="CY41" i="1"/>
  <c r="CX41" i="1"/>
  <c r="CW41" i="1"/>
  <c r="CV41" i="1"/>
  <c r="CU41" i="1"/>
  <c r="CT41" i="1"/>
  <c r="CS41" i="1"/>
  <c r="CR41" i="1"/>
  <c r="CQ41" i="1"/>
  <c r="CP41" i="1"/>
  <c r="CO41" i="1"/>
  <c r="CN41" i="1"/>
  <c r="CM41" i="1"/>
  <c r="CL41" i="1"/>
  <c r="CK41" i="1"/>
  <c r="CJ41" i="1"/>
  <c r="CI41" i="1"/>
  <c r="CH41" i="1"/>
  <c r="CG41" i="1"/>
  <c r="CF41" i="1"/>
  <c r="CE41" i="1"/>
  <c r="CD41" i="1"/>
  <c r="CC41" i="1"/>
  <c r="CB41" i="1"/>
  <c r="BX41" i="1"/>
  <c r="BW41" i="1"/>
  <c r="BV41" i="1"/>
  <c r="BU41" i="1"/>
  <c r="BT41" i="1"/>
  <c r="BS41" i="1"/>
  <c r="BR41" i="1"/>
  <c r="BQ41" i="1"/>
  <c r="BN41" i="1"/>
  <c r="BO41" i="1"/>
  <c r="BP41" i="1"/>
  <c r="BY41" i="1"/>
  <c r="BZ41" i="1"/>
  <c r="AP41" i="1"/>
  <c r="AQ41" i="1"/>
  <c r="AR41" i="1"/>
  <c r="AS41" i="1"/>
  <c r="AT41" i="1"/>
  <c r="AU41" i="1"/>
  <c r="AV41" i="1"/>
  <c r="AW41" i="1"/>
  <c r="AX41" i="1"/>
  <c r="AY41" i="1"/>
  <c r="AZ41" i="1"/>
  <c r="BA41" i="1"/>
  <c r="BB41" i="1"/>
  <c r="BC41" i="1"/>
  <c r="BD41" i="1"/>
  <c r="BE41" i="1"/>
  <c r="BF41" i="1"/>
  <c r="BG41" i="1"/>
  <c r="BH41" i="1"/>
  <c r="BI41" i="1"/>
  <c r="BJ41" i="1"/>
  <c r="BK41" i="1"/>
  <c r="BL41" i="1"/>
  <c r="BM41" i="1"/>
  <c r="CA41" i="1"/>
  <c r="CY40" i="1"/>
  <c r="CX40" i="1"/>
  <c r="CW40" i="1"/>
  <c r="CV40" i="1"/>
  <c r="CU40" i="1"/>
  <c r="CT40" i="1"/>
  <c r="CS40" i="1"/>
  <c r="CR40" i="1"/>
  <c r="CQ40" i="1"/>
  <c r="CP40" i="1"/>
  <c r="CO40" i="1"/>
  <c r="CN40" i="1"/>
  <c r="CM40" i="1"/>
  <c r="CL40" i="1"/>
  <c r="CK40" i="1"/>
  <c r="CJ40" i="1"/>
  <c r="CI40" i="1"/>
  <c r="CH40" i="1"/>
  <c r="CG40" i="1"/>
  <c r="CF40" i="1"/>
  <c r="CE40" i="1"/>
  <c r="CC40" i="1"/>
  <c r="CD40" i="1"/>
  <c r="BX40" i="1"/>
  <c r="BW40" i="1"/>
  <c r="BV40" i="1"/>
  <c r="BU40" i="1"/>
  <c r="BT40" i="1"/>
  <c r="BS40" i="1"/>
  <c r="BR40" i="1"/>
  <c r="BQ40" i="1"/>
  <c r="BP40" i="1"/>
  <c r="BO40" i="1"/>
  <c r="BN40" i="1"/>
  <c r="AP40" i="1"/>
  <c r="AQ40" i="1"/>
  <c r="AR40" i="1"/>
  <c r="AS40" i="1"/>
  <c r="AT40" i="1"/>
  <c r="AU40" i="1"/>
  <c r="AV40" i="1"/>
  <c r="AW40" i="1"/>
  <c r="AX40" i="1"/>
  <c r="AY40" i="1"/>
  <c r="AZ40" i="1"/>
  <c r="BA40" i="1"/>
  <c r="BB40" i="1"/>
  <c r="BC40" i="1"/>
  <c r="BD40" i="1"/>
  <c r="BE40" i="1"/>
  <c r="BF40" i="1"/>
  <c r="BG40" i="1"/>
  <c r="BH40" i="1"/>
  <c r="BI40" i="1"/>
  <c r="BJ40" i="1"/>
  <c r="BK40" i="1"/>
  <c r="BL40" i="1"/>
  <c r="BM40" i="1"/>
  <c r="CY39" i="1"/>
  <c r="CX39" i="1"/>
  <c r="CW39" i="1"/>
  <c r="CV39" i="1"/>
  <c r="CU39" i="1"/>
  <c r="CT39" i="1"/>
  <c r="CS39" i="1"/>
  <c r="CR39" i="1"/>
  <c r="CQ39" i="1"/>
  <c r="CP39" i="1"/>
  <c r="CO39" i="1"/>
  <c r="CN39" i="1"/>
  <c r="CM39" i="1"/>
  <c r="CL39" i="1"/>
  <c r="CK39" i="1"/>
  <c r="CJ39" i="1"/>
  <c r="CI39" i="1"/>
  <c r="CH39" i="1"/>
  <c r="CG39" i="1"/>
  <c r="CF39" i="1"/>
  <c r="CE39" i="1"/>
  <c r="CD39" i="1"/>
  <c r="CC39" i="1"/>
  <c r="CB39" i="1"/>
  <c r="BX39" i="1"/>
  <c r="BW39" i="1"/>
  <c r="BV39" i="1"/>
  <c r="BU39" i="1"/>
  <c r="BT39" i="1"/>
  <c r="BS39" i="1"/>
  <c r="BR39" i="1"/>
  <c r="BQ39" i="1"/>
  <c r="BN39" i="1"/>
  <c r="BO39" i="1"/>
  <c r="BP39" i="1"/>
  <c r="BY39" i="1"/>
  <c r="BZ39" i="1"/>
  <c r="AP39" i="1"/>
  <c r="AQ39" i="1"/>
  <c r="AR39" i="1"/>
  <c r="AS39" i="1"/>
  <c r="AT39" i="1"/>
  <c r="AU39" i="1"/>
  <c r="AV39" i="1"/>
  <c r="AW39" i="1"/>
  <c r="AX39" i="1"/>
  <c r="AY39" i="1"/>
  <c r="AZ39" i="1"/>
  <c r="BA39" i="1"/>
  <c r="BB39" i="1"/>
  <c r="BC39" i="1"/>
  <c r="BD39" i="1"/>
  <c r="BE39" i="1"/>
  <c r="BF39" i="1"/>
  <c r="BG39" i="1"/>
  <c r="BH39" i="1"/>
  <c r="BI39" i="1"/>
  <c r="BJ39" i="1"/>
  <c r="BK39" i="1"/>
  <c r="BL39" i="1"/>
  <c r="BM39" i="1"/>
  <c r="CA39" i="1"/>
  <c r="CY38" i="1"/>
  <c r="CX38" i="1"/>
  <c r="CW38" i="1"/>
  <c r="CV38" i="1"/>
  <c r="CU38" i="1"/>
  <c r="CT38" i="1"/>
  <c r="CS38" i="1"/>
  <c r="CR38" i="1"/>
  <c r="CQ38" i="1"/>
  <c r="CP38" i="1"/>
  <c r="CO38" i="1"/>
  <c r="CN38" i="1"/>
  <c r="CM38" i="1"/>
  <c r="CL38" i="1"/>
  <c r="CK38" i="1"/>
  <c r="CJ38" i="1"/>
  <c r="CI38" i="1"/>
  <c r="CH38" i="1"/>
  <c r="CG38" i="1"/>
  <c r="CF38" i="1"/>
  <c r="CE38" i="1"/>
  <c r="CC38" i="1"/>
  <c r="CD38" i="1"/>
  <c r="CB38" i="1"/>
  <c r="BX38" i="1"/>
  <c r="BW38" i="1"/>
  <c r="BV38" i="1"/>
  <c r="BU38" i="1"/>
  <c r="BT38" i="1"/>
  <c r="BS38" i="1"/>
  <c r="BR38" i="1"/>
  <c r="BQ38" i="1"/>
  <c r="BP38" i="1"/>
  <c r="BO38" i="1"/>
  <c r="BN38" i="1"/>
  <c r="BY38" i="1"/>
  <c r="BZ38" i="1"/>
  <c r="AP38" i="1"/>
  <c r="AQ38" i="1"/>
  <c r="AR38" i="1"/>
  <c r="AS38" i="1"/>
  <c r="AT38" i="1"/>
  <c r="AU38" i="1"/>
  <c r="AV38" i="1"/>
  <c r="AW38" i="1"/>
  <c r="AX38" i="1"/>
  <c r="AY38" i="1"/>
  <c r="AZ38" i="1"/>
  <c r="BA38" i="1"/>
  <c r="BB38" i="1"/>
  <c r="BC38" i="1"/>
  <c r="BD38" i="1"/>
  <c r="BE38" i="1"/>
  <c r="BF38" i="1"/>
  <c r="BG38" i="1"/>
  <c r="BH38" i="1"/>
  <c r="BI38" i="1"/>
  <c r="BJ38" i="1"/>
  <c r="BK38" i="1"/>
  <c r="BL38" i="1"/>
  <c r="BM38" i="1"/>
  <c r="CA38" i="1"/>
  <c r="CY37" i="1"/>
  <c r="CX37" i="1"/>
  <c r="CW37" i="1"/>
  <c r="CV37" i="1"/>
  <c r="CU37" i="1"/>
  <c r="CT37" i="1"/>
  <c r="CS37" i="1"/>
  <c r="CR37" i="1"/>
  <c r="CQ37" i="1"/>
  <c r="CP37" i="1"/>
  <c r="CO37" i="1"/>
  <c r="CN37" i="1"/>
  <c r="CM37" i="1"/>
  <c r="CL37" i="1"/>
  <c r="CK37" i="1"/>
  <c r="CJ37" i="1"/>
  <c r="CI37" i="1"/>
  <c r="CH37" i="1"/>
  <c r="CG37" i="1"/>
  <c r="CF37" i="1"/>
  <c r="CE37" i="1"/>
  <c r="CC37" i="1"/>
  <c r="CD37" i="1"/>
  <c r="CB37" i="1"/>
  <c r="BX37" i="1"/>
  <c r="BW37" i="1"/>
  <c r="BV37" i="1"/>
  <c r="BU37" i="1"/>
  <c r="BT37" i="1"/>
  <c r="BS37" i="1"/>
  <c r="BR37" i="1"/>
  <c r="BQ37" i="1"/>
  <c r="BN37" i="1"/>
  <c r="BO37" i="1"/>
  <c r="BP37" i="1"/>
  <c r="BY37" i="1"/>
  <c r="BZ37" i="1"/>
  <c r="AP37" i="1"/>
  <c r="AQ37" i="1"/>
  <c r="AR37" i="1"/>
  <c r="AS37" i="1"/>
  <c r="AT37" i="1"/>
  <c r="AU37" i="1"/>
  <c r="AV37" i="1"/>
  <c r="AW37" i="1"/>
  <c r="AX37" i="1"/>
  <c r="AY37" i="1"/>
  <c r="AZ37" i="1"/>
  <c r="BA37" i="1"/>
  <c r="BB37" i="1"/>
  <c r="BC37" i="1"/>
  <c r="BD37" i="1"/>
  <c r="BE37" i="1"/>
  <c r="BF37" i="1"/>
  <c r="BG37" i="1"/>
  <c r="BH37" i="1"/>
  <c r="BI37" i="1"/>
  <c r="BJ37" i="1"/>
  <c r="BK37" i="1"/>
  <c r="BL37" i="1"/>
  <c r="BM37" i="1"/>
  <c r="CA37" i="1"/>
  <c r="CY36" i="1"/>
  <c r="CX36" i="1"/>
  <c r="CW36" i="1"/>
  <c r="CV36" i="1"/>
  <c r="CU36" i="1"/>
  <c r="CT36" i="1"/>
  <c r="CS36" i="1"/>
  <c r="CR36" i="1"/>
  <c r="CQ36" i="1"/>
  <c r="CP36" i="1"/>
  <c r="CO36" i="1"/>
  <c r="CN36" i="1"/>
  <c r="CM36" i="1"/>
  <c r="CL36" i="1"/>
  <c r="CK36" i="1"/>
  <c r="CJ36" i="1"/>
  <c r="CI36" i="1"/>
  <c r="CG36" i="1"/>
  <c r="CF36" i="1"/>
  <c r="CE36" i="1"/>
  <c r="CD36" i="1"/>
  <c r="CC36" i="1"/>
  <c r="BX36" i="1"/>
  <c r="BW36" i="1"/>
  <c r="BV36" i="1"/>
  <c r="BU36" i="1"/>
  <c r="BT36" i="1"/>
  <c r="BS36" i="1"/>
  <c r="BR36" i="1"/>
  <c r="BQ36" i="1"/>
  <c r="BP36" i="1"/>
  <c r="BO36" i="1"/>
  <c r="BN36" i="1"/>
  <c r="AP36" i="1"/>
  <c r="AQ36" i="1"/>
  <c r="AR36" i="1"/>
  <c r="AS36" i="1"/>
  <c r="AT36" i="1"/>
  <c r="AU36" i="1"/>
  <c r="AV36" i="1"/>
  <c r="AW36" i="1"/>
  <c r="AX36" i="1"/>
  <c r="AY36" i="1"/>
  <c r="AZ36" i="1"/>
  <c r="BA36" i="1"/>
  <c r="BB36" i="1"/>
  <c r="BC36" i="1"/>
  <c r="BD36" i="1"/>
  <c r="BE36" i="1"/>
  <c r="BF36" i="1"/>
  <c r="BG36" i="1"/>
  <c r="BH36" i="1"/>
  <c r="BI36" i="1"/>
  <c r="BJ36" i="1"/>
  <c r="BK36" i="1"/>
  <c r="BL36" i="1"/>
  <c r="BM36" i="1"/>
  <c r="CY35" i="1"/>
  <c r="CX35" i="1"/>
  <c r="CW35" i="1"/>
  <c r="CV35" i="1"/>
  <c r="CU35" i="1"/>
  <c r="CT35" i="1"/>
  <c r="CS35" i="1"/>
  <c r="CR35" i="1"/>
  <c r="CQ35" i="1"/>
  <c r="CP35" i="1"/>
  <c r="CO35" i="1"/>
  <c r="CN35" i="1"/>
  <c r="CM35" i="1"/>
  <c r="CL35" i="1"/>
  <c r="CK35" i="1"/>
  <c r="CJ35" i="1"/>
  <c r="CI35" i="1"/>
  <c r="CG35" i="1"/>
  <c r="CF35" i="1"/>
  <c r="CE35" i="1"/>
  <c r="CD35" i="1"/>
  <c r="CC35" i="1"/>
  <c r="BX35" i="1"/>
  <c r="BW35" i="1"/>
  <c r="BV35" i="1"/>
  <c r="BU35" i="1"/>
  <c r="BT35" i="1"/>
  <c r="BS35" i="1"/>
  <c r="BR35" i="1"/>
  <c r="BQ35" i="1"/>
  <c r="BN35" i="1"/>
  <c r="BO35" i="1"/>
  <c r="BP35" i="1"/>
  <c r="AP35" i="1"/>
  <c r="AQ35" i="1"/>
  <c r="AR35" i="1"/>
  <c r="AS35" i="1"/>
  <c r="AT35" i="1"/>
  <c r="AU35" i="1"/>
  <c r="AV35" i="1"/>
  <c r="AW35" i="1"/>
  <c r="AX35" i="1"/>
  <c r="AY35" i="1"/>
  <c r="AZ35" i="1"/>
  <c r="BA35" i="1"/>
  <c r="BB35" i="1"/>
  <c r="BC35" i="1"/>
  <c r="BD35" i="1"/>
  <c r="BE35" i="1"/>
  <c r="BF35" i="1"/>
  <c r="BG35" i="1"/>
  <c r="BH35" i="1"/>
  <c r="BI35" i="1"/>
  <c r="BJ35" i="1"/>
  <c r="BK35" i="1"/>
  <c r="BL35" i="1"/>
  <c r="BM35" i="1"/>
  <c r="CY34" i="1"/>
  <c r="CX34" i="1"/>
  <c r="CW34" i="1"/>
  <c r="CV34" i="1"/>
  <c r="CU34" i="1"/>
  <c r="CT34" i="1"/>
  <c r="CS34" i="1"/>
  <c r="CR34" i="1"/>
  <c r="CQ34" i="1"/>
  <c r="CP34" i="1"/>
  <c r="CO34" i="1"/>
  <c r="CN34" i="1"/>
  <c r="CM34" i="1"/>
  <c r="CL34" i="1"/>
  <c r="CK34" i="1"/>
  <c r="CJ34" i="1"/>
  <c r="CI34" i="1"/>
  <c r="CG34" i="1"/>
  <c r="CF34" i="1"/>
  <c r="CE34" i="1"/>
  <c r="CD34" i="1"/>
  <c r="CC34" i="1"/>
  <c r="BX34" i="1"/>
  <c r="BW34" i="1"/>
  <c r="BV34" i="1"/>
  <c r="BU34" i="1"/>
  <c r="BT34" i="1"/>
  <c r="BS34" i="1"/>
  <c r="BR34" i="1"/>
  <c r="BQ34" i="1"/>
  <c r="BP34" i="1"/>
  <c r="BO34" i="1"/>
  <c r="BN34" i="1"/>
  <c r="BY34" i="1"/>
  <c r="BZ34" i="1"/>
  <c r="AP34" i="1"/>
  <c r="AQ34" i="1"/>
  <c r="AR34" i="1"/>
  <c r="AS34" i="1"/>
  <c r="AT34" i="1"/>
  <c r="AU34" i="1"/>
  <c r="AV34" i="1"/>
  <c r="AW34" i="1"/>
  <c r="AX34" i="1"/>
  <c r="AY34" i="1"/>
  <c r="AZ34" i="1"/>
  <c r="BA34" i="1"/>
  <c r="BB34" i="1"/>
  <c r="BC34" i="1"/>
  <c r="BD34" i="1"/>
  <c r="BE34" i="1"/>
  <c r="BF34" i="1"/>
  <c r="BG34" i="1"/>
  <c r="BH34" i="1"/>
  <c r="BI34" i="1"/>
  <c r="BJ34" i="1"/>
  <c r="BK34" i="1"/>
  <c r="BL34" i="1"/>
  <c r="BM34" i="1"/>
  <c r="CA34" i="1"/>
  <c r="CY33" i="1"/>
  <c r="CX33" i="1"/>
  <c r="CW33" i="1"/>
  <c r="CV33" i="1"/>
  <c r="CU33" i="1"/>
  <c r="CT33" i="1"/>
  <c r="CS33" i="1"/>
  <c r="CR33" i="1"/>
  <c r="CQ33" i="1"/>
  <c r="CP33" i="1"/>
  <c r="CO33" i="1"/>
  <c r="CN33" i="1"/>
  <c r="CM33" i="1"/>
  <c r="CL33" i="1"/>
  <c r="CK33" i="1"/>
  <c r="CJ33" i="1"/>
  <c r="CI33" i="1"/>
  <c r="CG33" i="1"/>
  <c r="CF33" i="1"/>
  <c r="CE33" i="1"/>
  <c r="CD33" i="1"/>
  <c r="CC33" i="1"/>
  <c r="BX33" i="1"/>
  <c r="BW33" i="1"/>
  <c r="BV33" i="1"/>
  <c r="BU33" i="1"/>
  <c r="BT33" i="1"/>
  <c r="BS33" i="1"/>
  <c r="BR33" i="1"/>
  <c r="BQ33" i="1"/>
  <c r="BN33" i="1"/>
  <c r="BO33" i="1"/>
  <c r="BP33" i="1"/>
  <c r="BY33" i="1"/>
  <c r="BZ33" i="1"/>
  <c r="AP33" i="1"/>
  <c r="AQ33" i="1"/>
  <c r="AR33" i="1"/>
  <c r="AS33" i="1"/>
  <c r="AT33" i="1"/>
  <c r="AU33" i="1"/>
  <c r="AV33" i="1"/>
  <c r="AW33" i="1"/>
  <c r="AX33" i="1"/>
  <c r="AY33" i="1"/>
  <c r="AZ33" i="1"/>
  <c r="BA33" i="1"/>
  <c r="BB33" i="1"/>
  <c r="BC33" i="1"/>
  <c r="BD33" i="1"/>
  <c r="BE33" i="1"/>
  <c r="BF33" i="1"/>
  <c r="BG33" i="1"/>
  <c r="BH33" i="1"/>
  <c r="BI33" i="1"/>
  <c r="BJ33" i="1"/>
  <c r="BK33" i="1"/>
  <c r="BL33" i="1"/>
  <c r="BM33" i="1"/>
  <c r="CA33" i="1"/>
  <c r="CY32" i="1"/>
  <c r="CX32" i="1"/>
  <c r="CW32" i="1"/>
  <c r="CV32" i="1"/>
  <c r="CU32" i="1"/>
  <c r="CT32" i="1"/>
  <c r="CS32" i="1"/>
  <c r="CR32" i="1"/>
  <c r="CQ32" i="1"/>
  <c r="CP32" i="1"/>
  <c r="CO32" i="1"/>
  <c r="CN32" i="1"/>
  <c r="CM32" i="1"/>
  <c r="CL32" i="1"/>
  <c r="CK32" i="1"/>
  <c r="CJ32" i="1"/>
  <c r="CI32" i="1"/>
  <c r="CG32" i="1"/>
  <c r="CF32" i="1"/>
  <c r="CE32" i="1"/>
  <c r="CD32" i="1"/>
  <c r="CC32" i="1"/>
  <c r="BX32" i="1"/>
  <c r="BW32" i="1"/>
  <c r="BV32" i="1"/>
  <c r="BU32" i="1"/>
  <c r="BT32" i="1"/>
  <c r="BS32" i="1"/>
  <c r="BR32" i="1"/>
  <c r="BQ32" i="1"/>
  <c r="BP32" i="1"/>
  <c r="BN32" i="1"/>
  <c r="BO32" i="1"/>
  <c r="BY32" i="1"/>
  <c r="BZ32" i="1"/>
  <c r="AP32" i="1"/>
  <c r="AQ32" i="1"/>
  <c r="AR32" i="1"/>
  <c r="AS32" i="1"/>
  <c r="AT32" i="1"/>
  <c r="AU32" i="1"/>
  <c r="AV32" i="1"/>
  <c r="AW32" i="1"/>
  <c r="AX32" i="1"/>
  <c r="AY32" i="1"/>
  <c r="AZ32" i="1"/>
  <c r="BA32" i="1"/>
  <c r="BB32" i="1"/>
  <c r="BC32" i="1"/>
  <c r="BD32" i="1"/>
  <c r="BE32" i="1"/>
  <c r="BF32" i="1"/>
  <c r="BG32" i="1"/>
  <c r="BH32" i="1"/>
  <c r="BI32" i="1"/>
  <c r="BJ32" i="1"/>
  <c r="BK32" i="1"/>
  <c r="BL32" i="1"/>
  <c r="BM32" i="1"/>
  <c r="CA32" i="1"/>
  <c r="CY31" i="1"/>
  <c r="CX31" i="1"/>
  <c r="CW31" i="1"/>
  <c r="CV31" i="1"/>
  <c r="CU31" i="1"/>
  <c r="CT31" i="1"/>
  <c r="CS31" i="1"/>
  <c r="CR31" i="1"/>
  <c r="CQ31" i="1"/>
  <c r="CP31" i="1"/>
  <c r="CO31" i="1"/>
  <c r="CN31" i="1"/>
  <c r="CM31" i="1"/>
  <c r="CL31" i="1"/>
  <c r="CK31" i="1"/>
  <c r="CJ31" i="1"/>
  <c r="CI31" i="1"/>
  <c r="CG31" i="1"/>
  <c r="CF31" i="1"/>
  <c r="CE31" i="1"/>
  <c r="CD31" i="1"/>
  <c r="CC31" i="1"/>
  <c r="BN31" i="1"/>
  <c r="BO31" i="1"/>
  <c r="BP31" i="1"/>
  <c r="BQ31" i="1"/>
  <c r="BR31" i="1"/>
  <c r="BS31" i="1"/>
  <c r="BT31" i="1"/>
  <c r="BU31" i="1"/>
  <c r="BV31" i="1"/>
  <c r="BW31" i="1"/>
  <c r="BX31" i="1"/>
  <c r="BY31" i="1"/>
  <c r="BZ31" i="1"/>
  <c r="AP31" i="1"/>
  <c r="AQ31" i="1"/>
  <c r="AR31" i="1"/>
  <c r="AS31" i="1"/>
  <c r="AT31" i="1"/>
  <c r="AU31" i="1"/>
  <c r="AV31" i="1"/>
  <c r="AW31" i="1"/>
  <c r="AX31" i="1"/>
  <c r="AY31" i="1"/>
  <c r="AZ31" i="1"/>
  <c r="BA31" i="1"/>
  <c r="BB31" i="1"/>
  <c r="BC31" i="1"/>
  <c r="BD31" i="1"/>
  <c r="BE31" i="1"/>
  <c r="BF31" i="1"/>
  <c r="BG31" i="1"/>
  <c r="BH31" i="1"/>
  <c r="BI31" i="1"/>
  <c r="BJ31" i="1"/>
  <c r="BK31" i="1"/>
  <c r="BL31" i="1"/>
  <c r="BM31" i="1"/>
  <c r="CA31" i="1"/>
  <c r="CY30" i="1"/>
  <c r="CX30" i="1"/>
  <c r="CW30" i="1"/>
  <c r="CV30" i="1"/>
  <c r="CU30" i="1"/>
  <c r="CT30" i="1"/>
  <c r="CS30" i="1"/>
  <c r="CR30" i="1"/>
  <c r="CQ30" i="1"/>
  <c r="CP30" i="1"/>
  <c r="CO30" i="1"/>
  <c r="CN30" i="1"/>
  <c r="CM30" i="1"/>
  <c r="CL30" i="1"/>
  <c r="CK30" i="1"/>
  <c r="CJ30" i="1"/>
  <c r="CI30" i="1"/>
  <c r="CH30" i="1"/>
  <c r="CG30" i="1"/>
  <c r="CF30" i="1"/>
  <c r="CE30" i="1"/>
  <c r="CC30" i="1"/>
  <c r="CD30" i="1"/>
  <c r="CB30" i="1"/>
  <c r="BX30" i="1"/>
  <c r="BW30" i="1"/>
  <c r="BV30" i="1"/>
  <c r="BU30" i="1"/>
  <c r="BT30" i="1"/>
  <c r="BS30" i="1"/>
  <c r="BR30" i="1"/>
  <c r="BQ30" i="1"/>
  <c r="BN30" i="1"/>
  <c r="BO30" i="1"/>
  <c r="BP30" i="1"/>
  <c r="BY30" i="1"/>
  <c r="BZ30" i="1"/>
  <c r="AP30" i="1"/>
  <c r="AQ30" i="1"/>
  <c r="AR30" i="1"/>
  <c r="AS30" i="1"/>
  <c r="AT30" i="1"/>
  <c r="AU30" i="1"/>
  <c r="AV30" i="1"/>
  <c r="AW30" i="1"/>
  <c r="AX30" i="1"/>
  <c r="AY30" i="1"/>
  <c r="AZ30" i="1"/>
  <c r="BA30" i="1"/>
  <c r="BB30" i="1"/>
  <c r="BC30" i="1"/>
  <c r="BD30" i="1"/>
  <c r="BE30" i="1"/>
  <c r="BF30" i="1"/>
  <c r="BG30" i="1"/>
  <c r="BH30" i="1"/>
  <c r="BI30" i="1"/>
  <c r="BJ30" i="1"/>
  <c r="BK30" i="1"/>
  <c r="BL30" i="1"/>
  <c r="BM30" i="1"/>
  <c r="CA30" i="1"/>
  <c r="CY29" i="1"/>
  <c r="CX29" i="1"/>
  <c r="CW29" i="1"/>
  <c r="CV29" i="1"/>
  <c r="CU29" i="1"/>
  <c r="CT29" i="1"/>
  <c r="CS29" i="1"/>
  <c r="CR29" i="1"/>
  <c r="CQ29" i="1"/>
  <c r="CP29" i="1"/>
  <c r="CO29" i="1"/>
  <c r="CN29" i="1"/>
  <c r="CM29" i="1"/>
  <c r="CL29" i="1"/>
  <c r="CK29" i="1"/>
  <c r="CJ29" i="1"/>
  <c r="CI29" i="1"/>
  <c r="CH29" i="1"/>
  <c r="CG29" i="1"/>
  <c r="CF29" i="1"/>
  <c r="CE29" i="1"/>
  <c r="CD29" i="1"/>
  <c r="CC29" i="1"/>
  <c r="CB29" i="1"/>
  <c r="BX29" i="1"/>
  <c r="BW29" i="1"/>
  <c r="BV29" i="1"/>
  <c r="BU29" i="1"/>
  <c r="BT29" i="1"/>
  <c r="BS29" i="1"/>
  <c r="BR29" i="1"/>
  <c r="BQ29" i="1"/>
  <c r="BN29" i="1"/>
  <c r="BO29" i="1"/>
  <c r="BP29" i="1"/>
  <c r="BY29" i="1"/>
  <c r="BZ29" i="1"/>
  <c r="AP29" i="1"/>
  <c r="AQ29" i="1"/>
  <c r="AR29" i="1"/>
  <c r="AS29" i="1"/>
  <c r="AT29" i="1"/>
  <c r="AU29" i="1"/>
  <c r="AV29" i="1"/>
  <c r="AW29" i="1"/>
  <c r="AX29" i="1"/>
  <c r="AY29" i="1"/>
  <c r="AZ29" i="1"/>
  <c r="BA29" i="1"/>
  <c r="BB29" i="1"/>
  <c r="BC29" i="1"/>
  <c r="BD29" i="1"/>
  <c r="BE29" i="1"/>
  <c r="BF29" i="1"/>
  <c r="BG29" i="1"/>
  <c r="BH29" i="1"/>
  <c r="BI29" i="1"/>
  <c r="BJ29" i="1"/>
  <c r="BK29" i="1"/>
  <c r="BL29" i="1"/>
  <c r="BM29" i="1"/>
  <c r="CA29" i="1"/>
  <c r="CY28" i="1"/>
  <c r="CX28" i="1"/>
  <c r="CW28" i="1"/>
  <c r="CV28" i="1"/>
  <c r="CU28" i="1"/>
  <c r="CT28" i="1"/>
  <c r="CS28" i="1"/>
  <c r="CR28" i="1"/>
  <c r="CQ28" i="1"/>
  <c r="CP28" i="1"/>
  <c r="CO28" i="1"/>
  <c r="CN28" i="1"/>
  <c r="CM28" i="1"/>
  <c r="CL28" i="1"/>
  <c r="CK28" i="1"/>
  <c r="CJ28" i="1"/>
  <c r="CI28" i="1"/>
  <c r="CG28" i="1"/>
  <c r="CF28" i="1"/>
  <c r="CE28" i="1"/>
  <c r="CD28" i="1"/>
  <c r="CC28" i="1"/>
  <c r="D7" i="1"/>
  <c r="CH28" i="1"/>
  <c r="CB28" i="1"/>
  <c r="BX28" i="1"/>
  <c r="BW28" i="1"/>
  <c r="BV28" i="1"/>
  <c r="BU28" i="1"/>
  <c r="BT28" i="1"/>
  <c r="BS28" i="1"/>
  <c r="BR28" i="1"/>
  <c r="BQ28" i="1"/>
  <c r="BP28" i="1"/>
  <c r="BO28" i="1"/>
  <c r="BN28" i="1"/>
  <c r="AP28" i="1"/>
  <c r="AQ28" i="1"/>
  <c r="AR28" i="1"/>
  <c r="AS28" i="1"/>
  <c r="AT28" i="1"/>
  <c r="AU28" i="1"/>
  <c r="AV28" i="1"/>
  <c r="AW28" i="1"/>
  <c r="AX28" i="1"/>
  <c r="AY28" i="1"/>
  <c r="AZ28" i="1"/>
  <c r="BA28" i="1"/>
  <c r="BB28" i="1"/>
  <c r="BC28" i="1"/>
  <c r="BD28" i="1"/>
  <c r="BE28" i="1"/>
  <c r="BF28" i="1"/>
  <c r="BG28" i="1"/>
  <c r="BH28" i="1"/>
  <c r="BI28" i="1"/>
  <c r="BJ28" i="1"/>
  <c r="BK28" i="1"/>
  <c r="BL28" i="1"/>
  <c r="BM28" i="1"/>
  <c r="CY27" i="1"/>
  <c r="CX27" i="1"/>
  <c r="CW27" i="1"/>
  <c r="CV27" i="1"/>
  <c r="CU27" i="1"/>
  <c r="CT27" i="1"/>
  <c r="CS27" i="1"/>
  <c r="CR27" i="1"/>
  <c r="CQ27" i="1"/>
  <c r="CP27" i="1"/>
  <c r="CO27" i="1"/>
  <c r="CN27" i="1"/>
  <c r="CM27" i="1"/>
  <c r="CL27" i="1"/>
  <c r="CK27" i="1"/>
  <c r="CJ27" i="1"/>
  <c r="CI27" i="1"/>
  <c r="CH27" i="1"/>
  <c r="CG27" i="1"/>
  <c r="CF27" i="1"/>
  <c r="CE27" i="1"/>
  <c r="CD27" i="1"/>
  <c r="CC27" i="1"/>
  <c r="CB27" i="1"/>
  <c r="BX27" i="1"/>
  <c r="BW27" i="1"/>
  <c r="BV27" i="1"/>
  <c r="BU27" i="1"/>
  <c r="BT27" i="1"/>
  <c r="BS27" i="1"/>
  <c r="BR27" i="1"/>
  <c r="BQ27" i="1"/>
  <c r="BN27" i="1"/>
  <c r="BO27" i="1"/>
  <c r="BP27" i="1"/>
  <c r="BY27" i="1"/>
  <c r="BZ27" i="1"/>
  <c r="AP27" i="1"/>
  <c r="AQ27" i="1"/>
  <c r="AR27" i="1"/>
  <c r="AS27" i="1"/>
  <c r="AT27" i="1"/>
  <c r="AU27" i="1"/>
  <c r="AV27" i="1"/>
  <c r="AW27" i="1"/>
  <c r="AX27" i="1"/>
  <c r="AY27" i="1"/>
  <c r="AZ27" i="1"/>
  <c r="BA27" i="1"/>
  <c r="BB27" i="1"/>
  <c r="BC27" i="1"/>
  <c r="BD27" i="1"/>
  <c r="BE27" i="1"/>
  <c r="BF27" i="1"/>
  <c r="BG27" i="1"/>
  <c r="BH27" i="1"/>
  <c r="BI27" i="1"/>
  <c r="BJ27" i="1"/>
  <c r="BK27" i="1"/>
  <c r="BL27" i="1"/>
  <c r="BM27" i="1"/>
  <c r="CA27" i="1"/>
  <c r="CY26" i="1"/>
  <c r="CX26" i="1"/>
  <c r="CW26" i="1"/>
  <c r="CV26" i="1"/>
  <c r="CU26" i="1"/>
  <c r="CT26" i="1"/>
  <c r="CS26" i="1"/>
  <c r="CR26" i="1"/>
  <c r="CQ26" i="1"/>
  <c r="CP26" i="1"/>
  <c r="CO26" i="1"/>
  <c r="CN26" i="1"/>
  <c r="CM26" i="1"/>
  <c r="CL26" i="1"/>
  <c r="CK26" i="1"/>
  <c r="CJ26" i="1"/>
  <c r="CI26" i="1"/>
  <c r="CG26" i="1"/>
  <c r="CF26" i="1"/>
  <c r="CE26" i="1"/>
  <c r="CD26" i="1"/>
  <c r="CC26" i="1"/>
  <c r="BX26" i="1"/>
  <c r="BW26" i="1"/>
  <c r="BV26" i="1"/>
  <c r="BU26" i="1"/>
  <c r="BT26" i="1"/>
  <c r="BS26" i="1"/>
  <c r="BR26" i="1"/>
  <c r="BQ26" i="1"/>
  <c r="BP26" i="1"/>
  <c r="BO26" i="1"/>
  <c r="BN26" i="1"/>
  <c r="AP26" i="1"/>
  <c r="AQ26" i="1"/>
  <c r="AR26" i="1"/>
  <c r="AS26" i="1"/>
  <c r="AT26" i="1"/>
  <c r="AU26" i="1"/>
  <c r="AV26" i="1"/>
  <c r="AW26" i="1"/>
  <c r="AX26" i="1"/>
  <c r="AY26" i="1"/>
  <c r="AZ26" i="1"/>
  <c r="BA26" i="1"/>
  <c r="BB26" i="1"/>
  <c r="BC26" i="1"/>
  <c r="BD26" i="1"/>
  <c r="BE26" i="1"/>
  <c r="BF26" i="1"/>
  <c r="BG26" i="1"/>
  <c r="BH26" i="1"/>
  <c r="BI26" i="1"/>
  <c r="BJ26" i="1"/>
  <c r="BK26" i="1"/>
  <c r="BL26" i="1"/>
  <c r="BM26" i="1"/>
  <c r="CY25" i="1"/>
  <c r="CX25" i="1"/>
  <c r="CW25" i="1"/>
  <c r="CV25" i="1"/>
  <c r="CU25" i="1"/>
  <c r="CT25" i="1"/>
  <c r="CS25" i="1"/>
  <c r="CR25" i="1"/>
  <c r="CQ25" i="1"/>
  <c r="CP25" i="1"/>
  <c r="CO25" i="1"/>
  <c r="CN25" i="1"/>
  <c r="CM25" i="1"/>
  <c r="CL25" i="1"/>
  <c r="CK25" i="1"/>
  <c r="CJ25" i="1"/>
  <c r="CI25" i="1"/>
  <c r="CG25" i="1"/>
  <c r="CF25" i="1"/>
  <c r="CE25" i="1"/>
  <c r="CD25" i="1"/>
  <c r="CC25" i="1"/>
  <c r="BX25" i="1"/>
  <c r="BW25" i="1"/>
  <c r="BV25" i="1"/>
  <c r="BU25" i="1"/>
  <c r="BT25" i="1"/>
  <c r="BS25" i="1"/>
  <c r="BR25" i="1"/>
  <c r="BN25" i="1"/>
  <c r="BO25" i="1"/>
  <c r="BP25" i="1"/>
  <c r="BQ25" i="1"/>
  <c r="BY25" i="1"/>
  <c r="BZ25" i="1"/>
  <c r="AP25" i="1"/>
  <c r="AQ25" i="1"/>
  <c r="AR25" i="1"/>
  <c r="AS25" i="1"/>
  <c r="AT25" i="1"/>
  <c r="AU25" i="1"/>
  <c r="AV25" i="1"/>
  <c r="AW25" i="1"/>
  <c r="AX25" i="1"/>
  <c r="AY25" i="1"/>
  <c r="AZ25" i="1"/>
  <c r="BA25" i="1"/>
  <c r="BB25" i="1"/>
  <c r="BC25" i="1"/>
  <c r="BD25" i="1"/>
  <c r="BE25" i="1"/>
  <c r="BF25" i="1"/>
  <c r="BG25" i="1"/>
  <c r="BH25" i="1"/>
  <c r="BI25" i="1"/>
  <c r="BJ25" i="1"/>
  <c r="BK25" i="1"/>
  <c r="BL25" i="1"/>
  <c r="BM25" i="1"/>
  <c r="CA25" i="1"/>
  <c r="AM25" i="1"/>
  <c r="CY24" i="1"/>
  <c r="CX24" i="1"/>
  <c r="CW24" i="1"/>
  <c r="CV24" i="1"/>
  <c r="CU24" i="1"/>
  <c r="CT24" i="1"/>
  <c r="CS24" i="1"/>
  <c r="CR24" i="1"/>
  <c r="CQ24" i="1"/>
  <c r="CP24" i="1"/>
  <c r="CO24" i="1"/>
  <c r="CN24" i="1"/>
  <c r="CM24" i="1"/>
  <c r="CL24" i="1"/>
  <c r="CK24" i="1"/>
  <c r="CJ24" i="1"/>
  <c r="CI24" i="1"/>
  <c r="CH24" i="1"/>
  <c r="CG24" i="1"/>
  <c r="CF24" i="1"/>
  <c r="CE24" i="1"/>
  <c r="CD24" i="1"/>
  <c r="CC24" i="1"/>
  <c r="BX24" i="1"/>
  <c r="BW24" i="1"/>
  <c r="BV24" i="1"/>
  <c r="BU24" i="1"/>
  <c r="BT24" i="1"/>
  <c r="BS24" i="1"/>
  <c r="BR24" i="1"/>
  <c r="BQ24" i="1"/>
  <c r="BP24" i="1"/>
  <c r="BN24" i="1"/>
  <c r="BO24" i="1"/>
  <c r="AP24" i="1"/>
  <c r="AQ24" i="1"/>
  <c r="AR24" i="1"/>
  <c r="AS24" i="1"/>
  <c r="AT24" i="1"/>
  <c r="AU24" i="1"/>
  <c r="AV24" i="1"/>
  <c r="AW24" i="1"/>
  <c r="AX24" i="1"/>
  <c r="AY24" i="1"/>
  <c r="AZ24" i="1"/>
  <c r="BA24" i="1"/>
  <c r="BB24" i="1"/>
  <c r="BC24" i="1"/>
  <c r="BD24" i="1"/>
  <c r="BE24" i="1"/>
  <c r="BF24" i="1"/>
  <c r="BG24" i="1"/>
  <c r="BH24" i="1"/>
  <c r="BI24" i="1"/>
  <c r="BJ24" i="1"/>
  <c r="BK24" i="1"/>
  <c r="BL24" i="1"/>
  <c r="BM24" i="1"/>
  <c r="CY23" i="1"/>
  <c r="CX23" i="1"/>
  <c r="CW23" i="1"/>
  <c r="CV23" i="1"/>
  <c r="CU23" i="1"/>
  <c r="CT23" i="1"/>
  <c r="CS23" i="1"/>
  <c r="CR23" i="1"/>
  <c r="CQ23" i="1"/>
  <c r="CP23" i="1"/>
  <c r="CO23" i="1"/>
  <c r="CN23" i="1"/>
  <c r="CM23" i="1"/>
  <c r="CL23" i="1"/>
  <c r="CK23" i="1"/>
  <c r="CJ23" i="1"/>
  <c r="CC23" i="1"/>
  <c r="CD23" i="1"/>
  <c r="CE23" i="1"/>
  <c r="CF23" i="1"/>
  <c r="CG23" i="1"/>
  <c r="CH23" i="1"/>
  <c r="CI23" i="1"/>
  <c r="CB23" i="1"/>
  <c r="BX23" i="1"/>
  <c r="BW23" i="1"/>
  <c r="BV23" i="1"/>
  <c r="BU23" i="1"/>
  <c r="BT23" i="1"/>
  <c r="BS23" i="1"/>
  <c r="BR23" i="1"/>
  <c r="BQ23" i="1"/>
  <c r="BP23" i="1"/>
  <c r="BN23" i="1"/>
  <c r="BO23" i="1"/>
  <c r="BY23" i="1"/>
  <c r="BZ23" i="1"/>
  <c r="AP23" i="1"/>
  <c r="AQ23" i="1"/>
  <c r="AR23" i="1"/>
  <c r="AS23" i="1"/>
  <c r="AT23" i="1"/>
  <c r="AU23" i="1"/>
  <c r="AV23" i="1"/>
  <c r="AW23" i="1"/>
  <c r="AX23" i="1"/>
  <c r="AY23" i="1"/>
  <c r="AZ23" i="1"/>
  <c r="BA23" i="1"/>
  <c r="BB23" i="1"/>
  <c r="BC23" i="1"/>
  <c r="BD23" i="1"/>
  <c r="BE23" i="1"/>
  <c r="BF23" i="1"/>
  <c r="BG23" i="1"/>
  <c r="BH23" i="1"/>
  <c r="BI23" i="1"/>
  <c r="BJ23" i="1"/>
  <c r="BK23" i="1"/>
  <c r="BL23" i="1"/>
  <c r="BM23" i="1"/>
  <c r="CA23" i="1"/>
  <c r="CY22" i="1"/>
  <c r="CX22" i="1"/>
  <c r="CW22" i="1"/>
  <c r="CV22" i="1"/>
  <c r="CU22" i="1"/>
  <c r="CT22" i="1"/>
  <c r="CS22" i="1"/>
  <c r="CR22" i="1"/>
  <c r="CQ22" i="1"/>
  <c r="CP22" i="1"/>
  <c r="CO22" i="1"/>
  <c r="CN22" i="1"/>
  <c r="CM22" i="1"/>
  <c r="CL22" i="1"/>
  <c r="CK22" i="1"/>
  <c r="CJ22" i="1"/>
  <c r="CI22" i="1"/>
  <c r="CH22" i="1"/>
  <c r="CC22" i="1"/>
  <c r="CD22" i="1"/>
  <c r="CE22" i="1"/>
  <c r="CF22" i="1"/>
  <c r="CG22" i="1"/>
  <c r="BX22" i="1"/>
  <c r="BW22" i="1"/>
  <c r="BV22" i="1"/>
  <c r="BU22" i="1"/>
  <c r="BT22" i="1"/>
  <c r="BS22" i="1"/>
  <c r="BR22" i="1"/>
  <c r="BQ22" i="1"/>
  <c r="BP22" i="1"/>
  <c r="BN22" i="1"/>
  <c r="BO22" i="1"/>
  <c r="AP22" i="1"/>
  <c r="AQ22" i="1"/>
  <c r="AR22" i="1"/>
  <c r="AS22" i="1"/>
  <c r="AT22" i="1"/>
  <c r="AU22" i="1"/>
  <c r="AV22" i="1"/>
  <c r="AW22" i="1"/>
  <c r="AX22" i="1"/>
  <c r="AY22" i="1"/>
  <c r="AZ22" i="1"/>
  <c r="BA22" i="1"/>
  <c r="BB22" i="1"/>
  <c r="BC22" i="1"/>
  <c r="BD22" i="1"/>
  <c r="BE22" i="1"/>
  <c r="BF22" i="1"/>
  <c r="BG22" i="1"/>
  <c r="BH22" i="1"/>
  <c r="BI22" i="1"/>
  <c r="BJ22" i="1"/>
  <c r="BK22" i="1"/>
  <c r="BL22" i="1"/>
  <c r="BM22" i="1"/>
  <c r="AD20" i="1"/>
  <c r="AC20" i="1"/>
  <c r="AB20" i="1"/>
  <c r="Z20" i="1"/>
  <c r="E20" i="1"/>
  <c r="D20" i="1"/>
  <c r="AD19" i="1"/>
  <c r="AC19" i="1"/>
  <c r="AB19" i="1"/>
  <c r="Z19" i="1"/>
  <c r="I19" i="1"/>
  <c r="F19" i="1"/>
  <c r="E19" i="1"/>
  <c r="D19" i="1"/>
  <c r="AD17" i="1"/>
  <c r="AC17" i="1"/>
  <c r="AB17" i="1"/>
  <c r="Z17" i="1"/>
  <c r="I17" i="1"/>
  <c r="F17" i="1"/>
  <c r="E17" i="1"/>
  <c r="D17" i="1"/>
  <c r="AI7" i="1"/>
  <c r="AI13" i="1"/>
  <c r="AI5" i="1"/>
  <c r="AI14" i="1"/>
  <c r="AE7" i="1"/>
  <c r="AE13" i="1"/>
  <c r="AE5" i="1"/>
  <c r="AE14" i="1"/>
  <c r="AA7" i="1"/>
  <c r="AA13" i="1"/>
  <c r="AA5" i="1"/>
  <c r="AA14" i="1"/>
  <c r="W7" i="1"/>
  <c r="W13" i="1"/>
  <c r="W5" i="1"/>
  <c r="W14" i="1"/>
  <c r="S7" i="1"/>
  <c r="S13" i="1"/>
  <c r="S5" i="1"/>
  <c r="S14" i="1"/>
  <c r="O7" i="1"/>
  <c r="O13" i="1"/>
  <c r="O5" i="1"/>
  <c r="O14" i="1"/>
  <c r="K7" i="1"/>
  <c r="K13" i="1"/>
  <c r="K5" i="1"/>
  <c r="K14" i="1"/>
  <c r="G7" i="1"/>
  <c r="G13" i="1"/>
  <c r="G5" i="1"/>
  <c r="G14" i="1"/>
  <c r="C13" i="1"/>
  <c r="C5" i="1"/>
  <c r="AK10" i="1"/>
  <c r="AJ10" i="1"/>
  <c r="AI10" i="1"/>
  <c r="AH10" i="1"/>
  <c r="AG10" i="1"/>
  <c r="AF10" i="1"/>
  <c r="AE10" i="1"/>
  <c r="AD10" i="1"/>
  <c r="AC10" i="1"/>
  <c r="AB10" i="1"/>
  <c r="AA10" i="1"/>
  <c r="Z10" i="1"/>
  <c r="Y10" i="1"/>
  <c r="X10" i="1"/>
  <c r="W10" i="1"/>
  <c r="V10" i="1"/>
  <c r="U10" i="1"/>
  <c r="T10" i="1"/>
  <c r="S10" i="1"/>
  <c r="R10" i="1"/>
  <c r="Q10" i="1"/>
  <c r="P10" i="1"/>
  <c r="O10" i="1"/>
  <c r="N10" i="1"/>
  <c r="M10" i="1"/>
  <c r="L10" i="1"/>
  <c r="K10" i="1"/>
  <c r="J10" i="1"/>
  <c r="I10" i="1"/>
  <c r="H10" i="1"/>
  <c r="G10" i="1"/>
  <c r="F10" i="1"/>
  <c r="E10" i="1"/>
  <c r="D10" i="1"/>
  <c r="CH31" i="1"/>
  <c r="CB9" i="1"/>
  <c r="CA9" i="1"/>
  <c r="AE9" i="1"/>
  <c r="Y9" i="1"/>
  <c r="Q9" i="1"/>
  <c r="P9" i="1"/>
  <c r="O9" i="1"/>
  <c r="M9" i="1"/>
  <c r="L9" i="1"/>
  <c r="K9" i="1"/>
  <c r="H9" i="1"/>
  <c r="G9" i="1"/>
  <c r="C9" i="1"/>
  <c r="AM8" i="1"/>
  <c r="AL7" i="1"/>
  <c r="AK7" i="1"/>
  <c r="AK13" i="1"/>
  <c r="AK5" i="1"/>
  <c r="AJ7" i="1"/>
  <c r="AJ13" i="1"/>
  <c r="AJ5" i="1"/>
  <c r="AH7" i="1"/>
  <c r="AH13" i="1"/>
  <c r="AH5" i="1"/>
  <c r="AG7" i="1"/>
  <c r="AG13" i="1"/>
  <c r="AG5" i="1"/>
  <c r="AG14" i="1"/>
  <c r="AF7" i="1"/>
  <c r="AF13" i="1"/>
  <c r="AF5" i="1"/>
  <c r="AD7" i="1"/>
  <c r="AD13" i="1"/>
  <c r="AD5" i="1"/>
  <c r="AC7" i="1"/>
  <c r="AC13" i="1"/>
  <c r="AC5" i="1"/>
  <c r="AC14" i="1"/>
  <c r="AB7" i="1"/>
  <c r="AB13" i="1"/>
  <c r="AB5" i="1"/>
  <c r="AB14" i="1"/>
  <c r="Z7" i="1"/>
  <c r="Z13" i="1"/>
  <c r="Z5" i="1"/>
  <c r="Y7" i="1"/>
  <c r="Y13" i="1"/>
  <c r="Y5" i="1"/>
  <c r="Y14" i="1"/>
  <c r="X7" i="1"/>
  <c r="X13" i="1"/>
  <c r="X5" i="1"/>
  <c r="X14" i="1"/>
  <c r="V7" i="1"/>
  <c r="V13" i="1"/>
  <c r="V5" i="1"/>
  <c r="U7" i="1"/>
  <c r="U13" i="1"/>
  <c r="U5" i="1"/>
  <c r="T7" i="1"/>
  <c r="T13" i="1"/>
  <c r="T5" i="1"/>
  <c r="T14" i="1"/>
  <c r="R7" i="1"/>
  <c r="R13" i="1"/>
  <c r="R5" i="1"/>
  <c r="R14" i="1"/>
  <c r="Q7" i="1"/>
  <c r="Q13" i="1"/>
  <c r="Q5" i="1"/>
  <c r="Q14" i="1"/>
  <c r="P7" i="1"/>
  <c r="P13" i="1"/>
  <c r="P5" i="1"/>
  <c r="N7" i="1"/>
  <c r="N13" i="1"/>
  <c r="N5" i="1"/>
  <c r="N14" i="1"/>
  <c r="M7" i="1"/>
  <c r="M13" i="1"/>
  <c r="M5" i="1"/>
  <c r="L7" i="1"/>
  <c r="L13" i="1"/>
  <c r="L5" i="1"/>
  <c r="J7" i="1"/>
  <c r="J13" i="1"/>
  <c r="J5" i="1"/>
  <c r="J14" i="1"/>
  <c r="I7" i="1"/>
  <c r="I13" i="1"/>
  <c r="I5" i="1"/>
  <c r="I14" i="1"/>
  <c r="H7" i="1"/>
  <c r="H13" i="1"/>
  <c r="H5" i="1"/>
  <c r="F7" i="1"/>
  <c r="F13" i="1"/>
  <c r="F5" i="1"/>
  <c r="F14" i="1"/>
  <c r="E7" i="1"/>
  <c r="E13" i="1"/>
  <c r="E5" i="1"/>
  <c r="E14" i="1"/>
  <c r="D5" i="1"/>
  <c r="B5" i="1"/>
  <c r="C4" i="1"/>
  <c r="AD1" i="1"/>
  <c r="AB1" i="1"/>
  <c r="A1" i="1"/>
  <c r="CB127" i="1"/>
  <c r="D13" i="1"/>
  <c r="CH34" i="1"/>
  <c r="CB34" i="1"/>
  <c r="BZ77" i="1"/>
  <c r="CA77" i="1"/>
  <c r="CB128" i="1"/>
  <c r="BZ138" i="1"/>
  <c r="CA138" i="1"/>
  <c r="CB116" i="1"/>
  <c r="BZ129" i="1"/>
  <c r="CA129" i="1"/>
  <c r="CB156" i="1"/>
  <c r="CB176" i="1"/>
  <c r="BY194" i="1"/>
  <c r="BZ194" i="1"/>
  <c r="CA194" i="1"/>
  <c r="BZ198" i="1"/>
  <c r="CA198" i="1"/>
  <c r="BZ199" i="1"/>
  <c r="BY200" i="1"/>
  <c r="BZ200" i="1"/>
  <c r="CA200" i="1"/>
  <c r="BY202" i="1"/>
  <c r="BZ202" i="1"/>
  <c r="CA202" i="1"/>
  <c r="BZ209" i="1"/>
  <c r="CA209" i="1"/>
  <c r="BY144" i="1"/>
  <c r="BZ144" i="1"/>
  <c r="CA144" i="1"/>
  <c r="BY206" i="1"/>
  <c r="BZ206" i="1"/>
  <c r="CA206" i="1"/>
  <c r="BY236" i="1"/>
  <c r="BZ236" i="1"/>
  <c r="CA236" i="1"/>
  <c r="CB263" i="1"/>
  <c r="CB267" i="1"/>
  <c r="BY230" i="1"/>
  <c r="BZ230" i="1"/>
  <c r="CA230" i="1"/>
  <c r="CB258" i="1"/>
  <c r="CB203" i="1"/>
  <c r="BY208" i="1"/>
  <c r="BZ208" i="1"/>
  <c r="CA208" i="1"/>
  <c r="CB219" i="1"/>
  <c r="CB241" i="1"/>
  <c r="BY274" i="1"/>
  <c r="BZ274" i="1"/>
  <c r="CA274" i="1"/>
  <c r="W10" i="3"/>
  <c r="S10" i="3"/>
  <c r="H15" i="3"/>
  <c r="H10" i="3"/>
  <c r="P15" i="3"/>
  <c r="P10" i="3"/>
  <c r="AN94" i="3"/>
  <c r="D17" i="3"/>
  <c r="D15" i="3"/>
  <c r="D10" i="3"/>
  <c r="T17" i="3"/>
  <c r="T15" i="3"/>
  <c r="T10" i="3"/>
  <c r="AB17" i="3"/>
  <c r="AB15" i="3"/>
  <c r="AB10" i="3"/>
  <c r="AJ17" i="3"/>
  <c r="L15" i="3"/>
  <c r="L10" i="3"/>
  <c r="AF15" i="3"/>
  <c r="AF10" i="3"/>
  <c r="O10" i="3"/>
  <c r="AE10" i="3"/>
  <c r="AN96" i="3"/>
  <c r="F15" i="3"/>
  <c r="F10" i="3"/>
  <c r="N15" i="3"/>
  <c r="N10" i="3"/>
  <c r="R15" i="3"/>
  <c r="R10" i="3"/>
  <c r="V15" i="3"/>
  <c r="V10" i="3"/>
  <c r="AD15" i="3"/>
  <c r="AD10" i="3"/>
  <c r="AH15" i="3"/>
  <c r="AH10" i="3"/>
  <c r="AN72" i="3"/>
  <c r="AN74" i="3"/>
  <c r="AN99" i="3"/>
  <c r="AN107" i="3"/>
  <c r="AN120" i="3"/>
  <c r="AN126" i="3"/>
  <c r="AN142" i="3"/>
  <c r="AN155" i="3"/>
  <c r="AN170" i="3"/>
  <c r="AN184" i="3"/>
  <c r="AN210" i="3"/>
  <c r="AN51" i="3"/>
  <c r="AN73" i="3"/>
  <c r="AN100" i="3"/>
  <c r="AN140" i="3"/>
  <c r="AN172" i="3"/>
  <c r="AN180" i="3"/>
  <c r="AN208" i="3"/>
  <c r="AN47" i="3"/>
  <c r="AN97" i="3"/>
  <c r="AN101" i="3"/>
  <c r="AN132" i="3"/>
  <c r="AN156" i="3"/>
  <c r="AN173" i="3"/>
  <c r="AN201" i="3"/>
  <c r="AN202" i="3"/>
  <c r="BY159" i="1"/>
  <c r="BZ159" i="1"/>
  <c r="CA159" i="1"/>
  <c r="CB199" i="1"/>
  <c r="CB121" i="1"/>
  <c r="CA201" i="1"/>
  <c r="BY80" i="1"/>
  <c r="BZ80" i="1"/>
  <c r="CA80" i="1"/>
  <c r="BZ103" i="1"/>
  <c r="CA103" i="1"/>
  <c r="CB171" i="1"/>
  <c r="CB208" i="1"/>
  <c r="CB114" i="1"/>
  <c r="CB139" i="1"/>
  <c r="CB155" i="1"/>
  <c r="BZ228" i="1"/>
  <c r="CA228" i="1"/>
  <c r="CB239" i="1"/>
  <c r="CB45" i="1"/>
  <c r="CB205" i="1"/>
  <c r="CB225" i="1"/>
  <c r="BY267" i="1"/>
  <c r="BZ267" i="1"/>
  <c r="CA267" i="1"/>
  <c r="BY256" i="1"/>
  <c r="BZ256" i="1"/>
  <c r="CA256" i="1"/>
  <c r="CB265" i="1"/>
  <c r="CB228" i="1"/>
  <c r="BY292" i="1"/>
  <c r="BZ292" i="1"/>
  <c r="CA292" i="1"/>
  <c r="BY313" i="1"/>
  <c r="BZ313" i="1"/>
  <c r="CA313" i="1"/>
  <c r="CB323" i="1"/>
  <c r="BY326" i="1"/>
  <c r="BZ326" i="1"/>
  <c r="CA326" i="1"/>
  <c r="BY347" i="1"/>
  <c r="BZ347" i="1"/>
  <c r="CA347" i="1"/>
  <c r="CB256" i="1"/>
  <c r="BY260" i="1"/>
  <c r="BZ260" i="1"/>
  <c r="CA260" i="1"/>
  <c r="BY272" i="1"/>
  <c r="BZ272" i="1"/>
  <c r="CA272" i="1"/>
  <c r="BZ287" i="1"/>
  <c r="CA287" i="1"/>
  <c r="CB338" i="1"/>
  <c r="BY306" i="1"/>
  <c r="BZ306" i="1"/>
  <c r="CB313" i="1"/>
  <c r="CB327" i="1"/>
  <c r="BY338" i="1"/>
  <c r="BZ338" i="1"/>
  <c r="CA338" i="1"/>
  <c r="BY70" i="1"/>
  <c r="BZ70" i="1"/>
  <c r="CA70" i="1"/>
  <c r="BY28" i="1"/>
  <c r="BZ28" i="1"/>
  <c r="CA28" i="1"/>
  <c r="BY36" i="1"/>
  <c r="BZ36" i="1"/>
  <c r="CA36" i="1"/>
  <c r="BY46" i="1"/>
  <c r="BZ46" i="1"/>
  <c r="CA46" i="1"/>
  <c r="CB51" i="1"/>
  <c r="BY76" i="1"/>
  <c r="BZ76" i="1"/>
  <c r="CA76" i="1"/>
  <c r="CB83" i="1"/>
  <c r="BY84" i="1"/>
  <c r="BZ84" i="1"/>
  <c r="CA84" i="1"/>
  <c r="CB94" i="1"/>
  <c r="CA131" i="1"/>
  <c r="C14" i="1"/>
  <c r="BY51" i="1"/>
  <c r="BZ51" i="1"/>
  <c r="CA51" i="1"/>
  <c r="CA81" i="1"/>
  <c r="CB78" i="1"/>
  <c r="BY123" i="1"/>
  <c r="BZ123" i="1"/>
  <c r="CA123" i="1"/>
  <c r="BZ128" i="1"/>
  <c r="CA128" i="1"/>
  <c r="BY164" i="1"/>
  <c r="BZ164" i="1"/>
  <c r="CA164" i="1"/>
  <c r="BY104" i="1"/>
  <c r="BZ104" i="1"/>
  <c r="CA104" i="1"/>
  <c r="BY141" i="1"/>
  <c r="BZ141" i="1"/>
  <c r="CA141" i="1"/>
  <c r="BY82" i="1"/>
  <c r="BZ82" i="1"/>
  <c r="CA82" i="1"/>
  <c r="CB100" i="1"/>
  <c r="BY106" i="1"/>
  <c r="BZ106" i="1"/>
  <c r="CA106" i="1"/>
  <c r="BY112" i="1"/>
  <c r="BZ112" i="1"/>
  <c r="CA112" i="1"/>
  <c r="BY121" i="1"/>
  <c r="BZ121" i="1"/>
  <c r="CA121" i="1"/>
  <c r="BZ122" i="1"/>
  <c r="CA122" i="1"/>
  <c r="CB151" i="1"/>
  <c r="BY153" i="1"/>
  <c r="BZ153" i="1"/>
  <c r="CA153" i="1"/>
  <c r="BY226" i="1"/>
  <c r="BZ226" i="1"/>
  <c r="CA226" i="1"/>
  <c r="BY289" i="1"/>
  <c r="BZ289" i="1"/>
  <c r="CA289" i="1"/>
  <c r="CB119" i="1"/>
  <c r="CB140" i="1"/>
  <c r="CB174" i="1"/>
  <c r="CB195" i="1"/>
  <c r="BY204" i="1"/>
  <c r="BZ204" i="1"/>
  <c r="CA204" i="1"/>
  <c r="BY216" i="1"/>
  <c r="BZ216" i="1"/>
  <c r="CA216" i="1"/>
  <c r="CB226" i="1"/>
  <c r="CA269" i="1"/>
  <c r="Q10" i="3"/>
  <c r="BY119" i="1"/>
  <c r="BZ119" i="1"/>
  <c r="CA119" i="1"/>
  <c r="CB142" i="1"/>
  <c r="CB158" i="1"/>
  <c r="BZ183" i="1"/>
  <c r="CA183" i="1"/>
  <c r="BY195" i="1"/>
  <c r="BZ195" i="1"/>
  <c r="CA195" i="1"/>
  <c r="CB207" i="1"/>
  <c r="CB209" i="1"/>
  <c r="BY211" i="1"/>
  <c r="BZ211" i="1"/>
  <c r="CA211" i="1"/>
  <c r="BY238" i="1"/>
  <c r="BZ238" i="1"/>
  <c r="CA238" i="1"/>
  <c r="CB242" i="1"/>
  <c r="BY351" i="1"/>
  <c r="BZ351" i="1"/>
  <c r="CA351" i="1"/>
  <c r="AA10" i="3"/>
  <c r="CB262" i="1"/>
  <c r="BZ270" i="1"/>
  <c r="CA270" i="1"/>
  <c r="BY290" i="1"/>
  <c r="BZ290" i="1"/>
  <c r="CA290" i="1"/>
  <c r="BY291" i="1"/>
  <c r="BZ291" i="1"/>
  <c r="CA291" i="1"/>
  <c r="CB292" i="1"/>
  <c r="CB312" i="1"/>
  <c r="BY314" i="1"/>
  <c r="BZ314" i="1"/>
  <c r="CA314" i="1"/>
  <c r="CB317" i="1"/>
  <c r="BY322" i="1"/>
  <c r="BZ322" i="1"/>
  <c r="CA322" i="1"/>
  <c r="CA330" i="1"/>
  <c r="CB334" i="1"/>
  <c r="CB342" i="1"/>
  <c r="CB347" i="1"/>
  <c r="AI10" i="3"/>
  <c r="AN70" i="3"/>
  <c r="BY271" i="1"/>
  <c r="BZ271" i="1"/>
  <c r="CA271" i="1"/>
  <c r="BY276" i="1"/>
  <c r="BZ276" i="1"/>
  <c r="CA276" i="1"/>
  <c r="BY280" i="1"/>
  <c r="BZ280" i="1"/>
  <c r="CA280" i="1"/>
  <c r="BY282" i="1"/>
  <c r="BZ282" i="1"/>
  <c r="CA282" i="1"/>
  <c r="CB291" i="1"/>
  <c r="BY300" i="1"/>
  <c r="BZ300" i="1"/>
  <c r="CA300" i="1"/>
  <c r="CB341" i="1"/>
  <c r="CB346" i="1"/>
  <c r="CB352" i="1"/>
  <c r="C10" i="3"/>
  <c r="AN69" i="3"/>
  <c r="BY262" i="1"/>
  <c r="BZ262" i="1"/>
  <c r="CA262" i="1"/>
  <c r="CB271" i="1"/>
  <c r="CA353" i="1"/>
  <c r="G10" i="3"/>
  <c r="AC17" i="3"/>
  <c r="AN131" i="3"/>
  <c r="AN157" i="3"/>
  <c r="AN148" i="3"/>
  <c r="AN103" i="3"/>
  <c r="AN171" i="3"/>
  <c r="AN176" i="3"/>
  <c r="AN185" i="3"/>
  <c r="AN189" i="3"/>
  <c r="AN195" i="3"/>
  <c r="AN203" i="3"/>
  <c r="AN212" i="3"/>
  <c r="AN267" i="3"/>
  <c r="AN271" i="3"/>
  <c r="AN275" i="3"/>
  <c r="AN279" i="3"/>
  <c r="AN283" i="3"/>
  <c r="AN287" i="3"/>
  <c r="AN291" i="3"/>
  <c r="AN299" i="3"/>
  <c r="AN303" i="3"/>
  <c r="AN307" i="3"/>
  <c r="AN311" i="3"/>
  <c r="AN315" i="3"/>
  <c r="AN319" i="3"/>
  <c r="AN266" i="3"/>
  <c r="AN270" i="3"/>
  <c r="AN274" i="3"/>
  <c r="AN278" i="3"/>
  <c r="AN282" i="3"/>
  <c r="AN286" i="3"/>
  <c r="AN290" i="3"/>
  <c r="AN294" i="3"/>
  <c r="AN302" i="3"/>
  <c r="AN306" i="3"/>
  <c r="AN310" i="3"/>
  <c r="AN314" i="3"/>
  <c r="AN318" i="3"/>
  <c r="AN264" i="3"/>
  <c r="AN268" i="3"/>
  <c r="AN272" i="3"/>
  <c r="AN276" i="3"/>
  <c r="AN280" i="3"/>
  <c r="AN284" i="3"/>
  <c r="AN288" i="3"/>
  <c r="AN292" i="3"/>
  <c r="AN296" i="3"/>
  <c r="AN304" i="3"/>
  <c r="AN308" i="3"/>
  <c r="AN312" i="3"/>
  <c r="AN316" i="3"/>
  <c r="CB137" i="1"/>
  <c r="CA137" i="1"/>
  <c r="BY69" i="1"/>
  <c r="BZ69" i="1"/>
  <c r="CA69" i="1"/>
  <c r="CB22" i="1"/>
  <c r="BY59" i="1"/>
  <c r="BZ59" i="1"/>
  <c r="CA59" i="1"/>
  <c r="CB77" i="1"/>
  <c r="CB81" i="1"/>
  <c r="BY92" i="1"/>
  <c r="BZ92" i="1"/>
  <c r="CA92" i="1"/>
  <c r="BY100" i="1"/>
  <c r="BZ100" i="1"/>
  <c r="CA100" i="1"/>
  <c r="CB109" i="1"/>
  <c r="CB53" i="1"/>
  <c r="CB185" i="1"/>
  <c r="CB206" i="1"/>
  <c r="CA241" i="1"/>
  <c r="BY258" i="1"/>
  <c r="BZ258" i="1"/>
  <c r="CA258" i="1"/>
  <c r="BY268" i="1"/>
  <c r="BZ268" i="1"/>
  <c r="CA268" i="1"/>
  <c r="BY284" i="1"/>
  <c r="BZ284" i="1"/>
  <c r="CA284" i="1"/>
  <c r="CB192" i="1"/>
  <c r="CB210" i="1"/>
  <c r="CB217" i="1"/>
  <c r="BY220" i="1"/>
  <c r="BZ220" i="1"/>
  <c r="CA220" i="1"/>
  <c r="CB222" i="1"/>
  <c r="BY240" i="1"/>
  <c r="BZ240" i="1"/>
  <c r="CA240" i="1"/>
  <c r="CB257" i="1"/>
  <c r="BY205" i="1"/>
  <c r="BZ205" i="1"/>
  <c r="CA205" i="1"/>
  <c r="BY210" i="1"/>
  <c r="BZ210" i="1"/>
  <c r="CA210" i="1"/>
  <c r="BY227" i="1"/>
  <c r="BZ227" i="1"/>
  <c r="CA227" i="1"/>
  <c r="CB236" i="1"/>
  <c r="CB237" i="1"/>
  <c r="BY245" i="1"/>
  <c r="BZ245" i="1"/>
  <c r="CA245" i="1"/>
  <c r="CB246" i="1"/>
  <c r="BY257" i="1"/>
  <c r="BZ257" i="1"/>
  <c r="CA257" i="1"/>
  <c r="CB259" i="1"/>
  <c r="CB269" i="1"/>
  <c r="CB274" i="1"/>
  <c r="BY275" i="1"/>
  <c r="BZ275" i="1"/>
  <c r="CA275" i="1"/>
  <c r="CB282" i="1"/>
  <c r="D4" i="1"/>
  <c r="CH25" i="1"/>
  <c r="CB25" i="1"/>
  <c r="Y15" i="1"/>
  <c r="Y11" i="1"/>
  <c r="Y4" i="1"/>
  <c r="Y12" i="1"/>
  <c r="Z4" i="1"/>
  <c r="AI4" i="1"/>
  <c r="N4" i="1"/>
  <c r="O4" i="1"/>
  <c r="AH15" i="1"/>
  <c r="AG15" i="1"/>
  <c r="D15" i="1"/>
  <c r="CH36" i="1"/>
  <c r="CB36" i="1"/>
  <c r="J15" i="1"/>
  <c r="AG4" i="1"/>
  <c r="P4" i="1"/>
  <c r="X15" i="1"/>
  <c r="W15" i="1"/>
  <c r="AC15" i="1"/>
  <c r="AA15" i="1"/>
  <c r="AC4" i="1"/>
  <c r="T4" i="1"/>
  <c r="R4" i="1"/>
  <c r="W4" i="1"/>
  <c r="AK15" i="1"/>
  <c r="AK14" i="1"/>
  <c r="AK11" i="1"/>
  <c r="AK4" i="1"/>
  <c r="AK12" i="1"/>
  <c r="AB15" i="1"/>
  <c r="K4" i="1"/>
  <c r="J4" i="1"/>
  <c r="AJ4" i="1"/>
  <c r="N15" i="1"/>
  <c r="E4" i="1"/>
  <c r="M15" i="1"/>
  <c r="O15" i="1"/>
  <c r="AA4" i="1"/>
  <c r="AF15" i="1"/>
  <c r="AF4" i="1"/>
  <c r="S4" i="1"/>
  <c r="Q15" i="1"/>
  <c r="F4" i="1"/>
  <c r="AI15" i="1"/>
  <c r="AI11" i="1"/>
  <c r="AI12" i="1"/>
  <c r="S15" i="1"/>
  <c r="S11" i="1"/>
  <c r="S12" i="1"/>
  <c r="U15" i="1"/>
  <c r="AD4" i="1"/>
  <c r="L4" i="1"/>
  <c r="G4" i="1"/>
  <c r="F15" i="1"/>
  <c r="AB4" i="1"/>
  <c r="Z15" i="1"/>
  <c r="K15" i="1"/>
  <c r="K11" i="1"/>
  <c r="K12" i="1"/>
  <c r="V4" i="1"/>
  <c r="R15" i="1"/>
  <c r="R11" i="1"/>
  <c r="R12" i="1"/>
  <c r="V15" i="1"/>
  <c r="M4" i="1"/>
  <c r="Q4" i="1"/>
  <c r="AH4" i="1"/>
  <c r="I4" i="1"/>
  <c r="I15" i="1"/>
  <c r="AE15" i="1"/>
  <c r="AE11" i="1"/>
  <c r="AE4" i="1"/>
  <c r="AE12" i="1"/>
  <c r="AC1" i="1"/>
  <c r="T15" i="1"/>
  <c r="P15" i="1"/>
  <c r="G15" i="1"/>
  <c r="G11" i="1"/>
  <c r="G12" i="1"/>
  <c r="AD15" i="1"/>
  <c r="L15" i="1"/>
  <c r="X4" i="1"/>
  <c r="U4" i="1"/>
  <c r="U1" i="1"/>
  <c r="Q1" i="1"/>
  <c r="C11" i="1"/>
  <c r="H4" i="1"/>
  <c r="E15" i="1"/>
  <c r="E11" i="1"/>
  <c r="E12" i="1"/>
  <c r="H15" i="1"/>
  <c r="AJ15" i="1"/>
  <c r="AL5" i="1"/>
  <c r="O11" i="1"/>
  <c r="O12" i="1"/>
  <c r="BY40" i="1"/>
  <c r="BZ40" i="1"/>
  <c r="CA40" i="1"/>
  <c r="BY86" i="1"/>
  <c r="BZ86" i="1"/>
  <c r="CA86" i="1"/>
  <c r="D14" i="1"/>
  <c r="CH35" i="1"/>
  <c r="CB35" i="1"/>
  <c r="CH26" i="1"/>
  <c r="CB26" i="1"/>
  <c r="Q11" i="1"/>
  <c r="CB315" i="1"/>
  <c r="AK325" i="3"/>
  <c r="AK327" i="3" a="1"/>
  <c r="AK327" i="3"/>
  <c r="CB152" i="1"/>
  <c r="CA157" i="1"/>
  <c r="BY163" i="1"/>
  <c r="BZ163" i="1"/>
  <c r="CA163" i="1"/>
  <c r="BY177" i="1"/>
  <c r="BZ177" i="1"/>
  <c r="CA177" i="1"/>
  <c r="CB179" i="1"/>
  <c r="CA184" i="1"/>
  <c r="CA190" i="1"/>
  <c r="BY191" i="1"/>
  <c r="BZ191" i="1"/>
  <c r="CA191" i="1"/>
  <c r="CB191" i="1"/>
  <c r="BY213" i="1"/>
  <c r="BZ213" i="1"/>
  <c r="CA213" i="1"/>
  <c r="BY222" i="1"/>
  <c r="BZ222" i="1"/>
  <c r="CA222" i="1"/>
  <c r="BY273" i="1"/>
  <c r="BZ273" i="1"/>
  <c r="CA273" i="1"/>
  <c r="BY277" i="1"/>
  <c r="BZ277" i="1"/>
  <c r="CA277" i="1"/>
  <c r="CB293" i="1"/>
  <c r="BY336" i="1"/>
  <c r="BZ336" i="1"/>
  <c r="CA336" i="1"/>
  <c r="X17" i="3"/>
  <c r="X15" i="3"/>
  <c r="X10" i="3"/>
  <c r="Y17" i="3"/>
  <c r="Y15" i="3"/>
  <c r="Y10" i="3"/>
  <c r="AN117" i="3"/>
  <c r="BY156" i="1"/>
  <c r="BZ156" i="1"/>
  <c r="CA156" i="1"/>
  <c r="J15" i="3"/>
  <c r="J10" i="3"/>
  <c r="N11" i="1"/>
  <c r="AG11" i="1"/>
  <c r="AG12" i="1"/>
  <c r="CB24" i="1"/>
  <c r="BY65" i="1"/>
  <c r="BZ65" i="1"/>
  <c r="CA65" i="1"/>
  <c r="BY148" i="1"/>
  <c r="BZ148" i="1"/>
  <c r="CA148" i="1"/>
  <c r="CA151" i="1"/>
  <c r="BY187" i="1"/>
  <c r="BZ187" i="1"/>
  <c r="CA187" i="1"/>
  <c r="CB188" i="1"/>
  <c r="CA197" i="1"/>
  <c r="CA286" i="1"/>
  <c r="BY294" i="1"/>
  <c r="BZ294" i="1"/>
  <c r="CA294" i="1"/>
  <c r="BY302" i="1"/>
  <c r="BZ302" i="1"/>
  <c r="CA302" i="1"/>
  <c r="BY305" i="1"/>
  <c r="BZ305" i="1"/>
  <c r="CA305" i="1"/>
  <c r="BY309" i="1"/>
  <c r="BZ309" i="1"/>
  <c r="CA309" i="1"/>
  <c r="CA327" i="1"/>
  <c r="AN145" i="3"/>
  <c r="AK329" i="3"/>
  <c r="AK326" i="3"/>
  <c r="I11" i="1"/>
  <c r="I12" i="1"/>
  <c r="AB11" i="1"/>
  <c r="AB12" i="1"/>
  <c r="AJ14" i="1"/>
  <c r="BY22" i="1"/>
  <c r="BZ22" i="1"/>
  <c r="CA22" i="1"/>
  <c r="BY26" i="1"/>
  <c r="BZ26" i="1"/>
  <c r="CA26" i="1"/>
  <c r="BY35" i="1"/>
  <c r="BZ35" i="1"/>
  <c r="CA35" i="1"/>
  <c r="CB40" i="1"/>
  <c r="BY55" i="1"/>
  <c r="BZ55" i="1"/>
  <c r="CA55" i="1"/>
  <c r="CB56" i="1"/>
  <c r="CB64" i="1"/>
  <c r="BY97" i="1"/>
  <c r="BZ97" i="1"/>
  <c r="CA97" i="1"/>
  <c r="BY109" i="1"/>
  <c r="BZ109" i="1"/>
  <c r="CA109" i="1"/>
  <c r="CB117" i="1"/>
  <c r="CB123" i="1"/>
  <c r="BY134" i="1"/>
  <c r="BZ134" i="1"/>
  <c r="CA134" i="1"/>
  <c r="CB136" i="1"/>
  <c r="AN2" i="3"/>
  <c r="CA199" i="1"/>
  <c r="L14" i="1"/>
  <c r="P14" i="1"/>
  <c r="V14" i="1"/>
  <c r="V11" i="1"/>
  <c r="V12" i="1"/>
  <c r="AD14" i="1"/>
  <c r="AD11" i="1"/>
  <c r="AD12" i="1"/>
  <c r="AH14" i="1"/>
  <c r="CB31" i="1"/>
  <c r="BY24" i="1"/>
  <c r="BZ24" i="1"/>
  <c r="CA24" i="1"/>
  <c r="BY43" i="1"/>
  <c r="BZ43" i="1"/>
  <c r="CA43" i="1"/>
  <c r="CB63" i="1"/>
  <c r="CB69" i="1"/>
  <c r="BY71" i="1"/>
  <c r="BZ71" i="1"/>
  <c r="CA71" i="1"/>
  <c r="BY87" i="1"/>
  <c r="BZ87" i="1"/>
  <c r="CA87" i="1"/>
  <c r="CB88" i="1"/>
  <c r="CB89" i="1"/>
  <c r="CA102" i="1"/>
  <c r="BY107" i="1"/>
  <c r="BZ107" i="1"/>
  <c r="CA107" i="1"/>
  <c r="BY108" i="1"/>
  <c r="BZ108" i="1"/>
  <c r="CA108" i="1"/>
  <c r="CB110" i="1"/>
  <c r="BY116" i="1"/>
  <c r="BZ116" i="1"/>
  <c r="CA116" i="1"/>
  <c r="CB118" i="1"/>
  <c r="BY124" i="1"/>
  <c r="BZ124" i="1"/>
  <c r="CA124" i="1"/>
  <c r="CB134" i="1"/>
  <c r="BY136" i="1"/>
  <c r="BZ136" i="1"/>
  <c r="CA136" i="1"/>
  <c r="CA139" i="1"/>
  <c r="CB144" i="1"/>
  <c r="BY147" i="1"/>
  <c r="BZ147" i="1"/>
  <c r="CA147" i="1"/>
  <c r="CB148" i="1"/>
  <c r="CB150" i="1"/>
  <c r="BY165" i="1"/>
  <c r="BZ165" i="1"/>
  <c r="CA165" i="1"/>
  <c r="BY166" i="1"/>
  <c r="BZ166" i="1"/>
  <c r="CA166" i="1"/>
  <c r="CB175" i="1"/>
  <c r="BY186" i="1"/>
  <c r="BZ186" i="1"/>
  <c r="CA186" i="1"/>
  <c r="CB186" i="1"/>
  <c r="CB193" i="1"/>
  <c r="BY196" i="1"/>
  <c r="BZ196" i="1"/>
  <c r="CA196" i="1"/>
  <c r="CB196" i="1"/>
  <c r="CA203" i="1"/>
  <c r="BY217" i="1"/>
  <c r="BZ217" i="1"/>
  <c r="CA217" i="1"/>
  <c r="BY221" i="1"/>
  <c r="BZ221" i="1"/>
  <c r="CA221" i="1"/>
  <c r="CB227" i="1"/>
  <c r="BY235" i="1"/>
  <c r="BZ235" i="1"/>
  <c r="CA235" i="1"/>
  <c r="CA243" i="1"/>
  <c r="CB248" i="1"/>
  <c r="BY265" i="1"/>
  <c r="BZ265" i="1"/>
  <c r="CA265" i="1"/>
  <c r="CA281" i="1"/>
  <c r="CB284" i="1"/>
  <c r="BY310" i="1"/>
  <c r="BZ310" i="1"/>
  <c r="CA310" i="1"/>
  <c r="CB311" i="1"/>
  <c r="CB331" i="1"/>
  <c r="BY343" i="1"/>
  <c r="BZ343" i="1"/>
  <c r="CA343" i="1"/>
  <c r="CB350" i="1"/>
  <c r="BK63" i="3"/>
  <c r="AM63" i="3"/>
  <c r="CB80" i="1"/>
  <c r="BY93" i="1"/>
  <c r="BZ93" i="1"/>
  <c r="CA93" i="1"/>
  <c r="BY117" i="1"/>
  <c r="BZ117" i="1"/>
  <c r="CA117" i="1"/>
  <c r="BY152" i="1"/>
  <c r="BZ152" i="1"/>
  <c r="CA152" i="1"/>
  <c r="BY182" i="1"/>
  <c r="BZ182" i="1"/>
  <c r="CA182" i="1"/>
  <c r="BY207" i="1"/>
  <c r="BZ207" i="1"/>
  <c r="CA207" i="1"/>
  <c r="BY263" i="1"/>
  <c r="BZ263" i="1"/>
  <c r="CA263" i="1"/>
  <c r="BY266" i="1"/>
  <c r="BZ266" i="1"/>
  <c r="CA266" i="1"/>
  <c r="CB318" i="1"/>
  <c r="CA346" i="1"/>
  <c r="AN104" i="3"/>
  <c r="H14" i="1"/>
  <c r="H11" i="1"/>
  <c r="H12" i="1"/>
  <c r="M14" i="1"/>
  <c r="U14" i="1"/>
  <c r="Z14" i="1"/>
  <c r="AF14" i="1"/>
  <c r="AF11" i="1"/>
  <c r="AF12" i="1"/>
  <c r="CB90" i="1"/>
  <c r="CB103" i="1"/>
  <c r="CB105" i="1"/>
  <c r="CB107" i="1"/>
  <c r="CB141" i="1"/>
  <c r="BY142" i="1"/>
  <c r="BZ142" i="1"/>
  <c r="CA142" i="1"/>
  <c r="CB166" i="1"/>
  <c r="BY224" i="1"/>
  <c r="BZ224" i="1"/>
  <c r="CA224" i="1"/>
  <c r="BY250" i="1"/>
  <c r="BZ250" i="1"/>
  <c r="CA250" i="1"/>
  <c r="BY259" i="1"/>
  <c r="BZ259" i="1"/>
  <c r="CA259" i="1"/>
  <c r="CB297" i="1"/>
  <c r="BY319" i="1"/>
  <c r="BZ319" i="1"/>
  <c r="CA319" i="1"/>
  <c r="BY321" i="1"/>
  <c r="BZ321" i="1"/>
  <c r="CA321" i="1"/>
  <c r="CB333" i="1"/>
  <c r="BY334" i="1"/>
  <c r="BZ334" i="1"/>
  <c r="CA334" i="1"/>
  <c r="BY339" i="1"/>
  <c r="BZ339" i="1"/>
  <c r="CA339" i="1"/>
  <c r="BY342" i="1"/>
  <c r="BZ342" i="1"/>
  <c r="CA342" i="1"/>
  <c r="AN63" i="3"/>
  <c r="AN149" i="3"/>
  <c r="CA306" i="1"/>
  <c r="CB306" i="1"/>
  <c r="AN23" i="3"/>
  <c r="AN67" i="3"/>
  <c r="AN111" i="3"/>
  <c r="AN124" i="3"/>
  <c r="I15" i="3"/>
  <c r="I10" i="3"/>
  <c r="M15" i="3"/>
  <c r="M10" i="3"/>
  <c r="AN65" i="3"/>
  <c r="AN119" i="3"/>
  <c r="AN179" i="3"/>
  <c r="AN197" i="3"/>
  <c r="AN200" i="3"/>
  <c r="AN205" i="3"/>
  <c r="AN305" i="3"/>
  <c r="AN207" i="3"/>
  <c r="AN277" i="3"/>
  <c r="CB231" i="1"/>
  <c r="AN112" i="3"/>
  <c r="AN133" i="3"/>
  <c r="AN136" i="3"/>
  <c r="AN158" i="3"/>
  <c r="AN191" i="3"/>
  <c r="AN198" i="3"/>
  <c r="AN206" i="3"/>
  <c r="AN309" i="3"/>
  <c r="BY231" i="1"/>
  <c r="BZ231" i="1"/>
  <c r="CA231" i="1"/>
  <c r="W11" i="1"/>
  <c r="W12" i="1"/>
  <c r="AA11" i="1"/>
  <c r="AA12" i="1"/>
  <c r="Z11" i="1"/>
  <c r="Z12" i="1"/>
  <c r="J11" i="1"/>
  <c r="J12" i="1"/>
  <c r="P11" i="1"/>
  <c r="P12" i="1"/>
  <c r="X11" i="1"/>
  <c r="X12" i="1"/>
  <c r="AC11" i="1"/>
  <c r="AC12" i="1"/>
  <c r="AH11" i="1"/>
  <c r="F11" i="1"/>
  <c r="F12" i="1"/>
  <c r="L11" i="1"/>
  <c r="L12" i="1"/>
  <c r="T11" i="1"/>
  <c r="AJ11" i="1"/>
  <c r="AJ12" i="1"/>
  <c r="AC7" i="9"/>
  <c r="AC14" i="9"/>
  <c r="AB7" i="9"/>
  <c r="AB14" i="9"/>
  <c r="AE7" i="9"/>
  <c r="AE14" i="9"/>
  <c r="H7" i="9"/>
  <c r="H14" i="9"/>
  <c r="F7" i="9"/>
  <c r="F14" i="9"/>
  <c r="M7" i="9"/>
  <c r="M14" i="9"/>
  <c r="J7" i="9"/>
  <c r="J14" i="9"/>
  <c r="I7" i="9"/>
  <c r="I14" i="9"/>
  <c r="P7" i="9"/>
  <c r="P14" i="9"/>
  <c r="AA12" i="9"/>
  <c r="AC12" i="9"/>
  <c r="BK37" i="9"/>
  <c r="BK139" i="9"/>
  <c r="BK88" i="9"/>
  <c r="BK114" i="9"/>
  <c r="C14" i="9"/>
  <c r="AG14" i="9"/>
  <c r="BK215" i="9"/>
  <c r="BK111" i="9"/>
  <c r="BK90" i="9"/>
  <c r="BK34" i="9"/>
  <c r="BK128" i="9"/>
  <c r="BK43" i="9"/>
  <c r="BK87" i="9"/>
  <c r="BK86" i="9"/>
  <c r="BK102" i="9"/>
  <c r="BK200" i="9"/>
  <c r="BK80" i="9"/>
  <c r="BK195" i="9"/>
  <c r="BK136" i="9"/>
  <c r="BK45" i="9"/>
  <c r="BK160" i="9"/>
  <c r="BK233" i="9"/>
  <c r="BK62" i="9"/>
  <c r="BK176" i="9"/>
  <c r="BK79" i="9"/>
  <c r="BK153" i="9"/>
  <c r="BK94" i="9"/>
  <c r="BK126" i="9"/>
  <c r="BK134" i="9"/>
  <c r="BK74" i="9"/>
  <c r="BK129" i="9"/>
  <c r="BK72" i="9"/>
  <c r="BK155" i="9"/>
  <c r="BK61" i="9"/>
  <c r="BK161" i="9"/>
  <c r="BK106" i="9"/>
  <c r="BK194" i="9"/>
  <c r="BK41" i="9"/>
  <c r="BK231" i="9"/>
  <c r="BK51" i="9"/>
  <c r="BK24" i="9"/>
  <c r="BK25" i="9"/>
  <c r="BK26" i="9"/>
  <c r="BK31" i="9"/>
  <c r="BK32" i="9"/>
  <c r="BK33" i="9"/>
  <c r="BK36" i="9"/>
  <c r="BK39" i="9"/>
  <c r="BK40" i="9"/>
  <c r="BK42" i="9"/>
  <c r="BK44" i="9"/>
  <c r="BK47" i="9"/>
  <c r="BK48" i="9"/>
  <c r="BK54" i="9"/>
  <c r="BK56" i="9"/>
  <c r="BK58" i="9"/>
  <c r="BK59" i="9"/>
  <c r="BK60" i="9"/>
  <c r="BK63" i="9"/>
  <c r="BK64" i="9"/>
  <c r="BK69" i="9"/>
  <c r="BK73" i="9"/>
  <c r="BK75" i="9"/>
  <c r="BK78" i="9"/>
  <c r="BK82" i="9"/>
  <c r="BK85" i="9"/>
  <c r="BK89" i="9"/>
  <c r="BK96" i="9"/>
  <c r="BK105" i="9"/>
  <c r="BK110" i="9"/>
  <c r="BK113" i="9"/>
  <c r="BK117" i="9"/>
  <c r="BK118" i="9"/>
  <c r="BK120" i="9"/>
  <c r="BK122" i="9"/>
  <c r="BK132" i="9"/>
  <c r="BK133" i="9"/>
  <c r="BK137" i="9"/>
  <c r="BK138" i="9"/>
  <c r="BK147" i="9"/>
  <c r="BK149" i="9"/>
  <c r="BK154" i="9"/>
  <c r="BK158" i="9"/>
  <c r="BK170" i="9"/>
  <c r="BK175" i="9"/>
  <c r="BK180" i="9"/>
  <c r="BK181" i="9"/>
  <c r="BK189" i="9"/>
  <c r="BK198" i="9"/>
  <c r="BK202" i="9"/>
  <c r="BK206" i="9"/>
  <c r="BK207" i="9"/>
  <c r="BK214" i="9"/>
  <c r="BK217" i="9"/>
  <c r="BK218" i="9"/>
  <c r="BK221" i="9"/>
  <c r="BK222" i="9"/>
  <c r="BK225" i="9"/>
  <c r="BK228" i="9"/>
  <c r="BK229" i="9"/>
  <c r="BK232" i="9"/>
  <c r="BK76" i="9"/>
  <c r="BK178" i="9"/>
  <c r="BK28" i="9"/>
  <c r="BK55" i="9"/>
  <c r="BK50" i="9"/>
  <c r="BK66" i="9"/>
  <c r="BK205" i="9"/>
  <c r="BK112" i="9"/>
  <c r="BK196" i="9"/>
  <c r="BK29" i="9"/>
  <c r="BK115" i="9"/>
  <c r="BK184" i="9"/>
  <c r="BK92" i="9"/>
  <c r="BK159" i="9"/>
  <c r="BK125" i="9"/>
  <c r="BK35" i="9"/>
  <c r="BK103" i="9"/>
  <c r="BK179" i="9"/>
  <c r="BK203" i="9"/>
  <c r="BK68" i="9"/>
  <c r="BK227" i="9"/>
  <c r="BK219" i="9"/>
  <c r="BK49" i="9"/>
  <c r="BK191" i="9"/>
  <c r="BK192" i="9"/>
  <c r="BK212" i="9"/>
  <c r="BK168" i="9"/>
  <c r="BK216" i="9"/>
  <c r="BK167" i="9"/>
  <c r="BK104" i="9"/>
  <c r="BK164" i="9"/>
  <c r="BK166" i="9"/>
  <c r="BK150" i="9"/>
  <c r="BK46" i="9"/>
  <c r="BJ23" i="9"/>
  <c r="BK23" i="9"/>
  <c r="BK201" i="9"/>
  <c r="BK99" i="9"/>
  <c r="BK152" i="9"/>
  <c r="BK193" i="9"/>
  <c r="BK70" i="9"/>
  <c r="BK220" i="9"/>
  <c r="BK143" i="9"/>
  <c r="BK109" i="9"/>
  <c r="BK84" i="9"/>
  <c r="BK173" i="9"/>
  <c r="BK157" i="9"/>
  <c r="BK210" i="9"/>
  <c r="BK165" i="9"/>
  <c r="BK169" i="9"/>
  <c r="BK121" i="9"/>
  <c r="E6" i="9"/>
  <c r="BK162" i="9"/>
  <c r="BK65" i="9"/>
  <c r="BK151" i="9"/>
  <c r="BK108" i="9"/>
  <c r="BK97" i="9"/>
  <c r="BK52" i="9"/>
  <c r="BK116" i="9"/>
  <c r="X6" i="9"/>
  <c r="AG4" i="9"/>
  <c r="AG15" i="9"/>
  <c r="W6" i="9"/>
  <c r="C4" i="9"/>
  <c r="B7" i="9"/>
  <c r="N7" i="9"/>
  <c r="R7" i="9"/>
  <c r="D6" i="9"/>
  <c r="K7" i="9"/>
  <c r="G6" i="9"/>
  <c r="L6" i="9"/>
  <c r="O6" i="9"/>
  <c r="S6" i="9"/>
  <c r="Y6" i="9"/>
  <c r="V6" i="9"/>
  <c r="AN3" i="3"/>
  <c r="AN4" i="3"/>
  <c r="AN5" i="3"/>
  <c r="D11" i="1"/>
  <c r="U11" i="1"/>
  <c r="U12" i="1"/>
  <c r="AC2" i="1"/>
  <c r="AB2" i="1"/>
  <c r="T12" i="1"/>
  <c r="AH12" i="1"/>
  <c r="M11" i="1"/>
  <c r="M12" i="1"/>
  <c r="N12" i="1"/>
  <c r="Q12" i="1"/>
  <c r="C12" i="9"/>
  <c r="C13" i="9"/>
  <c r="AC13" i="9"/>
  <c r="AG12" i="9"/>
  <c r="AG13" i="9"/>
  <c r="AB12" i="9"/>
  <c r="AB13" i="9"/>
  <c r="X12" i="9"/>
  <c r="X13" i="9"/>
  <c r="Y12" i="9"/>
  <c r="Y13" i="9"/>
  <c r="M12" i="9"/>
  <c r="M13" i="9"/>
  <c r="F12" i="9"/>
  <c r="F13" i="9"/>
  <c r="O12" i="9"/>
  <c r="O13" i="9"/>
  <c r="AF12" i="9"/>
  <c r="AF13" i="9"/>
  <c r="H12" i="9"/>
  <c r="H13" i="9"/>
  <c r="AD12" i="9"/>
  <c r="AD13" i="9"/>
  <c r="S12" i="9"/>
  <c r="S13" i="9"/>
  <c r="G12" i="9"/>
  <c r="G13" i="9"/>
  <c r="E12" i="9"/>
  <c r="E13" i="9"/>
  <c r="J12" i="9"/>
  <c r="J13" i="9"/>
  <c r="I12" i="9"/>
  <c r="I13" i="9"/>
  <c r="P12" i="9"/>
  <c r="P13" i="9"/>
  <c r="AF2" i="9"/>
  <c r="AE2" i="9"/>
  <c r="AA13" i="9"/>
  <c r="T12" i="9"/>
  <c r="T13" i="9"/>
  <c r="Z12" i="9"/>
  <c r="Z13" i="9"/>
  <c r="D12" i="9"/>
  <c r="D13" i="9"/>
  <c r="U12" i="9"/>
  <c r="U13" i="9"/>
  <c r="Q12" i="9"/>
  <c r="Q13" i="9"/>
  <c r="AE12" i="9"/>
  <c r="AE13" i="9"/>
  <c r="W12" i="9"/>
  <c r="W13" i="9"/>
  <c r="L12" i="9"/>
  <c r="L13" i="9"/>
  <c r="K12" i="9"/>
  <c r="K13" i="9"/>
  <c r="B12" i="9"/>
  <c r="B13" i="9"/>
  <c r="N12" i="9"/>
  <c r="N13" i="9"/>
  <c r="R12" i="9"/>
  <c r="R13" i="9"/>
  <c r="V12" i="9"/>
  <c r="V13" i="9"/>
  <c r="CH32" i="1"/>
  <c r="CB32" i="1"/>
  <c r="D12" i="1"/>
  <c r="CH33" i="1"/>
  <c r="CB33" i="1"/>
  <c r="AG4" i="13"/>
  <c r="Z18" i="13"/>
  <c r="BL341" i="13"/>
  <c r="BM341" i="13"/>
  <c r="V18" i="13"/>
  <c r="AG18" i="13"/>
  <c r="F17" i="13"/>
  <c r="S2" i="13"/>
  <c r="Z16" i="13"/>
  <c r="Y4" i="13"/>
  <c r="AB4" i="13"/>
  <c r="AA4" i="13"/>
  <c r="U4" i="13"/>
  <c r="AH18" i="13"/>
  <c r="AH16" i="13"/>
  <c r="AB18" i="13"/>
  <c r="AB16" i="13"/>
  <c r="X18" i="13"/>
  <c r="X16" i="13"/>
  <c r="X4" i="13"/>
  <c r="W4" i="13"/>
  <c r="B4" i="13"/>
  <c r="AI4" i="13"/>
  <c r="W16" i="13"/>
  <c r="G17" i="13"/>
  <c r="U18" i="13"/>
  <c r="U16" i="13"/>
  <c r="BL277" i="13"/>
  <c r="S17" i="13"/>
  <c r="AI16" i="13"/>
  <c r="AC4" i="13"/>
  <c r="AH4" i="13"/>
  <c r="Z4" i="13"/>
  <c r="I17" i="13"/>
  <c r="Y18" i="13"/>
  <c r="Y16" i="13"/>
  <c r="AA18" i="13"/>
  <c r="AA16" i="13"/>
  <c r="AC18" i="13"/>
  <c r="AC16" i="13"/>
  <c r="Z27" i="13"/>
  <c r="AA27" i="13"/>
  <c r="AC27" i="13"/>
  <c r="W27" i="13"/>
  <c r="Y27" i="13"/>
  <c r="AB27" i="13"/>
  <c r="U27" i="13"/>
  <c r="AI27" i="13"/>
  <c r="X27" i="13"/>
  <c r="V27" i="13"/>
  <c r="AG16" i="13"/>
  <c r="AG17" i="13"/>
  <c r="E17" i="13"/>
  <c r="H17" i="13"/>
  <c r="V16" i="13"/>
  <c r="V17" i="13"/>
  <c r="AI17" i="13"/>
  <c r="U17" i="13"/>
  <c r="AB17" i="13"/>
  <c r="T17" i="13"/>
  <c r="W17" i="13"/>
  <c r="AA17" i="13"/>
  <c r="AC17" i="13"/>
  <c r="Y17" i="13"/>
  <c r="Z17" i="13"/>
  <c r="J17" i="13"/>
  <c r="X17" i="13"/>
  <c r="D17" i="13"/>
  <c r="B20" i="13"/>
  <c r="AH17" i="13"/>
  <c r="C17" i="13"/>
  <c r="B17" i="13"/>
</calcChain>
</file>

<file path=xl/sharedStrings.xml><?xml version="1.0" encoding="utf-8"?>
<sst xmlns="http://schemas.openxmlformats.org/spreadsheetml/2006/main" count="10952" uniqueCount="2619">
  <si>
    <t>Public 
Ballots:</t>
  </si>
  <si>
    <t>Plus</t>
  </si>
  <si>
    <t>% of Ballots 
Known:</t>
  </si>
  <si>
    <t>Votes per Revealed Ballot:</t>
  </si>
  <si>
    <r>
      <rPr>
        <sz val="26"/>
        <rFont val="Calibri"/>
        <family val="2"/>
        <scheme val="minor"/>
      </rPr>
      <t>↑</t>
    </r>
    <r>
      <rPr>
        <sz val="10"/>
        <rFont val="Calibri"/>
        <family val="2"/>
        <scheme val="minor"/>
      </rPr>
      <t xml:space="preserve">
</t>
    </r>
    <r>
      <rPr>
        <i/>
        <sz val="8"/>
        <rFont val="Calibri"/>
        <family val="2"/>
        <scheme val="minor"/>
      </rPr>
      <t>Click to
Expand/
Retract</t>
    </r>
  </si>
  <si>
    <t>LEGEND</t>
  </si>
  <si>
    <t>Anonymous 
Ballots</t>
  </si>
  <si>
    <t>Ballots Cast: 422
Votes Needed for 75%: 317</t>
  </si>
  <si>
    <t>Votes per Non-Public Ballot:</t>
  </si>
  <si>
    <t>First Time on Ballot</t>
  </si>
  <si>
    <t>Gained Vote - Voter did not
 vote for player last year</t>
  </si>
  <si>
    <t>Last Updated:
2/15/2018 at 1:00 pm PST</t>
  </si>
  <si>
    <t>Barry Bonds
(6th)</t>
  </si>
  <si>
    <t>Roger Clemens
(6th)</t>
  </si>
  <si>
    <t>Johnny Damon (1st)</t>
  </si>
  <si>
    <t>Vlad Guerrero (2nd)</t>
  </si>
  <si>
    <t>Trevor Hoffman
(3rd)</t>
  </si>
  <si>
    <t>Andruw Jones
(1st)</t>
  </si>
  <si>
    <t>Chipper Jones
(1st)</t>
  </si>
  <si>
    <t>Jeff 
Kent
(5th)</t>
  </si>
  <si>
    <t>Edgar Martinez
(9th)</t>
  </si>
  <si>
    <t>Fred McGriff
(9th)</t>
  </si>
  <si>
    <t>Mike Mussina
(5th)</t>
  </si>
  <si>
    <t>Manny Ramirez
(2nd)</t>
  </si>
  <si>
    <t>Scott Rolen
(1st)</t>
  </si>
  <si>
    <t>Johan Santana
(1st)</t>
  </si>
  <si>
    <t>Curt Schilling
(6th)</t>
  </si>
  <si>
    <t>Gary Sheffield
(4th)</t>
  </si>
  <si>
    <t>Sammy Sosa
(6th)</t>
  </si>
  <si>
    <t>Jim Thome
(1st)</t>
  </si>
  <si>
    <t>Omar Vizquel
(1st)</t>
  </si>
  <si>
    <t>Billy Wagner
(3rd)</t>
  </si>
  <si>
    <t>Larry Walker
(8th)</t>
  </si>
  <si>
    <t>Chris Carpenter
(1st)</t>
  </si>
  <si>
    <t>Livan Hernandez
(1st)</t>
  </si>
  <si>
    <t>Orlando Hudson
(1st)</t>
  </si>
  <si>
    <t>Aubrey Huff
(1st)</t>
  </si>
  <si>
    <t>Jason Isringhausen
(1st)</t>
  </si>
  <si>
    <t>Carlos Lee
(1st)</t>
  </si>
  <si>
    <t>Brad Lidge
(1st)</t>
  </si>
  <si>
    <t>Hideki Matsui
(1st)</t>
  </si>
  <si>
    <t>Kevin Millwood
(1st)</t>
  </si>
  <si>
    <t>Jamie Moyer
(1st)</t>
  </si>
  <si>
    <t>Kerry Wood
(1st)</t>
  </si>
  <si>
    <t>Carlos Zambrano
(1st)</t>
  </si>
  <si>
    <t>Last Time On Ballot</t>
  </si>
  <si>
    <t>Lost Vote - Voted for player 
last year but not this year</t>
  </si>
  <si>
    <t>% on Public+Anonymous Ballots</t>
  </si>
  <si>
    <t>Ballot Added Today</t>
  </si>
  <si>
    <t>This page must be manually
 refreshed to view updates.</t>
  </si>
  <si>
    <t>Total Public+Anonymous Votes</t>
  </si>
  <si>
    <t>First-Time Voter</t>
  </si>
  <si>
    <t>% Needed on Remaining Ballots</t>
  </si>
  <si>
    <t>Highlight Row-F2-Enter</t>
  </si>
  <si>
    <t>Additional Votes Needed for &gt;75%</t>
  </si>
  <si>
    <t>10-Player Ballots:</t>
  </si>
  <si>
    <t>The Tracker Team:</t>
  </si>
  <si>
    <t>Additional Votes Needed for &gt;5%</t>
  </si>
  <si>
    <t>9-Player Ballots:</t>
  </si>
  <si>
    <t>2017 Actual Final %</t>
  </si>
  <si>
    <t>8-Player Ballots:</t>
  </si>
  <si>
    <t>2017 Actual % - Pre-Results %</t>
  </si>
  <si>
    <t>7-Player Ballots:</t>
  </si>
  <si>
    <t>2017 Private % - Public %</t>
  </si>
  <si>
    <t>6-Player Ballots:</t>
  </si>
  <si>
    <t>Actual Final %</t>
  </si>
  <si>
    <t>Actual Votes</t>
  </si>
  <si>
    <t>% Public Ballots (247) Pre-Results</t>
  </si>
  <si>
    <t>% Public Ballots Post-Results</t>
  </si>
  <si>
    <t>% Private Ballots</t>
  </si>
  <si>
    <t>Private vs Public Differential</t>
  </si>
  <si>
    <t>Rank</t>
  </si>
  <si>
    <t>Pre-Results % 2016</t>
  </si>
  <si>
    <t>Gained Votes from Returning Voters</t>
  </si>
  <si>
    <t>5-Player Ballots:</t>
  </si>
  <si>
    <t>Lost Votes from Returning Voters</t>
  </si>
  <si>
    <t>4-Player Ballots:</t>
  </si>
  <si>
    <t>Net +/- Among Returning Voters</t>
  </si>
  <si>
    <t>3-Player Ballots:</t>
  </si>
  <si>
    <t>Missed 2018 Election by # Votes</t>
  </si>
  <si>
    <t>2-Player Ballots:</t>
  </si>
  <si>
    <t>% on Anonymous Ballots (4)</t>
  </si>
  <si>
    <t>1-Player Ballots:</t>
  </si>
  <si>
    <t>% Among First-Time Voters (13)</t>
  </si>
  <si>
    <t>Blank Ballots:</t>
  </si>
  <si>
    <t>Net +/- Returning Voters Post-Results</t>
  </si>
  <si>
    <t>+4</t>
  </si>
  <si>
    <t>+5</t>
  </si>
  <si>
    <t>+1</t>
  </si>
  <si>
    <t>+6</t>
  </si>
  <si>
    <t>% 1st-Time Voters Post-Results</t>
  </si>
  <si>
    <t>Voted Last Year, No Ballot This Year</t>
  </si>
  <si>
    <t>Pre-Announcement
 Ballots:</t>
  </si>
  <si>
    <t>Votes per Pre-Announcement Ballot:</t>
  </si>
  <si>
    <t>Ballots Revealed Before HOF Election Results Announced
Ballot tips appreciated: @NotMrTibbs or ryan@bbhoftracker.com</t>
  </si>
  <si>
    <t># Votes</t>
  </si>
  <si>
    <t>Ballot Link</t>
  </si>
  <si>
    <t>Date Added</t>
  </si>
  <si>
    <t>If No 10-Player Limit, Would Have Also Voted For:</t>
  </si>
  <si>
    <t>Peter Abraham</t>
  </si>
  <si>
    <t>x</t>
  </si>
  <si>
    <t>Dave Albee</t>
  </si>
  <si>
    <t>Jim Alexander</t>
  </si>
  <si>
    <t>McGriff, Walker, Kent, Andruw, Wag</t>
  </si>
  <si>
    <t>David Ammenheuser</t>
  </si>
  <si>
    <t>Vizquel</t>
  </si>
  <si>
    <t>Dom Amore</t>
  </si>
  <si>
    <t>Vizquel, Kent</t>
  </si>
  <si>
    <t>Anthony Andro</t>
  </si>
  <si>
    <t>McGriff, Wagner</t>
  </si>
  <si>
    <t>Mel Antonen</t>
  </si>
  <si>
    <t>Kirby Arnold</t>
  </si>
  <si>
    <t>Jaime Aron</t>
  </si>
  <si>
    <t>Email</t>
  </si>
  <si>
    <t>Chris Assenheimer</t>
  </si>
  <si>
    <t>DM</t>
  </si>
  <si>
    <t>Andrew Baggarly</t>
  </si>
  <si>
    <t>Chris Bahr</t>
  </si>
  <si>
    <t>Bill Ballou</t>
  </si>
  <si>
    <t>Peter Barzilai</t>
  </si>
  <si>
    <t>Mike Bass</t>
  </si>
  <si>
    <t>Amalie Benjamin</t>
  </si>
  <si>
    <t>Andruw, Vizquel</t>
  </si>
  <si>
    <t>Mike Berardino</t>
  </si>
  <si>
    <t>Rob Biertempfel</t>
  </si>
  <si>
    <t>Jeff Blair</t>
  </si>
  <si>
    <t>Sportsnet590.ca Radio</t>
  </si>
  <si>
    <t>Barry Bloom</t>
  </si>
  <si>
    <t>Earl Bloom</t>
  </si>
  <si>
    <t>Erik Boland</t>
  </si>
  <si>
    <t>Filip Bondy</t>
  </si>
  <si>
    <t>Tim Booth</t>
  </si>
  <si>
    <t>David Borges</t>
  </si>
  <si>
    <t>Peter Botte</t>
  </si>
  <si>
    <t>Vizquel, Andruw, Rolen</t>
  </si>
  <si>
    <t>Mark Bradley</t>
  </si>
  <si>
    <t>Rolen</t>
  </si>
  <si>
    <t>Marcos Breton</t>
  </si>
  <si>
    <t>Facebook</t>
  </si>
  <si>
    <t>Larry Brooks</t>
  </si>
  <si>
    <t>Garry Brown</t>
  </si>
  <si>
    <t>Vlad, Kent, Vizq, Rolen, Sosa</t>
  </si>
  <si>
    <t>Steve Buckley</t>
  </si>
  <si>
    <t>Don Burke</t>
  </si>
  <si>
    <t>Nick Cafardo</t>
  </si>
  <si>
    <t>Will add Edgar in 2019</t>
  </si>
  <si>
    <t>Pete Caldera</t>
  </si>
  <si>
    <t>Andrew Call</t>
  </si>
  <si>
    <t>Dave Campbell</t>
  </si>
  <si>
    <t>Jim Caple</t>
  </si>
  <si>
    <t>Pat Caputo</t>
  </si>
  <si>
    <t>Sam Carchidi (didn't vote last yr)</t>
  </si>
  <si>
    <t>Marc Carig</t>
  </si>
  <si>
    <t>Bill Center</t>
  </si>
  <si>
    <t>Murray Chass (2017 blank ballot)</t>
  </si>
  <si>
    <t>Jay Cohen</t>
  </si>
  <si>
    <t>Roberto Colon</t>
  </si>
  <si>
    <t>Dan Connolly</t>
  </si>
  <si>
    <t>Schilling</t>
  </si>
  <si>
    <t>Kevin Cooney</t>
  </si>
  <si>
    <t>Brian Costello</t>
  </si>
  <si>
    <t>Edgar</t>
  </si>
  <si>
    <t>Greg Cote</t>
  </si>
  <si>
    <t>Tim Cowlishaw</t>
  </si>
  <si>
    <t>Well, it's a long story.</t>
  </si>
  <si>
    <t>Jerry Crasnick</t>
  </si>
  <si>
    <t>Walker, Sheffield</t>
  </si>
  <si>
    <t>Jack Curry</t>
  </si>
  <si>
    <t>Tom D'Angelo</t>
  </si>
  <si>
    <t>Paul Daugherty</t>
  </si>
  <si>
    <t>Shi Davidi</t>
  </si>
  <si>
    <t>Schilling, Kent</t>
  </si>
  <si>
    <t>Ken Davidoff</t>
  </si>
  <si>
    <t>Manny, Vlad, Sheffield, Sosa</t>
  </si>
  <si>
    <t>Art Davidson</t>
  </si>
  <si>
    <t>John Delcos</t>
  </si>
  <si>
    <t>Chris De Luca</t>
  </si>
  <si>
    <t>Tony DeMarco</t>
  </si>
  <si>
    <t>Tom Dienhart</t>
  </si>
  <si>
    <t>Ryan Divish</t>
  </si>
  <si>
    <t>Mike Downey</t>
  </si>
  <si>
    <t>Josh Dubow</t>
  </si>
  <si>
    <t>Jay Dunn</t>
  </si>
  <si>
    <t>Jorge Ebro</t>
  </si>
  <si>
    <t>John Erardi</t>
  </si>
  <si>
    <t>Ryan Fagan</t>
  </si>
  <si>
    <t>Schilling, Manny, Andruw</t>
  </si>
  <si>
    <t>Mark Faller</t>
  </si>
  <si>
    <t>Mark Feinsand</t>
  </si>
  <si>
    <t>McGriff, Walker, Wagner, Hoff, Kent</t>
  </si>
  <si>
    <t>Martin Fennelly</t>
  </si>
  <si>
    <t>Jeffrey Flanagan</t>
  </si>
  <si>
    <t>Jeff Fletcher</t>
  </si>
  <si>
    <t>Carlos Frias</t>
  </si>
  <si>
    <t>Mussina</t>
  </si>
  <si>
    <t>Carter Gaddis</t>
  </si>
  <si>
    <t>Peter Gammons</t>
  </si>
  <si>
    <t>Dan Gelston</t>
  </si>
  <si>
    <t>Steven Gietschier</t>
  </si>
  <si>
    <t>Rob Gillies</t>
  </si>
  <si>
    <t>David Ginsburg</t>
  </si>
  <si>
    <t>Steve Goldman (didn't vote last yr)</t>
  </si>
  <si>
    <t>Jimmy Golen</t>
  </si>
  <si>
    <t>Pedro Gomez</t>
  </si>
  <si>
    <t>Mark Gonzales</t>
  </si>
  <si>
    <t>Derrick Goold</t>
  </si>
  <si>
    <t>Bonds, Clemens, Sheffield</t>
  </si>
  <si>
    <t>Patrick Graham</t>
  </si>
  <si>
    <t>McGriff, Wagner, Sosa, Manny</t>
  </si>
  <si>
    <t>Evan Grant</t>
  </si>
  <si>
    <t>Sheffield</t>
  </si>
  <si>
    <t>Dan Graziano</t>
  </si>
  <si>
    <t>Jay Greenberg</t>
  </si>
  <si>
    <t>Alan Greenwood</t>
  </si>
  <si>
    <t>Scot Gregor</t>
  </si>
  <si>
    <t>Richard Griffin</t>
  </si>
  <si>
    <t>Karen Guregian</t>
  </si>
  <si>
    <t>Paul Gutierrez</t>
  </si>
  <si>
    <t>Joe Haakenson</t>
  </si>
  <si>
    <t>Chris Haft</t>
  </si>
  <si>
    <t>Paul Hagen</t>
  </si>
  <si>
    <t>Mark Hale</t>
  </si>
  <si>
    <t>John Harper</t>
  </si>
  <si>
    <t>SNY TV</t>
  </si>
  <si>
    <t>McGriff</t>
  </si>
  <si>
    <t>Mike Harrington</t>
  </si>
  <si>
    <t>Rolen, Andruw, Damon</t>
  </si>
  <si>
    <t>Ian Harrison</t>
  </si>
  <si>
    <t>Tom Haudricourt</t>
  </si>
  <si>
    <t>Walker, Andruw, Wagner, Sheff</t>
  </si>
  <si>
    <t>Dan Hayes</t>
  </si>
  <si>
    <t>Joe Henderson</t>
  </si>
  <si>
    <t>Lynn Henning</t>
  </si>
  <si>
    <t>Steve Henson</t>
  </si>
  <si>
    <t>Sosa</t>
  </si>
  <si>
    <t>Mark Herrmann</t>
  </si>
  <si>
    <t>Bob Herzog</t>
  </si>
  <si>
    <t>Jon Heyman</t>
  </si>
  <si>
    <t>Edgar, Johan</t>
  </si>
  <si>
    <t>Bob Hohler</t>
  </si>
  <si>
    <t>Garry D. Howard</t>
  </si>
  <si>
    <t>Mike Imrem</t>
  </si>
  <si>
    <t>Jeff Jacobs</t>
  </si>
  <si>
    <t>Bruce Jenkins</t>
  </si>
  <si>
    <t>Chuck Johnson</t>
  </si>
  <si>
    <t>Joey Johnston</t>
  </si>
  <si>
    <t>Mussina, maybe Andruw</t>
  </si>
  <si>
    <t>Richard Justice</t>
  </si>
  <si>
    <t>Rolen,Walker,Manny,Andruw,Kent,+</t>
  </si>
  <si>
    <t>Marc Katz</t>
  </si>
  <si>
    <t>Tim Kawakami</t>
  </si>
  <si>
    <t>Kevin Kernan</t>
  </si>
  <si>
    <t>Ann Killion</t>
  </si>
  <si>
    <t>George A. King III</t>
  </si>
  <si>
    <t>Bob Klapisch</t>
  </si>
  <si>
    <t>Michael Knisley</t>
  </si>
  <si>
    <t>Dejan Kovacevic</t>
  </si>
  <si>
    <t>Ron Kroichick</t>
  </si>
  <si>
    <t>Roch Kubatko</t>
  </si>
  <si>
    <t>Tim Kurkjian</t>
  </si>
  <si>
    <t>Walker</t>
  </si>
  <si>
    <t>Gabe Lacques</t>
  </si>
  <si>
    <t>Marc Lancaster</t>
  </si>
  <si>
    <t>Scott Lauber</t>
  </si>
  <si>
    <t>Sheffield, Walker</t>
  </si>
  <si>
    <t>Sadiel Lebron</t>
  </si>
  <si>
    <t>Edgar, Bonds</t>
  </si>
  <si>
    <t>David Lennon</t>
  </si>
  <si>
    <t>Joseph Liao</t>
  </si>
  <si>
    <t>Bernie Lincicome</t>
  </si>
  <si>
    <t>Bill Livingston</t>
  </si>
  <si>
    <t>Thom Loverro</t>
  </si>
  <si>
    <t>Rob Maaddi</t>
  </si>
  <si>
    <t>Dennis Maffezzoli</t>
  </si>
  <si>
    <t>Jack Magruder</t>
  </si>
  <si>
    <t>Dennis Manoloff</t>
  </si>
  <si>
    <t>Steven Marcus</t>
  </si>
  <si>
    <t>David Maril</t>
  </si>
  <si>
    <t>Tony Massarotti</t>
  </si>
  <si>
    <t>Radio</t>
  </si>
  <si>
    <t>Sean McAdam</t>
  </si>
  <si>
    <t>Jack McCaffery</t>
  </si>
  <si>
    <t>Edgar, Mussina, Andruw, Kent</t>
  </si>
  <si>
    <t>Anthony McCarron</t>
  </si>
  <si>
    <t>Vizquel + numerous others</t>
  </si>
  <si>
    <t>Janie McCauley</t>
  </si>
  <si>
    <t>Joe McDonald</t>
  </si>
  <si>
    <t>John McGrath</t>
  </si>
  <si>
    <t>Sam Mellinger</t>
  </si>
  <si>
    <t>Bruce Miles</t>
  </si>
  <si>
    <t>Phil Miller</t>
  </si>
  <si>
    <t>Rolen+Vlad, maybe Hoff,Johan, Wags</t>
  </si>
  <si>
    <t>Randy Miller</t>
  </si>
  <si>
    <t>Scott Miller</t>
  </si>
  <si>
    <t>Kevin Modesti</t>
  </si>
  <si>
    <t>Roger Mooney</t>
  </si>
  <si>
    <t>Terence Moore</t>
  </si>
  <si>
    <t>Aurelio Moreno</t>
  </si>
  <si>
    <t>Jon Morosi</t>
  </si>
  <si>
    <t>Vizquel, Wagner, Kent</t>
  </si>
  <si>
    <t>Rick Morrissey</t>
  </si>
  <si>
    <t>Carrie Muskat</t>
  </si>
  <si>
    <t>Gene Myers</t>
  </si>
  <si>
    <t>Mike Nadel</t>
  </si>
  <si>
    <t>Katsushi Nagao</t>
  </si>
  <si>
    <t>Ross Newhan (didn't vote last yr)</t>
  </si>
  <si>
    <t>Mark Newman</t>
  </si>
  <si>
    <t>Hoffman</t>
  </si>
  <si>
    <t>Bob Nightengale</t>
  </si>
  <si>
    <t>Eric Núñez</t>
  </si>
  <si>
    <t>Ian O'Connor</t>
  </si>
  <si>
    <t>Jorge Ortiz</t>
  </si>
  <si>
    <t>Jose de Jesus Ortiz</t>
  </si>
  <si>
    <t>Rob Parker</t>
  </si>
  <si>
    <t>Jeff Peek</t>
  </si>
  <si>
    <t>Dave Perkins</t>
  </si>
  <si>
    <t>John Perrotto</t>
  </si>
  <si>
    <t>Mike Peticca</t>
  </si>
  <si>
    <t>Walker, Kent</t>
  </si>
  <si>
    <t>Nick Pietruszkiewicz</t>
  </si>
  <si>
    <t>Rick Plumlee</t>
  </si>
  <si>
    <t>Bill Plunkett</t>
  </si>
  <si>
    <t>Terry Pluto</t>
  </si>
  <si>
    <t>Steve Politi</t>
  </si>
  <si>
    <t>Kent, Vizquel</t>
  </si>
  <si>
    <t>Steve Popper</t>
  </si>
  <si>
    <t>Joe Posnanski</t>
  </si>
  <si>
    <t>Scott Priestle</t>
  </si>
  <si>
    <t>Andruw, Rolen, Sheffield</t>
  </si>
  <si>
    <t>Brendan Prunty</t>
  </si>
  <si>
    <t>Edgar, Walker, Rolen</t>
  </si>
  <si>
    <t>Mike Puma</t>
  </si>
  <si>
    <t>Mark Purdy</t>
  </si>
  <si>
    <t>Rob Rains</t>
  </si>
  <si>
    <t>Luis Rangel</t>
  </si>
  <si>
    <t>Vizquel, Sheffield, Mussina</t>
  </si>
  <si>
    <t>Troy Renck</t>
  </si>
  <si>
    <t>1/284/18</t>
  </si>
  <si>
    <t>Dave Reynolds</t>
  </si>
  <si>
    <t>Tim Reynolds</t>
  </si>
  <si>
    <t>Anthony Rieber</t>
  </si>
  <si>
    <t>Tracy Ringolsby</t>
  </si>
  <si>
    <t>Phil Rogers</t>
  </si>
  <si>
    <t>John Romano</t>
  </si>
  <si>
    <t>DM/Ilychs Morales</t>
  </si>
  <si>
    <t>C. Trent Rosecrans</t>
  </si>
  <si>
    <t>Ken Rosenthal</t>
  </si>
  <si>
    <t>Vizquel, Rolen, Walker, McGriff</t>
  </si>
  <si>
    <t>John Rowe</t>
  </si>
  <si>
    <t>Barry Rozner</t>
  </si>
  <si>
    <t>Roger Rubin</t>
  </si>
  <si>
    <t>Joe Rutter</t>
  </si>
  <si>
    <t>Bob Ryan</t>
  </si>
  <si>
    <t>Bob Sansevere</t>
  </si>
  <si>
    <t>Mark Saxon</t>
  </si>
  <si>
    <t>Henry Schulman</t>
  </si>
  <si>
    <t>Glenn Schwarz</t>
  </si>
  <si>
    <t>Mike Shalin</t>
  </si>
  <si>
    <t>Dan Shaughnessy</t>
  </si>
  <si>
    <t>John Shea</t>
  </si>
  <si>
    <t>Joel Sherman</t>
  </si>
  <si>
    <t>Bob Sherwin</t>
  </si>
  <si>
    <t>Michael Silverman</t>
  </si>
  <si>
    <t>Thome, maybe Hoffman, Wags</t>
  </si>
  <si>
    <t>Steve Simmons</t>
  </si>
  <si>
    <t>Susan Slusser</t>
  </si>
  <si>
    <t>Claire Smith</t>
  </si>
  <si>
    <t>Joe Smith</t>
  </si>
  <si>
    <t>Willie Smith</t>
  </si>
  <si>
    <t>Bob Smizik</t>
  </si>
  <si>
    <t>Clark Spencer</t>
  </si>
  <si>
    <t>Barry Stanton</t>
  </si>
  <si>
    <t>Arnie Stapleton</t>
  </si>
  <si>
    <t>Jayson Stark</t>
  </si>
  <si>
    <t>1/21/2017+1/5/18</t>
  </si>
  <si>
    <t>McGriff, Rolen, Manny, Kent, +more</t>
  </si>
  <si>
    <t>Carl Steward</t>
  </si>
  <si>
    <t>Joe Stiglich</t>
  </si>
  <si>
    <t>Larry Stone</t>
  </si>
  <si>
    <t>McGriff, Rolen</t>
  </si>
  <si>
    <t>Jim Street</t>
  </si>
  <si>
    <t>Paul Sullivan</t>
  </si>
  <si>
    <t>TR Sullivan</t>
  </si>
  <si>
    <t>Jean-Jacques Taylor</t>
  </si>
  <si>
    <t>Vlad</t>
  </si>
  <si>
    <t>Rick Telander</t>
  </si>
  <si>
    <t>John Tomase</t>
  </si>
  <si>
    <t>Marc Topkin</t>
  </si>
  <si>
    <t>Mike Vaccaro</t>
  </si>
  <si>
    <t>Vizquel, maybe Kent</t>
  </si>
  <si>
    <t>Juan Vené</t>
  </si>
  <si>
    <t>Tom Verducci</t>
  </si>
  <si>
    <t>MLB Network</t>
  </si>
  <si>
    <t>Kirk Wessler</t>
  </si>
  <si>
    <t>Paul White</t>
  </si>
  <si>
    <t>David Wilhelm</t>
  </si>
  <si>
    <t>George Willis</t>
  </si>
  <si>
    <t>Thome</t>
  </si>
  <si>
    <t>Bernie Wilson</t>
  </si>
  <si>
    <t>Jeff Wilson</t>
  </si>
  <si>
    <t>Kent, Walker, Vizquel</t>
  </si>
  <si>
    <t>Steve Wine</t>
  </si>
  <si>
    <t>Post-Announcement 
Ballots:</t>
  </si>
  <si>
    <t>Votes per Post-Announcement Ballot:</t>
  </si>
  <si>
    <t>Ballots Revealed After HoF Election Results Announced (*Revealed first on BBWAA.com)</t>
  </si>
  <si>
    <t>Eduardo B. Almada</t>
  </si>
  <si>
    <t>David Barron*</t>
  </si>
  <si>
    <t>Darrin Beene</t>
  </si>
  <si>
    <t>Ronald Blum*</t>
  </si>
  <si>
    <t>Paul Bodi*</t>
  </si>
  <si>
    <t>Dennis Brackin*</t>
  </si>
  <si>
    <t>Ray Buck*</t>
  </si>
  <si>
    <t>John Canzano</t>
  </si>
  <si>
    <t>Joe Christensen*</t>
  </si>
  <si>
    <t>Tom Christensen*</t>
  </si>
  <si>
    <t>Ron Cook*</t>
  </si>
  <si>
    <t>Joe Cowley*</t>
  </si>
  <si>
    <t>Guy Curtright*</t>
  </si>
  <si>
    <t>Tim Dahlberg</t>
  </si>
  <si>
    <t>Steve Dilbeck</t>
  </si>
  <si>
    <t>Chuck Dybdal*</t>
  </si>
  <si>
    <t>Bob Elliott*</t>
  </si>
  <si>
    <t>Alan Eskew*</t>
  </si>
  <si>
    <t>Michael Fannin*</t>
  </si>
  <si>
    <t>Howard Fendrich*</t>
  </si>
  <si>
    <t>Larry Fine*</t>
  </si>
  <si>
    <t>Mike Fitzpatrick*</t>
  </si>
  <si>
    <t>Randy Galloway</t>
  </si>
  <si>
    <t>Jim Gauger*</t>
  </si>
  <si>
    <t>Jerry Green*</t>
  </si>
  <si>
    <t>Bill Hartman*</t>
  </si>
  <si>
    <t>Jim Hawkins*</t>
  </si>
  <si>
    <t>Jim Henneman*</t>
  </si>
  <si>
    <t>Manolo Hernandez-Douen*</t>
  </si>
  <si>
    <t>Steve Herrick*</t>
  </si>
  <si>
    <t>John Hickey*</t>
  </si>
  <si>
    <t>Hirokazu Higuchi*</t>
  </si>
  <si>
    <t>Jeff Horrigan*</t>
  </si>
  <si>
    <t>Alan Hoskins*</t>
  </si>
  <si>
    <t>Paul Hoynes*</t>
  </si>
  <si>
    <t>Jim Ingraham*</t>
  </si>
  <si>
    <t>Tom Keegan*</t>
  </si>
  <si>
    <t>Chuck Klonke*</t>
  </si>
  <si>
    <t>Danny Knobler</t>
  </si>
  <si>
    <t>Steve Kornacki*</t>
  </si>
  <si>
    <t>Bob Kuenster</t>
  </si>
  <si>
    <t>Bill Lankhof*</t>
  </si>
  <si>
    <t>Seth Livingstone</t>
  </si>
  <si>
    <t>Mike Lopresti*</t>
  </si>
  <si>
    <t>Mike Lupica*</t>
  </si>
  <si>
    <t>Bill Madden</t>
  </si>
  <si>
    <t>Marino Martinez*</t>
  </si>
  <si>
    <t>Hal McCoy</t>
  </si>
  <si>
    <t>Dan McGrath*</t>
  </si>
  <si>
    <t>Adam Mertz</t>
  </si>
  <si>
    <t>Larry Millson*</t>
  </si>
  <si>
    <t>Fred Mitchell</t>
  </si>
  <si>
    <t>LaVelle Neal III</t>
  </si>
  <si>
    <t>Sheldon Ocker*</t>
  </si>
  <si>
    <t>Drew Olson</t>
  </si>
  <si>
    <t>Schilling, Rolen</t>
  </si>
  <si>
    <t>Gregg Patton*</t>
  </si>
  <si>
    <t>Ed Petruska</t>
  </si>
  <si>
    <t>Ray Ratto*</t>
  </si>
  <si>
    <t>Arnold Rothstein</t>
  </si>
  <si>
    <t>Jim Reeves</t>
  </si>
  <si>
    <t>Patrick Reusse*</t>
  </si>
  <si>
    <t>Alan Robinson*</t>
  </si>
  <si>
    <t>Richard Rupprecht*</t>
  </si>
  <si>
    <t>Dick Scanlon*</t>
  </si>
  <si>
    <t>Chaz Scoggins*</t>
  </si>
  <si>
    <t>Tom Timmermann*</t>
  </si>
  <si>
    <t>Howard Ulman*</t>
  </si>
  <si>
    <t>Bill Windler*</t>
  </si>
  <si>
    <t>Gordon Wittenmyer</t>
  </si>
  <si>
    <t>Mark Zuckerman</t>
  </si>
  <si>
    <t>Blank Ballot - Unknown Voter</t>
  </si>
  <si>
    <t>Anonymous Ballots:</t>
  </si>
  <si>
    <t>Votes per Anonymous Ballot:</t>
  </si>
  <si>
    <t>Ballots Revealed Anonymously</t>
  </si>
  <si>
    <t>Anonymous</t>
  </si>
  <si>
    <t xml:space="preserve">Additional Notes: </t>
  </si>
  <si>
    <t>Publicly abstained: Jim Baumbach, Buster Olney, Jeff Passan (first time abstaining)</t>
  </si>
  <si>
    <t>Confirmed to have lost their ballot due to eligibility rules (8): Vic Feuerherd, Ed Hilt, Mark Kreidler, David Lariviere, Mike Lefkow, Shaun O'Neill, Jeff Vorva (probably), One more not public</t>
  </si>
  <si>
    <t xml:space="preserve">Passed away in 2017 (2): Bob Rosen, Rick Ventura </t>
  </si>
  <si>
    <t>2018 is final ballot before being losing ballot due to eligibility rules (1): Rick Plumlee</t>
  </si>
  <si>
    <t xml:space="preserve">2018 is final ballot (voluntarily giving up vote) (3): Andrew Call, Bernie Lincicome, Steve Milton </t>
  </si>
  <si>
    <t>First-time voters yet to reveal ballots:  Junko Ichimura, Hideo Kizaki, Ryan Lawrence, Naoko Sato</t>
  </si>
  <si>
    <t xml:space="preserve">Partial ballots (2): Mark Kiszla (4 of ?), Vlad, Hoffman, Chipper, Thome
John Labombarda (4 of ?), Vlad, Hoffman, Chipper, Thome
</t>
  </si>
  <si>
    <t>Voted last year but did not vote this year: Paul Doyle (may vote again in the future), Dave Krieger (giving up his ballot), Peter Kerasotis (will vote next year), Gil LeBreton (will vote again), Art Martone (will vote again), Jeff Schultz (giving up his ballot), Lyle Spencer (may vote again in the future?)</t>
  </si>
  <si>
    <t>Voted last year but did not vote this year (future eligibility unconfirmed): Bill Abramson, Paul Attner, Scott Bordow, Stephen Bray, Vincent DiTrani, Bob Dolgan, John Eisenberg, R.B. Fallstrom, Brian Golden, Bob Hertzel, Joe Hoppel, Barney Hutchinson, Larry Lage, Ruben Luna, Jim Molony, Bob Padecky, Doug Padilla, Jill Painter-Lopez, Jay Paris, George Pohly, Tom Powers, Ron Rapaport, Christian Red, Brendan Roberts, Jack E. Wilkinson, Gregg Wong, Tom Yantz</t>
  </si>
  <si>
    <t>Shared a  ballot, but not on the list of voters (likely ballot lost in mail): Adam Rubin</t>
  </si>
  <si>
    <t>Ballots Cast: 442
Votes Needed for 75%: 332</t>
  </si>
  <si>
    <t>Last Updated:
2/20/2017 at 4:15 pm PST</t>
  </si>
  <si>
    <t>Jeff Bagwell
(7th)</t>
  </si>
  <si>
    <t>Barry Bonds
(5th)</t>
  </si>
  <si>
    <t>Roger Clemens
(5th)</t>
  </si>
  <si>
    <t>Vlad Guerrero (1st)</t>
  </si>
  <si>
    <t>Trevor Hoffman
(2nd)</t>
  </si>
  <si>
    <t>Jeff 
Kent
(4th)</t>
  </si>
  <si>
    <t>Edgar Martinez
(8th)</t>
  </si>
  <si>
    <t>Fred McGriff
(8th)</t>
  </si>
  <si>
    <t>Mike Mussina
(4th)</t>
  </si>
  <si>
    <t>Jorge Posada
(1st)</t>
  </si>
  <si>
    <t>Tim 
Raines
(10th)</t>
  </si>
  <si>
    <t>Manny Ramirez
(1st)</t>
  </si>
  <si>
    <t>Ivan Rodriguez
(1st)</t>
  </si>
  <si>
    <t>Curt Schilling
(5th)</t>
  </si>
  <si>
    <t>Gary Sheffield
(3rd)</t>
  </si>
  <si>
    <t>Lee 
Smith
(15th)</t>
  </si>
  <si>
    <t>Sammy Sosa
(5th)</t>
  </si>
  <si>
    <t>Billy Wagner
(2nd)</t>
  </si>
  <si>
    <t>Larry Walker
(7th)</t>
  </si>
  <si>
    <t>Casey Blake
(1st)</t>
  </si>
  <si>
    <t>Pat
 Burrell
(1st)</t>
  </si>
  <si>
    <t>Orlando Cabrera
(1st)</t>
  </si>
  <si>
    <t>Mike Cameron
(1st)</t>
  </si>
  <si>
    <t>J.D. 
Drew
(1st)</t>
  </si>
  <si>
    <t>Carlos Guillen
(1st)</t>
  </si>
  <si>
    <t>Derrek 
Lee
(1st)</t>
  </si>
  <si>
    <t>Melvin Mora
(1st)</t>
  </si>
  <si>
    <t>Magglio Ordonez
(1st)</t>
  </si>
  <si>
    <t>Edgar Renteria
(1st)</t>
  </si>
  <si>
    <t>Arthur Rhodes
(1st)</t>
  </si>
  <si>
    <t>Freddy Sanchez
(1st)</t>
  </si>
  <si>
    <t>Matt Stairs
(1st)</t>
  </si>
  <si>
    <t>Jason Varitek
(1st)</t>
  </si>
  <si>
    <t>Tim Wakefield
(1st)</t>
  </si>
  <si>
    <t>2016 Actual Final %</t>
  </si>
  <si>
    <t>2016 Actual % vs Pre-Results %</t>
  </si>
  <si>
    <t>2016 Private % vs Public %</t>
  </si>
  <si>
    <t>% Public Ballots (249) Pre-Results</t>
  </si>
  <si>
    <t>Pre-Results % 2015</t>
  </si>
  <si>
    <t>ESTIMATED Net Gain Needed for 75%**</t>
  </si>
  <si>
    <t>% on Anonymous Ballots (5)</t>
  </si>
  <si>
    <t>% Among First-Time Voters (15)</t>
  </si>
  <si>
    <t>Schilling, Manny, Wagner</t>
  </si>
  <si>
    <t>MLB Network Radio</t>
  </si>
  <si>
    <t>Michael Bauman</t>
  </si>
  <si>
    <t xml:space="preserve">Mike Berardino </t>
  </si>
  <si>
    <t xml:space="preserve">Jeff Blair (did not vote last yr) </t>
  </si>
  <si>
    <t>Edgar, Walker</t>
  </si>
  <si>
    <t>Hal Bodley</t>
  </si>
  <si>
    <t xml:space="preserve">Email </t>
  </si>
  <si>
    <t>Scott Bordow</t>
  </si>
  <si>
    <t xml:space="preserve">Mark Bradley </t>
  </si>
  <si>
    <t xml:space="preserve">Dave Campbell </t>
  </si>
  <si>
    <t xml:space="preserve">Schilling </t>
  </si>
  <si>
    <t xml:space="preserve">Pat Caputo </t>
  </si>
  <si>
    <t>Murray Chass (blank ballot)</t>
  </si>
  <si>
    <t>Lowell Cohn</t>
  </si>
  <si>
    <t xml:space="preserve">Walker, Raines </t>
  </si>
  <si>
    <t>Edgar, Pudge</t>
  </si>
  <si>
    <t xml:space="preserve">Brian Costello </t>
  </si>
  <si>
    <t xml:space="preserve">Tim Cowlishaw </t>
  </si>
  <si>
    <t xml:space="preserve">Shi Davidi </t>
  </si>
  <si>
    <t>TV: Sportsnet CA</t>
  </si>
  <si>
    <t xml:space="preserve">Steve Dilbeck (hadn't voted in at least 2 years) </t>
  </si>
  <si>
    <t>Paul Doyle</t>
  </si>
  <si>
    <t>Edgar, Mussina, Walker</t>
  </si>
  <si>
    <t>John Fay</t>
  </si>
  <si>
    <t>Walker, Edgar, Schilling, Wagner, Hoffman, Kent</t>
  </si>
  <si>
    <t xml:space="preserve">Martin Fennelly </t>
  </si>
  <si>
    <t>Mussina, Walker</t>
  </si>
  <si>
    <t xml:space="preserve">Jeff Fletcher </t>
  </si>
  <si>
    <t>Kent, McGriff, Sheffield, Wagner, Walker</t>
  </si>
  <si>
    <t xml:space="preserve">Derrick Goold </t>
  </si>
  <si>
    <t xml:space="preserve">Bonds, Clemens </t>
  </si>
  <si>
    <t>Rick Gosselin</t>
  </si>
  <si>
    <t>Mussina, Schilling</t>
  </si>
  <si>
    <t xml:space="preserve">Evan Grant </t>
  </si>
  <si>
    <t>DM via Randy Miller</t>
  </si>
  <si>
    <t>Paul Hagan</t>
  </si>
  <si>
    <t>Raines</t>
  </si>
  <si>
    <t xml:space="preserve">John Harper </t>
  </si>
  <si>
    <t xml:space="preserve">MLB Network </t>
  </si>
  <si>
    <t xml:space="preserve">Mike Harrington </t>
  </si>
  <si>
    <t>Hoffman, Schilling</t>
  </si>
  <si>
    <t xml:space="preserve">Joe Henderson </t>
  </si>
  <si>
    <t xml:space="preserve">Lynn Henning (abstained last 2yr) </t>
  </si>
  <si>
    <t xml:space="preserve">Mark Herrmann </t>
  </si>
  <si>
    <t>Bob Hertzel</t>
  </si>
  <si>
    <t xml:space="preserve">Bob Herzog </t>
  </si>
  <si>
    <t>Mussina, Wagner</t>
  </si>
  <si>
    <t xml:space="preserve">Jon Heyman </t>
  </si>
  <si>
    <t>John Hickey</t>
  </si>
  <si>
    <t>Ed Hilt</t>
  </si>
  <si>
    <t>DM (via Randy Miller)</t>
  </si>
  <si>
    <t>Paul Hoynes</t>
  </si>
  <si>
    <t xml:space="preserve">Vlad, Smith (+2-3 others) </t>
  </si>
  <si>
    <t>Tom Keegan</t>
  </si>
  <si>
    <t>Peter Kerasotis</t>
  </si>
  <si>
    <t>Kent, Sosa</t>
  </si>
  <si>
    <t>Mark Kreidler</t>
  </si>
  <si>
    <t>Dave Krieger (will be last ballot)</t>
  </si>
  <si>
    <t xml:space="preserve">Roch Kubatko </t>
  </si>
  <si>
    <t>Wagner, Walker, (Schilling?)</t>
  </si>
  <si>
    <t xml:space="preserve">David Lariviere </t>
  </si>
  <si>
    <t xml:space="preserve">Scott Lauber </t>
  </si>
  <si>
    <t>Hoffman, (Walker?)</t>
  </si>
  <si>
    <t>Gil LeBreton</t>
  </si>
  <si>
    <t>Mike Lefkow</t>
  </si>
  <si>
    <t xml:space="preserve">Joseph Liao </t>
  </si>
  <si>
    <t xml:space="preserve">Bernie Lincicome </t>
  </si>
  <si>
    <t xml:space="preserve">Bill Livingston (blank ballot) </t>
  </si>
  <si>
    <t xml:space="preserve">Thom Loverro </t>
  </si>
  <si>
    <t>Vlad, Mussina, Manny, Pudge, Schilling</t>
  </si>
  <si>
    <t xml:space="preserve">Steven Marcus </t>
  </si>
  <si>
    <t xml:space="preserve">Art Martone </t>
  </si>
  <si>
    <t>Radio show 11/22/16</t>
  </si>
  <si>
    <t xml:space="preserve">Jack McCaffery (Rose write-in) </t>
  </si>
  <si>
    <t xml:space="preserve">Janie McCauley </t>
  </si>
  <si>
    <t xml:space="preserve">Sean McClelland </t>
  </si>
  <si>
    <t xml:space="preserve">Randy Miller </t>
  </si>
  <si>
    <t>Kevin Modesti (did not vote last yr)</t>
  </si>
  <si>
    <t>Jim Molony</t>
  </si>
  <si>
    <t>Mussina (+ maybe Sheffield, Walker, Wagner)</t>
  </si>
  <si>
    <t>Walker, Sheffield, Kent, McGriff, Wagner</t>
  </si>
  <si>
    <t xml:space="preserve">Rick Morrissey </t>
  </si>
  <si>
    <t>Schilling, McGriff, Walker</t>
  </si>
  <si>
    <t>Wagner, Walker</t>
  </si>
  <si>
    <t>Eric Nunez</t>
  </si>
  <si>
    <t xml:space="preserve">Drew Olson </t>
  </si>
  <si>
    <t xml:space="preserve">Jose de Jesus Ortiz </t>
  </si>
  <si>
    <t>Bob Padecky</t>
  </si>
  <si>
    <t>Doug Padilla</t>
  </si>
  <si>
    <t>Jay Paris</t>
  </si>
  <si>
    <t>Jeff Passan</t>
  </si>
  <si>
    <t>Vlad, McGriff, Manny</t>
  </si>
  <si>
    <t xml:space="preserve">Joe Posnanski </t>
  </si>
  <si>
    <t xml:space="preserve">Scott Priestle </t>
  </si>
  <si>
    <t>Jim Reeves (didn't vote last 2yrs)</t>
  </si>
  <si>
    <t xml:space="preserve">Dave Reynolds </t>
  </si>
  <si>
    <t>Brendan Roberts</t>
  </si>
  <si>
    <t>Alan Robinson</t>
  </si>
  <si>
    <t>MLB Network TV</t>
  </si>
  <si>
    <t>John Romano (did not vote last yr)</t>
  </si>
  <si>
    <t xml:space="preserve">C. Trent Rosecrans </t>
  </si>
  <si>
    <t>Vlad, Sosa</t>
  </si>
  <si>
    <t>Adam Rubin</t>
  </si>
  <si>
    <t xml:space="preserve">Mark Saxon </t>
  </si>
  <si>
    <t xml:space="preserve">Henry Schulman </t>
  </si>
  <si>
    <t>Jeff Schultz (will be last ballot)</t>
  </si>
  <si>
    <t xml:space="preserve">Mike Shalin </t>
  </si>
  <si>
    <t xml:space="preserve">Steve Simmons </t>
  </si>
  <si>
    <t>Willie Smith (did not vote last yr)</t>
  </si>
  <si>
    <t xml:space="preserve">Clark Spencer (did not vote last yr) </t>
  </si>
  <si>
    <t xml:space="preserve">Kent, McGriff, Wagner, Walker </t>
  </si>
  <si>
    <t xml:space="preserve">Larry Stone </t>
  </si>
  <si>
    <t xml:space="preserve">TR Sullivan </t>
  </si>
  <si>
    <t>Kent, Edgar, Schilling, Sheffield</t>
  </si>
  <si>
    <t xml:space="preserve">John Tomase </t>
  </si>
  <si>
    <t>Sosa, Schilling</t>
  </si>
  <si>
    <t>Jeff Vorva</t>
  </si>
  <si>
    <t xml:space="preserve">Bernie Wilson </t>
  </si>
  <si>
    <t xml:space="preserve">Mussina, McGriff, Sheffield </t>
  </si>
  <si>
    <t>John Altavilla</t>
  </si>
  <si>
    <t>Hartford Courant</t>
  </si>
  <si>
    <t>David Barron</t>
  </si>
  <si>
    <t>John Black*</t>
  </si>
  <si>
    <t>Dan Bostrom*</t>
  </si>
  <si>
    <t>Bob Cohn*</t>
  </si>
  <si>
    <t>Tim Dahlberg*</t>
  </si>
  <si>
    <t>Dave Daniel*</t>
  </si>
  <si>
    <t>Tony DeMarco*</t>
  </si>
  <si>
    <t>Mike Dodd*</t>
  </si>
  <si>
    <t>Chris Elsberry*</t>
  </si>
  <si>
    <t>Joe Haakenson*</t>
  </si>
  <si>
    <t>Steve Henson*</t>
  </si>
  <si>
    <t>Joe Hoppel*</t>
  </si>
  <si>
    <t>Gary Hyvonen*</t>
  </si>
  <si>
    <t xml:space="preserve">Jim Ingraham </t>
  </si>
  <si>
    <t>Joey Johnston*</t>
  </si>
  <si>
    <t>Bob Kuenster*</t>
  </si>
  <si>
    <t xml:space="preserve">Bill Lankhof* </t>
  </si>
  <si>
    <t>Seth Livingstone*</t>
  </si>
  <si>
    <t>Bill Madden*</t>
  </si>
  <si>
    <t>Warren Mayes</t>
  </si>
  <si>
    <t>Sean McAdam*</t>
  </si>
  <si>
    <t xml:space="preserve">Jeff Miller </t>
  </si>
  <si>
    <t>John Nadel*</t>
  </si>
  <si>
    <t>LaVelle E. Neal III</t>
  </si>
  <si>
    <t xml:space="preserve">Joe Ostermeier </t>
  </si>
  <si>
    <t>Terry Pluto*</t>
  </si>
  <si>
    <t>Tom Powers</t>
  </si>
  <si>
    <t>Robert Rosen*</t>
  </si>
  <si>
    <t xml:space="preserve">Mark Schmetzer </t>
  </si>
  <si>
    <t xml:space="preserve">Lyle Spencer </t>
  </si>
  <si>
    <t>#10 may have been Schilling over Edgar</t>
  </si>
  <si>
    <t>Mike Waldner*</t>
  </si>
  <si>
    <t xml:space="preserve">Kirk Wessler </t>
  </si>
  <si>
    <t>Gregg Wong*</t>
  </si>
  <si>
    <t>Tom Yantz</t>
  </si>
  <si>
    <t xml:space="preserve">Additional Notes: 
Publicly abstained: Jim Baumbach (4th straight year), Tim Brown (2nd straight year), Howard Bryant (1st year), Wallace Matthews (1st year), Buster Olney (3rd straight year)
Confirmed to have been "purged" (1): Steven Jacobson
Passed away in 2016 (4): Kent Baker, Juan C. Rodriguez (did not cast a 2016 ballot), Drew Sharp, Tom Singer
Possibly purged (NOT CONFIRMED) - Mike Klis
2017 is final ballot before being "purged" (1): Vic Feuerherd, Jeff Vorva (probably)
2017 is final ballot (voluntarily giving up vote) (2): Dave Krieger, Jeff Schultz
First-time voters yet to reveal ballots (5): Darrin Beene, Jeff Kuehn (private this year), Christian Red, Takashi Settai, Tom Timmermann
</t>
  </si>
  <si>
    <t xml:space="preserve">Partial ballots (2): 
Cormac Gordon (5 of ?): Bagwell (maybe a +1), Bonds (+1), Clemens (+1), Raines, Pudge. Considering Mussina, Hoffman. Will not vote for Manny, Vlad.
Bob Sansevere (2 of ?): Yes on Raines and Smith, probably Bonds and Clemens, considering Pudge and Bagwell, maybe Hoffman
Voted last year but did not vote this year: Geoff Baker, Kent Baker, Steve Bisheff, David Bush, Sam Carchidi, Frank Clines (likely purged), Phil Elderkin, Gerald Eskenazi, Vic Feuerherd (ballot never arrived to his new home out of the country - believes he will also now be purged), Mike Fine, Mike Finnigan, Steve Goldman (will vote again next year), Sid Hartman, Stephen Hawkins, Johnette Howard, Mark Kiszla, Mike Klis (purged?), Pierre Ladoueur, Mark Maloney (voluntarily relinquished his vote due to retirement), Jim Massie, Wallace Matthews (voluntarily giving up ballot), Len Megliola, Malcolm Moran, Ross Newhan (chose not to vote this year), Joseph Roderick, Carroll Rogers, Tom Saladino, Corky Simpson, Howard Siner, Tom Singer, Christopher Stier, George Vass, James Walker
Shared a  ballot, but not on the list of voters: Gary Shelton (also not on the 2016 list - purged?)
</t>
  </si>
  <si>
    <t>Votes per Public Ballot:</t>
  </si>
  <si>
    <t>Total Ballots Cast: 440</t>
  </si>
  <si>
    <t>Last Updated:
1/15/16 @ 7:52 AM PST</t>
  </si>
  <si>
    <t>Garret Ander-
son
(1st)</t>
  </si>
  <si>
    <t>Brad Ausmus</t>
  </si>
  <si>
    <t>Jeff Bagwell
(6th)</t>
  </si>
  <si>
    <t>Barry Bonds
(4th)</t>
  </si>
  <si>
    <t>Luis Castollo</t>
  </si>
  <si>
    <t>Roger Clemens
(4th)</t>
  </si>
  <si>
    <t>David Eckstein
(1st)</t>
  </si>
  <si>
    <t>Jim Edmonds
(1st)</t>
  </si>
  <si>
    <t>Nomar Garcia-
parra
(2nd)</t>
  </si>
  <si>
    <t>Troy Glaus</t>
  </si>
  <si>
    <t>Ken Griffey Jr.
(1st)</t>
  </si>
  <si>
    <t>Mark Gruzielanek</t>
  </si>
  <si>
    <t>Mike Hampton</t>
  </si>
  <si>
    <t>Trevor Hoffman
(1st)</t>
  </si>
  <si>
    <t>Jason Kendall
(1st)</t>
  </si>
  <si>
    <t>Jeff 
Kent
(3rd)</t>
  </si>
  <si>
    <t>Mike Lowell</t>
  </si>
  <si>
    <t>Edgar Martinez
(7th)</t>
  </si>
  <si>
    <t>Fred McGriff
(7th)</t>
  </si>
  <si>
    <t>Mark McGwire
(10th)</t>
  </si>
  <si>
    <t>Mike Mussina
(3rd)</t>
  </si>
  <si>
    <t>Mike Piazza
(4th)</t>
  </si>
  <si>
    <t>Tim Raines
(9th)</t>
  </si>
  <si>
    <t>Curt Schilling
(4th)</t>
  </si>
  <si>
    <t>Gary Sheffield
(2nd)</t>
  </si>
  <si>
    <t>Lee Smith
(14th)</t>
  </si>
  <si>
    <t>Sammy Sosa
(4th)</t>
  </si>
  <si>
    <t>Mike Sweeney
(1st)</t>
  </si>
  <si>
    <t>Alan Trammell
(15th)</t>
  </si>
  <si>
    <t>Billy Wagner
(1st)</t>
  </si>
  <si>
    <t>Larry Walker
(6th)</t>
  </si>
  <si>
    <t>Randy Winn</t>
  </si>
  <si>
    <t>Known Votes</t>
  </si>
  <si>
    <t>Elim.</t>
  </si>
  <si>
    <t>Safe</t>
  </si>
  <si>
    <t>Last Yr</t>
  </si>
  <si>
    <t>% Public Ballots Pre-Results</t>
  </si>
  <si>
    <t>+12</t>
  </si>
  <si>
    <t>% Among First-Time Voters  (10)</t>
  </si>
  <si>
    <t>http://www.twitter.com/NotMrTibbs</t>
  </si>
  <si>
    <t>BBWAA Chapter (often a best guess)</t>
  </si>
  <si>
    <t>http://bit.ly/1lPMAGl</t>
  </si>
  <si>
    <t>Boston</t>
  </si>
  <si>
    <t>http://cour.at/1NCmBJo</t>
  </si>
  <si>
    <t>http://bit.ly/1juZDLm</t>
  </si>
  <si>
    <t>Honorary</t>
  </si>
  <si>
    <t xml:space="preserve">Mel Antonen </t>
  </si>
  <si>
    <t>http://bit.ly/1NYiBGz</t>
  </si>
  <si>
    <t>Dallas</t>
  </si>
  <si>
    <t>http://bit.ly/1Rb64SF</t>
  </si>
  <si>
    <t>Seattle</t>
  </si>
  <si>
    <t>Baltimore-DC</t>
  </si>
  <si>
    <t>Cleveland</t>
  </si>
  <si>
    <t>http://bit.ly/1JYaYuJ</t>
  </si>
  <si>
    <t>SF-Oakland</t>
  </si>
  <si>
    <t>http://bit.ly/1PBJNgj</t>
  </si>
  <si>
    <t>Atlanta</t>
  </si>
  <si>
    <t>http://bit.ly/1SUoN2y</t>
  </si>
  <si>
    <t>New York</t>
  </si>
  <si>
    <t>http://on.fb.me/1mz8ePd</t>
  </si>
  <si>
    <t>Minneapolis</t>
  </si>
  <si>
    <t>Mike Bauman</t>
  </si>
  <si>
    <t>http://atmlb.com/1kGljoj</t>
  </si>
  <si>
    <t>http://bit.ly/1RhbUAI</t>
  </si>
  <si>
    <t>http://bit.ly/1Ur9i2e</t>
  </si>
  <si>
    <t>http://bit.ly/1TNIJEy</t>
  </si>
  <si>
    <t>Pittsburgh</t>
  </si>
  <si>
    <t>http://bit.ly/1MRVs3Q</t>
  </si>
  <si>
    <t>Arizona</t>
  </si>
  <si>
    <t>Direct Message</t>
  </si>
  <si>
    <t>LA-Anaheim</t>
  </si>
  <si>
    <t>Philadelphia</t>
  </si>
  <si>
    <t xml:space="preserve">Filip Bondy </t>
  </si>
  <si>
    <t xml:space="preserve">New York </t>
  </si>
  <si>
    <t>http://usat.ly/1PdpqRi</t>
  </si>
  <si>
    <t>http://bit.ly/1QnzkFI</t>
  </si>
  <si>
    <t>http://bit.ly/1IZyhsQ</t>
  </si>
  <si>
    <t>http://bit.ly/1mDnHO3</t>
  </si>
  <si>
    <t xml:space="preserve">Larry Brooks </t>
  </si>
  <si>
    <t>http://bit.ly/1Yr54sI</t>
  </si>
  <si>
    <t>Howard Bryant</t>
  </si>
  <si>
    <t>http://bit.ly/1mges6a</t>
  </si>
  <si>
    <t>http://bit.ly/1OoE7GE</t>
  </si>
  <si>
    <t>http://bit.ly/1k8XVj6</t>
  </si>
  <si>
    <t>http://bit.ly/1VkEbqe</t>
  </si>
  <si>
    <t>http://bit.ly/1OImlfF</t>
  </si>
  <si>
    <t>John Canzano (did not vote 2015)</t>
  </si>
  <si>
    <t>http://bit.ly/1QBvF74</t>
  </si>
  <si>
    <t>http://es.pn/1OMHFmi</t>
  </si>
  <si>
    <t>ESPN</t>
  </si>
  <si>
    <t>http://bit.ly/1NxECfa</t>
  </si>
  <si>
    <t>Detroit</t>
  </si>
  <si>
    <t>Sam Carchidi (wrote in Pete Rose)</t>
  </si>
  <si>
    <t>http://bit.ly/1HSXdCb</t>
  </si>
  <si>
    <t>http://bit.ly/1PGKALg</t>
  </si>
  <si>
    <t>San Diego</t>
  </si>
  <si>
    <t>Murray Chass (did not vote last yr)</t>
  </si>
  <si>
    <t>http://bit.ly/1kBJT9Z</t>
  </si>
  <si>
    <t>Ron Chimelis</t>
  </si>
  <si>
    <t>http://bit.ly/1QXIOYp</t>
  </si>
  <si>
    <t>http://bit.ly/1MsfNx8</t>
  </si>
  <si>
    <t>http://bit.ly/1mkc9zr</t>
  </si>
  <si>
    <t>http://bit.ly/1NMNPQN</t>
  </si>
  <si>
    <t>http://es.pn/1QKlhKF</t>
  </si>
  <si>
    <t>Glen Crevier (did not vote last yr)</t>
  </si>
  <si>
    <t>http://bit.ly/1K5m4y9</t>
  </si>
  <si>
    <t>http://bit.ly/1mw5nGW</t>
  </si>
  <si>
    <t>Miami</t>
  </si>
  <si>
    <t>http://cin.ci/1SkOg6U</t>
  </si>
  <si>
    <t>Cincinnati</t>
  </si>
  <si>
    <t>http://bit.ly/1Z48Zfh</t>
  </si>
  <si>
    <t>Toronto</t>
  </si>
  <si>
    <t>http://nyp.st/1MQ3xFK</t>
  </si>
  <si>
    <t>http://bit.ly/1leW1yN</t>
  </si>
  <si>
    <t>http://bit.ly/1kzCyrq</t>
  </si>
  <si>
    <t>http://bit.ly/1IRdrvQ</t>
  </si>
  <si>
    <t>Chicago</t>
  </si>
  <si>
    <t>http://bit.ly/1SY2Xej</t>
  </si>
  <si>
    <t>http://bit.ly/1Sl3eK6</t>
  </si>
  <si>
    <t>http://bit.ly/1O4WyKh</t>
  </si>
  <si>
    <t>Chris Elsberry</t>
  </si>
  <si>
    <t>http://bit.ly/1Qyafbc</t>
  </si>
  <si>
    <t>http://bit.ly/1UH8zu8</t>
  </si>
  <si>
    <t>Kansas City</t>
  </si>
  <si>
    <t>http://bit.ly/1IV4oo6</t>
  </si>
  <si>
    <t>http://bit.ly/1PKzE03</t>
  </si>
  <si>
    <t>http://bit.ly/1kFI77A</t>
  </si>
  <si>
    <t>Steven M. Goldman</t>
  </si>
  <si>
    <t>FB</t>
  </si>
  <si>
    <t>http://trib.in/1R4DSRK</t>
  </si>
  <si>
    <t>http://apple.co/1YTHIBl</t>
  </si>
  <si>
    <t xml:space="preserve">St. Louis </t>
  </si>
  <si>
    <t>http://bit.ly/1Oy3gij</t>
  </si>
  <si>
    <t>Jerry Green</t>
  </si>
  <si>
    <t>http://detne.ws/1mtFAyW</t>
  </si>
  <si>
    <t>http://bit.ly/1mb468m</t>
  </si>
  <si>
    <t>http://bit.ly/1ZuMeDf</t>
  </si>
  <si>
    <t>http://on.thestar.com/1RqcXhI</t>
  </si>
  <si>
    <t>http://bit.ly/1NxcOpZ</t>
  </si>
  <si>
    <t>MLB.com</t>
  </si>
  <si>
    <t>http://bit.ly/1NnzAkb</t>
  </si>
  <si>
    <t>http://atmlb.com/1PcgM5i</t>
  </si>
  <si>
    <t>http://bit.ly/1OkzNmi</t>
  </si>
  <si>
    <t>Milwaukee</t>
  </si>
  <si>
    <t>http://on.fb.me/1O88nDI</t>
  </si>
  <si>
    <t>Tampa</t>
  </si>
  <si>
    <t>http://nwsdy.li/1OpUPn5</t>
  </si>
  <si>
    <t>http://bit.ly/1Ph4rzl</t>
  </si>
  <si>
    <t>http://cbsprt.co/1VonRoy</t>
  </si>
  <si>
    <t xml:space="preserve">Ed Hilt </t>
  </si>
  <si>
    <t>http://bit.ly/1RT1dWh</t>
  </si>
  <si>
    <t>http://cour.at/1TV5jeb</t>
  </si>
  <si>
    <t>Stephen Jacobson</t>
  </si>
  <si>
    <t>http://bit.ly/1RfSOwn</t>
  </si>
  <si>
    <t>http://bit.ly/1RunAkO</t>
  </si>
  <si>
    <t>Houston</t>
  </si>
  <si>
    <t>http://bayareane.ws/1OhyiZz</t>
  </si>
  <si>
    <t>http://on.fb.me/1OxoGG7</t>
  </si>
  <si>
    <t>http://nyp.st/1Sb0EHC</t>
  </si>
  <si>
    <t>http://bit.ly/1ZGNq6B</t>
  </si>
  <si>
    <t>http://ble.ac/1R0px8G</t>
  </si>
  <si>
    <t>At-Large</t>
  </si>
  <si>
    <t>Dejan Kovavecic</t>
  </si>
  <si>
    <t>http://bit.ly/1kKvV5D</t>
  </si>
  <si>
    <t xml:space="preserve">Mark Kreidler </t>
  </si>
  <si>
    <t>Dave Krieger</t>
  </si>
  <si>
    <t>http://bit.ly/1R66OIM</t>
  </si>
  <si>
    <t xml:space="preserve">Colorado </t>
  </si>
  <si>
    <t>http://bit.ly/1ZkQKaN</t>
  </si>
  <si>
    <t>http://bit.ly/1T77pr8</t>
  </si>
  <si>
    <t>http://bit.ly/1RmKwlP</t>
  </si>
  <si>
    <t>http://bit.ly/1P2uDLA</t>
  </si>
  <si>
    <t>http://bit.ly/1P06EMO</t>
  </si>
  <si>
    <t xml:space="preserve">David Lennon </t>
  </si>
  <si>
    <t>http://bit.ly/22lGGxh</t>
  </si>
  <si>
    <t>http://trib.in/1In7xwK</t>
  </si>
  <si>
    <t>http://bit.ly/1Mi6DWk</t>
  </si>
  <si>
    <t>http://bit.ly/1IMVCyd</t>
  </si>
  <si>
    <t>http://bit.ly/1IXnMGM</t>
  </si>
  <si>
    <t>http://bit.ly/1Z6x05g</t>
  </si>
  <si>
    <t>http://bit.ly/1mDdv8O</t>
  </si>
  <si>
    <t>http://nwsdy.li/1Rf9xOv</t>
  </si>
  <si>
    <t xml:space="preserve">Tony Massarotti </t>
  </si>
  <si>
    <t>http://cbsloc.al/1ZV6xdj</t>
  </si>
  <si>
    <t>Wallace Matthews (did not vote last yr)</t>
  </si>
  <si>
    <t>Sean McAdam (did not vote last yr)</t>
  </si>
  <si>
    <t>http://bit.ly/1RgyRW4</t>
  </si>
  <si>
    <t>Jack McCaffery (wrote in Pete Rose)</t>
  </si>
  <si>
    <t>http://bit.ly/1Z2d6dy</t>
  </si>
  <si>
    <t>http://nydn.us/1OLGvHI</t>
  </si>
  <si>
    <t>Sean McClelland</t>
  </si>
  <si>
    <t>http://bit.ly/1lmmqdP</t>
  </si>
  <si>
    <t>http://bit.ly/1mz3g5w</t>
  </si>
  <si>
    <t>Bernie Miklasz</t>
  </si>
  <si>
    <t>Jeff Miller (did not vote last 3 yrs)</t>
  </si>
  <si>
    <t>http://bit.ly/1NVeJTc</t>
  </si>
  <si>
    <t>http://bit.ly/1mciuwn</t>
  </si>
  <si>
    <t>http://ble.ac/1OKbFsw</t>
  </si>
  <si>
    <t>http://bit.ly/1Pm6WOq</t>
  </si>
  <si>
    <t>http://bit.ly/1lULIj6</t>
  </si>
  <si>
    <t>Sirius XM 12/31/15</t>
  </si>
  <si>
    <t>http://bit.ly/1XfeerH</t>
  </si>
  <si>
    <t>http://bit.ly/1QGFO2h</t>
  </si>
  <si>
    <t>Ross Newhan</t>
  </si>
  <si>
    <t>http://on.fb.me/1MdQcqu</t>
  </si>
  <si>
    <t>Marty Noble</t>
  </si>
  <si>
    <t>http://bit.ly/1Rk2fJw</t>
  </si>
  <si>
    <t>http://bit.ly/1kDLRGX</t>
  </si>
  <si>
    <t>New York/ESPN</t>
  </si>
  <si>
    <t>http://bit.ly/1Q0jEba</t>
  </si>
  <si>
    <t>http://bit.ly/1mvd5kV</t>
  </si>
  <si>
    <t>Peter Pascarelli</t>
  </si>
  <si>
    <t xml:space="preserve">Jeff Passan </t>
  </si>
  <si>
    <t>http://bit.ly/1NQ4JhP</t>
  </si>
  <si>
    <t>http://bit.ly/1QXTtlU</t>
  </si>
  <si>
    <t>http://bit.ly/1OayZ3q</t>
  </si>
  <si>
    <t>http://bit.ly/1PKR6l3</t>
  </si>
  <si>
    <t>http://bit.ly/1TKYQ5p</t>
  </si>
  <si>
    <t>http://bit.ly/1OxJth0</t>
  </si>
  <si>
    <t>http://bit.ly/1ZeBvLf</t>
  </si>
  <si>
    <t>http://bit.ly/1Ji5Q9P</t>
  </si>
  <si>
    <t>http://bit.ly/1Oz6Kiv</t>
  </si>
  <si>
    <t>http://bit.ly/1OaR0P5</t>
  </si>
  <si>
    <t>http://dpo.st/1OInaVX</t>
  </si>
  <si>
    <t>http://bit.ly/1OA4OGw</t>
  </si>
  <si>
    <t xml:space="preserve">Tracy Ringolsby </t>
  </si>
  <si>
    <t>http://bit.ly/1OdTbqu</t>
  </si>
  <si>
    <t>http://bit.ly/1m6Zxf7</t>
  </si>
  <si>
    <t>http://cin.ci/1Odz0al</t>
  </si>
  <si>
    <t>http://foxs.pt/1mmbc9v</t>
  </si>
  <si>
    <t>http://bit.ly/1N0lzfe</t>
  </si>
  <si>
    <t>http://bit.ly/1YRvdRq</t>
  </si>
  <si>
    <t>http://bit.ly/1mD2Afr</t>
  </si>
  <si>
    <t>http://bit.ly/1Rvsayc</t>
  </si>
  <si>
    <t>Jeff Schultz</t>
  </si>
  <si>
    <t>http://bit.ly/1Tg4cpn</t>
  </si>
  <si>
    <t>http://bit.ly/1JezcAz</t>
  </si>
  <si>
    <t>http://sfchron.cl/1Rfd9Cb</t>
  </si>
  <si>
    <t>http://bit.ly/1QNjft6</t>
  </si>
  <si>
    <t>http://bit.ly/1RL3t10</t>
  </si>
  <si>
    <t>Tom Singer</t>
  </si>
  <si>
    <t>http://bit.ly/1jYFzRI</t>
  </si>
  <si>
    <t>http://bit.ly/1ONIghc</t>
  </si>
  <si>
    <t>Lyle Spencer</t>
  </si>
  <si>
    <t>http://bit.ly/1TmI4K1</t>
  </si>
  <si>
    <t>http://bit.ly/1Iclj5h</t>
  </si>
  <si>
    <t>http://bit.ly/1TdCj1i</t>
  </si>
  <si>
    <t xml:space="preserve">Seattle </t>
  </si>
  <si>
    <t>http://trib.in/1IJ2dd4</t>
  </si>
  <si>
    <t>Rick Telander(did not vote in '15)</t>
  </si>
  <si>
    <t>http://bit.ly/1OEErOd</t>
  </si>
  <si>
    <t>http://bit.ly/1J2y9sy</t>
  </si>
  <si>
    <t>http://bit.ly/1Sl7Ujn</t>
  </si>
  <si>
    <t>http://bit.ly/1J0G2i9</t>
  </si>
  <si>
    <t>http://bit.ly/1OHmyQu</t>
  </si>
  <si>
    <t xml:space="preserve">San Diego </t>
  </si>
  <si>
    <t>Dave Albee*</t>
  </si>
  <si>
    <t>BBWAA.com/16-hof-ballots/</t>
  </si>
  <si>
    <t>Jim Alexander*</t>
  </si>
  <si>
    <t>Edward B. Almada*</t>
  </si>
  <si>
    <t>Dom Amore*</t>
  </si>
  <si>
    <t>http://bit.ly/1RltlSt</t>
  </si>
  <si>
    <t>Geoff Baker*</t>
  </si>
  <si>
    <t>Steve Bisheff*</t>
  </si>
  <si>
    <t>http://bit.ly/1OPgrFe</t>
  </si>
  <si>
    <t>Les Carpenter*</t>
  </si>
  <si>
    <t>Frank Clines</t>
  </si>
  <si>
    <t>http://bit.ly/1OCNNLV</t>
  </si>
  <si>
    <t>Bob Cohn</t>
  </si>
  <si>
    <t>http://bit.ly/1OD3wuj</t>
  </si>
  <si>
    <t>http://bit.ly/1SBdpdQ</t>
  </si>
  <si>
    <t>http://hrld.us/1Z8sraK</t>
  </si>
  <si>
    <t>Bob Dolgan*</t>
  </si>
  <si>
    <t>http://bit.ly/1n8MrhM</t>
  </si>
  <si>
    <t>Vic Feuerherd</t>
  </si>
  <si>
    <t>Ken Fidlin*</t>
  </si>
  <si>
    <t>Jeff Fletcher*</t>
  </si>
  <si>
    <t>http://bit.ly/1JYmpTh</t>
  </si>
  <si>
    <t>James Gauger*</t>
  </si>
  <si>
    <t>http://bit.ly/1W1bzmh</t>
  </si>
  <si>
    <t>Brian Heyman</t>
  </si>
  <si>
    <t>Joe Kay*</t>
  </si>
  <si>
    <t>http://bit.ly/1OBwv1R</t>
  </si>
  <si>
    <t>Ann Killion*</t>
  </si>
  <si>
    <t>Mike Klis*</t>
  </si>
  <si>
    <t>Colorado</t>
  </si>
  <si>
    <t>http://bit.ly/1Q0xARO</t>
  </si>
  <si>
    <t>David Lariviere</t>
  </si>
  <si>
    <t>Ruben Luna</t>
  </si>
  <si>
    <t>Mark Maloney</t>
  </si>
  <si>
    <t>David Maril*</t>
  </si>
  <si>
    <t>Art Martone</t>
  </si>
  <si>
    <t>Jim Massie</t>
  </si>
  <si>
    <t>http://bit.ly/1IT6rPg</t>
  </si>
  <si>
    <t>http://bit.ly/1PLbqks</t>
  </si>
  <si>
    <t>St. Louis</t>
  </si>
  <si>
    <t>http://bit.ly/1J6VvgU</t>
  </si>
  <si>
    <t>Chuck Murr*</t>
  </si>
  <si>
    <t>http://bit.ly/1Zhg7uc</t>
  </si>
  <si>
    <t>La Velle E. Neal III</t>
  </si>
  <si>
    <t>http://strib.mn/1MUsuzP</t>
  </si>
  <si>
    <t>http://es.pn/1Z8JyZX</t>
  </si>
  <si>
    <t>Joe Ostermeier*</t>
  </si>
  <si>
    <t>http://bit.ly/1RfczE7</t>
  </si>
  <si>
    <t>http://bit.ly/1OGt75Q</t>
  </si>
  <si>
    <t>http://bit.ly/1kNkmKS</t>
  </si>
  <si>
    <t>Patrick Reusse</t>
  </si>
  <si>
    <t>Dave Reynolds*</t>
  </si>
  <si>
    <t>Tom Saladino*</t>
  </si>
  <si>
    <t>Henry Schulman*</t>
  </si>
  <si>
    <t>http://bit.ly/1Pgf2Ii</t>
  </si>
  <si>
    <t>James Walker*</t>
  </si>
  <si>
    <t>David Wilhelm (did not vote last yr)</t>
  </si>
  <si>
    <t>Gordon Wittenmyer*</t>
  </si>
  <si>
    <t>http://bit.ly/22LFlzY</t>
  </si>
  <si>
    <t xml:space="preserve">Additional Notes: 
Publicly abstained: Jim Baumbach (3rd straight year), Tim Brown (2nd straight year), Lynn Henning (2nd Straight Year), Buster Olney (2nd straight year)
Confirmed to have been "purged" (40): Steve Aschburner*, Hal Bock, Patrick Calabria*, Dan Castellano*, Richard Chere*, Bill Christine*, Ken Daley*, Mike Deacon*, Jerry Dowling*, Mike Dyer*, Michael Gee*, Teddy Greenstein*, William Griffith*, Henry Hecht*, Phil Hersh*, Bob Hille, Sean Horgan*, Bill Kennedy, Fred Klein*, Moss Klein*, Bill Koch, Chris Long*, Cindy Rhodes Martinez, Marc Maturo*, Ivy McLemore*, Ken Kigro, Fred McMane*, Jim O'Brien, Larry Paladino, Larry Rocca*, Mark Ruda, Lisa Nehus Saxon*, Richard Shook, Art Spander*, Vito Stellino,  John Strege, Gordon Verrell, Charlie Vincent*, Russ White*, Harvey Zucker* 
Passed away in 2015 (5): Stan Hochman, Murray Janoff*, Norman MacLean, Phil Pepe (died 12/13/15 - did cast a 2016 ballot), Nick Peters, Bert Rosenthal
Possibly purged (NOT CONFIRMED) - Voted last year but not this year: Steve Adamek, Harry Atkins, Larry Babich, Howard Balzer, Ira Berkow, Joel Bierig, Frank Blackman, Brian Bragg, Gabe Buonauro, Dave Buscema, Mark Camps, Joe Carnicelli*, Mike Chesnick, Jim Cour, Blake Cullen, Dave Cunningham, Tom Cushman, Mike Davis, Joe Donnelly*, Rich Draper, Larry Eldridge, Daniel Ewald, Mike Fannin, Roger Farrell, Jim Ferguson, Ray Finocchiaro, Bud Geracie, Eddie Germano, Leslie Gibson-McCarthy, Joe Goddard, Alan Goldstein, John Gugger, Gene Guidi, Bill Halls, Kenny Hand, Mike Hart, Larry Henry, Lowell Hickey*, John Hillyer, Greg Hoard*, Myron Holtzman, Dean Howe, Bob Hunter, Rick Hurd, Jerry Izenberg, Phil Jackman, Buck Johnson, Bernie Kennedy, Mike Kiley, Ken Kraemer, Bob Kurland, Robert Kuwada, Paul Ladewski, Bud Lea, Ken Lechtanski, Bruce Lowitt, Michael A. Lutz, Michael Madden, Tom Maloney, Michael Martinez, Frank Mazzeo, Larry Merchant, Steven Meyerhhoff, Steve Milton, Kevin Modesti, Wayne Monroe, David Leon Moore, Terry Mosher, John Mossman, Blaine Newnham, Max Nichols, Gary Nuhn, Michael Paolercio, Marino Parascenzo, Tom Pedulla, Shaun Powell, Tom Powers, Ken Rappoport, Billy Rhodes, Russ Schneider, Terry Scott, Dennis Semrau, Steve Serby, Harry Shattuck, Gary Shelton, Vito Stellino, Herbert Stutz, George Sullivan, Ray Tapley, Patrick Thompson, Serge Touchette, Mike Tully, Robert Verdi, Steve Wilstein, Bob Wirz, Tom Withers, Bill Zack, Harvey Zucker
2016 is final ballot before being "purged" (1): Frank Clines
</t>
  </si>
  <si>
    <t>Partial ballots (3): 
Nick Canepa (Griffey, Hoffman, Piazza, Raines, Trammell, Schilling - 6 of up to 9, but did not vote 10 - refuses to share the rest)
Cormac Gordon (Griffey, Piazza, Raines - 3 of ?)
Bob Sansevere (Griffey, Piazza - 2 of ?)
Voted last year but did not vote this year: Glenn Dickey (not clear whether he lost his vote or just decided to stop voting), Gordon Edes* (new job as Red Sox Historian - cannot vote due to conflict of interest), Stan McNeal (now works for STL Cards; conflict of interest), Clark Spencer
Shared a  ballot, but not on the list of 440 voters: Jeff Blair (Bonds, Clemens, Griffey, Piazza, Raines), Marc Maturo (Bonds, Clemens, Raines), John Romano (Bagwell, Bonds, Clemens, Griffey, Martinez, Piazza, Raines, Schilling, Trammell)
*Public ballot last year</t>
  </si>
  <si>
    <t xml:space="preserve">Blank Ballots: </t>
  </si>
  <si>
    <t>Public Ballots:</t>
  </si>
  <si>
    <t>% of Ballots Known:</t>
  </si>
  <si>
    <t>Gained vote 
(Light green=first-time voter)</t>
  </si>
  <si>
    <t>Voters publicly abstaining: 
Lynn Henning
Buster Olney
Tim Brown
Bob Brookover (2nd straight yr)</t>
  </si>
  <si>
    <t>Voted last year but not this year:
Phil Arvia, Dennis Brackin, John Canzano, Murray Chass, Ron Cook, Glen Crevier, Bill Dickens, Gerry Fraley, Ken Gurnick, Paul Hoynes, Jerry Izenberg, Mark Kiszla, Dan Le Batard (Deadspin), Wallace Matthews, Sean McAdam, Rick Morrissey, Bill Peterson, Angel M. Prada, Jim Reeves, John Romano, Richard F. Telander, David Wilhelm</t>
  </si>
  <si>
    <t># of Returned Ballots: 549</t>
  </si>
  <si>
    <t>Lost vote 
(Light red=first-time voter)</t>
  </si>
  <si>
    <t>Moises Alou</t>
  </si>
  <si>
    <t>Rich Aurilia</t>
  </si>
  <si>
    <t>Jeff Bagwell</t>
  </si>
  <si>
    <t>Craig Biggio</t>
  </si>
  <si>
    <t>Barry Bonds</t>
  </si>
  <si>
    <t>Aaron Boone</t>
  </si>
  <si>
    <t>Tony Clark</t>
  </si>
  <si>
    <t>Roger Clemens</t>
  </si>
  <si>
    <t>Carlos Delgado</t>
  </si>
  <si>
    <t>Jermaine Dye</t>
  </si>
  <si>
    <t>Darin Erstad</t>
  </si>
  <si>
    <t>Cliff Floyd</t>
  </si>
  <si>
    <t>Nomar Garcia-
parra</t>
  </si>
  <si>
    <t>Brian Giles</t>
  </si>
  <si>
    <t>Tom Gordon</t>
  </si>
  <si>
    <t>Eddie Guardado</t>
  </si>
  <si>
    <t>Randy Johnson</t>
  </si>
  <si>
    <t>Jeff Kent</t>
  </si>
  <si>
    <t>Edgar Martinez</t>
  </si>
  <si>
    <t>Pedro Martinez</t>
  </si>
  <si>
    <t>Don Mattingly</t>
  </si>
  <si>
    <t>Fred McGriff</t>
  </si>
  <si>
    <t>Mark McGwire</t>
  </si>
  <si>
    <t>Jack Morris</t>
  </si>
  <si>
    <t>Mike Mussina</t>
  </si>
  <si>
    <t>Troy Percival</t>
  </si>
  <si>
    <t>Mike Piazza</t>
  </si>
  <si>
    <t>Tim Raines</t>
  </si>
  <si>
    <t>Curt Schilling</t>
  </si>
  <si>
    <t>Jason Schmidt</t>
  </si>
  <si>
    <t>Gary Sheffield</t>
  </si>
  <si>
    <t>Lee Smith</t>
  </si>
  <si>
    <t>John Smoltz</t>
  </si>
  <si>
    <t>Sammy Sosa</t>
  </si>
  <si>
    <t>Alan Trammell</t>
  </si>
  <si>
    <t>Larry Walker</t>
  </si>
  <si>
    <t>Will no longer reveal ballots:
Bob Smizik, Patrick Reusse (?), Mike Downey, Gene Collier</t>
  </si>
  <si>
    <t>Voters who shared ballots, but aren't on BBWAA's list of received/counted ballots: 
Steve Serby
John Lopez</t>
  </si>
  <si>
    <t>% on Public Ballots</t>
  </si>
  <si>
    <t>Total Public Votes</t>
  </si>
  <si>
    <t>Blank Ballot: 1 Anonymous</t>
  </si>
  <si>
    <t>Projected Final % from Pre-results Ballots</t>
  </si>
  <si>
    <t>N/A</t>
  </si>
  <si>
    <t>ACTUAL RESULTS:</t>
  </si>
  <si>
    <t>ACTUAL VOTES:</t>
  </si>
  <si>
    <t>#DIV/0!</t>
  </si>
  <si>
    <t>Net +/- Returning Voters Pre-Results</t>
  </si>
  <si>
    <t>+9</t>
  </si>
  <si>
    <t>+16</t>
  </si>
  <si>
    <t>+11</t>
  </si>
  <si>
    <t>% 1st-Time Voters Pre-Results</t>
  </si>
  <si>
    <t>Ballots Revealed Before HoF Election Results Announced
Know of one I'm missing? Tips appreciated @NotMrTibbs or ryan@bbhoftracker.com</t>
  </si>
  <si>
    <t>BBWAA Chapter (best guess)
(H) = Honorary</t>
  </si>
  <si>
    <t>http://bit.ly/1B2EN9k</t>
  </si>
  <si>
    <t>http://bit.ly/1FohNZ1</t>
  </si>
  <si>
    <t>http://bit.ly/1AlzftV</t>
  </si>
  <si>
    <t>Eduardo Almada</t>
  </si>
  <si>
    <t>Dave Ammenheuser</t>
  </si>
  <si>
    <t>http://tnne.ws/1t61Vzr</t>
  </si>
  <si>
    <t>http://bit.ly/1vsXuPV</t>
  </si>
  <si>
    <t>http://bit.ly/1wSh4EX</t>
  </si>
  <si>
    <t>Steve Aschburner</t>
  </si>
  <si>
    <t>http://bit.ly/1wghLbZ</t>
  </si>
  <si>
    <t>http://bit.ly/1AiOK5Z</t>
  </si>
  <si>
    <t>http://bit.ly/12PzHSA</t>
  </si>
  <si>
    <t>http://bit.ly/1z9OaoZ</t>
  </si>
  <si>
    <t>http://on.fb.me/1wZD7hK</t>
  </si>
  <si>
    <t xml:space="preserve">Minneapolis </t>
  </si>
  <si>
    <t>http://atmlb.com/13UqbxC</t>
  </si>
  <si>
    <t>Mike Berardino (!)</t>
  </si>
  <si>
    <t>http://bit.ly/1zquQ3h / http://bit.ly/1ApcWkx</t>
  </si>
  <si>
    <t>http://bit.ly/1xMoqRh</t>
  </si>
  <si>
    <t>http://bit.ly/1Igv6Xr</t>
  </si>
  <si>
    <t>http://bit.ly/1APHlr2</t>
  </si>
  <si>
    <t>Arizona (H)</t>
  </si>
  <si>
    <t>Philadelphia (H)</t>
  </si>
  <si>
    <t>http://bit.ly/1yB7Kqf</t>
  </si>
  <si>
    <t>http://bit.ly/1E2wLD8</t>
  </si>
  <si>
    <t>http://bit.ly/1ByP0dV</t>
  </si>
  <si>
    <t>http://bit.ly/1vI19Nl
http://bit.ly/16YLeRS</t>
  </si>
  <si>
    <t>http://es.pn/1rU0d92</t>
  </si>
  <si>
    <t>http://bit.ly/16MJmvy</t>
  </si>
  <si>
    <t>http://bit.ly/1wS8fuP</t>
  </si>
  <si>
    <t>New York (H)</t>
  </si>
  <si>
    <t>http://bit.ly/1E8Pn4q</t>
  </si>
  <si>
    <t>http://bit.ly/1xM8oa3</t>
  </si>
  <si>
    <t>Mark Camps</t>
  </si>
  <si>
    <t>http://bit.ly/1B2ElZ3</t>
  </si>
  <si>
    <t>http://bit.ly/1BsFJGp</t>
  </si>
  <si>
    <t>Sam Carchidi</t>
  </si>
  <si>
    <t xml:space="preserve">Philadelphia </t>
  </si>
  <si>
    <t>Joe Carnicelli</t>
  </si>
  <si>
    <t>http://bit.ly/1BDeEyk</t>
  </si>
  <si>
    <t>http://bit.ly/1AI14Jd</t>
  </si>
  <si>
    <t>http://bit.ly/1Ab7RgV</t>
  </si>
  <si>
    <t>http://bit.ly/1wjnf5O</t>
  </si>
  <si>
    <t>http://bit.ly/1A84RDh</t>
  </si>
  <si>
    <t>http://bit.ly/1rh7dMT</t>
  </si>
  <si>
    <t>http://bit.ly/1BB2R3J</t>
  </si>
  <si>
    <t>Ken Daley</t>
  </si>
  <si>
    <t>http://bit.ly/1BEtNiH</t>
  </si>
  <si>
    <t>http://bit.ly/1w9eJoB</t>
  </si>
  <si>
    <t>http://cin.ci/1IlcCF9</t>
  </si>
  <si>
    <t xml:space="preserve">Cincinnati </t>
  </si>
  <si>
    <t>http://bit.ly/1KhY6lx</t>
  </si>
  <si>
    <t>http://bit.ly/1xER0UL</t>
  </si>
  <si>
    <t>http://bit.ly/1BfNVHB</t>
  </si>
  <si>
    <t>http://bit.ly/1rhJvQs</t>
  </si>
  <si>
    <t>http://bit.ly/1HGgH8w</t>
  </si>
  <si>
    <t>http://bit.ly/14dZl47</t>
  </si>
  <si>
    <t>http://bit.ly/1zmTrGo</t>
  </si>
  <si>
    <t>http://bit.ly/1vlodg4</t>
  </si>
  <si>
    <t>Mike Dyer</t>
  </si>
  <si>
    <t>http://imgur.com/gULiDdy</t>
  </si>
  <si>
    <t>Via email</t>
  </si>
  <si>
    <t>Gordon Edes</t>
  </si>
  <si>
    <t>http://bit.ly/1JVdZ0R</t>
  </si>
  <si>
    <t>http://bit.ly/16EIDMT</t>
  </si>
  <si>
    <t>http://bit.ly/1xck4j0</t>
  </si>
  <si>
    <t>http://bit.ly/1yvHP8X</t>
  </si>
  <si>
    <t>http://bit.ly/1JQEWTn</t>
  </si>
  <si>
    <t>http://bit.ly/1EFgC72</t>
  </si>
  <si>
    <t>Michael Gee</t>
  </si>
  <si>
    <t>http://bit.ly/1uveuUl</t>
  </si>
  <si>
    <t>http://bit.ly/1tDaTEu</t>
  </si>
  <si>
    <t>http://trib.in/1zJsJrv</t>
  </si>
  <si>
    <t>http://bit.ly/1HbmUZW</t>
  </si>
  <si>
    <t>http://bit.ly/1w401iA / http://bit.ly/1A84RDh</t>
  </si>
  <si>
    <t>http://bit.ly/1vK01oi</t>
  </si>
  <si>
    <t>Detroit (H)</t>
  </si>
  <si>
    <t>Teddy Greenstein</t>
  </si>
  <si>
    <t>http://bit.ly/1CNgVuu</t>
  </si>
  <si>
    <t>http://bit.ly/1Ka22EM</t>
  </si>
  <si>
    <t>http://on.thestar.com/1xM2WRi</t>
  </si>
  <si>
    <t>Bill Griffith</t>
  </si>
  <si>
    <t>http://bit.ly/1ALtoe5</t>
  </si>
  <si>
    <t>http://bit.ly/1CYp0Kf</t>
  </si>
  <si>
    <t>http://nydn.us/1AzWRtJ</t>
  </si>
  <si>
    <t>http://bit.ly/1DcWrvy</t>
  </si>
  <si>
    <t>Henry Hecht</t>
  </si>
  <si>
    <t>http://on.fb.me/1zhe5LJ</t>
  </si>
  <si>
    <t>http://nwsdy.li/1tDUIqo</t>
  </si>
  <si>
    <t>Phil Hersh</t>
  </si>
  <si>
    <t>http://bit.ly/1rgdNDH</t>
  </si>
  <si>
    <t xml:space="preserve">Pittsburgh </t>
  </si>
  <si>
    <t>http://bit.ly/1K4UfZ1</t>
  </si>
  <si>
    <t>http://bit.ly/1DfyaF0</t>
  </si>
  <si>
    <t>http://bit.ly/1xzQcPl</t>
  </si>
  <si>
    <t>http://bit.ly/13BLqVa</t>
  </si>
  <si>
    <t>Sean Horgan</t>
  </si>
  <si>
    <t>http://bit.ly/1HbZtj3</t>
  </si>
  <si>
    <t>Rick Hurd</t>
  </si>
  <si>
    <t>http://bit.ly/14fAXz1</t>
  </si>
  <si>
    <t>Jim Ingraham</t>
  </si>
  <si>
    <t>http://bit.ly/1AqHR1h</t>
  </si>
  <si>
    <t>http://cour.at/1JAVAGH</t>
  </si>
  <si>
    <t>Houston (H)</t>
  </si>
  <si>
    <t>http://bit.ly/1zkAHXO</t>
  </si>
  <si>
    <t>http://bit.ly/1Dtg7IP</t>
  </si>
  <si>
    <t>http://bit.ly/14qEL18</t>
  </si>
  <si>
    <t>bit.ly/1wS8fuP</t>
  </si>
  <si>
    <t>http://bit.ly/1v8dhU9</t>
  </si>
  <si>
    <t>Fred Klein</t>
  </si>
  <si>
    <t>http://bit.ly/1BrWizY</t>
  </si>
  <si>
    <t>Colorado (H)</t>
  </si>
  <si>
    <t>http://bit.ly/1vBeFy6</t>
  </si>
  <si>
    <t>http://bit.ly/1BzwGSx</t>
  </si>
  <si>
    <t>http://bit.ly/1Aq9MwX</t>
  </si>
  <si>
    <t>Baltimore-DC (H)</t>
  </si>
  <si>
    <t>http://bit.ly/13Vo5y3</t>
  </si>
  <si>
    <t>http://bit.ly/1xuYcCK</t>
  </si>
  <si>
    <t>http://onforb.es/1x9f2DL</t>
  </si>
  <si>
    <t>http://on.fb.me/13EpcSF</t>
  </si>
  <si>
    <t>http://bit.ly/1xM1tuu</t>
  </si>
  <si>
    <t>http://bit.ly/1s1VrGz</t>
  </si>
  <si>
    <t>http://bit.ly/16YiEjH</t>
  </si>
  <si>
    <t>http://bit.ly/1w0RQDW</t>
  </si>
  <si>
    <t>http://nwsdy.li/1xLKtEw</t>
  </si>
  <si>
    <t>Michael Martinez</t>
  </si>
  <si>
    <t>http://bit.ly/1KcBZge</t>
  </si>
  <si>
    <t>His radio show, 12/23, Hour 3</t>
  </si>
  <si>
    <t>http://bit.ly/1SsW97U</t>
  </si>
  <si>
    <t>Ivy McLemore</t>
  </si>
  <si>
    <t>Fred McMane</t>
  </si>
  <si>
    <t>Stan McNeal</t>
  </si>
  <si>
    <t>http://foxs.pt/1xL9Ia7</t>
  </si>
  <si>
    <t>via DM</t>
  </si>
  <si>
    <t>http://bit.ly/1HtbGA9</t>
  </si>
  <si>
    <t>http://ble.ac/17djF7x</t>
  </si>
  <si>
    <t>Wayne Monroe</t>
  </si>
  <si>
    <t>http://bit.ly/1xxPwtD</t>
  </si>
  <si>
    <t>http://bit.ly/1wQgYgN</t>
  </si>
  <si>
    <t>http://bit.ly/1CCAupe</t>
  </si>
  <si>
    <t>http://on.freep.com/1tpHCTh</t>
  </si>
  <si>
    <t>http://bit.ly/1zgbP3v</t>
  </si>
  <si>
    <t>Chicago (H)</t>
  </si>
  <si>
    <t>http://bit.ly/13D2Yjm</t>
  </si>
  <si>
    <t>http://usat.ly/1AgV1z0</t>
  </si>
  <si>
    <t>http://atmlb.com/1AS5UUn</t>
  </si>
  <si>
    <t>http://bit.ly/1vEMFKQ</t>
  </si>
  <si>
    <t>Pres. Jose de Jesus Ortiz</t>
  </si>
  <si>
    <t>http://bit.ly/1zeBIWp + http://bit.ly/1B9xQmW</t>
  </si>
  <si>
    <t>http://bit.ly/1zOXwmR</t>
  </si>
  <si>
    <t>http://bit.ly/1wnkuTc</t>
  </si>
  <si>
    <t>http://bit.ly/1AdWF4p</t>
  </si>
  <si>
    <t>http://bit.ly/1wGr9t7</t>
  </si>
  <si>
    <t>http://bit.ly/1xIcYW5</t>
  </si>
  <si>
    <t>http://bit.ly/1xLT90S</t>
  </si>
  <si>
    <t>http://bit.ly/1sPQnpB</t>
  </si>
  <si>
    <t>Cleveland (H)</t>
  </si>
  <si>
    <t>http://bit.ly/1FcxjXz</t>
  </si>
  <si>
    <t>http://bit.ly/1HCoTGN</t>
  </si>
  <si>
    <t>http://bit.ly/1wSjtzl</t>
  </si>
  <si>
    <t>http://bit.ly/17fmKE2</t>
  </si>
  <si>
    <t>http://bit.ly/1wbu3m2</t>
  </si>
  <si>
    <t>Lawrence Rocca</t>
  </si>
  <si>
    <t>http://bit.ly/1wTqQXj</t>
  </si>
  <si>
    <t>http://bit.ly/1t1QChe</t>
  </si>
  <si>
    <t>http://cin.ci/1B5JDTf</t>
  </si>
  <si>
    <t>http://foxs.pt/1x9YU8k</t>
  </si>
  <si>
    <t>http://bit.ly/1AHxh3S</t>
  </si>
  <si>
    <t>http://es.pn/15mV27r</t>
  </si>
  <si>
    <t>http://bit.ly/1Hd2mjH</t>
  </si>
  <si>
    <t>http://bit.ly/1tgaF65</t>
  </si>
  <si>
    <t>http://on-ajc.com/1xwPv9r</t>
  </si>
  <si>
    <t>http://bit.ly/1uWrFyM</t>
  </si>
  <si>
    <t>http://bit.ly/1DbFy4v</t>
  </si>
  <si>
    <t>http://bit.ly/1B8HHJS</t>
  </si>
  <si>
    <t>http://bit.ly/1zTf3OA</t>
  </si>
  <si>
    <t>http://bit.ly/1BxDBey</t>
  </si>
  <si>
    <t>http://bit.ly/1xzmb1O</t>
  </si>
  <si>
    <t>Via email - to the best of his recollection. May have voted Schilling and/or McGwire</t>
  </si>
  <si>
    <t>http://bit.ly/1FRCyae</t>
  </si>
  <si>
    <t>http://bit.ly/1wLjImr</t>
  </si>
  <si>
    <t xml:space="preserve">Jim Street </t>
  </si>
  <si>
    <t>http://bit.ly/17e35o0</t>
  </si>
  <si>
    <t>http://bit.ly/1CXJRAe</t>
  </si>
  <si>
    <t>http://bit.ly/1sNBEWo</t>
  </si>
  <si>
    <t>http://bit.ly/1v07SO5 / http://bit.ly/1r8GySh</t>
  </si>
  <si>
    <t>http://bit.ly/1xoKIoZ</t>
  </si>
  <si>
    <t>Russ White</t>
  </si>
  <si>
    <t>Ballots Revealed After HoF Election Results Were Announced
(Know of one I'm missing? Let me know @NotMrTibbs or ryan@bbhoftracker.com) 
*Revealed first on BBWAA.com</t>
  </si>
  <si>
    <t>http://cour.at/1w0UaLt</t>
  </si>
  <si>
    <t>Jamie Aron*</t>
  </si>
  <si>
    <t>Dallas (H)</t>
  </si>
  <si>
    <t>http://bit.ly/13XJar6</t>
  </si>
  <si>
    <t>Geoff Baker</t>
  </si>
  <si>
    <t>http://bit.ly/1DhtYVn</t>
  </si>
  <si>
    <t>Filip Bondy (Partial 8 of 10)</t>
  </si>
  <si>
    <t>Via email. Remembers 8 of 10. Debated 5 others, but doesn't remember the final 2 who made the cut. Will take a ballot pic next year.</t>
  </si>
  <si>
    <t>http://bit.ly/1xS73wM</t>
  </si>
  <si>
    <t>Don Bostrom*</t>
  </si>
  <si>
    <t>Patrick Calabria</t>
  </si>
  <si>
    <t>http://bit.ly/1xkVw54</t>
  </si>
  <si>
    <t>Nick Canepa (partial)</t>
  </si>
  <si>
    <t>Dan Castellano*</t>
  </si>
  <si>
    <t>http://bit.ly/1xqvEoE</t>
  </si>
  <si>
    <t>San Diego (H)</t>
  </si>
  <si>
    <t>Rich Chere</t>
  </si>
  <si>
    <t>Michael Chesnick*</t>
  </si>
  <si>
    <t>Bill Christine*</t>
  </si>
  <si>
    <t>Frank Clines*</t>
  </si>
  <si>
    <t>Milwaukee (H)</t>
  </si>
  <si>
    <t>Dave Cunningham*</t>
  </si>
  <si>
    <t>Guy Curtright</t>
  </si>
  <si>
    <t>http://bit.ly/1ACyefM</t>
  </si>
  <si>
    <t>http://bit.ly/1tQEyKp</t>
  </si>
  <si>
    <t>Mike Deacon</t>
  </si>
  <si>
    <t>Tom Dienhart*</t>
  </si>
  <si>
    <t>Vinny DiTrani</t>
  </si>
  <si>
    <t>http://bit.ly/1y375Rd</t>
  </si>
  <si>
    <t>Joe Donnelly*</t>
  </si>
  <si>
    <t>Jerry Dowling</t>
  </si>
  <si>
    <t>Cincinnati (H)</t>
  </si>
  <si>
    <t>Bob Elliott</t>
  </si>
  <si>
    <t>http://bit.ly/1yI7f3e</t>
  </si>
  <si>
    <t>http://cin.ci/17hecga</t>
  </si>
  <si>
    <t>http://bit.ly/14ErYYz</t>
  </si>
  <si>
    <t>Jim Ferguson*</t>
  </si>
  <si>
    <t>http://on.fb.me/1wGoxry</t>
  </si>
  <si>
    <t>Mike Fine</t>
  </si>
  <si>
    <t>http://bit.ly/1BZsLy9</t>
  </si>
  <si>
    <t>http://bit.ly/1In6w7n</t>
  </si>
  <si>
    <t>Leslie Gibson McCarthy*</t>
  </si>
  <si>
    <t>Steven Gietschier*</t>
  </si>
  <si>
    <t>St. Louis (H)</t>
  </si>
  <si>
    <t>David Ginsburg*</t>
  </si>
  <si>
    <t>Steven M. Goldman*</t>
  </si>
  <si>
    <t>Via DM</t>
  </si>
  <si>
    <t>Jim Henneman</t>
  </si>
  <si>
    <t>http://bit.ly/1DvqnjH</t>
  </si>
  <si>
    <t>Lowell Hickey*</t>
  </si>
  <si>
    <t>Greg Hoard*</t>
  </si>
  <si>
    <t>Myron Holtzman*</t>
  </si>
  <si>
    <t>Joseph E. Hoppel*</t>
  </si>
  <si>
    <t>Garry D. Howard*</t>
  </si>
  <si>
    <t>Gary Hyvonen</t>
  </si>
  <si>
    <t>Murray Janoff*</t>
  </si>
  <si>
    <t>http://bit.ly/1ACfr4d</t>
  </si>
  <si>
    <t>Buck Johnson</t>
  </si>
  <si>
    <t>http://bit.ly/14RMMMV</t>
  </si>
  <si>
    <t>http://bit.ly/1CM7Grz</t>
  </si>
  <si>
    <t>Mike Kiley*</t>
  </si>
  <si>
    <t>Moss Klein*</t>
  </si>
  <si>
    <t>Mike Klis</t>
  </si>
  <si>
    <t>Danny Knobler*</t>
  </si>
  <si>
    <t>At-large</t>
  </si>
  <si>
    <t>Bob Kurland*</t>
  </si>
  <si>
    <t>http://bit.ly/17iwwWd</t>
  </si>
  <si>
    <t>Ken Lechtanski*</t>
  </si>
  <si>
    <t>Multiple Tweets+email</t>
  </si>
  <si>
    <t>Chris Long*</t>
  </si>
  <si>
    <t>Via email - to the best of his recollection. May have voted Bagwell and/or Piazza.</t>
  </si>
  <si>
    <t>http://bit.ly/14K1uVs</t>
  </si>
  <si>
    <t>Marc Maturo*</t>
  </si>
  <si>
    <t>http://bit.ly/1wV1fxd</t>
  </si>
  <si>
    <t>Steve Milton (possibly partial)</t>
  </si>
  <si>
    <t>http://bit.ly/1BwwRPX</t>
  </si>
  <si>
    <t>David Leon Moore*</t>
  </si>
  <si>
    <t>http://strib.mn/13YUDqz</t>
  </si>
  <si>
    <t>Lisa Nehus Saxon*</t>
  </si>
  <si>
    <t>Gary Nuhn*</t>
  </si>
  <si>
    <t>Charles Odum*</t>
  </si>
  <si>
    <t>http://bit.ly/1BFBnto</t>
  </si>
  <si>
    <t>Tom Pedulla*</t>
  </si>
  <si>
    <t>podcast with 2016 ballot</t>
  </si>
  <si>
    <t>Mike Peticca*</t>
  </si>
  <si>
    <t>Bill Plunkett*</t>
  </si>
  <si>
    <t>http://bit.ly/1BxoNOQ</t>
  </si>
  <si>
    <t>Ray Ratto</t>
  </si>
  <si>
    <t>http://bit.ly/1KjKaaB</t>
  </si>
  <si>
    <t>Juan C. Rodriguez*</t>
  </si>
  <si>
    <t>John Rowe*</t>
  </si>
  <si>
    <t>http://bit.ly/14t5wSz</t>
  </si>
  <si>
    <t>Glenn Schwarz*</t>
  </si>
  <si>
    <t>Charles R. Scoggins Jr.*</t>
  </si>
  <si>
    <t>Terry Scott*</t>
  </si>
  <si>
    <t>Dennis Semrau*</t>
  </si>
  <si>
    <t>Gary Shelton</t>
  </si>
  <si>
    <t>http://bit.ly/1DhqzG0</t>
  </si>
  <si>
    <t>Corky Simpson*</t>
  </si>
  <si>
    <t>Willie Tesreau Smith III</t>
  </si>
  <si>
    <t>Serge Touchette</t>
  </si>
  <si>
    <t>http://bit.ly/1y31tcI</t>
  </si>
  <si>
    <t>Montreal</t>
  </si>
  <si>
    <t>Herbert Stutz*</t>
  </si>
  <si>
    <t>Charlie Vincent*</t>
  </si>
  <si>
    <t>http://bit.ly/1yT0xrG</t>
  </si>
  <si>
    <t>Steve Wilstein*</t>
  </si>
  <si>
    <t>Bob Wirz*</t>
  </si>
  <si>
    <t>Tom Withers</t>
  </si>
  <si>
    <t>http://bit.ly/17uRLUC</t>
  </si>
  <si>
    <t>Minneapolis (H)</t>
  </si>
  <si>
    <t>Harvey Zucker*</t>
  </si>
  <si>
    <t>http://bit.ly/1xBJDvD</t>
  </si>
  <si>
    <t>Known Ballots:</t>
  </si>
  <si>
    <t>% of Ballots:</t>
  </si>
  <si>
    <t>Sean Casey</t>
  </si>
  <si>
    <t>Ray Durham</t>
  </si>
  <si>
    <t>Eric Gagne</t>
  </si>
  <si>
    <t>Tom Glavine</t>
  </si>
  <si>
    <t>Luis Gonzalez</t>
  </si>
  <si>
    <t>Jacque Jones</t>
  </si>
  <si>
    <t>Todd Jones</t>
  </si>
  <si>
    <t>Paul Lo Duca</t>
  </si>
  <si>
    <t>Greg Maddux</t>
  </si>
  <si>
    <t>N o m o</t>
  </si>
  <si>
    <t>Rafael Palmeiro</t>
  </si>
  <si>
    <t>Kenny Rogers</t>
  </si>
  <si>
    <t>Richie Sexson</t>
  </si>
  <si>
    <t>JT Snow</t>
  </si>
  <si>
    <t>Frank Thomas</t>
  </si>
  <si>
    <t>Mike Timlin</t>
  </si>
  <si>
    <t>% of All Known Ballots</t>
  </si>
  <si>
    <t>Total Known Votes</t>
  </si>
  <si>
    <t>% Public Ballots Pre-results</t>
  </si>
  <si>
    <t>% Public Ballots After Results</t>
  </si>
  <si>
    <t>Tango Score v1 100=Best</t>
  </si>
  <si>
    <t>Tango Score v2 100=Best</t>
  </si>
  <si>
    <t>% Unknown Ballots</t>
  </si>
  <si>
    <t>Ballots Revealed Before HoF Results Were Announced</t>
  </si>
  <si>
    <t>Pete Abraham</t>
  </si>
  <si>
    <t>http://bo.st/1fOKD43</t>
  </si>
  <si>
    <t>http://bit.ly/1exhAB2</t>
  </si>
  <si>
    <t>Phil Arvia</t>
  </si>
  <si>
    <t>http://bit.ly/1dXOMkO</t>
  </si>
  <si>
    <t>http://bit.ly/K62hp4</t>
  </si>
  <si>
    <t>http://bit.ly/1bHWFbn</t>
  </si>
  <si>
    <t>http://bit.ly/1a10Fad</t>
  </si>
  <si>
    <t>http://bit.ly/1cQeKZh</t>
  </si>
  <si>
    <t>http://bit.ly/JGIM76</t>
  </si>
  <si>
    <t>William Ballou</t>
  </si>
  <si>
    <t>Via email, + http://bit.ly/1hLcR3P</t>
  </si>
  <si>
    <t>http://bit.ly/1bP4egl</t>
  </si>
  <si>
    <t>http://atmlb.com/1acHryM</t>
  </si>
  <si>
    <t>Greg Beacham</t>
  </si>
  <si>
    <t>http://bit.ly/1czLN2I</t>
  </si>
  <si>
    <t>Jon Becker</t>
  </si>
  <si>
    <t>http://bit.ly/1cZr771</t>
  </si>
  <si>
    <t>http://bit.ly/19zU1dw</t>
  </si>
  <si>
    <t>http://bit.ly/1eFHnqT</t>
  </si>
  <si>
    <t>Barry M. Bloom</t>
  </si>
  <si>
    <t>http://bit.ly/1bCCiMw</t>
  </si>
  <si>
    <t>Ron Blum</t>
  </si>
  <si>
    <t>http://bit.ly/JGxVtC</t>
  </si>
  <si>
    <t xml:space="preserve"> Peter Botte</t>
  </si>
  <si>
    <t>http://bit.ly/1cVlZki</t>
  </si>
  <si>
    <t>http://bit.ly/1bMdv8M</t>
  </si>
  <si>
    <t>http://bit.ly/1g6PHkA</t>
  </si>
  <si>
    <t>Tim Brown</t>
  </si>
  <si>
    <t>http://bit.ly/1dSaRkL</t>
  </si>
  <si>
    <t>http://bit.ly/1kZt6dn</t>
  </si>
  <si>
    <t>http://bit.ly/19GdYgb</t>
  </si>
  <si>
    <t>http://bit.ly/1htAEVL</t>
  </si>
  <si>
    <t>http://b.globe.com/1ejQxZS</t>
  </si>
  <si>
    <t>http://bit.ly/1cXuTvX</t>
  </si>
  <si>
    <t>http://bit.ly/1lFKD7O</t>
  </si>
  <si>
    <t>http://es.pn/1hqKN5G</t>
  </si>
  <si>
    <t>http://bit.ly/1ceEzDD</t>
  </si>
  <si>
    <t>Murray Chass (updated 1/5 w/ final ballot)</t>
  </si>
  <si>
    <t>http://bit.ly/1cV2xi8 http://bit.ly/1galBMX</t>
  </si>
  <si>
    <t>http://bit.ly/1dfIZuk</t>
  </si>
  <si>
    <t>http://bit.ly/1gpnPbu</t>
  </si>
  <si>
    <t>http://bit.ly/1cV1aQw</t>
  </si>
  <si>
    <t>http://bit.ly/1h4Xb8f</t>
  </si>
  <si>
    <t>http://bit.ly/1d9duSP</t>
  </si>
  <si>
    <t>http://cin.ci/JHtYVD</t>
  </si>
  <si>
    <t>http://bit.ly/1dEqSwJ</t>
  </si>
  <si>
    <t>http://bit.ly/1jbpqDz</t>
  </si>
  <si>
    <t>Chris DeLuca</t>
  </si>
  <si>
    <t>http://bit.ly/Khi6d2</t>
  </si>
  <si>
    <t>http://bit.ly/18zHBRT</t>
  </si>
  <si>
    <t>bbwaa.com/14-hof-ballots</t>
  </si>
  <si>
    <t>http://es.pn/Khclfm</t>
  </si>
  <si>
    <t>Sportsnet Fan 590 (Canadian radio)</t>
  </si>
  <si>
    <t>http://bit.ly/1iv4vNZ</t>
  </si>
  <si>
    <t>http://cin.ci/1gyjuDE</t>
  </si>
  <si>
    <t>http://bit.ly/KBYjWo</t>
  </si>
  <si>
    <t>Gerry Fraley</t>
  </si>
  <si>
    <t>http://bit.ly/19GilI5</t>
  </si>
  <si>
    <t>http://atmlb.com/1f24jVL</t>
  </si>
  <si>
    <t>Joe Goddard</t>
  </si>
  <si>
    <t>http://bit.ly/JE4Vm6</t>
  </si>
  <si>
    <t>http://bit.ly/1aaqmFq</t>
  </si>
  <si>
    <t>http://dallasne.ws/1eCLf0i</t>
  </si>
  <si>
    <t>http://bit.ly/Khi3Oe</t>
  </si>
  <si>
    <t>http://bit.ly/1ag6EVz</t>
  </si>
  <si>
    <t>http://bit.ly/KhihVL</t>
  </si>
  <si>
    <t>Ken Gurnick</t>
  </si>
  <si>
    <t>http://bit.ly/1cOr7Rm</t>
  </si>
  <si>
    <t>http://bit.ly/1ebsxbb</t>
  </si>
  <si>
    <t>Mike Hart</t>
  </si>
  <si>
    <t>http://bit.ly/1cBkpBw</t>
  </si>
  <si>
    <t>http://bit.ly/1bzutaz</t>
  </si>
  <si>
    <t>http://bit.ly/1ieyCq3</t>
  </si>
  <si>
    <t>http://bit.ly/1kpb9qW</t>
  </si>
  <si>
    <t>http://bit.ly/1eTXDJh</t>
  </si>
  <si>
    <t>http://bit.ly/1eKC5tK</t>
  </si>
  <si>
    <t>http://bit.ly/1ePbH6M http://bit.ly/1ePbHUj</t>
  </si>
  <si>
    <t>http://bit.ly/JHGvZe</t>
  </si>
  <si>
    <t>http://cbsprt.co/1fb7QkS</t>
  </si>
  <si>
    <t>http://bit.ly/KCb9nv</t>
  </si>
  <si>
    <t>http://bit.ly/1cojNiB</t>
  </si>
  <si>
    <t>http://bit.ly/1awsrsc</t>
  </si>
  <si>
    <t>Michael Hunt</t>
  </si>
  <si>
    <t>http://bit.ly/19QyWJz</t>
  </si>
  <si>
    <t>http://bit.ly/1ag5WYe</t>
  </si>
  <si>
    <t>Jerry Izenberg</t>
  </si>
  <si>
    <t>http://cour.at/19DLgPB</t>
  </si>
  <si>
    <t>http://bit.ly/18OOw7P</t>
  </si>
  <si>
    <t>Dick Kaegel</t>
  </si>
  <si>
    <t>http://bit.ly/1cJwIhE</t>
  </si>
  <si>
    <t>George A King III</t>
  </si>
  <si>
    <t>http://bit.ly/1havdeg</t>
  </si>
  <si>
    <t>http://bit.ly/1cMsdRq</t>
  </si>
  <si>
    <t>Moss Klein</t>
  </si>
  <si>
    <t>http://bit.ly/1iTaigp</t>
  </si>
  <si>
    <t>http://bit.ly/1eWQPL3</t>
  </si>
  <si>
    <t>http://bit.ly/Ko8jlZ</t>
  </si>
  <si>
    <t>http://bit.ly/1cpIwj0</t>
  </si>
  <si>
    <t>http://bit.ly/1bPkDRV</t>
  </si>
  <si>
    <t>Dave Lariviere</t>
  </si>
  <si>
    <t>http://onforb.es/18qTcCY</t>
  </si>
  <si>
    <t>http://bit.ly/1cJQSTw</t>
  </si>
  <si>
    <t>http://bit.ly/1jBg5si</t>
  </si>
  <si>
    <t>http://bit.ly/1a1F9Px</t>
  </si>
  <si>
    <t>http://nydn.us/19dfcS3</t>
  </si>
  <si>
    <t>http://bit.ly/18YDbo6</t>
  </si>
  <si>
    <t>http://bit.ly/1dPK0Ie</t>
  </si>
  <si>
    <t>http://bit.ly/1fOL0vv</t>
  </si>
  <si>
    <t>http://bit.ly/1lDJA8m</t>
  </si>
  <si>
    <t>Wallace Matthews</t>
  </si>
  <si>
    <t>http://es.pn/1havE8z</t>
  </si>
  <si>
    <t>Marc Maturo</t>
  </si>
  <si>
    <t>http://bit.ly/18OP25S</t>
  </si>
  <si>
    <t>http://bit.ly/19QdsyG</t>
  </si>
  <si>
    <t>http://bit.ly/1cV1oHv</t>
  </si>
  <si>
    <t>Dan McGrath</t>
  </si>
  <si>
    <t>http://bit.ly/1AVvCJY</t>
  </si>
  <si>
    <t>http://bit.ly/1gDV4bC</t>
  </si>
  <si>
    <t>http://bit.ly/19ZRC9u</t>
  </si>
  <si>
    <t>http://bit.ly/1dg50cL</t>
  </si>
  <si>
    <t>http://bit.ly/1dPzwZ6</t>
  </si>
  <si>
    <t>http://bit.ly/1cG6WIL</t>
  </si>
  <si>
    <t>http://on.freep.com/1g9biJ2</t>
  </si>
  <si>
    <t>http://bit.ly/1eCL70M</t>
  </si>
  <si>
    <t>http://bit.ly/1gCEprJ</t>
  </si>
  <si>
    <t>http://usat.ly/1cX1Usn</t>
  </si>
  <si>
    <t>Buster Olney</t>
  </si>
  <si>
    <t>http://bit.ly/19IGcXE</t>
  </si>
  <si>
    <t>http://bit.ly/1havsGi</t>
  </si>
  <si>
    <t>http://bit.ly/1ejQttl</t>
  </si>
  <si>
    <t>Canadian Baseball Podcast</t>
  </si>
  <si>
    <t>http://bit.ly/K478XU</t>
  </si>
  <si>
    <t>http://bit.ly/1hauRo4</t>
  </si>
  <si>
    <t>Monte Poole</t>
  </si>
  <si>
    <t>http://bit.ly/1iUeX1H</t>
  </si>
  <si>
    <t>http://bit.ly/1iwsNai</t>
  </si>
  <si>
    <t>http://bit.ly/1f8zj6A</t>
  </si>
  <si>
    <t>http://bit.ly/19NBpql</t>
  </si>
  <si>
    <t>http://bit.ly/1afgv1p</t>
  </si>
  <si>
    <t>http://bit.ly/1cXdJyK</t>
  </si>
  <si>
    <t>http://t.co/wbjaiCkpNQ</t>
  </si>
  <si>
    <t>http://bit.ly/1kqB9C3</t>
  </si>
  <si>
    <t>http://bit.ly/1havlKL</t>
  </si>
  <si>
    <t>Juan C. Rodriguez</t>
  </si>
  <si>
    <t>http://bit.ly/1e4bDK7</t>
  </si>
  <si>
    <t>http://bit.ly/1ag6vBs</t>
  </si>
  <si>
    <t>http://foxs.pt/1cV1j6G</t>
  </si>
  <si>
    <t>http://es.pn/1fZShvC</t>
  </si>
  <si>
    <t>http://bit.ly/1a0QH91</t>
  </si>
  <si>
    <t>http://b.globe.com/18OOIDY</t>
  </si>
  <si>
    <t>http://bit.ly/1kqUqTW</t>
  </si>
  <si>
    <t>Chaz Scoggins</t>
  </si>
  <si>
    <t>http://bit.ly/1izuuDU</t>
  </si>
  <si>
    <t>Steve Serby</t>
  </si>
  <si>
    <t>Drew Sharp</t>
  </si>
  <si>
    <t>http://on.freep.com/1aGcI9S</t>
  </si>
  <si>
    <t>http://bit.ly/1lB8YhS</t>
  </si>
  <si>
    <t>http://bit.ly/1g7XJK1</t>
  </si>
  <si>
    <t>Dan Shaugnessy</t>
  </si>
  <si>
    <t>http://t.co/EDWYVh0MUa</t>
  </si>
  <si>
    <t>Mike Silverman</t>
  </si>
  <si>
    <t>http://bit.ly/1eGbN0s</t>
  </si>
  <si>
    <t>http://bit.ly/1eGbDpS</t>
  </si>
  <si>
    <t>http://bit.ly/1cByy1y http://bit.ly/1cByy1y</t>
  </si>
  <si>
    <t>http://bit.ly/19p40Qh</t>
  </si>
  <si>
    <t>http://bit.ly/1bOXv9l</t>
  </si>
  <si>
    <t>http://bit.ly/1haw8vj</t>
  </si>
  <si>
    <t>http://bit.ly/19TqO7L</t>
  </si>
  <si>
    <t>http://bit.ly/1eitNsS</t>
  </si>
  <si>
    <t>http://bit.ly/1hav0YD</t>
  </si>
  <si>
    <t>http://bit.ly/1cVnjDQ</t>
  </si>
  <si>
    <t>http://bit.ly/1a8mNjs</t>
  </si>
  <si>
    <t>Juan Vene</t>
  </si>
  <si>
    <t>http://bit.ly/18OP9OC</t>
  </si>
  <si>
    <t>Charley Walters</t>
  </si>
  <si>
    <t>Bill Windler</t>
  </si>
  <si>
    <t>Ballots Revealed After HoF Results Were Announced (know of one I'm missing? Let me know @NotMrTibbs or ryan@bbhoftracker.com) 
*Revealed first on BBWAA.com</t>
  </si>
  <si>
    <t>Anonymous Blank Ballot</t>
  </si>
  <si>
    <t>Announced by BBWAA</t>
  </si>
  <si>
    <t>http://bit.ly/19eBYca</t>
  </si>
  <si>
    <t>http://bit.ly/1aIiyYu</t>
  </si>
  <si>
    <t>http://cour.at/1lMKn9X</t>
  </si>
  <si>
    <t>Filip Bondy (remembers 8 of 10)</t>
  </si>
  <si>
    <t>Can't recall last 2 he voted for: http://bit.ly/1lNtXy6</t>
  </si>
  <si>
    <t>Dennis Brackin</t>
  </si>
  <si>
    <t>http://strib.mn/1gme11K</t>
  </si>
  <si>
    <t>Andrew Call (emailed 1/17/2015)</t>
  </si>
  <si>
    <t>Via Email</t>
  </si>
  <si>
    <t>Dave Campbell (1/19/2015)</t>
  </si>
  <si>
    <t>Mark Camps*</t>
  </si>
  <si>
    <t>William Center*</t>
  </si>
  <si>
    <t>Joe Christensen</t>
  </si>
  <si>
    <t xml:space="preserve">Bill Christine*       </t>
  </si>
  <si>
    <t>Gene Collier</t>
  </si>
  <si>
    <t>http://bit.ly/1lYkcdD</t>
  </si>
  <si>
    <t>Roberto Colón</t>
  </si>
  <si>
    <t>http://bit.ly/1atUrjt (Spanish)</t>
  </si>
  <si>
    <t>Ron Cook</t>
  </si>
  <si>
    <t>http://bit.ly/1lYk3XM</t>
  </si>
  <si>
    <t>Joe Cowley</t>
  </si>
  <si>
    <t>Glen Crevier</t>
  </si>
  <si>
    <t>http://bit.ly/19iklbA</t>
  </si>
  <si>
    <t>Ken Daley*</t>
  </si>
  <si>
    <t>http://bit.ly/1mdnwBK</t>
  </si>
  <si>
    <t>Shi Davidi*</t>
  </si>
  <si>
    <t>Art Davidson*</t>
  </si>
  <si>
    <t>Bill Dickens</t>
  </si>
  <si>
    <t>http://bit.ly/1ii7970</t>
  </si>
  <si>
    <t>http://bit.ly/1iWH1l0</t>
  </si>
  <si>
    <t>Mike Downey*</t>
  </si>
  <si>
    <t>Josh Dubow*</t>
  </si>
  <si>
    <t>http://bit.ly/1iZuVYa</t>
  </si>
  <si>
    <t>http://bit.ly/1cRgey6</t>
  </si>
  <si>
    <t>Mike Fitzpatrick</t>
  </si>
  <si>
    <t>http://bit.ly/1lBNzFo</t>
  </si>
  <si>
    <t>Jeffrey Flanagan*</t>
  </si>
  <si>
    <t>http://bit.ly/1dXBoPA</t>
  </si>
  <si>
    <t>http://bit.ly/1igNkkf</t>
  </si>
  <si>
    <t>http://bit.ly/Kzq2GN</t>
  </si>
  <si>
    <t>http://bit.ly/JLhfRT</t>
  </si>
  <si>
    <t>Bill Griffith*</t>
  </si>
  <si>
    <t>http://bit.ly/1gnyPWV</t>
  </si>
  <si>
    <t>http://bit.ly/19IcG6C ("if memory serves") - clarified yes Bagwell, no Walker</t>
  </si>
  <si>
    <t>http://b.globe.com/JJ4GXi</t>
  </si>
  <si>
    <t>http://bit.ly/1kwmAx0</t>
  </si>
  <si>
    <t>Bruce Jenkins*</t>
  </si>
  <si>
    <t>http://bit.ly/1d10FbI</t>
  </si>
  <si>
    <t>Via email/Facebook</t>
  </si>
  <si>
    <t>http://bit.ly/1ks3dFh</t>
  </si>
  <si>
    <t>Mark Kiszla</t>
  </si>
  <si>
    <t>http://bit.ly/1hIN648</t>
  </si>
  <si>
    <t>Ron Kroichick*</t>
  </si>
  <si>
    <t>Gabe Lacques*</t>
  </si>
  <si>
    <t>Bill Lankhof</t>
  </si>
  <si>
    <t>Dan Le Batard (Deadspin)</t>
  </si>
  <si>
    <t>http://deadsp.in/19THfXk</t>
  </si>
  <si>
    <t>http://bit.ly/K8cTnr</t>
  </si>
  <si>
    <t>Dennis Maffezzoli*</t>
  </si>
  <si>
    <t>http://bit.ly/1cZOwDU</t>
  </si>
  <si>
    <t>http://bit.ly/1y44I0l</t>
  </si>
  <si>
    <t>http://bit.ly/KXtg7G</t>
  </si>
  <si>
    <t>Ivy McLemore (emailed 1/2/2015)</t>
  </si>
  <si>
    <t>http://bit.ly/1dxD6DM</t>
  </si>
  <si>
    <t>http://bit.ly/1fml525</t>
  </si>
  <si>
    <t>http://bit.ly/1xCAse8</t>
  </si>
  <si>
    <t>Wayne Monroe*</t>
  </si>
  <si>
    <t>La Velle Neal</t>
  </si>
  <si>
    <t>http://strib.mn/KGoBXE</t>
  </si>
  <si>
    <t>Joe Ostermeier</t>
  </si>
  <si>
    <t>Bill Peterson*</t>
  </si>
  <si>
    <t>Angel M. Prada*</t>
  </si>
  <si>
    <t>Jim Reeves*</t>
  </si>
  <si>
    <t>http://bit.ly/1ewfNfo</t>
  </si>
  <si>
    <t>Lawrence Rocca*</t>
  </si>
  <si>
    <t>Richard Shook</t>
  </si>
  <si>
    <t>Via email - can't recall 7th vote</t>
  </si>
  <si>
    <t>http://bit.ly/1cYqdSa</t>
  </si>
  <si>
    <t>Art Spander</t>
  </si>
  <si>
    <t>Clark Spencer*</t>
  </si>
  <si>
    <t>Richard F. Telander*</t>
  </si>
  <si>
    <t>http://bit.ly/LllpAh</t>
  </si>
  <si>
    <t>http://bit.ly/KUEvO7</t>
  </si>
  <si>
    <t>Russ White*</t>
  </si>
  <si>
    <t>http://bit.ly/JIexMZ</t>
  </si>
  <si>
    <t>Sandy Alomar Jr</t>
  </si>
  <si>
    <t>Jeff Cirillo</t>
  </si>
  <si>
    <t>Royce Clayton</t>
  </si>
  <si>
    <t>Jeff Conine</t>
  </si>
  <si>
    <t>Steve Finley</t>
  </si>
  <si>
    <t>Julio Franco</t>
  </si>
  <si>
    <t>Shawn Green</t>
  </si>
  <si>
    <t>Roberto Hernandez</t>
  </si>
  <si>
    <t>Ryan Klesko</t>
  </si>
  <si>
    <t>Kenny Lofton</t>
  </si>
  <si>
    <t>Jose Mesa</t>
  </si>
  <si>
    <t>Dale Murphy</t>
  </si>
  <si>
    <t>Reggie Sanders</t>
  </si>
  <si>
    <t>Aaron Sele</t>
  </si>
  <si>
    <t>Mike Stanton</t>
  </si>
  <si>
    <t>Todd Walker</t>
  </si>
  <si>
    <t>David Wells</t>
  </si>
  <si>
    <t>Rondell White</t>
  </si>
  <si>
    <t>Bernie Williams</t>
  </si>
  <si>
    <t>Total Votes on Ballot</t>
  </si>
  <si>
    <t>Woody Williams</t>
  </si>
  <si>
    <t>Online Ballot %</t>
  </si>
  <si>
    <t>Total Ballot %</t>
  </si>
  <si>
    <t>Votes</t>
  </si>
  <si>
    <t>http://bit.ly/10fvm8P</t>
  </si>
  <si>
    <t>http://bit.ly/100ynJS</t>
  </si>
  <si>
    <t>http://bit.ly/XJcM7e</t>
  </si>
  <si>
    <t>http://bit.ly/Vgjxbh</t>
  </si>
  <si>
    <t>http://bit.ly/Vbrq4W</t>
  </si>
  <si>
    <t>http://atmlb.com/XJ90ee</t>
  </si>
  <si>
    <t>https://twitter.com/PeterBotte/status/289037602613493760</t>
  </si>
  <si>
    <t>http://bit.ly/U4rq67</t>
  </si>
  <si>
    <t>http://bit.ly/X1fKUm</t>
  </si>
  <si>
    <t>http://b.globe.com/Zg6U6D</t>
  </si>
  <si>
    <t>http://es.pn/10syP2J</t>
  </si>
  <si>
    <t>Joe Capozzi</t>
  </si>
  <si>
    <t>http://bit.ly/ZqRJHT</t>
  </si>
  <si>
    <t>Murray Chass</t>
  </si>
  <si>
    <t>http://bit.ly/YYAvvz</t>
  </si>
  <si>
    <t>http://bit.ly/Tn9mlq</t>
  </si>
  <si>
    <t>http://bit.ly/Vgj1x4</t>
  </si>
  <si>
    <t>http://es.pn/VfYlFw</t>
  </si>
  <si>
    <t>http://bit.ly/UBCxFV</t>
  </si>
  <si>
    <t>http://cin.ci/VwwKN3</t>
  </si>
  <si>
    <t>http://bit.ly/VZr2BQ</t>
  </si>
  <si>
    <t>http://bit.ly/ZqRYmb</t>
  </si>
  <si>
    <t>http://bit.ly/T8zGkH</t>
  </si>
  <si>
    <t>http://bit.ly/VfBI3K</t>
  </si>
  <si>
    <t>http://bit.ly/VmPmlj</t>
  </si>
  <si>
    <t>http://dallasne.ws/VfCIF4</t>
  </si>
  <si>
    <t>http://atmlb.com/VkpNia</t>
  </si>
  <si>
    <t>Bud Geracie</t>
  </si>
  <si>
    <t>Jerry Green (partial?)</t>
  </si>
  <si>
    <t>bit.ly/Yydghr</t>
  </si>
  <si>
    <t>Jon Haakenson</t>
  </si>
  <si>
    <t>http://bit.ly/XJw3Wq</t>
  </si>
  <si>
    <t>Philip Hersh</t>
  </si>
  <si>
    <t>http://trib.in/VCLpJb</t>
  </si>
  <si>
    <t>http://cbsprt.co/RD7yXj</t>
  </si>
  <si>
    <t>Pat Hickey</t>
  </si>
  <si>
    <t>http://bit.ly/TUTVCa</t>
  </si>
  <si>
    <t>Bob Hillie</t>
  </si>
  <si>
    <t>http://bit.ly/WbjhJk</t>
  </si>
  <si>
    <t>Garry D Howard</t>
  </si>
  <si>
    <t>http://bit.ly/UBOD1x</t>
  </si>
  <si>
    <t>http://bit.ly/VZp1pp</t>
  </si>
  <si>
    <t>http://bit.ly/VmPVvj</t>
  </si>
  <si>
    <t>http://cour.at/XGQygT</t>
  </si>
  <si>
    <t>http://bit.ly/Vg8qSG</t>
  </si>
  <si>
    <t>http://atmlb.com/UtyNlW</t>
  </si>
  <si>
    <t>http://bit.ly/TscRHE</t>
  </si>
  <si>
    <t>http://cbsprt.co/Vkr6Oc</t>
  </si>
  <si>
    <t>http://bit.ly/VCLT25</t>
  </si>
  <si>
    <t>http://bit.ly/Ux7yb2</t>
  </si>
  <si>
    <t>Tim Kurkijan</t>
  </si>
  <si>
    <t>http://bit.ly/YBWm1x</t>
  </si>
  <si>
    <t>on WFAN</t>
  </si>
  <si>
    <t>http://bit.ly/TsbEA9</t>
  </si>
  <si>
    <t>Lenny Magliola</t>
  </si>
  <si>
    <t>http://bit.ly/VCKPew</t>
  </si>
  <si>
    <t>http://cbsprt.co/UCNBm6</t>
  </si>
  <si>
    <t>http://on.freep.com/XaQFTo</t>
  </si>
  <si>
    <t>http://bit.ly/RknoGn</t>
  </si>
  <si>
    <t>http://usat.ly/UBq0lK</t>
  </si>
  <si>
    <t>http://bit.ly/VmP11O</t>
  </si>
  <si>
    <t>http://bit.ly/UBqM22</t>
  </si>
  <si>
    <t>Shaun Powell</t>
  </si>
  <si>
    <t>http://bit.ly/UBPRtJ &amp; http://bit.ly/UBPZcJ</t>
  </si>
  <si>
    <t>http://bit.ly/UKPECB</t>
  </si>
  <si>
    <t>http://bit.ly/VgfZpo</t>
  </si>
  <si>
    <t>http://es.pn/W8ZuKp</t>
  </si>
  <si>
    <t>http://b.globe.com/VMcKF4</t>
  </si>
  <si>
    <t>http://bit.ly/VcCZIR</t>
  </si>
  <si>
    <t>http://bit.ly/ZqS90V</t>
  </si>
  <si>
    <t>http://bit.ly/XJdt0m</t>
  </si>
  <si>
    <t>http://b.globe.com/Vb1UN9</t>
  </si>
  <si>
    <t>http://bit.ly/100yzZK</t>
  </si>
  <si>
    <t>http://es.pn/UBrrRb</t>
  </si>
  <si>
    <t>http://bit.ly/UtxS4P</t>
  </si>
  <si>
    <t>http://bit.ly/Zg7kd9</t>
  </si>
  <si>
    <t>http://bit.ly/11ebLFl</t>
  </si>
  <si>
    <t>http://bit.ly/VCL8pR</t>
  </si>
  <si>
    <t xml:space="preserve">Tom Verducci </t>
  </si>
  <si>
    <t>On TV</t>
  </si>
  <si>
    <t>Charley Waters</t>
  </si>
  <si>
    <t>http://bit.ly/VcDK4I</t>
  </si>
  <si>
    <t>http://bo.st/YFFy8O</t>
  </si>
  <si>
    <t>http://bit.ly/X1fg0D</t>
  </si>
  <si>
    <t>http://bit.ly/XLkUo2</t>
  </si>
  <si>
    <t>http://bit.ly/XLkvlj</t>
  </si>
  <si>
    <t>Bob Brookover</t>
  </si>
  <si>
    <t>http://bit.ly/TiFOpm</t>
  </si>
  <si>
    <t>Blank</t>
  </si>
  <si>
    <t>Ballot</t>
  </si>
  <si>
    <t>http://es.pn/VfYxEA</t>
  </si>
  <si>
    <t>http://bit.ly/UBseBG</t>
  </si>
  <si>
    <t>http://yhoo.it/T8zbqS</t>
  </si>
  <si>
    <t>Bill Christine</t>
  </si>
  <si>
    <t>http://dallasne.ws/YSj5oW</t>
  </si>
  <si>
    <t>http://bit.ly/T8ySMH</t>
  </si>
  <si>
    <t>http://bit.ly/UtyFmm</t>
  </si>
  <si>
    <t>http://bit.ly/VZftLl</t>
  </si>
  <si>
    <t>http://bit.ly/VoqOVG</t>
  </si>
  <si>
    <t>http://bit.ly/UdOQVR</t>
  </si>
  <si>
    <t>http://bit.ly/VgtUPx</t>
  </si>
  <si>
    <t>Steven Goldman</t>
  </si>
  <si>
    <t>http://bit.ly/VfFgTE</t>
  </si>
  <si>
    <t>https://twitter.com/HaleMark/status/289072545372704769</t>
  </si>
  <si>
    <t>http://bit.ly/XLlkKT</t>
  </si>
  <si>
    <t>http://on.fb.me/UtykA8</t>
  </si>
  <si>
    <t>http://bit.ly/UNdQ4g</t>
  </si>
  <si>
    <t>Mike Hunt</t>
  </si>
  <si>
    <t>Chris Jenkins</t>
  </si>
  <si>
    <t>http://bit.ly/XIyZm1</t>
  </si>
  <si>
    <t>http://bit.ly/VopWk6</t>
  </si>
  <si>
    <t>http://bit.ly/UdPbaZ</t>
  </si>
  <si>
    <t>http://bit.ly/XLkk9L</t>
  </si>
  <si>
    <t>http://bit.ly/YYim5H</t>
  </si>
  <si>
    <t>http://usat.ly/XJ88WX</t>
  </si>
  <si>
    <t>Pierre Ladouceur</t>
  </si>
  <si>
    <t>http://bit.ly/XJ8yg1</t>
  </si>
  <si>
    <t>http://bit.ly/W61zqI</t>
  </si>
  <si>
    <t>http://bit.ly/Vb7Vt5</t>
  </si>
  <si>
    <t>John McGrath (partial) (i think?)</t>
  </si>
  <si>
    <t>http://bit.ly/VwGw6f</t>
  </si>
  <si>
    <t>https://twitter.com/JackMagruder/status/289041405811249152</t>
  </si>
  <si>
    <t>http://bit.ly/XLm5Up (video)</t>
  </si>
  <si>
    <t>http://es.pn/XJiA0A</t>
  </si>
  <si>
    <t>Terrence Moore</t>
  </si>
  <si>
    <t>Bob Padecky (partial)</t>
  </si>
  <si>
    <t>http://bit.ly/R28KTP</t>
  </si>
  <si>
    <t>Jill Painter (nice ballot o_O)</t>
  </si>
  <si>
    <t>http://bit.ly/Vz9zSh</t>
  </si>
  <si>
    <t>http://bit.ly/UB9vWQ</t>
  </si>
  <si>
    <t>Ron Rapoport</t>
  </si>
  <si>
    <t>http://bit.ly/YTMZKy</t>
  </si>
  <si>
    <t>http://on-msn.com/RC63c3</t>
  </si>
  <si>
    <t>Juan C Rodriguez</t>
  </si>
  <si>
    <t>https://twitter.com/JCRMarlinsbeat/status/289579076304379904</t>
  </si>
  <si>
    <t>http://es.pn/Vbaqvs</t>
  </si>
  <si>
    <t>http://bit.ly/T8zv8Y</t>
  </si>
  <si>
    <t>http://bit.ly/XLlVfH</t>
  </si>
  <si>
    <t>http://bit.ly/RYKvI2</t>
  </si>
  <si>
    <t>http://bit.ly/UBpBzz</t>
  </si>
  <si>
    <t>http://bit.ly/Vgd1Bh</t>
  </si>
  <si>
    <t>http://bit.ly/RD7B5q</t>
  </si>
  <si>
    <t>http://bit.ly/VLYFeA</t>
  </si>
  <si>
    <t xml:space="preserve">Jeff Bagwell </t>
  </si>
  <si>
    <t>Vinny Castilla</t>
  </si>
  <si>
    <t xml:space="preserve">Juan Gonzalez </t>
  </si>
  <si>
    <t xml:space="preserve">Barry Larkin </t>
  </si>
  <si>
    <t xml:space="preserve">Edgar Martinez </t>
  </si>
  <si>
    <t xml:space="preserve">Don Mattingly </t>
  </si>
  <si>
    <t xml:space="preserve">Fred McGriff </t>
  </si>
  <si>
    <t xml:space="preserve">Mark McGwire </t>
  </si>
  <si>
    <t xml:space="preserve">Jack Morris </t>
  </si>
  <si>
    <t>Bill Mueller</t>
  </si>
  <si>
    <t xml:space="preserve">Dale Murphy </t>
  </si>
  <si>
    <t xml:space="preserve">Rafael Palmeiro </t>
  </si>
  <si>
    <t xml:space="preserve">Tim Raines </t>
  </si>
  <si>
    <t xml:space="preserve">Lee Smith </t>
  </si>
  <si>
    <t xml:space="preserve">Alan Trammell </t>
  </si>
  <si>
    <t xml:space="preserve">Larry Walker </t>
  </si>
  <si>
    <t xml:space="preserve">Bernie Williams </t>
  </si>
  <si>
    <t>Ballot URL</t>
  </si>
  <si>
    <t>Public Online Ballots</t>
  </si>
  <si>
    <t>Total Results</t>
  </si>
  <si>
    <t>http://bo.st/aFkXns</t>
  </si>
  <si>
    <t xml:space="preserve">http://bit.ly/sFd7vQ </t>
  </si>
  <si>
    <t>http://bit.ly/rqYHOe</t>
  </si>
  <si>
    <t>http://bit.ly/xAFe5q</t>
  </si>
  <si>
    <t>Andrew Baggerly</t>
  </si>
  <si>
    <t>http://bit.ly/sjT58f</t>
  </si>
  <si>
    <t>http://bit.ly/xcbwj9</t>
  </si>
  <si>
    <t>http://atmlb.com/zitS6W</t>
  </si>
  <si>
    <t>http://bit.ly/AbBXid</t>
  </si>
  <si>
    <t>http://sunsent.nl/xOQjiT</t>
  </si>
  <si>
    <t xml:space="preserve">http://bit.ly/sI4kPe </t>
  </si>
  <si>
    <t xml:space="preserve">http://bit.ly/sdbjEu </t>
  </si>
  <si>
    <t>Howard Brayant</t>
  </si>
  <si>
    <t>http://es.pn/wIBqt9</t>
  </si>
  <si>
    <t>http://bit.ly/rGcXUa</t>
  </si>
  <si>
    <t>http://bit.ly/rU83tY</t>
  </si>
  <si>
    <t>http://bit.ly/sGOfLH</t>
  </si>
  <si>
    <t>http://bit.ly/x9odL7</t>
  </si>
  <si>
    <t>Rick Carpinello</t>
  </si>
  <si>
    <t>http://bit.ly/AC9PWn</t>
  </si>
  <si>
    <t>http://bit.ly/tblOE4</t>
  </si>
  <si>
    <t>http://dallasne.ws/vxmx02</t>
  </si>
  <si>
    <t xml:space="preserve">http://es.pn/wIBqt9 </t>
  </si>
  <si>
    <t>http://bit.ly/tQDmkG</t>
  </si>
  <si>
    <t>http://bit.ly/rOsqf7</t>
  </si>
  <si>
    <t>http://bit.ly/t1evwJ</t>
  </si>
  <si>
    <t>http://bit.ly/sbNLK6</t>
  </si>
  <si>
    <t>http://bit.ly/uJ2KJH</t>
  </si>
  <si>
    <t>http://cin.ci/uQIE36</t>
  </si>
  <si>
    <t>http://bit.ly/tWXdDc</t>
  </si>
  <si>
    <t xml:space="preserve">http://bit.ly/uXSrXw </t>
  </si>
  <si>
    <t>Peter Gammons (tent)</t>
  </si>
  <si>
    <t>http://bit.ly/vj7tZc</t>
  </si>
  <si>
    <t>Mike Gonzales</t>
  </si>
  <si>
    <t>http://bit.ly/uk6RGl</t>
  </si>
  <si>
    <t>Evan P Grant</t>
  </si>
  <si>
    <t xml:space="preserve">http://bit.ly/rz9xdX </t>
  </si>
  <si>
    <t xml:space="preserve">http://bit.ly/tVcJ9L </t>
  </si>
  <si>
    <t>http://bit.ly/ukBdrc</t>
  </si>
  <si>
    <t>http://bit.ly/yfkYRV</t>
  </si>
  <si>
    <t>http://bit.ly/w0tywM</t>
  </si>
  <si>
    <t>http://bit.ly/xKt5zn</t>
  </si>
  <si>
    <t>http://bit.ly/zzg7Hf</t>
  </si>
  <si>
    <t>Mike Imren</t>
  </si>
  <si>
    <t>Phil Jackman</t>
  </si>
  <si>
    <t>http://bit.ly/tApERn</t>
  </si>
  <si>
    <t>Tony Jackson</t>
  </si>
  <si>
    <t>http://cour.at/sLUTqI</t>
  </si>
  <si>
    <t>http://bit.ly/vG8bSM</t>
  </si>
  <si>
    <t>http://bit.ly/uCFnYW</t>
  </si>
  <si>
    <t>http://bit.ly/vEOvHi</t>
  </si>
  <si>
    <t>http://bit.ly/woTUaN</t>
  </si>
  <si>
    <t>http://bit.ly/v9xecK</t>
  </si>
  <si>
    <t>Ron Kroichick (tent)</t>
  </si>
  <si>
    <t>http://bit.ly/thoamd</t>
  </si>
  <si>
    <t>http://onforb.es/um5AB3</t>
  </si>
  <si>
    <t>Thom Loverro (partial)</t>
  </si>
  <si>
    <t xml:space="preserve">http://bit.ly/vcxTgF </t>
  </si>
  <si>
    <t>http://bit.ly/v6xGPG</t>
  </si>
  <si>
    <t>http://bit.ly/t5O1Yt</t>
  </si>
  <si>
    <t>Jim McGrath (partial -- votes for 10)</t>
  </si>
  <si>
    <t>http://bit.ly/w420gL</t>
  </si>
  <si>
    <t>http://bit.ly/yeSdFe</t>
  </si>
  <si>
    <t>http://bit.ly/tVcJ9L</t>
  </si>
  <si>
    <t>Randy J Miller</t>
  </si>
  <si>
    <t>http://bit.ly/z2MVaK</t>
  </si>
  <si>
    <t>http://bit.ly/z0FqBk</t>
  </si>
  <si>
    <t>http://bit.ly/uc6cfD</t>
  </si>
  <si>
    <t>http://bit.ly/tQlNZy</t>
  </si>
  <si>
    <t>http://bit.ly/uvB6x2</t>
  </si>
  <si>
    <t>http://bit.ly/tuMKFm</t>
  </si>
  <si>
    <t>John Perroto</t>
  </si>
  <si>
    <t xml:space="preserve"> http://bit.ly/yCSwXD</t>
  </si>
  <si>
    <t>http://bit.ly/u5ZdPb</t>
  </si>
  <si>
    <t>http://bit.ly/vSTEAv</t>
  </si>
  <si>
    <t>http://on-msn.com/tR0gTr</t>
  </si>
  <si>
    <t xml:space="preserve">http://bit.ly/t9kDg4 </t>
  </si>
  <si>
    <t>http://bit.ly/tL4dbm</t>
  </si>
  <si>
    <t>http://bit.ly/rNDGoR</t>
  </si>
  <si>
    <t>http://bit.ly/zZkMQG</t>
  </si>
  <si>
    <t>http://bit.ly/s3rCCy</t>
  </si>
  <si>
    <t>http://bit.ly/t0tmfy</t>
  </si>
  <si>
    <t xml:space="preserve">http://bit.ly/tjZaNh </t>
  </si>
  <si>
    <t>http://bit.ly/snOLQB</t>
  </si>
  <si>
    <t>http://bit.ly/uIlKrO</t>
  </si>
  <si>
    <t>http://bit.ly/x4vUN5</t>
  </si>
  <si>
    <t>Mark Topkin</t>
  </si>
  <si>
    <t>http://bit.ly/zlPSho</t>
  </si>
  <si>
    <t>David M Wilheim</t>
  </si>
  <si>
    <t xml:space="preserve">http://bit.ly/tuQGlc </t>
  </si>
  <si>
    <t>http://nyp.st/vqWwXb</t>
  </si>
  <si>
    <t>Dave van Dyck</t>
  </si>
  <si>
    <t>http://bit.ly/xPhk9V</t>
  </si>
  <si>
    <t>http://bit.ly/w93FQF</t>
  </si>
  <si>
    <t>Ballot of the Year</t>
  </si>
  <si>
    <t>This color is a Morris with no Blyleven ballot</t>
  </si>
  <si>
    <t>Roberto Alomar</t>
  </si>
  <si>
    <t>Carlos Baerga</t>
  </si>
  <si>
    <t>Harold Baines</t>
  </si>
  <si>
    <t>Bert Blyleven</t>
  </si>
  <si>
    <t>Kevin Brown</t>
  </si>
  <si>
    <t>John Franco</t>
  </si>
  <si>
    <t>Juan Gonzalez</t>
  </si>
  <si>
    <t>Barry Larkin</t>
  </si>
  <si>
    <t>Tino Martinez</t>
  </si>
  <si>
    <t>John Olerud</t>
  </si>
  <si>
    <t>Dave Parker</t>
  </si>
  <si>
    <t>BJ Surhoff</t>
  </si>
  <si>
    <t>Ballot URL (if found)</t>
  </si>
  <si>
    <t>Total Votes (out of 122)</t>
  </si>
  <si>
    <t>http://bit.ly/hXZ5NM</t>
  </si>
  <si>
    <t>http://bit.ly/dLqUPJ</t>
  </si>
  <si>
    <t>http://bit.ly/ibLFka</t>
  </si>
  <si>
    <t>http://bit.ly/g9kLKA</t>
  </si>
  <si>
    <t>http://bit.ly/gDnAPn</t>
  </si>
  <si>
    <t>Andrew Baggarly (partial)</t>
  </si>
  <si>
    <t>http://bit.ly/eUpSYq</t>
  </si>
  <si>
    <t xml:space="preserve">http://bit.ly/gtAk0F </t>
  </si>
  <si>
    <t>http://bit.ly/ht2NxC</t>
  </si>
  <si>
    <t>http://bit.ly/gTWctI</t>
  </si>
  <si>
    <t>http://bit.ly/grFS48</t>
  </si>
  <si>
    <t>http://bit.ly/hKURYJ</t>
  </si>
  <si>
    <t>http://mypict.me/show.php?id=fT7uD</t>
  </si>
  <si>
    <t>Bob Brookover (partial)</t>
  </si>
  <si>
    <t>http://bit.ly/i94SOc</t>
  </si>
  <si>
    <t>http://es.pn/f3zMwJ</t>
  </si>
  <si>
    <t>http://bit.ly/hHMYGm</t>
  </si>
  <si>
    <t>http://es.pn/ftrnvz</t>
  </si>
  <si>
    <t>Jim Cappozi</t>
  </si>
  <si>
    <t>http://bit.ly/g231V7</t>
  </si>
  <si>
    <t>http://bit.ly/i8tK8h</t>
  </si>
  <si>
    <t>http://bit.ly/dW3Qr5</t>
  </si>
  <si>
    <t>http://bit.ly/eeR7kG</t>
  </si>
  <si>
    <t>Bill Conlin</t>
  </si>
  <si>
    <t>http://bit.ly/fJ0iMv</t>
  </si>
  <si>
    <t>http://bit.ly/dHfePn</t>
  </si>
  <si>
    <t xml:space="preserve">http://es.pn/f3zMwJ </t>
  </si>
  <si>
    <t>http://bit.ly/dVznlh</t>
  </si>
  <si>
    <t>http://bit.ly/e6Cmoc</t>
  </si>
  <si>
    <t>http://bit.ly/fTQJtY</t>
  </si>
  <si>
    <t>http://bit.ly/fnK4Zk</t>
  </si>
  <si>
    <t>http://bit.ly/dEtjgK</t>
  </si>
  <si>
    <t>Mike Dodd</t>
  </si>
  <si>
    <t>http://bit.ly/fE7V5S</t>
  </si>
  <si>
    <t>http://on.fb.me/eLVgVf</t>
  </si>
  <si>
    <t>http://bit.ly/ewC2p7</t>
  </si>
  <si>
    <t xml:space="preserve">John Erardi </t>
  </si>
  <si>
    <t>http://bit.ly/hRyVTv</t>
  </si>
  <si>
    <t>http://bit.ly/hDUqP3</t>
  </si>
  <si>
    <t>http://bit.ly/dNxahT</t>
  </si>
  <si>
    <t>http://bit.ly/hzI68X</t>
  </si>
  <si>
    <t>http://bit.ly/fW0qrG</t>
  </si>
  <si>
    <t>http://bit.ly/i6p89V</t>
  </si>
  <si>
    <t xml:space="preserve">http://bit.ly/gRLLew </t>
  </si>
  <si>
    <t>http://bit.ly/f2NEzt</t>
  </si>
  <si>
    <t>http://bit.ly/eszLmr</t>
  </si>
  <si>
    <t>http://bit.ly/hOPhiu</t>
  </si>
  <si>
    <t>http://bit.ly/hNXreH</t>
  </si>
  <si>
    <t>http://bit.ly/hBp24y</t>
  </si>
  <si>
    <t>http://bit.ly/hgS0WD</t>
  </si>
  <si>
    <t>http://bit.ly/dXECUG</t>
  </si>
  <si>
    <t>http://bit.ly/eY86Gz</t>
  </si>
  <si>
    <t>http://bit.ly/gLNMlN</t>
  </si>
  <si>
    <t>Bill Kennedy</t>
  </si>
  <si>
    <t>http://bit.ly/dQzCIw</t>
  </si>
  <si>
    <t>http://bit.ly/fz4UV7</t>
  </si>
  <si>
    <t>http://bit.ly/hri6iN</t>
  </si>
  <si>
    <t>Danny "Pure Players Only" Knobler</t>
  </si>
  <si>
    <t>http://bit.ly/hSZMyW</t>
  </si>
  <si>
    <t>http://bit.ly/gVdlvm</t>
  </si>
  <si>
    <t>http://bit.ly/fAr9yv</t>
  </si>
  <si>
    <t>Paul Ladewski</t>
  </si>
  <si>
    <t>http://bit.ly/h35dxx</t>
  </si>
  <si>
    <t>http://bit.ly/dFCvWi</t>
  </si>
  <si>
    <t>Larry Larue</t>
  </si>
  <si>
    <t>http://bit.ly/gqEZ7a</t>
  </si>
  <si>
    <t>John P Lopez</t>
  </si>
  <si>
    <t>http://twitpic.com/3k9nf2</t>
  </si>
  <si>
    <t>http://bit.ly/gal1gL</t>
  </si>
  <si>
    <t>http://bit.ly/iirVo4</t>
  </si>
  <si>
    <t>http://bit.ly/fvjAdj</t>
  </si>
  <si>
    <t>http://bit.ly/hbqNwu</t>
  </si>
  <si>
    <t>Bruce "It's Not The Hall of Stats" Miles</t>
  </si>
  <si>
    <t>http://bit.ly/hQWmkj</t>
  </si>
  <si>
    <t>http://bit.ly/f9JgGQ</t>
  </si>
  <si>
    <t>http://bit.ly/fv4YNj</t>
  </si>
  <si>
    <t>http://aol.it/hIGM3H</t>
  </si>
  <si>
    <t>La Velle E. Neal</t>
  </si>
  <si>
    <t>http://es.pn/gkGrSX</t>
  </si>
  <si>
    <t>Tom Pedulla</t>
  </si>
  <si>
    <t>http://bit.ly/fzbXtN</t>
  </si>
  <si>
    <t>http://bit.ly/h3X2yL</t>
  </si>
  <si>
    <t>http://bit.ly/gmQKeX</t>
  </si>
  <si>
    <t>http://bit.ly/fnBuMJ</t>
  </si>
  <si>
    <t>http://bit.ly/gEv8Xv</t>
  </si>
  <si>
    <t>http://bit.ly/hXpzo6</t>
  </si>
  <si>
    <t>http://bit.ly/h10NtB</t>
  </si>
  <si>
    <t>http://bit.ly/eMpmLE</t>
  </si>
  <si>
    <t>http://bit.ly/dGszlK</t>
  </si>
  <si>
    <t>http://bit.ly/fBiq1u</t>
  </si>
  <si>
    <t>http://bit.ly/gAEbK6</t>
  </si>
  <si>
    <t>http://bit.ly/fUytxQ</t>
  </si>
  <si>
    <t>http://bit.ly/fDZqDz</t>
  </si>
  <si>
    <t>http://bit.ly/fVj4tS</t>
  </si>
  <si>
    <t>http://bit.ly/hVPp7x</t>
  </si>
  <si>
    <t>T.R. Sullivan</t>
  </si>
  <si>
    <t>http://bit.ly/gTXcOq</t>
  </si>
  <si>
    <t>http://bit.ly/hjzaAh</t>
  </si>
  <si>
    <t>http://bit.ly/hpjXr3</t>
  </si>
  <si>
    <t>http://bit.ly/f9XDiE</t>
  </si>
  <si>
    <t>Dave Van Dyck</t>
  </si>
  <si>
    <t>http://bit.ly/gg4XgV</t>
  </si>
  <si>
    <t>Andre Dawson</t>
  </si>
  <si>
    <t>Robin Ventura</t>
  </si>
  <si>
    <t>Link (if found)</t>
  </si>
  <si>
    <t>Total Out of 92</t>
  </si>
  <si>
    <t>http://bit.ly/68ExSN</t>
  </si>
  <si>
    <t>http://bit.ly/4Ay6tH</t>
  </si>
  <si>
    <t>http://bit.ly/7r7kCM</t>
  </si>
  <si>
    <t>http://bit.ly/6zdJ28</t>
  </si>
  <si>
    <t>http://bit.ly/90NuDg</t>
  </si>
  <si>
    <t>http://bit.ly/7PZAzm</t>
  </si>
  <si>
    <t>http://bit.ly/4wTml3</t>
  </si>
  <si>
    <t>http://twitter.com/jimcaple/status/7251920220</t>
  </si>
  <si>
    <t>http://bit.ly/5oAemz</t>
  </si>
  <si>
    <t>http://bit.ly/5NeSNk</t>
  </si>
  <si>
    <t>http://bit.ly/8vo8wq</t>
  </si>
  <si>
    <t>http://bit.ly/4GLzHD</t>
  </si>
  <si>
    <t>Dan Coughlin</t>
  </si>
  <si>
    <t>http://bit.ly/70mX5j</t>
  </si>
  <si>
    <t>bit.ly/7PZAzm</t>
  </si>
  <si>
    <t>http://twitter.com/JackCurry1/status/7241608161</t>
  </si>
  <si>
    <t>http://bit.ly/5C8BUw</t>
  </si>
  <si>
    <t>http://bit.ly/63ELAy</t>
  </si>
  <si>
    <t>http://bit.ly/58Xeh0</t>
  </si>
  <si>
    <t>http://bit.ly/8ZBEtE</t>
  </si>
  <si>
    <t>Robert Griffin</t>
  </si>
  <si>
    <t>http://bit.ly/80BzSh</t>
  </si>
  <si>
    <t>http://bit.ly/4sdHpz</t>
  </si>
  <si>
    <t>Joe Henderson (inc)</t>
  </si>
  <si>
    <t xml:space="preserve"> http://bit.ly/4uZF1w</t>
  </si>
  <si>
    <t>http://bit.ly/7kAx8x</t>
  </si>
  <si>
    <t>http://bit.ly/6tydXD</t>
  </si>
  <si>
    <t>http://bit.ly/4ATVNE</t>
  </si>
  <si>
    <t>http://bit.ly/60mFPV</t>
  </si>
  <si>
    <t>http://bit.ly/8D7sR3</t>
  </si>
  <si>
    <t>Mike Klis (inc)</t>
  </si>
  <si>
    <t>http://bit.ly/8yKqxT</t>
  </si>
  <si>
    <t>http://bit.ly/4ocCKb</t>
  </si>
  <si>
    <t>Larry LaRue</t>
  </si>
  <si>
    <t>http://bit.ly/8ILCTH</t>
  </si>
  <si>
    <t>http://bit.ly/71ojkS</t>
  </si>
  <si>
    <t>http://bit.ly/5u0RFQ</t>
  </si>
  <si>
    <t>Joe McGrath</t>
  </si>
  <si>
    <t>http://bit.ly/4KCF1n</t>
  </si>
  <si>
    <t>Jay Mariotti</t>
  </si>
  <si>
    <t>NOBODY</t>
  </si>
  <si>
    <t>B/C</t>
  </si>
  <si>
    <t>"LOOK</t>
  </si>
  <si>
    <t>AT</t>
  </si>
  <si>
    <t>ME"</t>
  </si>
  <si>
    <t>Bob Markus</t>
  </si>
  <si>
    <t>http://bit.ly/8Vwgd1</t>
  </si>
  <si>
    <t>http://bit.ly/6e1Jza</t>
  </si>
  <si>
    <t>http://bit.ly/8QRryt</t>
  </si>
  <si>
    <t>http://bit.ly/64sLsg</t>
  </si>
  <si>
    <t>http://bit.ly/7cLx0T</t>
  </si>
  <si>
    <t>http://bit.ly/7shcRK</t>
  </si>
  <si>
    <t>Mike Nadal</t>
  </si>
  <si>
    <t>http://bit.ly/4GVbFh</t>
  </si>
  <si>
    <t>Drew Olsen (inc)</t>
  </si>
  <si>
    <t>http://bit.ly/7ORImv</t>
  </si>
  <si>
    <t>John Perotto</t>
  </si>
  <si>
    <t>http://bit.ly/gI7TQJ</t>
  </si>
  <si>
    <t>http://bit.ly/87fzzy</t>
  </si>
  <si>
    <t>http://bit.ly/5ulbNe</t>
  </si>
  <si>
    <t>Ed Price</t>
  </si>
  <si>
    <t>http://bit.ly/8f5ZUW</t>
  </si>
  <si>
    <t>http://bit.ly/5LkFe6</t>
  </si>
  <si>
    <t>http://bit.ly/6IhSKY</t>
  </si>
  <si>
    <t>TJ Quinn</t>
  </si>
  <si>
    <t>http://bit.ly/69wy66</t>
  </si>
  <si>
    <t>http://bit.ly/7kVlRa</t>
  </si>
  <si>
    <t>http://bit.ly/5PB4VU</t>
  </si>
  <si>
    <t>http://bit.ly/89P8Ic</t>
  </si>
  <si>
    <t>http://bit.ly/6zNiE2</t>
  </si>
  <si>
    <t>http://bit.ly/8JcSX2</t>
  </si>
  <si>
    <t>http://twitter.com/StoneLarry/status/7241164956</t>
  </si>
  <si>
    <t>http://bit.ly/602gXa</t>
  </si>
  <si>
    <t>http://bit.ly/7kNbPD</t>
  </si>
  <si>
    <t>Dave Van Dyke</t>
  </si>
  <si>
    <t>http://bit.ly/8fSb3Q</t>
  </si>
  <si>
    <t>Rickey Henderson</t>
  </si>
  <si>
    <t>Tommy John</t>
  </si>
  <si>
    <t>Jim Rice</t>
  </si>
  <si>
    <t>Online Ballots</t>
  </si>
  <si>
    <t>Total Out of 60</t>
  </si>
  <si>
    <t>Jim Capozzi</t>
  </si>
  <si>
    <t>Chris Elsburry</t>
  </si>
  <si>
    <t>Richard Griffen</t>
  </si>
  <si>
    <t>Jim Hawkins</t>
  </si>
  <si>
    <t>Bob Hille</t>
  </si>
  <si>
    <t>Sean Hogan</t>
  </si>
  <si>
    <t>Dave Kindred</t>
  </si>
  <si>
    <t>Phil Pepe</t>
  </si>
  <si>
    <t>T.J Quinn</t>
  </si>
  <si>
    <t>Jim Salisbury</t>
  </si>
  <si>
    <t>Corky Simpson</t>
  </si>
  <si>
    <t>?</t>
  </si>
  <si>
    <t>Steve Wilmoth</t>
  </si>
  <si>
    <t>Bob Verdi</t>
  </si>
  <si>
    <t>Non-Public Voters</t>
  </si>
  <si>
    <t>Handle</t>
  </si>
  <si>
    <t>Twitter Handle</t>
  </si>
  <si>
    <t>How They Revealed Their 2014 Ballot</t>
  </si>
  <si>
    <t>2015 Notes/Contact Attempts:</t>
  </si>
  <si>
    <t>Abramson, Bill</t>
  </si>
  <si>
    <t>Writes for Enterprise News (southcoasttoday.com/capecodonline.com). No email.</t>
  </si>
  <si>
    <t>Adamek, Steve</t>
  </si>
  <si>
    <t>grumpyadamek</t>
  </si>
  <si>
    <t>Emailed.</t>
  </si>
  <si>
    <t>Albers, Bucky</t>
  </si>
  <si>
    <t>BuckysBunker</t>
  </si>
  <si>
    <t xml:space="preserve">Cincinnati. Retired. Golf writer. </t>
  </si>
  <si>
    <t>Armstrong, Jim</t>
  </si>
  <si>
    <t>jim_armstrong</t>
  </si>
  <si>
    <t>Owns Bender's Sports Bar in Denver</t>
  </si>
  <si>
    <t>Atkins, Harry</t>
  </si>
  <si>
    <t>Retired Detroit</t>
  </si>
  <si>
    <t>Attner, Paul</t>
  </si>
  <si>
    <t>Former WaPo/Sporting News</t>
  </si>
  <si>
    <t>Babich, Larry</t>
  </si>
  <si>
    <t>Baker, Kent</t>
  </si>
  <si>
    <t>Balzer, Howard</t>
  </si>
  <si>
    <t>hbalzer721</t>
  </si>
  <si>
    <t>Barnes, Craig</t>
  </si>
  <si>
    <t>BarnesBurner</t>
  </si>
  <si>
    <t>Doesn't tweet/blog's dead/no contact info at broward.edu</t>
  </si>
  <si>
    <t>Beacham, Greg</t>
  </si>
  <si>
    <t xml:space="preserve">gregbeacham </t>
  </si>
  <si>
    <t>"Identical to Ratto's" on Twitter</t>
  </si>
  <si>
    <t>Berkow, Ira</t>
  </si>
  <si>
    <t>Retired NYT</t>
  </si>
  <si>
    <t>Bierig, Joel</t>
  </si>
  <si>
    <t>Cubs Vine Line Magazine (former Sun Times)</t>
  </si>
  <si>
    <t>Bisheff, Steve</t>
  </si>
  <si>
    <t>Prefers to keep ballot private, via email.</t>
  </si>
  <si>
    <t>Blackman, Frank</t>
  </si>
  <si>
    <t>Former SF Examiner. No contact info.</t>
  </si>
  <si>
    <t>Blinebury, Fran</t>
  </si>
  <si>
    <t>franblinebury</t>
  </si>
  <si>
    <t>Emailed</t>
  </si>
  <si>
    <t>Bloom, Earl</t>
  </si>
  <si>
    <t>earl_bloom_spts</t>
  </si>
  <si>
    <t>Former OC Register, now freelancer</t>
  </si>
  <si>
    <t>Blum, Ron</t>
  </si>
  <si>
    <t>In a chat.</t>
  </si>
  <si>
    <t>Bock, Hal</t>
  </si>
  <si>
    <t>Retired AP. No longer at liu.edu.</t>
  </si>
  <si>
    <t>Borzi, Pat</t>
  </si>
  <si>
    <t>Bradley, Mark</t>
  </si>
  <si>
    <t>MarkBradleyAJC</t>
  </si>
  <si>
    <t>Bragg, Brian</t>
  </si>
  <si>
    <t xml:space="preserve">Emailed. </t>
  </si>
  <si>
    <t>Bray, Stephen</t>
  </si>
  <si>
    <t>Buck, Ray</t>
  </si>
  <si>
    <t>Buonauro, Gabe</t>
  </si>
  <si>
    <t>For now, wants to keep ballot private. Voted for the 4 inductees. (email)</t>
  </si>
  <si>
    <t>Buscema, Dave</t>
  </si>
  <si>
    <t>DaveBuscema</t>
  </si>
  <si>
    <t>Tweeted/Emailed</t>
  </si>
  <si>
    <t>Bush, David</t>
  </si>
  <si>
    <t>Giants Official Scorer. Former SF Chronicle.</t>
  </si>
  <si>
    <t>Cannaday, Philip</t>
  </si>
  <si>
    <t>Retired AP</t>
  </si>
  <si>
    <t>Capozzi, Joe</t>
  </si>
  <si>
    <t>joecapMARLINS</t>
  </si>
  <si>
    <t>Carpenter, Les</t>
  </si>
  <si>
    <t>Lescarpenter</t>
  </si>
  <si>
    <t>Emailed through http://www.lescarpenter.net/contact-les/</t>
  </si>
  <si>
    <t>Carson, John</t>
  </si>
  <si>
    <t>Elias. 2015 is first year with a ballot.</t>
  </si>
  <si>
    <t>Christensen, Tom</t>
  </si>
  <si>
    <t>Sun Sentinel Section Editor</t>
  </si>
  <si>
    <t>Cohn, Bob</t>
  </si>
  <si>
    <t>Email bounced</t>
  </si>
  <si>
    <t>Cohn, Lowell</t>
  </si>
  <si>
    <t>LowellCohn</t>
  </si>
  <si>
    <t>Collier, Gene</t>
  </si>
  <si>
    <t>genecollier</t>
  </si>
  <si>
    <t>post-gazette.com blog post</t>
  </si>
  <si>
    <t>"Keeping it to myself from now on" via email</t>
  </si>
  <si>
    <t>Cour, Jim</t>
  </si>
  <si>
    <t>Retired AP/UPI</t>
  </si>
  <si>
    <t>Cowley, Joe</t>
  </si>
  <si>
    <t>cst_Cowley</t>
  </si>
  <si>
    <t>Emailed. Chi Sun Times basketball writer</t>
  </si>
  <si>
    <t>Cullen, Blake</t>
  </si>
  <si>
    <t>Cushman, Tom</t>
  </si>
  <si>
    <t>San Diego Union Trib Retired</t>
  </si>
  <si>
    <t>Davis, Mike</t>
  </si>
  <si>
    <t>Dickey, Glenn</t>
  </si>
  <si>
    <t>Emailed through http://www.glenndickey.com/contact_glenn.php</t>
  </si>
  <si>
    <t>Dodd, Mike</t>
  </si>
  <si>
    <t>BBWAA.com</t>
  </si>
  <si>
    <t>Dolgan, Bob</t>
  </si>
  <si>
    <t>Cleveland. Married to Polka Star Cecilia Dolgan.</t>
  </si>
  <si>
    <t>Downey, Mike</t>
  </si>
  <si>
    <t>Said on FB that he won't share ballots anymore</t>
  </si>
  <si>
    <t>Draper, Rich</t>
  </si>
  <si>
    <t>Dutton, Bob</t>
  </si>
  <si>
    <t>TNT_Mariners</t>
  </si>
  <si>
    <t>Declined to reveal on Twitter in 2014. Never shares ballots.</t>
  </si>
  <si>
    <t>Dybdal, Chuck</t>
  </si>
  <si>
    <t>Official scorer</t>
  </si>
  <si>
    <t>Eisenberg, John</t>
  </si>
  <si>
    <t>Emailed through http://www.johneisenberg.com/contact/</t>
  </si>
  <si>
    <t>Elderkin, Phil</t>
  </si>
  <si>
    <t xml:space="preserve">Former Christian Science Monitor editor. </t>
  </si>
  <si>
    <t>Eldridge, Larry</t>
  </si>
  <si>
    <t>Comcast SportsNet West VP and GM</t>
  </si>
  <si>
    <t>Erardi, John</t>
  </si>
  <si>
    <t>johnerardi</t>
  </si>
  <si>
    <t>cincinnati.com column</t>
  </si>
  <si>
    <t>No longer with C Enquirer. Emailed</t>
  </si>
  <si>
    <t>Eskenazi, Gerald</t>
  </si>
  <si>
    <t>Eskew, Alan</t>
  </si>
  <si>
    <t>KC. Now with Baseball America.</t>
  </si>
  <si>
    <t>Etkin, Jack</t>
  </si>
  <si>
    <t>Ewald, Daniel</t>
  </si>
  <si>
    <t>Fannin, Mike</t>
  </si>
  <si>
    <t>Emailed. Ballot never arrived in 2014. Said he's willing to share and to check back in 2015. Haven't heard back.</t>
  </si>
  <si>
    <t>Farrell, Roger</t>
  </si>
  <si>
    <t>Finnigan, Bob</t>
  </si>
  <si>
    <t>Finocchiaro, Ray</t>
  </si>
  <si>
    <t>Fitzpatrick, Mike</t>
  </si>
  <si>
    <t>usnews.com column</t>
  </si>
  <si>
    <t>Fritz, Barry</t>
  </si>
  <si>
    <t>Twins Official Scorer.</t>
  </si>
  <si>
    <t>Gage, Tom</t>
  </si>
  <si>
    <t>Gallo, Greg</t>
  </si>
  <si>
    <t>Galloway, Randy</t>
  </si>
  <si>
    <t>PARODY ACCOUNT</t>
  </si>
  <si>
    <t>FW Star Telegram reired</t>
  </si>
  <si>
    <t>Geracie, Bud</t>
  </si>
  <si>
    <t xml:space="preserve">WakeOfWeek </t>
  </si>
  <si>
    <t>Declined to reveal (via Twitter)</t>
  </si>
  <si>
    <t>Gergen, Joe</t>
  </si>
  <si>
    <t>Germano, Eddie</t>
  </si>
  <si>
    <t>Sports cartoonist born 1924</t>
  </si>
  <si>
    <t>Gibson, Greg</t>
  </si>
  <si>
    <t>Gillies, Rob</t>
  </si>
  <si>
    <t>rgilliescanada</t>
  </si>
  <si>
    <t>Ginnetti, Toni</t>
  </si>
  <si>
    <t>toniginnetti</t>
  </si>
  <si>
    <t>Said "figured I wouldn't share this time" on Twitter</t>
  </si>
  <si>
    <t>Goddard, Joe</t>
  </si>
  <si>
    <t>lagrange.suntimes.com column</t>
  </si>
  <si>
    <t>Goldstein, Alan</t>
  </si>
  <si>
    <t>Gordon, Cormac</t>
  </si>
  <si>
    <t>Revealed 6 of 10 in a column in 2014. Nothing much in 2015.</t>
  </si>
  <si>
    <t>Gugger, John</t>
  </si>
  <si>
    <t>Guidi, Gene</t>
  </si>
  <si>
    <t>Detroit.</t>
  </si>
  <si>
    <t>Guregian, Karen</t>
  </si>
  <si>
    <t>kguregian</t>
  </si>
  <si>
    <t>Boston Herald Pats writer. Declined to share via email.</t>
  </si>
  <si>
    <t>Hagen, Paul</t>
  </si>
  <si>
    <t>hagenp</t>
  </si>
  <si>
    <t>MLB.com (group reveal)</t>
  </si>
  <si>
    <t>Halls, Bill</t>
  </si>
  <si>
    <t>Detroit. Retired 1998.</t>
  </si>
  <si>
    <t>Hand, Kenny</t>
  </si>
  <si>
    <t>Messaged. No response.</t>
  </si>
  <si>
    <t>Harris, Beth</t>
  </si>
  <si>
    <t>bethharrisap</t>
  </si>
  <si>
    <t>Chooses not to make her ballot public (email)</t>
  </si>
  <si>
    <t>Hart, Mike</t>
  </si>
  <si>
    <t>HartAttakSports</t>
  </si>
  <si>
    <t>Jsonline.com (group reveal)</t>
  </si>
  <si>
    <t>Twittered/Emailed. No longer at JS?</t>
  </si>
  <si>
    <t>Hartman, Bill</t>
  </si>
  <si>
    <t>Hartman, Sid</t>
  </si>
  <si>
    <t>SidHartman</t>
  </si>
  <si>
    <t>Hawkins, Stephen</t>
  </si>
  <si>
    <t>hawkaptexas</t>
  </si>
  <si>
    <t>Henkel, Cathy</t>
  </si>
  <si>
    <t xml:space="preserve">chenkel </t>
  </si>
  <si>
    <t>Retired Seattle</t>
  </si>
  <si>
    <t>Henry, Larry</t>
  </si>
  <si>
    <t>Email bounced. Retired HeraldNet (Everett, Wa)</t>
  </si>
  <si>
    <t>Hernandez-Douen, Manolo</t>
  </si>
  <si>
    <t>beisbolporgotas</t>
  </si>
  <si>
    <t>Herrick, Steve</t>
  </si>
  <si>
    <t>AP Freelancer Cleveland</t>
  </si>
  <si>
    <t>Hewitt, Roy</t>
  </si>
  <si>
    <t>Retired 2012.</t>
  </si>
  <si>
    <t>Hickey, John</t>
  </si>
  <si>
    <t>JHickey3</t>
  </si>
  <si>
    <t>mercurynews.com (group reveal)</t>
  </si>
  <si>
    <t>Emailed &amp; Twittered.</t>
  </si>
  <si>
    <t>Hillyer, John</t>
  </si>
  <si>
    <t>Ex San Francisco Examiner</t>
  </si>
  <si>
    <t>Hirdt, Ken</t>
  </si>
  <si>
    <t>oldbiscuitpants</t>
  </si>
  <si>
    <t xml:space="preserve">Elias. 2015 is first year with a ballot. </t>
  </si>
  <si>
    <t>Hirdt, Peter</t>
  </si>
  <si>
    <t>PeterHirdt</t>
  </si>
  <si>
    <t>Elias</t>
  </si>
  <si>
    <t>Hirdt, Steve</t>
  </si>
  <si>
    <t>SteveHirdt</t>
  </si>
  <si>
    <t>Hirdt, Tom</t>
  </si>
  <si>
    <t>Hochman, Stanley</t>
  </si>
  <si>
    <t>Died 4/9/15.</t>
  </si>
  <si>
    <t>Howe, Dean</t>
  </si>
  <si>
    <t>Hughes, David</t>
  </si>
  <si>
    <t>Hummel, Rick</t>
  </si>
  <si>
    <t>Hunt, Michael</t>
  </si>
  <si>
    <t>MichaelHuntMJS</t>
  </si>
  <si>
    <t>Declined to reveal (I think) via email</t>
  </si>
  <si>
    <t>Hunter, Bob</t>
  </si>
  <si>
    <t>dailyhunter</t>
  </si>
  <si>
    <t>Hutchison, Barney</t>
  </si>
  <si>
    <t>Jackman, Phil</t>
  </si>
  <si>
    <t>Voted/revealed in past. Revealed some 2014 pressboxonline.com</t>
  </si>
  <si>
    <t>Johnson, Chuck</t>
  </si>
  <si>
    <t>chuckjohnsonINK</t>
  </si>
  <si>
    <t>Kaegel, Dick</t>
  </si>
  <si>
    <t>KCKaegel</t>
  </si>
  <si>
    <t>MLB group reveal</t>
  </si>
  <si>
    <t>Kay, Joe</t>
  </si>
  <si>
    <t>apjoekay</t>
  </si>
  <si>
    <t>Kennedy, Bernie</t>
  </si>
  <si>
    <t>Detroit - Macomb Daily retired</t>
  </si>
  <si>
    <t>Kennedy, Bill</t>
  </si>
  <si>
    <t>Not the NBA referee, I assume</t>
  </si>
  <si>
    <t>Klonke, Chuck</t>
  </si>
  <si>
    <t>Tigers official scorer</t>
  </si>
  <si>
    <t>Kobayashi, Nobuyuki</t>
  </si>
  <si>
    <t>Tokyo Daily Sports</t>
  </si>
  <si>
    <t>Koch, William</t>
  </si>
  <si>
    <t>bkoch</t>
  </si>
  <si>
    <t>Just left Cinci Enquirer. Tweeted.</t>
  </si>
  <si>
    <t>Konishi, Keizo</t>
  </si>
  <si>
    <t>Kraemer, Ken</t>
  </si>
  <si>
    <t>Detroit chapter 1972. No contact info.</t>
  </si>
  <si>
    <t>Krasner, Steve</t>
  </si>
  <si>
    <t xml:space="preserve">stkras1 </t>
  </si>
  <si>
    <t>Tweeted</t>
  </si>
  <si>
    <t>Kuwada, Robert</t>
  </si>
  <si>
    <t>rkuwada</t>
  </si>
  <si>
    <t>Tweeted/Emailed. Fresno Bee.</t>
  </si>
  <si>
    <t>Labombarda, John</t>
  </si>
  <si>
    <t>johnlabo</t>
  </si>
  <si>
    <t>Labombarda, Santo</t>
  </si>
  <si>
    <t>Ladewski, Paul</t>
  </si>
  <si>
    <t>Ladouceur, Pierre</t>
  </si>
  <si>
    <t>Lage, Larry</t>
  </si>
  <si>
    <t>LarryLage</t>
  </si>
  <si>
    <t>Lair, Keith</t>
  </si>
  <si>
    <t>KeithLLair</t>
  </si>
  <si>
    <t>Lankhof, Bill</t>
  </si>
  <si>
    <t>Lea, Bud</t>
  </si>
  <si>
    <t>former Milwaukee Sentinel columnist</t>
  </si>
  <si>
    <t>Lincicome, Bernie</t>
  </si>
  <si>
    <t>Blincicome</t>
  </si>
  <si>
    <t>Former Rocky Mountain News</t>
  </si>
  <si>
    <t>Lopresti, Mike</t>
  </si>
  <si>
    <t>LoprestiSports</t>
  </si>
  <si>
    <t>Tweeted (Email bounced)</t>
  </si>
  <si>
    <t>Lowe, John</t>
  </si>
  <si>
    <t>Retired Detroit Free Press 2014. Emailed.</t>
  </si>
  <si>
    <t>Lowitt, Bruce</t>
  </si>
  <si>
    <t>Retired from AP 2003</t>
  </si>
  <si>
    <t>Lupica, Mike</t>
  </si>
  <si>
    <t>Lutz, Michael</t>
  </si>
  <si>
    <t>MacLean, Norman</t>
  </si>
  <si>
    <t>Died 3/20/2015.</t>
  </si>
  <si>
    <t>Madden, Michael</t>
  </si>
  <si>
    <t>Former Boston Globe</t>
  </si>
  <si>
    <t>Maffei, John</t>
  </si>
  <si>
    <t>Maloney, Tom</t>
  </si>
  <si>
    <t>toallfields</t>
  </si>
  <si>
    <t>Emailed. "BBWAA has instituted a process for ballots"  ????</t>
  </si>
  <si>
    <t>Maril, David</t>
  </si>
  <si>
    <t>voiceofbaltimore.org blog</t>
  </si>
  <si>
    <t>Martinez Rhodes, Cindy</t>
  </si>
  <si>
    <t>Mayes, Warren</t>
  </si>
  <si>
    <t>bnd.com (group reveal)</t>
  </si>
  <si>
    <t>Mazzeo, Frank</t>
  </si>
  <si>
    <t>McCauley, Janie</t>
  </si>
  <si>
    <t xml:space="preserve">JanieMcCAP </t>
  </si>
  <si>
    <t>Emailed. Married to ballot sharer Josh Dubow.</t>
  </si>
  <si>
    <t>McClelland, Sean</t>
  </si>
  <si>
    <t>Emailed through http://www.daytondailynews.com/staff/sean-mcclelland/</t>
  </si>
  <si>
    <t>Megliola, Lenny</t>
  </si>
  <si>
    <t>lennymegs</t>
  </si>
  <si>
    <t>Merchant, Larry</t>
  </si>
  <si>
    <t>Meyer, Paul</t>
  </si>
  <si>
    <t>rmucolonials.com</t>
  </si>
  <si>
    <t>Meyerhoff, Steven</t>
  </si>
  <si>
    <t>stevemeyerhoff</t>
  </si>
  <si>
    <t>Moran, Malcolm</t>
  </si>
  <si>
    <t>malcolm_moran</t>
  </si>
  <si>
    <t>Mosher, Terry</t>
  </si>
  <si>
    <t>SportsOfAllSort</t>
  </si>
  <si>
    <t>Moss, Irv</t>
  </si>
  <si>
    <t>irvmoss</t>
  </si>
  <si>
    <t>Mossman, John</t>
  </si>
  <si>
    <t>Murr, Charles "Chuck"</t>
  </si>
  <si>
    <t>Big 10 Network Font Coordinator</t>
  </si>
  <si>
    <t>Newnham, Blaine</t>
  </si>
  <si>
    <t>Retired Seattle Times</t>
  </si>
  <si>
    <t>Nichols, Max</t>
  </si>
  <si>
    <t>Stopped writing about baseball in 1967</t>
  </si>
  <si>
    <t>Nigro, Ken</t>
  </si>
  <si>
    <t>Did not respond to email last year.</t>
  </si>
  <si>
    <t>O'Brien, Jim</t>
  </si>
  <si>
    <t>O'Connell, Jack</t>
  </si>
  <si>
    <t>BBWAA Secretary/Treasurer/Vote Counter. Chronic privateballotitis.</t>
  </si>
  <si>
    <t>O'Neill, Shaun</t>
  </si>
  <si>
    <t>oapostrophesd</t>
  </si>
  <si>
    <t>Tweeted.</t>
  </si>
  <si>
    <t>Ocker, Sheldon</t>
  </si>
  <si>
    <t>SheldonOckerABJ</t>
  </si>
  <si>
    <t>Emailed? (Retired)</t>
  </si>
  <si>
    <t>Okuda, Hideki</t>
  </si>
  <si>
    <t>hidekiokuda48</t>
  </si>
  <si>
    <t>Ostermeier, Joe</t>
  </si>
  <si>
    <t>joeostermeier</t>
  </si>
  <si>
    <t>Padecky, Bob</t>
  </si>
  <si>
    <t>Padilla, Doug</t>
  </si>
  <si>
    <t>ESPNChiSox</t>
  </si>
  <si>
    <t>Paladino, Lawrence</t>
  </si>
  <si>
    <t>Detroit chapter 1969.</t>
  </si>
  <si>
    <t>Pantages, Larry</t>
  </si>
  <si>
    <t>Paolercio, Michael</t>
  </si>
  <si>
    <t>Emailed through http://www.mbpgrafix.com/index.php/contact</t>
  </si>
  <si>
    <t xml:space="preserve">Parascenzo, Marino </t>
  </si>
  <si>
    <t>Peek, Jeff</t>
  </si>
  <si>
    <t>Emailed?</t>
  </si>
  <si>
    <t>Pepe, Phil</t>
  </si>
  <si>
    <t>Perkins, Dave</t>
  </si>
  <si>
    <t>Podcast</t>
  </si>
  <si>
    <t>Retired 2013 Toronto Star</t>
  </si>
  <si>
    <t>Peters, Nick</t>
  </si>
  <si>
    <t/>
  </si>
  <si>
    <t>Died 3/23/2015.</t>
  </si>
  <si>
    <t>Petruska, Ed</t>
  </si>
  <si>
    <t>Pluto, Terry</t>
  </si>
  <si>
    <t>terrypluto</t>
  </si>
  <si>
    <t>Poole, Monte</t>
  </si>
  <si>
    <t xml:space="preserve">MontePooleCSN </t>
  </si>
  <si>
    <t>CSNBayArea.com column</t>
  </si>
  <si>
    <t>Powell, Shaun</t>
  </si>
  <si>
    <t xml:space="preserve">Powell2daPeople </t>
  </si>
  <si>
    <t>Powers, Tom</t>
  </si>
  <si>
    <t>TomPowersPP</t>
  </si>
  <si>
    <t>twincities.com (group reveal)</t>
  </si>
  <si>
    <t>Rapoport, Ron</t>
  </si>
  <si>
    <t>Chicago Sun Times</t>
  </si>
  <si>
    <t>Rappoport, Ken</t>
  </si>
  <si>
    <t>Reusse, Pat</t>
  </si>
  <si>
    <t>1500ESPN_Reusse</t>
  </si>
  <si>
    <t>startribune.com (group reveal)</t>
  </si>
  <si>
    <t>Super nice guy. One of those writers you'd love to sit down and shoot the shit with over a beer. Won't reveal ballots anymore because other people are jerks.</t>
  </si>
  <si>
    <t>Reynolds, Dave</t>
  </si>
  <si>
    <t>DaveReynolds2</t>
  </si>
  <si>
    <t>Reynolds, Tim</t>
  </si>
  <si>
    <t>ByTimReynolds</t>
  </si>
  <si>
    <t>Rhodes, Billy</t>
  </si>
  <si>
    <t>High school teacher. Emailed</t>
  </si>
  <si>
    <t>Roderick, Joseph</t>
  </si>
  <si>
    <t>Former CCTimes. Not current STL radio host.</t>
  </si>
  <si>
    <t>Rogers, Carroll</t>
  </si>
  <si>
    <t>CarrollRogers</t>
  </si>
  <si>
    <t>Former Atlanta JC. Tweeted.</t>
  </si>
  <si>
    <t>Rosen, Bob</t>
  </si>
  <si>
    <t>Rosenthal, Bert</t>
  </si>
  <si>
    <t>Ruda, Mark</t>
  </si>
  <si>
    <t>Emailed. Former Chicago Daily Herald</t>
  </si>
  <si>
    <t>Rupprecht, Rich</t>
  </si>
  <si>
    <t>Retired Santa Rosa Press Democrat</t>
  </si>
  <si>
    <t>Saladino, Tom</t>
  </si>
  <si>
    <t>Schmetzer, Mark</t>
  </si>
  <si>
    <t>markschmetzer</t>
  </si>
  <si>
    <t>Cinci Enquirer/AP - Tweeted</t>
  </si>
  <si>
    <t>Schneider, Russ</t>
  </si>
  <si>
    <t>Sharp, Drew</t>
  </si>
  <si>
    <t>drewsharp</t>
  </si>
  <si>
    <t>freep.com column</t>
  </si>
  <si>
    <t>Shattuck, Harry</t>
  </si>
  <si>
    <t>Retired Houston Chronicle</t>
  </si>
  <si>
    <t>Shemanske, Susan</t>
  </si>
  <si>
    <t>Shook, Richard</t>
  </si>
  <si>
    <t>Via email. Recalled 6 of 7.</t>
  </si>
  <si>
    <t>Hasn't responded to email this year.</t>
  </si>
  <si>
    <t>Siner, Howard</t>
  </si>
  <si>
    <t>Siwoff, Seymour</t>
  </si>
  <si>
    <t xml:space="preserve">Elias. </t>
  </si>
  <si>
    <t>Sloan, Dave</t>
  </si>
  <si>
    <t>Former Sporting News</t>
  </si>
  <si>
    <t>Smizik, Bob</t>
  </si>
  <si>
    <t>post-gazette.com column</t>
  </si>
  <si>
    <t>Said in blog comment he won't reveal anymore.</t>
  </si>
  <si>
    <t>Spencer, Clark</t>
  </si>
  <si>
    <t>clarkspencer</t>
  </si>
  <si>
    <t>Stapelton, Arnie</t>
  </si>
  <si>
    <t>arniestapleton</t>
  </si>
  <si>
    <t>Stellino, Vito</t>
  </si>
  <si>
    <t>vitostellino</t>
  </si>
  <si>
    <t>Didn't know I'd come asking; didn't keep a copy of his ballot. Will next year.</t>
  </si>
  <si>
    <t>Stern, Alex</t>
  </si>
  <si>
    <t>Stier, Kit (Christopher?)</t>
  </si>
  <si>
    <t>Strege, John</t>
  </si>
  <si>
    <t>JohnStrege</t>
  </si>
  <si>
    <t>Sullivan, George</t>
  </si>
  <si>
    <t>Tapley, Ray</t>
  </si>
  <si>
    <t>Repired from AP 2011</t>
  </si>
  <si>
    <t>Thompson, Patrick</t>
  </si>
  <si>
    <t>There are many, many people named Patrick Thompson.</t>
  </si>
  <si>
    <t>Thorn, Chris</t>
  </si>
  <si>
    <t>Tucker, Doug</t>
  </si>
  <si>
    <t>ByEvanWest</t>
  </si>
  <si>
    <t xml:space="preserve"> Retired-doesn't tweet KC</t>
  </si>
  <si>
    <t>Tully, Mike</t>
  </si>
  <si>
    <t>TotalGamePlan</t>
  </si>
  <si>
    <t>Emailed through http://totalgameplan.com/contact/</t>
  </si>
  <si>
    <t>Ulman, Howard</t>
  </si>
  <si>
    <t>hbulman</t>
  </si>
  <si>
    <t>Van Dyck, Dave</t>
  </si>
  <si>
    <t>davandyck</t>
  </si>
  <si>
    <t xml:space="preserve">Emailed. Retired 8/2013. Doesn't tweet. </t>
  </si>
  <si>
    <t>Vass, George</t>
  </si>
  <si>
    <t>Retired Baseball Digest</t>
  </si>
  <si>
    <t>Ventura, Rick</t>
  </si>
  <si>
    <t>Verdi, Robert</t>
  </si>
  <si>
    <t>Chicago Blackhawks team historian</t>
  </si>
  <si>
    <t>Verrell, Gordon</t>
  </si>
  <si>
    <t>Long Beach Retired</t>
  </si>
  <si>
    <t>Viloria, Constantino</t>
  </si>
  <si>
    <t>viloriac</t>
  </si>
  <si>
    <t>Impremedia. Doesn't Tweet/FB</t>
  </si>
  <si>
    <t>Walker, James</t>
  </si>
  <si>
    <t>Former Oakland Press editor</t>
  </si>
  <si>
    <t>Walters, Charley</t>
  </si>
  <si>
    <t>Charley_Walters</t>
  </si>
  <si>
    <t>Waterman, Bob</t>
  </si>
  <si>
    <t>esbbob</t>
  </si>
  <si>
    <t>Whicker, Mark</t>
  </si>
  <si>
    <t>MWhicker03LANG</t>
  </si>
  <si>
    <t>Wilkinson, Jack</t>
  </si>
  <si>
    <t>Declined to reveal (via email)</t>
  </si>
  <si>
    <t>Zack, Bill</t>
  </si>
  <si>
    <t xml:space="preserve">Former Morris News/Atlanta. </t>
  </si>
  <si>
    <t>Players:</t>
  </si>
  <si>
    <t>Votes:</t>
  </si>
  <si>
    <t>Gained Vote - Voter did not vote for player last year</t>
  </si>
  <si>
    <t>Last Time on Ballot</t>
  </si>
  <si>
    <t>Voters:</t>
  </si>
  <si>
    <t>Lost Vote - Voted for player last year but not this year</t>
  </si>
  <si>
    <t>Players Tracked for Gain/Loss: Bagwell, Mussina, Piazza, Raines, Schilling</t>
  </si>
  <si>
    <t>This page must be refreshed to view updates.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</si>
</sst>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numFmt numFmtId="165" formatCode="0.0%"/>
  </numFmts>
  <fonts count="157">
    <font>
      <sz val="10"/>
      <color rgb="FF000000"/>
      <name val="Arial"/>
    </font>
    <font>
      <b/>
      <sz val="14"/>
      <color rgb="FF000000"/>
      <name val="Calibri"/>
      <family val="2"/>
    </font>
    <font>
      <b/>
      <sz val="8"/>
      <name val="Arial"/>
      <family val="2"/>
    </font>
    <font>
      <sz val="10"/>
      <color rgb="FF000000"/>
      <name val="Arial"/>
      <family val="2"/>
    </font>
    <font>
      <sz val="11"/>
      <color rgb="FF000000"/>
      <name val="Calibri"/>
      <family val="2"/>
    </font>
    <font>
      <b/>
      <sz val="10"/>
      <color rgb="FFFF0000"/>
      <name val="Arial"/>
      <family val="2"/>
    </font>
    <font>
      <sz val="10"/>
      <name val="Arial"/>
      <family val="2"/>
    </font>
    <font>
      <b/>
      <sz val="24"/>
      <color rgb="FFFFFFFF"/>
      <name val="Arial"/>
      <family val="2"/>
    </font>
    <font>
      <sz val="10"/>
      <color rgb="FFFF0000"/>
      <name val="Arial"/>
      <family val="2"/>
    </font>
    <font>
      <u/>
      <sz val="10"/>
      <color rgb="FF0000FF"/>
      <name val="Arial"/>
      <family val="2"/>
    </font>
    <font>
      <b/>
      <sz val="11"/>
      <color rgb="FF000000"/>
      <name val="Calibri"/>
      <family val="2"/>
    </font>
    <font>
      <b/>
      <sz val="18"/>
      <color rgb="FFFFFFFF"/>
      <name val="Arial"/>
      <family val="2"/>
    </font>
    <font>
      <u/>
      <sz val="11"/>
      <color rgb="FF0000FF"/>
      <name val="Calibri"/>
      <family val="2"/>
    </font>
    <font>
      <b/>
      <sz val="14"/>
      <color rgb="FFFFFFFF"/>
      <name val="Arial"/>
      <family val="2"/>
    </font>
    <font>
      <b/>
      <sz val="12"/>
      <color rgb="FFFF0000"/>
      <name val="Arial"/>
      <family val="2"/>
    </font>
    <font>
      <b/>
      <i/>
      <sz val="12"/>
      <color rgb="FFFFFFFF"/>
      <name val="Arial"/>
      <family val="2"/>
    </font>
    <font>
      <b/>
      <i/>
      <sz val="16"/>
      <color rgb="FF000000"/>
      <name val="Arial"/>
      <family val="2"/>
    </font>
    <font>
      <i/>
      <sz val="16"/>
      <color rgb="FFFFFFFF"/>
      <name val="Arial"/>
      <family val="2"/>
    </font>
    <font>
      <sz val="11"/>
      <name val="Calibri"/>
      <family val="2"/>
    </font>
    <font>
      <u/>
      <sz val="11"/>
      <color rgb="FF0563C1"/>
      <name val="Calibri"/>
      <family val="2"/>
    </font>
    <font>
      <b/>
      <i/>
      <sz val="16"/>
      <name val="Arial"/>
      <family val="2"/>
    </font>
    <font>
      <sz val="12"/>
      <color rgb="FF000000"/>
      <name val="Arial"/>
      <family val="2"/>
    </font>
    <font>
      <strike/>
      <sz val="11"/>
      <color rgb="FF000000"/>
      <name val="Calibri"/>
      <family val="2"/>
    </font>
    <font>
      <b/>
      <i/>
      <sz val="12"/>
      <name val="Arial"/>
      <family val="2"/>
    </font>
    <font>
      <b/>
      <sz val="10"/>
      <name val="Arial"/>
      <family val="2"/>
    </font>
    <font>
      <b/>
      <sz val="10"/>
      <color rgb="FF0000FF"/>
      <name val="Arial"/>
      <family val="2"/>
    </font>
    <font>
      <strike/>
      <sz val="11"/>
      <name val="Calibri"/>
      <family val="2"/>
    </font>
    <font>
      <b/>
      <sz val="10"/>
      <color rgb="FFFFFFFF"/>
      <name val="Arial"/>
      <family val="2"/>
    </font>
    <font>
      <sz val="10"/>
      <color rgb="FFFFFFFF"/>
      <name val="Arial"/>
      <family val="2"/>
    </font>
    <font>
      <b/>
      <strike/>
      <sz val="11"/>
      <color rgb="FF000000"/>
      <name val="Calibri"/>
      <family val="2"/>
    </font>
    <font>
      <strike/>
      <u/>
      <sz val="11"/>
      <color rgb="FF0000FF"/>
      <name val="Calibri"/>
      <family val="2"/>
    </font>
    <font>
      <b/>
      <sz val="7"/>
      <name val="Arial"/>
      <family val="2"/>
    </font>
    <font>
      <b/>
      <sz val="9"/>
      <name val="Arial"/>
      <family val="2"/>
    </font>
    <font>
      <b/>
      <u/>
      <sz val="14"/>
      <color rgb="FF0000FF"/>
      <name val="Arial"/>
      <family val="2"/>
    </font>
    <font>
      <sz val="9"/>
      <color rgb="FFFFFFFF"/>
      <name val="Arial"/>
      <family val="2"/>
    </font>
    <font>
      <sz val="8"/>
      <name val="Arial"/>
      <family val="2"/>
    </font>
    <font>
      <sz val="9"/>
      <name val="Arial"/>
      <family val="2"/>
    </font>
    <font>
      <i/>
      <sz val="9"/>
      <name val="Arial"/>
      <family val="2"/>
    </font>
    <font>
      <strike/>
      <sz val="11"/>
      <color rgb="FF0563C1"/>
      <name val="Calibri"/>
      <family val="2"/>
    </font>
    <font>
      <b/>
      <sz val="9"/>
      <color rgb="FFFFFFFF"/>
      <name val="Arial"/>
      <family val="2"/>
    </font>
    <font>
      <sz val="9"/>
      <color rgb="FF000000"/>
      <name val="Arial"/>
      <family val="2"/>
    </font>
    <font>
      <sz val="10"/>
      <color rgb="FFD9D9D9"/>
      <name val="Arial"/>
      <family val="2"/>
    </font>
    <font>
      <sz val="10"/>
      <color rgb="FFEFEFEF"/>
      <name val="Arial"/>
      <family val="2"/>
    </font>
    <font>
      <u/>
      <sz val="10"/>
      <color theme="10"/>
      <name val="Arial"/>
      <family val="2"/>
    </font>
    <font>
      <b/>
      <sz val="11"/>
      <color theme="0"/>
      <name val="Calibri"/>
      <family val="2"/>
      <scheme val="minor"/>
    </font>
    <font>
      <b/>
      <sz val="8"/>
      <name val="Calibri"/>
      <family val="2"/>
      <scheme val="minor"/>
    </font>
    <font>
      <b/>
      <sz val="8"/>
      <color theme="4" tint="-0.249977111117893"/>
      <name val="Calibri"/>
      <family val="2"/>
      <scheme val="minor"/>
    </font>
    <font>
      <b/>
      <sz val="8"/>
      <color rgb="FFC00000"/>
      <name val="Calibri"/>
      <family val="2"/>
      <scheme val="minor"/>
    </font>
    <font>
      <b/>
      <u/>
      <sz val="14"/>
      <color rgb="FF0000FF"/>
      <name val="Calibri"/>
      <family val="2"/>
      <scheme val="minor"/>
    </font>
    <font>
      <b/>
      <sz val="24"/>
      <color rgb="FFFFFFFF"/>
      <name val="Calibri"/>
      <family val="2"/>
      <scheme val="minor"/>
    </font>
    <font>
      <sz val="24"/>
      <color rgb="FF000000"/>
      <name val="Calibri"/>
      <family val="2"/>
      <scheme val="minor"/>
    </font>
    <font>
      <b/>
      <sz val="20"/>
      <color rgb="FFFFFFFF"/>
      <name val="Calibri"/>
      <family val="2"/>
      <scheme val="minor"/>
    </font>
    <font>
      <b/>
      <sz val="14"/>
      <color rgb="FFFFFFFF"/>
      <name val="Calibri"/>
      <family val="2"/>
      <scheme val="minor"/>
    </font>
    <font>
      <sz val="10"/>
      <color rgb="FF000000"/>
      <name val="Calibri"/>
      <family val="2"/>
      <scheme val="minor"/>
    </font>
    <font>
      <b/>
      <sz val="18"/>
      <color rgb="FFFFFFFF"/>
      <name val="Calibri"/>
      <family val="2"/>
      <scheme val="minor"/>
    </font>
    <font>
      <b/>
      <sz val="14"/>
      <color theme="0"/>
      <name val="Calibri"/>
      <family val="2"/>
      <scheme val="minor"/>
    </font>
    <font>
      <b/>
      <sz val="12"/>
      <color theme="0"/>
      <name val="Calibri"/>
      <family val="2"/>
      <scheme val="minor"/>
    </font>
    <font>
      <sz val="12"/>
      <color theme="0"/>
      <name val="Calibri"/>
      <family val="2"/>
      <scheme val="minor"/>
    </font>
    <font>
      <sz val="10"/>
      <name val="Calibri"/>
      <family val="2"/>
      <scheme val="minor"/>
    </font>
    <font>
      <sz val="12"/>
      <color rgb="FFFFFFFF"/>
      <name val="Calibri"/>
      <family val="2"/>
      <scheme val="minor"/>
    </font>
    <font>
      <b/>
      <sz val="10"/>
      <color rgb="FF000000"/>
      <name val="Calibri"/>
      <family val="2"/>
      <scheme val="minor"/>
    </font>
    <font>
      <b/>
      <sz val="24"/>
      <name val="Calibri"/>
      <family val="2"/>
      <scheme val="minor"/>
    </font>
    <font>
      <b/>
      <i/>
      <sz val="10"/>
      <color theme="0"/>
      <name val="Calibri"/>
      <family val="2"/>
      <scheme val="minor"/>
    </font>
    <font>
      <b/>
      <sz val="10"/>
      <color rgb="FFFFFFFF"/>
      <name val="Calibri"/>
      <family val="2"/>
      <scheme val="minor"/>
    </font>
    <font>
      <b/>
      <sz val="10"/>
      <name val="Calibri"/>
      <family val="2"/>
      <scheme val="minor"/>
    </font>
    <font>
      <b/>
      <sz val="8"/>
      <color rgb="FFFFFFFF"/>
      <name val="Calibri"/>
      <family val="2"/>
      <scheme val="minor"/>
    </font>
    <font>
      <sz val="11"/>
      <color rgb="FFFFFFFF"/>
      <name val="Calibri"/>
      <family val="2"/>
      <scheme val="minor"/>
    </font>
    <font>
      <sz val="8"/>
      <name val="Calibri"/>
      <family val="2"/>
      <scheme val="minor"/>
    </font>
    <font>
      <sz val="9"/>
      <name val="Calibri"/>
      <family val="2"/>
      <scheme val="minor"/>
    </font>
    <font>
      <i/>
      <sz val="9"/>
      <name val="Calibri"/>
      <family val="2"/>
      <scheme val="minor"/>
    </font>
    <font>
      <b/>
      <sz val="14"/>
      <color rgb="FF000000"/>
      <name val="Calibri"/>
      <family val="2"/>
      <scheme val="minor"/>
    </font>
    <font>
      <b/>
      <sz val="9"/>
      <name val="Calibri"/>
      <family val="2"/>
      <scheme val="minor"/>
    </font>
    <font>
      <sz val="9"/>
      <color rgb="FF000000"/>
      <name val="Calibri"/>
      <family val="2"/>
      <scheme val="minor"/>
    </font>
    <font>
      <b/>
      <u/>
      <sz val="7"/>
      <color theme="10"/>
      <name val="Calibri"/>
      <family val="2"/>
      <scheme val="minor"/>
    </font>
    <font>
      <sz val="8"/>
      <color rgb="FF000000"/>
      <name val="Calibri"/>
      <family val="2"/>
      <scheme val="minor"/>
    </font>
    <font>
      <b/>
      <sz val="7"/>
      <color rgb="FF000000"/>
      <name val="Calibri"/>
      <family val="2"/>
      <scheme val="minor"/>
    </font>
    <font>
      <b/>
      <i/>
      <sz val="10"/>
      <name val="Calibri"/>
      <family val="2"/>
      <scheme val="minor"/>
    </font>
    <font>
      <sz val="10"/>
      <color theme="0"/>
      <name val="Calibri"/>
      <family val="2"/>
      <scheme val="minor"/>
    </font>
    <font>
      <b/>
      <sz val="12"/>
      <name val="Calibri"/>
      <family val="2"/>
      <scheme val="minor"/>
    </font>
    <font>
      <sz val="7"/>
      <name val="Calibri"/>
      <family val="2"/>
      <scheme val="minor"/>
    </font>
    <font>
      <b/>
      <sz val="7"/>
      <name val="Calibri"/>
      <family val="2"/>
      <scheme val="minor"/>
    </font>
    <font>
      <u/>
      <sz val="10"/>
      <color rgb="FF0000FF"/>
      <name val="Calibri"/>
      <family val="2"/>
      <scheme val="minor"/>
    </font>
    <font>
      <b/>
      <sz val="20"/>
      <color rgb="FF000000"/>
      <name val="Calibri"/>
      <family val="2"/>
      <scheme val="minor"/>
    </font>
    <font>
      <b/>
      <sz val="12"/>
      <color rgb="FF000000"/>
      <name val="Calibri"/>
      <family val="2"/>
      <scheme val="minor"/>
    </font>
    <font>
      <b/>
      <sz val="10"/>
      <color theme="4" tint="-0.249977111117893"/>
      <name val="Calibri"/>
      <family val="2"/>
      <scheme val="minor"/>
    </font>
    <font>
      <b/>
      <sz val="10"/>
      <color rgb="FFC00000"/>
      <name val="Calibri"/>
      <family val="2"/>
      <scheme val="minor"/>
    </font>
    <font>
      <b/>
      <i/>
      <sz val="10"/>
      <color rgb="FF000000"/>
      <name val="Calibri"/>
      <family val="2"/>
      <scheme val="minor"/>
    </font>
    <font>
      <i/>
      <sz val="10"/>
      <name val="Calibri"/>
      <family val="2"/>
      <scheme val="minor"/>
    </font>
    <font>
      <b/>
      <sz val="20"/>
      <color theme="0"/>
      <name val="Calibri"/>
      <family val="2"/>
      <scheme val="minor"/>
    </font>
    <font>
      <b/>
      <sz val="16"/>
      <color rgb="FFFFFFFF"/>
      <name val="Calibri"/>
      <family val="2"/>
      <scheme val="minor"/>
    </font>
    <font>
      <b/>
      <sz val="28"/>
      <color rgb="FFFFFFFF"/>
      <name val="Calibri"/>
      <family val="2"/>
      <scheme val="minor"/>
    </font>
    <font>
      <sz val="14"/>
      <color rgb="FFFFFFFF"/>
      <name val="Calibri"/>
      <family val="2"/>
      <scheme val="minor"/>
    </font>
    <font>
      <b/>
      <u/>
      <sz val="10"/>
      <color rgb="FF0000FF"/>
      <name val="Calibri"/>
      <family val="2"/>
      <scheme val="minor"/>
    </font>
    <font>
      <b/>
      <i/>
      <sz val="16"/>
      <color rgb="FFFFFFFF"/>
      <name val="Calibri"/>
      <family val="2"/>
      <scheme val="minor"/>
    </font>
    <font>
      <sz val="16"/>
      <color rgb="FF000000"/>
      <name val="Calibri"/>
      <family val="2"/>
      <scheme val="minor"/>
    </font>
    <font>
      <b/>
      <sz val="6"/>
      <color rgb="FFFFFFFF"/>
      <name val="Calibri"/>
      <family val="2"/>
      <scheme val="minor"/>
    </font>
    <font>
      <b/>
      <sz val="8"/>
      <color rgb="FF000000"/>
      <name val="Calibri"/>
      <family val="2"/>
      <scheme val="minor"/>
    </font>
    <font>
      <b/>
      <sz val="8"/>
      <color rgb="FF0000FF"/>
      <name val="Calibri"/>
      <family val="2"/>
      <scheme val="minor"/>
    </font>
    <font>
      <b/>
      <u/>
      <sz val="9"/>
      <color rgb="FF0000FF"/>
      <name val="Calibri"/>
      <family val="2"/>
      <scheme val="minor"/>
    </font>
    <font>
      <b/>
      <u/>
      <sz val="8"/>
      <color rgb="FF000000"/>
      <name val="Calibri"/>
      <family val="2"/>
      <scheme val="minor"/>
    </font>
    <font>
      <b/>
      <sz val="8"/>
      <color theme="1"/>
      <name val="Calibri"/>
      <family val="2"/>
      <scheme val="minor"/>
    </font>
    <font>
      <sz val="10"/>
      <color theme="1"/>
      <name val="Arial"/>
      <family val="2"/>
    </font>
    <font>
      <u/>
      <sz val="8"/>
      <color theme="10"/>
      <name val="Calibri"/>
      <family val="2"/>
      <scheme val="minor"/>
    </font>
    <font>
      <b/>
      <sz val="16"/>
      <color rgb="FFFFFFFF"/>
      <name val="Arial"/>
      <family val="2"/>
    </font>
    <font>
      <sz val="16"/>
      <color rgb="FF000000"/>
      <name val="Arial"/>
      <family val="2"/>
    </font>
    <font>
      <i/>
      <sz val="12"/>
      <color rgb="FF000000"/>
      <name val="Calibri"/>
      <family val="2"/>
      <scheme val="minor"/>
    </font>
    <font>
      <sz val="10"/>
      <color theme="0"/>
      <name val="Arial"/>
      <family val="2"/>
    </font>
    <font>
      <u/>
      <sz val="8"/>
      <color theme="10"/>
      <name val="Arial"/>
      <family val="2"/>
    </font>
    <font>
      <u/>
      <sz val="18"/>
      <color theme="10"/>
      <name val="Calibri"/>
      <family val="2"/>
      <scheme val="minor"/>
    </font>
    <font>
      <u/>
      <sz val="9"/>
      <color theme="10"/>
      <name val="Arial"/>
      <family val="2"/>
    </font>
    <font>
      <sz val="10"/>
      <color rgb="FF000000"/>
      <name val="Arial"/>
      <family val="2"/>
    </font>
    <font>
      <u/>
      <sz val="7"/>
      <color theme="10"/>
      <name val="Arial"/>
      <family val="2"/>
    </font>
    <font>
      <u/>
      <sz val="18"/>
      <color theme="10"/>
      <name val="Arial"/>
      <family val="2"/>
    </font>
    <font>
      <u/>
      <sz val="18"/>
      <color rgb="FF0000FF"/>
      <name val="Calibri"/>
      <family val="2"/>
      <scheme val="minor"/>
    </font>
    <font>
      <sz val="11"/>
      <color theme="0"/>
      <name val="Calibri"/>
      <family val="2"/>
      <scheme val="minor"/>
    </font>
    <font>
      <u/>
      <sz val="8"/>
      <color rgb="FF0000FF"/>
      <name val="Calibri"/>
      <family val="2"/>
      <scheme val="minor"/>
    </font>
    <font>
      <sz val="11"/>
      <color rgb="FF000000"/>
      <name val="Calibri"/>
      <family val="2"/>
      <scheme val="minor"/>
    </font>
    <font>
      <b/>
      <sz val="10"/>
      <color theme="0"/>
      <name val="Calibri"/>
      <family val="2"/>
      <scheme val="minor"/>
    </font>
    <font>
      <b/>
      <sz val="14"/>
      <color theme="4" tint="-0.249977111117893"/>
      <name val="Calibri"/>
      <family val="2"/>
      <scheme val="minor"/>
    </font>
    <font>
      <b/>
      <sz val="14"/>
      <color rgb="FFC00000"/>
      <name val="Calibri"/>
      <family val="2"/>
      <scheme val="minor"/>
    </font>
    <font>
      <b/>
      <sz val="28"/>
      <color rgb="FF000000"/>
      <name val="Calibri"/>
      <family val="2"/>
      <scheme val="minor"/>
    </font>
    <font>
      <b/>
      <sz val="28"/>
      <color theme="0"/>
      <name val="Calibri"/>
      <family val="2"/>
      <scheme val="minor"/>
    </font>
    <font>
      <sz val="12"/>
      <name val="Calibri"/>
      <family val="2"/>
      <scheme val="minor"/>
    </font>
    <font>
      <b/>
      <sz val="16"/>
      <color theme="0"/>
      <name val="Calibri"/>
      <family val="2"/>
      <scheme val="minor"/>
    </font>
    <font>
      <sz val="12"/>
      <color rgb="FF000000"/>
      <name val="Calibri"/>
      <family val="2"/>
      <scheme val="minor"/>
    </font>
    <font>
      <b/>
      <i/>
      <sz val="9"/>
      <color theme="0"/>
      <name val="Calibri"/>
      <family val="2"/>
      <scheme val="minor"/>
    </font>
    <font>
      <i/>
      <sz val="8"/>
      <name val="Calibri"/>
      <family val="2"/>
      <scheme val="minor"/>
    </font>
    <font>
      <b/>
      <i/>
      <sz val="12"/>
      <name val="Calibri"/>
      <family val="2"/>
      <scheme val="minor"/>
    </font>
    <font>
      <b/>
      <i/>
      <sz val="12"/>
      <color rgb="FF000000"/>
      <name val="Calibri"/>
      <family val="2"/>
      <scheme val="minor"/>
    </font>
    <font>
      <b/>
      <i/>
      <sz val="8"/>
      <name val="Calibri"/>
      <family val="2"/>
      <scheme val="minor"/>
    </font>
    <font>
      <b/>
      <i/>
      <sz val="9"/>
      <name val="Calibri"/>
      <family val="2"/>
      <scheme val="minor"/>
    </font>
    <font>
      <b/>
      <sz val="9"/>
      <color theme="4" tint="-0.249977111117893"/>
      <name val="Calibri"/>
      <family val="2"/>
      <scheme val="minor"/>
    </font>
    <font>
      <b/>
      <sz val="9"/>
      <color theme="1"/>
      <name val="Calibri"/>
      <family val="2"/>
      <scheme val="minor"/>
    </font>
    <font>
      <b/>
      <sz val="9"/>
      <color rgb="FFC00000"/>
      <name val="Calibri"/>
      <family val="2"/>
      <scheme val="minor"/>
    </font>
    <font>
      <sz val="9"/>
      <color theme="0"/>
      <name val="Calibri"/>
      <family val="2"/>
      <scheme val="minor"/>
    </font>
    <font>
      <b/>
      <sz val="11"/>
      <name val="Calibri"/>
      <family val="2"/>
      <scheme val="minor"/>
    </font>
    <font>
      <b/>
      <sz val="24"/>
      <color theme="0"/>
      <name val="Calibri"/>
      <family val="2"/>
      <scheme val="minor"/>
    </font>
    <font>
      <b/>
      <sz val="18"/>
      <color theme="0"/>
      <name val="Calibri"/>
      <family val="2"/>
      <scheme val="minor"/>
    </font>
    <font>
      <sz val="9"/>
      <color theme="1"/>
      <name val="Calibri"/>
      <family val="2"/>
      <scheme val="minor"/>
    </font>
    <font>
      <u/>
      <sz val="9"/>
      <color theme="10"/>
      <name val="Calibri"/>
      <family val="2"/>
      <scheme val="minor"/>
    </font>
    <font>
      <sz val="26"/>
      <name val="Calibri"/>
      <family val="2"/>
      <scheme val="minor"/>
    </font>
    <font>
      <u/>
      <sz val="10"/>
      <color theme="10"/>
      <name val="Calibri"/>
      <family val="2"/>
      <scheme val="minor"/>
    </font>
    <font>
      <b/>
      <u/>
      <sz val="18"/>
      <color theme="10"/>
      <name val="Calibri"/>
      <family val="2"/>
      <scheme val="minor"/>
    </font>
    <font>
      <u/>
      <sz val="10"/>
      <name val="Calibri"/>
      <family val="2"/>
      <scheme val="minor"/>
    </font>
    <font>
      <u/>
      <sz val="10"/>
      <color rgb="FF0070C0"/>
      <name val="Calibri"/>
      <family val="2"/>
      <scheme val="minor"/>
    </font>
    <font>
      <sz val="10"/>
      <color theme="1"/>
      <name val="Calibri"/>
      <family val="2"/>
      <scheme val="minor"/>
    </font>
    <font>
      <b/>
      <sz val="9"/>
      <color theme="0"/>
      <name val="Calibri"/>
      <family val="2"/>
      <scheme val="minor"/>
    </font>
    <font>
      <b/>
      <sz val="8"/>
      <color theme="0"/>
      <name val="Calibri"/>
      <family val="2"/>
      <scheme val="minor"/>
    </font>
    <font>
      <sz val="10"/>
      <name val="Calibri"/>
      <family val="2"/>
    </font>
    <font>
      <sz val="10"/>
      <color rgb="FF000000"/>
      <name val="Calibri"/>
      <family val="2"/>
    </font>
    <font>
      <sz val="9"/>
      <color theme="0" tint="-4.9989318521683403E-2"/>
      <name val="Calibri"/>
      <family val="2"/>
      <scheme val="minor"/>
    </font>
    <font>
      <u/>
      <sz val="11"/>
      <color theme="10"/>
      <name val="Calibri"/>
      <family val="2"/>
    </font>
    <font>
      <u/>
      <sz val="10"/>
      <color theme="10"/>
      <name val="Calibri"/>
      <family val="2"/>
    </font>
    <font>
      <u/>
      <sz val="10"/>
      <color theme="11"/>
      <name val="Calibri"/>
      <family val="2"/>
    </font>
    <font>
      <sz val="10"/>
      <color theme="1"/>
      <name val="Calibri"/>
      <family val="2"/>
    </font>
    <font>
      <sz val="20"/>
      <color theme="0"/>
      <name val="Calibri"/>
      <family val="2"/>
      <scheme val="minor"/>
    </font>
    <font>
      <b/>
      <u/>
      <sz val="10"/>
      <color theme="10"/>
      <name val="Calibri"/>
      <family val="2"/>
    </font>
  </fonts>
  <fills count="48">
    <fill>
      <patternFill patternType="none"/>
    </fill>
    <fill>
      <patternFill patternType="gray125"/>
    </fill>
    <fill>
      <patternFill patternType="solid">
        <fgColor rgb="FF000000"/>
        <bgColor rgb="FF000000"/>
      </patternFill>
    </fill>
    <fill>
      <patternFill patternType="solid">
        <fgColor rgb="FFE69999"/>
        <bgColor rgb="FFE69999"/>
      </patternFill>
    </fill>
    <fill>
      <patternFill patternType="solid">
        <fgColor rgb="FFFFFFFF"/>
        <bgColor rgb="FFFFFFFF"/>
      </patternFill>
    </fill>
    <fill>
      <patternFill patternType="solid">
        <fgColor rgb="FFCCFFFF"/>
        <bgColor rgb="FFCCFFFF"/>
      </patternFill>
    </fill>
    <fill>
      <patternFill patternType="solid">
        <fgColor rgb="FF00FF00"/>
        <bgColor rgb="FF00FF00"/>
      </patternFill>
    </fill>
    <fill>
      <patternFill patternType="solid">
        <fgColor rgb="FFFFFF00"/>
        <bgColor rgb="FFFFFF00"/>
      </patternFill>
    </fill>
    <fill>
      <patternFill patternType="solid">
        <fgColor rgb="FFFF0000"/>
        <bgColor rgb="FFFF0000"/>
      </patternFill>
    </fill>
    <fill>
      <patternFill patternType="solid">
        <fgColor rgb="FFC9DAF8"/>
        <bgColor rgb="FFC9DAF8"/>
      </patternFill>
    </fill>
    <fill>
      <patternFill patternType="solid">
        <fgColor rgb="FFB6D7A8"/>
        <bgColor rgb="FFB6D7A8"/>
      </patternFill>
    </fill>
    <fill>
      <patternFill patternType="solid">
        <fgColor rgb="FFEAD1DC"/>
        <bgColor rgb="FFEAD1DC"/>
      </patternFill>
    </fill>
    <fill>
      <patternFill patternType="solid">
        <fgColor rgb="FFC27BA0"/>
        <bgColor rgb="FFC27BA0"/>
      </patternFill>
    </fill>
    <fill>
      <patternFill patternType="solid">
        <fgColor rgb="FFF3F3F3"/>
        <bgColor rgb="FFF3F3F3"/>
      </patternFill>
    </fill>
    <fill>
      <patternFill patternType="solid">
        <fgColor rgb="FFD9EAD3"/>
        <bgColor rgb="FFD9EAD3"/>
      </patternFill>
    </fill>
    <fill>
      <patternFill patternType="solid">
        <fgColor rgb="FFEA9999"/>
        <bgColor rgb="FFEA9999"/>
      </patternFill>
    </fill>
    <fill>
      <patternFill patternType="solid">
        <fgColor rgb="FFD9D9D9"/>
        <bgColor rgb="FFD9D9D9"/>
      </patternFill>
    </fill>
    <fill>
      <patternFill patternType="solid">
        <fgColor theme="0"/>
        <bgColor indexed="64"/>
      </patternFill>
    </fill>
    <fill>
      <patternFill patternType="solid">
        <fgColor theme="0"/>
        <bgColor rgb="FFFF0000"/>
      </patternFill>
    </fill>
    <fill>
      <patternFill patternType="solid">
        <fgColor theme="0"/>
        <bgColor rgb="FFFFFFFF"/>
      </patternFill>
    </fill>
    <fill>
      <patternFill patternType="solid">
        <fgColor theme="0"/>
        <bgColor rgb="FF00FF00"/>
      </patternFill>
    </fill>
    <fill>
      <patternFill patternType="solid">
        <fgColor theme="7" tint="0.59999389629810485"/>
        <bgColor rgb="FFFFFF00"/>
      </patternFill>
    </fill>
    <fill>
      <patternFill patternType="solid">
        <fgColor theme="7" tint="0.39997558519241921"/>
        <bgColor rgb="FFFFFF00"/>
      </patternFill>
    </fill>
    <fill>
      <patternFill patternType="solid">
        <fgColor theme="1"/>
        <bgColor indexed="64"/>
      </patternFill>
    </fill>
    <fill>
      <patternFill patternType="solid">
        <fgColor theme="4" tint="0.59999389629810485"/>
        <bgColor indexed="64"/>
      </patternFill>
    </fill>
    <fill>
      <patternFill patternType="solid">
        <fgColor rgb="FF92D050"/>
        <bgColor indexed="64"/>
      </patternFill>
    </fill>
    <fill>
      <patternFill patternType="solid">
        <fgColor rgb="FFFF0000"/>
        <bgColor indexed="64"/>
      </patternFill>
    </fill>
    <fill>
      <patternFill patternType="solid">
        <fgColor theme="1"/>
        <bgColor rgb="FF000000"/>
      </patternFill>
    </fill>
    <fill>
      <patternFill patternType="solid">
        <fgColor theme="0"/>
        <bgColor rgb="FF000000"/>
      </patternFill>
    </fill>
    <fill>
      <patternFill patternType="solid">
        <fgColor theme="1"/>
        <bgColor rgb="FFFFFFFF"/>
      </patternFill>
    </fill>
    <fill>
      <patternFill patternType="solid">
        <fgColor theme="2"/>
        <bgColor rgb="FFEAD1DC"/>
      </patternFill>
    </fill>
    <fill>
      <patternFill patternType="solid">
        <fgColor theme="0" tint="-0.499984740745262"/>
        <bgColor indexed="64"/>
      </patternFill>
    </fill>
    <fill>
      <patternFill patternType="solid">
        <fgColor rgb="FFFFFF66"/>
        <bgColor rgb="FFFFFF00"/>
      </patternFill>
    </fill>
    <fill>
      <patternFill patternType="solid">
        <fgColor rgb="FFFFFF66"/>
        <bgColor indexed="64"/>
      </patternFill>
    </fill>
    <fill>
      <patternFill patternType="solid">
        <fgColor rgb="FF92D050"/>
        <bgColor rgb="FFFFFFFF"/>
      </patternFill>
    </fill>
    <fill>
      <patternFill patternType="solid">
        <fgColor rgb="FFFFFFFF"/>
        <bgColor indexed="64"/>
      </patternFill>
    </fill>
    <fill>
      <patternFill patternType="solid">
        <fgColor theme="0" tint="-0.249977111117893"/>
        <bgColor rgb="FFFFFF00"/>
      </patternFill>
    </fill>
    <fill>
      <patternFill patternType="solid">
        <fgColor theme="0"/>
        <bgColor rgb="FFEA9999"/>
      </patternFill>
    </fill>
    <fill>
      <patternFill patternType="solid">
        <fgColor theme="0" tint="-4.9989318521683403E-2"/>
        <bgColor rgb="FFEAD1DC"/>
      </patternFill>
    </fill>
    <fill>
      <patternFill patternType="solid">
        <fgColor theme="0" tint="-4.9989318521683403E-2"/>
        <bgColor indexed="64"/>
      </patternFill>
    </fill>
    <fill>
      <patternFill patternType="solid">
        <fgColor rgb="FFBBD8FB"/>
        <bgColor rgb="FFFFFF00"/>
      </patternFill>
    </fill>
    <fill>
      <patternFill patternType="solid">
        <fgColor theme="7" tint="0.79998168889431442"/>
        <bgColor rgb="FFFFFF00"/>
      </patternFill>
    </fill>
    <fill>
      <patternFill patternType="solid">
        <fgColor theme="0"/>
        <bgColor rgb="FFEAD1DC"/>
      </patternFill>
    </fill>
    <fill>
      <patternFill patternType="solid">
        <fgColor theme="4" tint="0.39997558519241921"/>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tint="-0.14999847407452621"/>
        <bgColor rgb="FFB6D7A8"/>
      </patternFill>
    </fill>
    <fill>
      <patternFill patternType="solid">
        <fgColor theme="0" tint="-0.14999847407452621"/>
        <bgColor rgb="FFEAD1DC"/>
      </patternFill>
    </fill>
  </fills>
  <borders count="97">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diagonal/>
    </border>
    <border>
      <left/>
      <right style="thin">
        <color rgb="FF000000"/>
      </right>
      <top/>
      <bottom/>
      <diagonal/>
    </border>
    <border>
      <left/>
      <right/>
      <top/>
      <bottom style="thin">
        <color rgb="FF000000"/>
      </bottom>
      <diagonal/>
    </border>
    <border>
      <left/>
      <right/>
      <top/>
      <bottom style="dashed">
        <color rgb="FF000000"/>
      </bottom>
      <diagonal/>
    </border>
    <border>
      <left style="thin">
        <color rgb="FF000000"/>
      </left>
      <right/>
      <top style="thin">
        <color rgb="FF000000"/>
      </top>
      <bottom/>
      <diagonal/>
    </border>
    <border>
      <left/>
      <right style="dashed">
        <color rgb="FF000000"/>
      </right>
      <top style="thin">
        <color rgb="FF000000"/>
      </top>
      <bottom/>
      <diagonal/>
    </border>
    <border>
      <left style="dashed">
        <color rgb="FF000000"/>
      </left>
      <right/>
      <top style="dashed">
        <color rgb="FF000000"/>
      </top>
      <bottom/>
      <diagonal/>
    </border>
    <border>
      <left/>
      <right/>
      <top style="dashed">
        <color rgb="FF000000"/>
      </top>
      <bottom/>
      <diagonal/>
    </border>
    <border>
      <left style="thin">
        <color rgb="FF000000"/>
      </left>
      <right/>
      <top/>
      <bottom style="thin">
        <color rgb="FF000000"/>
      </bottom>
      <diagonal/>
    </border>
    <border>
      <left/>
      <right style="dashed">
        <color rgb="FF000000"/>
      </right>
      <top/>
      <bottom style="thin">
        <color rgb="FF000000"/>
      </bottom>
      <diagonal/>
    </border>
    <border>
      <left style="dashed">
        <color rgb="FF000000"/>
      </left>
      <right/>
      <top/>
      <bottom/>
      <diagonal/>
    </border>
    <border>
      <left style="thin">
        <color rgb="FF000000"/>
      </left>
      <right/>
      <top/>
      <bottom/>
      <diagonal/>
    </border>
    <border>
      <left/>
      <right style="dashed">
        <color rgb="FF000000"/>
      </right>
      <top/>
      <bottom/>
      <diagonal/>
    </border>
    <border>
      <left style="dashed">
        <color rgb="FF000000"/>
      </left>
      <right/>
      <top/>
      <bottom style="dashed">
        <color rgb="FF000000"/>
      </bottom>
      <diagonal/>
    </border>
    <border>
      <left style="thin">
        <color rgb="FF000000"/>
      </left>
      <right/>
      <top style="dashed">
        <color rgb="FF000000"/>
      </top>
      <bottom/>
      <diagonal/>
    </border>
    <border>
      <left/>
      <right style="thin">
        <color rgb="FF000000"/>
      </right>
      <top/>
      <bottom style="thin">
        <color rgb="FF000000"/>
      </bottom>
      <diagonal/>
    </border>
    <border>
      <left/>
      <right style="thin">
        <color rgb="FFCCCCCC"/>
      </right>
      <top/>
      <bottom/>
      <diagonal/>
    </border>
    <border>
      <left style="thin">
        <color rgb="FFCCCCCC"/>
      </left>
      <right style="thin">
        <color rgb="FFCCCCCC"/>
      </right>
      <top/>
      <bottom/>
      <diagonal/>
    </border>
    <border>
      <left style="thin">
        <color rgb="FFCCCCCC"/>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right/>
      <top style="thin">
        <color auto="1"/>
      </top>
      <bottom style="thin">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rgb="FF000000"/>
      </top>
      <bottom style="thin">
        <color auto="1"/>
      </bottom>
      <diagonal/>
    </border>
    <border>
      <left style="thin">
        <color rgb="FF000000"/>
      </left>
      <right style="thin">
        <color auto="1"/>
      </right>
      <top style="thin">
        <color auto="1"/>
      </top>
      <bottom style="thin">
        <color auto="1"/>
      </bottom>
      <diagonal/>
    </border>
    <border>
      <left/>
      <right style="thin">
        <color auto="1"/>
      </right>
      <top style="thin">
        <color auto="1"/>
      </top>
      <bottom style="dashed">
        <color rgb="FF000000"/>
      </bottom>
      <diagonal/>
    </border>
    <border>
      <left style="thin">
        <color auto="1"/>
      </left>
      <right style="thin">
        <color auto="1"/>
      </right>
      <top style="thin">
        <color auto="1"/>
      </top>
      <bottom style="dashed">
        <color rgb="FF000000"/>
      </bottom>
      <diagonal/>
    </border>
    <border>
      <left style="thin">
        <color auto="1"/>
      </left>
      <right style="thin">
        <color auto="1"/>
      </right>
      <top style="thin">
        <color auto="1"/>
      </top>
      <bottom style="thin">
        <color rgb="FF000000"/>
      </bottom>
      <diagonal/>
    </border>
    <border>
      <left style="thin">
        <color auto="1"/>
      </left>
      <right/>
      <top style="thin">
        <color auto="1"/>
      </top>
      <bottom style="thin">
        <color rgb="FF000000"/>
      </bottom>
      <diagonal/>
    </border>
    <border>
      <left style="thin">
        <color auto="1"/>
      </left>
      <right/>
      <top/>
      <bottom/>
      <diagonal/>
    </border>
    <border>
      <left/>
      <right style="thin">
        <color auto="1"/>
      </right>
      <top/>
      <bottom/>
      <diagonal/>
    </border>
    <border>
      <left style="thick">
        <color auto="1"/>
      </left>
      <right/>
      <top style="thick">
        <color auto="1"/>
      </top>
      <bottom style="thin">
        <color auto="1"/>
      </bottom>
      <diagonal/>
    </border>
    <border>
      <left/>
      <right/>
      <top style="thick">
        <color auto="1"/>
      </top>
      <bottom style="thin">
        <color auto="1"/>
      </bottom>
      <diagonal/>
    </border>
    <border>
      <left/>
      <right style="thick">
        <color auto="1"/>
      </right>
      <top style="thick">
        <color auto="1"/>
      </top>
      <bottom style="thin">
        <color auto="1"/>
      </bottom>
      <diagonal/>
    </border>
    <border>
      <left style="thick">
        <color auto="1"/>
      </left>
      <right/>
      <top style="thin">
        <color auto="1"/>
      </top>
      <bottom style="thick">
        <color auto="1"/>
      </bottom>
      <diagonal/>
    </border>
    <border>
      <left/>
      <right style="thick">
        <color auto="1"/>
      </right>
      <top style="thin">
        <color auto="1"/>
      </top>
      <bottom style="thick">
        <color auto="1"/>
      </bottom>
      <diagonal/>
    </border>
    <border>
      <left/>
      <right/>
      <top style="thin">
        <color auto="1"/>
      </top>
      <bottom style="thick">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thin">
        <color auto="1"/>
      </right>
      <top/>
      <bottom/>
      <diagonal/>
    </border>
    <border>
      <left style="thin">
        <color auto="1"/>
      </left>
      <right style="thin">
        <color auto="1"/>
      </right>
      <top/>
      <bottom/>
      <diagonal/>
    </border>
    <border>
      <left style="thin">
        <color auto="1"/>
      </left>
      <right style="thin">
        <color auto="1"/>
      </right>
      <top style="thick">
        <color auto="1"/>
      </top>
      <bottom style="thin">
        <color auto="1"/>
      </bottom>
      <diagonal/>
    </border>
    <border>
      <left/>
      <right style="thick">
        <color auto="1"/>
      </right>
      <top style="medium">
        <color auto="1"/>
      </top>
      <bottom/>
      <diagonal/>
    </border>
    <border>
      <left/>
      <right style="thick">
        <color auto="1"/>
      </right>
      <top/>
      <bottom style="medium">
        <color auto="1"/>
      </bottom>
      <diagonal/>
    </border>
    <border>
      <left style="thin">
        <color auto="1"/>
      </left>
      <right style="thin">
        <color auto="1"/>
      </right>
      <top style="medium">
        <color auto="1"/>
      </top>
      <bottom/>
      <diagonal/>
    </border>
    <border>
      <left style="thin">
        <color auto="1"/>
      </left>
      <right style="thin">
        <color auto="1"/>
      </right>
      <top style="thick">
        <color auto="1"/>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medium">
        <color auto="1"/>
      </right>
      <top style="thin">
        <color auto="1"/>
      </top>
      <bottom style="medium">
        <color auto="1"/>
      </bottom>
      <diagonal/>
    </border>
    <border>
      <left style="medium">
        <color auto="1"/>
      </left>
      <right/>
      <top style="thin">
        <color auto="1"/>
      </top>
      <bottom/>
      <diagonal/>
    </border>
    <border>
      <left style="medium">
        <color auto="1"/>
      </left>
      <right/>
      <top/>
      <bottom style="medium">
        <color auto="1"/>
      </bottom>
      <diagonal/>
    </border>
    <border>
      <left/>
      <right/>
      <top/>
      <bottom style="medium">
        <color auto="1"/>
      </bottom>
      <diagonal/>
    </border>
    <border>
      <left/>
      <right style="thin">
        <color auto="1"/>
      </right>
      <top/>
      <bottom style="medium">
        <color auto="1"/>
      </bottom>
      <diagonal/>
    </border>
    <border>
      <left style="thin">
        <color rgb="FF505050"/>
      </left>
      <right style="thin">
        <color rgb="FF505050"/>
      </right>
      <top style="thin">
        <color rgb="FF505050"/>
      </top>
      <bottom style="thin">
        <color rgb="FF505050"/>
      </bottom>
      <diagonal/>
    </border>
    <border>
      <left style="thin">
        <color rgb="FF505050"/>
      </left>
      <right style="thin">
        <color rgb="FF505050"/>
      </right>
      <top/>
      <bottom style="thin">
        <color rgb="FF505050"/>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medium">
        <color auto="1"/>
      </right>
      <top style="medium">
        <color auto="1"/>
      </top>
      <bottom style="medium">
        <color auto="1"/>
      </bottom>
      <diagonal/>
    </border>
  </borders>
  <cellStyleXfs count="5">
    <xf numFmtId="0" fontId="0" fillId="0" borderId="0"/>
    <xf numFmtId="0" fontId="152" fillId="0" borderId="0" applyNumberFormat="0" applyFill="0" applyBorder="0" applyAlignment="0" applyProtection="0"/>
    <xf numFmtId="9" fontId="110" fillId="0" borderId="0" applyFont="0" applyFill="0" applyBorder="0" applyAlignment="0" applyProtection="0"/>
    <xf numFmtId="0" fontId="3" fillId="0" borderId="0"/>
    <xf numFmtId="0" fontId="153" fillId="0" borderId="0" applyNumberFormat="0" applyFill="0" applyBorder="0" applyAlignment="0" applyProtection="0"/>
  </cellStyleXfs>
  <cellXfs count="891">
    <xf numFmtId="0" fontId="0" fillId="0" borderId="0" xfId="0" applyFont="1" applyAlignment="1">
      <alignment wrapText="1"/>
    </xf>
    <xf numFmtId="0" fontId="1" fillId="0" borderId="0" xfId="0" applyFont="1" applyAlignment="1">
      <alignment horizontal="center" vertical="center"/>
    </xf>
    <xf numFmtId="0" fontId="1" fillId="0" borderId="0" xfId="0" applyFont="1" applyAlignment="1">
      <alignment horizontal="center" vertical="center" wrapText="1"/>
    </xf>
    <xf numFmtId="0" fontId="3" fillId="0" borderId="0" xfId="0" applyFont="1" applyAlignment="1">
      <alignment horizontal="center" wrapText="1"/>
    </xf>
    <xf numFmtId="0" fontId="6" fillId="0" borderId="0" xfId="0" applyFont="1" applyAlignment="1">
      <alignment horizontal="left" wrapText="1"/>
    </xf>
    <xf numFmtId="10" fontId="5" fillId="0" borderId="0" xfId="0" applyNumberFormat="1" applyFont="1" applyAlignment="1">
      <alignment wrapText="1"/>
    </xf>
    <xf numFmtId="0" fontId="8" fillId="0" borderId="0" xfId="0" applyFont="1" applyAlignment="1">
      <alignment wrapText="1"/>
    </xf>
    <xf numFmtId="0" fontId="3" fillId="0" borderId="0" xfId="0" applyFont="1" applyAlignment="1">
      <alignment horizontal="left" wrapText="1"/>
    </xf>
    <xf numFmtId="0" fontId="6" fillId="0" borderId="0" xfId="0" applyFont="1" applyAlignment="1">
      <alignment wrapText="1"/>
    </xf>
    <xf numFmtId="10" fontId="5" fillId="0" borderId="0" xfId="0" applyNumberFormat="1" applyFont="1" applyAlignment="1">
      <alignment horizontal="right" wrapText="1"/>
    </xf>
    <xf numFmtId="0" fontId="4" fillId="0" borderId="0" xfId="0" applyFont="1" applyAlignment="1"/>
    <xf numFmtId="0" fontId="9" fillId="0" borderId="0" xfId="0" applyFont="1" applyAlignment="1">
      <alignment wrapText="1"/>
    </xf>
    <xf numFmtId="0" fontId="4" fillId="0" borderId="0" xfId="0" applyFont="1" applyAlignment="1">
      <alignment vertical="center"/>
    </xf>
    <xf numFmtId="0" fontId="12" fillId="0" borderId="0" xfId="0" applyFont="1" applyAlignment="1">
      <alignment vertical="center"/>
    </xf>
    <xf numFmtId="0" fontId="13" fillId="2" borderId="0" xfId="0" applyFont="1" applyFill="1" applyAlignment="1">
      <alignment vertical="center" wrapText="1"/>
    </xf>
    <xf numFmtId="0" fontId="3" fillId="3" borderId="1" xfId="0" applyFont="1" applyFill="1" applyBorder="1" applyAlignment="1">
      <alignment vertical="top" wrapText="1"/>
    </xf>
    <xf numFmtId="0" fontId="13" fillId="4" borderId="0" xfId="0" applyFont="1" applyFill="1" applyAlignment="1">
      <alignment vertical="center" wrapText="1"/>
    </xf>
    <xf numFmtId="0" fontId="5" fillId="0" borderId="0" xfId="0" applyFont="1" applyAlignment="1">
      <alignment horizontal="center" wrapText="1"/>
    </xf>
    <xf numFmtId="10" fontId="5" fillId="0" borderId="0" xfId="0" applyNumberFormat="1" applyFont="1" applyAlignment="1">
      <alignment horizontal="center" wrapText="1"/>
    </xf>
    <xf numFmtId="0" fontId="11" fillId="4" borderId="0" xfId="0" applyFont="1" applyFill="1" applyAlignment="1">
      <alignment horizontal="right" vertical="center" wrapText="1"/>
    </xf>
    <xf numFmtId="10" fontId="5" fillId="0" borderId="0" xfId="0" applyNumberFormat="1" applyFont="1" applyAlignment="1">
      <alignment horizontal="center" vertical="center"/>
    </xf>
    <xf numFmtId="10" fontId="15" fillId="4" borderId="0" xfId="0" applyNumberFormat="1" applyFont="1" applyFill="1" applyAlignment="1">
      <alignment horizontal="center" vertical="center" wrapText="1"/>
    </xf>
    <xf numFmtId="0" fontId="3" fillId="0" borderId="2" xfId="0" applyFont="1" applyBorder="1" applyAlignment="1">
      <alignment wrapText="1"/>
    </xf>
    <xf numFmtId="0" fontId="17" fillId="4" borderId="0" xfId="0" applyFont="1" applyFill="1" applyAlignment="1">
      <alignment wrapText="1"/>
    </xf>
    <xf numFmtId="0" fontId="3" fillId="0" borderId="3" xfId="0" applyFont="1" applyBorder="1" applyAlignment="1">
      <alignment wrapText="1"/>
    </xf>
    <xf numFmtId="0" fontId="3" fillId="0" borderId="0" xfId="0" applyFont="1" applyAlignment="1">
      <alignment horizontal="right" wrapText="1"/>
    </xf>
    <xf numFmtId="0" fontId="3" fillId="0" borderId="4" xfId="0" applyFont="1" applyBorder="1" applyAlignment="1">
      <alignment wrapText="1"/>
    </xf>
    <xf numFmtId="0" fontId="18" fillId="0" borderId="0" xfId="0" applyFont="1" applyAlignment="1">
      <alignment vertical="center"/>
    </xf>
    <xf numFmtId="0" fontId="5" fillId="0" borderId="0" xfId="0" applyFont="1" applyAlignment="1">
      <alignment horizontal="right" wrapText="1"/>
    </xf>
    <xf numFmtId="10" fontId="5" fillId="0" borderId="0" xfId="0" applyNumberFormat="1" applyFont="1" applyAlignment="1">
      <alignment vertical="center"/>
    </xf>
    <xf numFmtId="0" fontId="4" fillId="0" borderId="0" xfId="0" applyFont="1" applyAlignment="1">
      <alignment vertical="center" wrapText="1"/>
    </xf>
    <xf numFmtId="0" fontId="10" fillId="0" borderId="0" xfId="0" applyFont="1" applyAlignment="1"/>
    <xf numFmtId="0" fontId="19" fillId="0" borderId="0" xfId="0" applyFont="1" applyAlignment="1">
      <alignment vertical="center"/>
    </xf>
    <xf numFmtId="0" fontId="6" fillId="0" borderId="0" xfId="0" applyFont="1" applyAlignment="1">
      <alignment horizontal="right" wrapText="1"/>
    </xf>
    <xf numFmtId="0" fontId="21" fillId="0" borderId="0" xfId="0" applyFont="1" applyAlignment="1">
      <alignment horizontal="right" vertical="center" wrapText="1"/>
    </xf>
    <xf numFmtId="0" fontId="3" fillId="4" borderId="0" xfId="0" applyFont="1" applyFill="1" applyAlignment="1">
      <alignment wrapText="1"/>
    </xf>
    <xf numFmtId="0" fontId="5" fillId="0" borderId="0" xfId="0" applyFont="1" applyAlignment="1">
      <alignment wrapText="1"/>
    </xf>
    <xf numFmtId="0" fontId="22" fillId="0" borderId="0" xfId="0" applyFont="1" applyAlignment="1"/>
    <xf numFmtId="0" fontId="3" fillId="5" borderId="0" xfId="0" applyFont="1" applyFill="1" applyAlignment="1">
      <alignment wrapText="1"/>
    </xf>
    <xf numFmtId="0" fontId="23" fillId="0" borderId="0" xfId="0" applyFont="1" applyAlignment="1">
      <alignment vertical="center" wrapText="1"/>
    </xf>
    <xf numFmtId="0" fontId="24" fillId="0" borderId="6" xfId="0" applyFont="1" applyBorder="1" applyAlignment="1">
      <alignment horizontal="center" wrapText="1"/>
    </xf>
    <xf numFmtId="0" fontId="25" fillId="0" borderId="6" xfId="0" applyFont="1" applyBorder="1" applyAlignment="1">
      <alignment horizontal="center" wrapText="1"/>
    </xf>
    <xf numFmtId="0" fontId="26" fillId="0" borderId="0" xfId="0" applyFont="1" applyAlignment="1">
      <alignment vertical="center"/>
    </xf>
    <xf numFmtId="0" fontId="5" fillId="0" borderId="6" xfId="0" applyFont="1" applyBorder="1" applyAlignment="1">
      <alignment horizontal="center" wrapText="1"/>
    </xf>
    <xf numFmtId="0" fontId="27" fillId="4" borderId="7" xfId="0" applyFont="1" applyFill="1" applyBorder="1" applyAlignment="1">
      <alignment horizontal="right" vertical="center" wrapText="1"/>
    </xf>
    <xf numFmtId="0" fontId="24" fillId="0" borderId="0" xfId="0" applyFont="1" applyAlignment="1">
      <alignment wrapText="1"/>
    </xf>
    <xf numFmtId="0" fontId="7" fillId="4" borderId="7" xfId="0" applyFont="1" applyFill="1" applyBorder="1" applyAlignment="1">
      <alignment horizontal="left" vertical="center" wrapText="1"/>
    </xf>
    <xf numFmtId="0" fontId="22" fillId="0" borderId="0" xfId="0" applyFont="1" applyAlignment="1">
      <alignment vertical="center"/>
    </xf>
    <xf numFmtId="0" fontId="28" fillId="4" borderId="0" xfId="0" applyFont="1" applyFill="1" applyAlignment="1">
      <alignment wrapText="1"/>
    </xf>
    <xf numFmtId="0" fontId="6" fillId="5" borderId="0" xfId="0" applyFont="1" applyFill="1" applyAlignment="1">
      <alignment wrapText="1"/>
    </xf>
    <xf numFmtId="10" fontId="24" fillId="7" borderId="8" xfId="0" applyNumberFormat="1" applyFont="1" applyFill="1" applyBorder="1" applyAlignment="1">
      <alignment vertical="center" wrapText="1"/>
    </xf>
    <xf numFmtId="10" fontId="6" fillId="7" borderId="4" xfId="0" applyNumberFormat="1" applyFont="1" applyFill="1" applyBorder="1" applyAlignment="1">
      <alignment vertical="center" wrapText="1"/>
    </xf>
    <xf numFmtId="0" fontId="30" fillId="0" borderId="0" xfId="0" applyFont="1" applyAlignment="1">
      <alignment vertical="center"/>
    </xf>
    <xf numFmtId="0" fontId="3" fillId="3" borderId="0" xfId="0" applyFont="1" applyFill="1" applyAlignment="1">
      <alignment wrapText="1"/>
    </xf>
    <xf numFmtId="0" fontId="22" fillId="0" borderId="0" xfId="0" applyFont="1" applyAlignment="1">
      <alignment vertical="center" wrapText="1"/>
    </xf>
    <xf numFmtId="10" fontId="24" fillId="7" borderId="4" xfId="0" applyNumberFormat="1" applyFont="1" applyFill="1" applyBorder="1" applyAlignment="1">
      <alignment horizontal="center" vertical="center" wrapText="1"/>
    </xf>
    <xf numFmtId="0" fontId="4" fillId="4" borderId="0" xfId="0" applyFont="1" applyFill="1" applyAlignment="1"/>
    <xf numFmtId="0" fontId="4" fillId="4" borderId="0" xfId="0" applyFont="1" applyFill="1" applyAlignment="1">
      <alignment vertical="center"/>
    </xf>
    <xf numFmtId="10" fontId="31" fillId="7" borderId="4" xfId="0" applyNumberFormat="1" applyFont="1" applyFill="1" applyBorder="1" applyAlignment="1">
      <alignment horizontal="center" vertical="center" wrapText="1"/>
    </xf>
    <xf numFmtId="10" fontId="24" fillId="7" borderId="9" xfId="0" applyNumberFormat="1" applyFont="1" applyFill="1" applyBorder="1" applyAlignment="1">
      <alignment horizontal="center" vertical="center" wrapText="1"/>
    </xf>
    <xf numFmtId="0" fontId="24" fillId="7" borderId="12" xfId="0" applyFont="1" applyFill="1" applyBorder="1" applyAlignment="1">
      <alignment wrapText="1"/>
    </xf>
    <xf numFmtId="0" fontId="24" fillId="7" borderId="6" xfId="0" applyFont="1" applyFill="1" applyBorder="1" applyAlignment="1">
      <alignment wrapText="1"/>
    </xf>
    <xf numFmtId="0" fontId="24" fillId="7" borderId="6" xfId="0" applyFont="1" applyFill="1" applyBorder="1" applyAlignment="1">
      <alignment horizontal="center" wrapText="1"/>
    </xf>
    <xf numFmtId="0" fontId="24" fillId="7" borderId="13" xfId="0" applyFont="1" applyFill="1" applyBorder="1" applyAlignment="1">
      <alignment horizontal="center" wrapText="1"/>
    </xf>
    <xf numFmtId="0" fontId="34" fillId="0" borderId="0" xfId="0" applyFont="1" applyAlignment="1">
      <alignment horizontal="center" wrapText="1"/>
    </xf>
    <xf numFmtId="0" fontId="35" fillId="9" borderId="8" xfId="0" applyFont="1" applyFill="1" applyBorder="1" applyAlignment="1">
      <alignment wrapText="1"/>
    </xf>
    <xf numFmtId="0" fontId="36" fillId="9" borderId="4" xfId="0" applyFont="1" applyFill="1" applyBorder="1" applyAlignment="1">
      <alignment wrapText="1"/>
    </xf>
    <xf numFmtId="10" fontId="36" fillId="9" borderId="4" xfId="0" applyNumberFormat="1" applyFont="1" applyFill="1" applyBorder="1" applyAlignment="1">
      <alignment horizontal="center" wrapText="1"/>
    </xf>
    <xf numFmtId="10" fontId="37" fillId="9" borderId="4" xfId="0" applyNumberFormat="1" applyFont="1" applyFill="1" applyBorder="1" applyAlignment="1">
      <alignment horizontal="center" wrapText="1"/>
    </xf>
    <xf numFmtId="10" fontId="36" fillId="9" borderId="9" xfId="0" applyNumberFormat="1" applyFont="1" applyFill="1" applyBorder="1" applyAlignment="1">
      <alignment horizontal="center" wrapText="1"/>
    </xf>
    <xf numFmtId="0" fontId="29" fillId="0" borderId="0" xfId="0" applyFont="1" applyAlignment="1"/>
    <xf numFmtId="0" fontId="38" fillId="0" borderId="0" xfId="0" applyFont="1" applyAlignment="1">
      <alignment vertical="center"/>
    </xf>
    <xf numFmtId="0" fontId="24" fillId="9" borderId="15" xfId="0" applyFont="1" applyFill="1" applyBorder="1" applyAlignment="1">
      <alignment vertical="center" wrapText="1"/>
    </xf>
    <xf numFmtId="0" fontId="6" fillId="9" borderId="0" xfId="0" applyFont="1" applyFill="1" applyAlignment="1">
      <alignment vertical="center" wrapText="1"/>
    </xf>
    <xf numFmtId="10" fontId="24" fillId="9" borderId="0" xfId="0" applyNumberFormat="1" applyFont="1" applyFill="1" applyAlignment="1">
      <alignment horizontal="center" vertical="center" wrapText="1"/>
    </xf>
    <xf numFmtId="10" fontId="31" fillId="9" borderId="0" xfId="0" applyNumberFormat="1" applyFont="1" applyFill="1" applyAlignment="1">
      <alignment horizontal="center" vertical="center" wrapText="1"/>
    </xf>
    <xf numFmtId="10" fontId="24" fillId="9" borderId="16" xfId="0" applyNumberFormat="1" applyFont="1" applyFill="1" applyBorder="1" applyAlignment="1">
      <alignment horizontal="center" vertical="center" wrapText="1"/>
    </xf>
    <xf numFmtId="0" fontId="39" fillId="0" borderId="0" xfId="0" applyFont="1" applyAlignment="1">
      <alignment horizontal="center" wrapText="1"/>
    </xf>
    <xf numFmtId="164" fontId="24" fillId="9" borderId="0" xfId="0" applyNumberFormat="1" applyFont="1" applyFill="1" applyAlignment="1">
      <alignment horizontal="center" vertical="center" wrapText="1"/>
    </xf>
    <xf numFmtId="164" fontId="31" fillId="9" borderId="0" xfId="0" applyNumberFormat="1" applyFont="1" applyFill="1" applyAlignment="1">
      <alignment horizontal="center" vertical="center" wrapText="1"/>
    </xf>
    <xf numFmtId="0" fontId="4" fillId="0" borderId="0" xfId="0" applyFont="1" applyAlignment="1">
      <alignment horizontal="center"/>
    </xf>
    <xf numFmtId="164" fontId="24" fillId="9" borderId="16" xfId="0" applyNumberFormat="1" applyFont="1" applyFill="1" applyBorder="1" applyAlignment="1">
      <alignment horizontal="center" vertical="center" wrapText="1"/>
    </xf>
    <xf numFmtId="0" fontId="4" fillId="0" borderId="0" xfId="0" applyFont="1" applyAlignment="1">
      <alignment wrapText="1"/>
    </xf>
    <xf numFmtId="0" fontId="28" fillId="0" borderId="0" xfId="0" applyFont="1" applyAlignment="1">
      <alignment wrapText="1"/>
    </xf>
    <xf numFmtId="0" fontId="36" fillId="10" borderId="15" xfId="0" applyFont="1" applyFill="1" applyBorder="1" applyAlignment="1">
      <alignment wrapText="1"/>
    </xf>
    <xf numFmtId="0" fontId="6" fillId="10" borderId="0" xfId="0" applyFont="1" applyFill="1" applyAlignment="1">
      <alignment vertical="center" wrapText="1"/>
    </xf>
    <xf numFmtId="10" fontId="36" fillId="10" borderId="0" xfId="0" applyNumberFormat="1" applyFont="1" applyFill="1" applyAlignment="1">
      <alignment horizontal="center" vertical="center" wrapText="1"/>
    </xf>
    <xf numFmtId="10" fontId="36" fillId="10" borderId="5" xfId="0" applyNumberFormat="1" applyFont="1" applyFill="1" applyBorder="1" applyAlignment="1">
      <alignment horizontal="center" vertical="center" wrapText="1"/>
    </xf>
    <xf numFmtId="0" fontId="40" fillId="4" borderId="18" xfId="0" applyFont="1" applyFill="1" applyBorder="1" applyAlignment="1">
      <alignment horizontal="left" vertical="center" wrapText="1"/>
    </xf>
    <xf numFmtId="0" fontId="40" fillId="4" borderId="11" xfId="0" applyFont="1" applyFill="1" applyBorder="1" applyAlignment="1">
      <alignment horizontal="left" vertical="center" wrapText="1"/>
    </xf>
    <xf numFmtId="0" fontId="3" fillId="10" borderId="0" xfId="0" applyFont="1" applyFill="1" applyAlignment="1">
      <alignment wrapText="1"/>
    </xf>
    <xf numFmtId="10" fontId="40" fillId="10" borderId="0" xfId="0" applyNumberFormat="1" applyFont="1" applyFill="1" applyAlignment="1">
      <alignment horizontal="center" vertical="center" wrapText="1"/>
    </xf>
    <xf numFmtId="10" fontId="40" fillId="10" borderId="5" xfId="0" applyNumberFormat="1" applyFont="1" applyFill="1" applyBorder="1" applyAlignment="1">
      <alignment horizontal="center" vertical="center" wrapText="1"/>
    </xf>
    <xf numFmtId="0" fontId="6" fillId="0" borderId="15" xfId="0" applyFont="1" applyBorder="1" applyAlignment="1">
      <alignment horizontal="center" vertical="center" wrapText="1"/>
    </xf>
    <xf numFmtId="0" fontId="6" fillId="0" borderId="16" xfId="0" applyFont="1" applyBorder="1" applyAlignment="1">
      <alignment horizontal="center" vertical="center" wrapText="1"/>
    </xf>
    <xf numFmtId="0" fontId="36" fillId="10" borderId="12" xfId="0" applyFont="1" applyFill="1" applyBorder="1" applyAlignment="1">
      <alignment wrapText="1"/>
    </xf>
    <xf numFmtId="0" fontId="36" fillId="10" borderId="6" xfId="0" applyFont="1" applyFill="1" applyBorder="1" applyAlignment="1">
      <alignment wrapText="1"/>
    </xf>
    <xf numFmtId="10" fontId="36" fillId="10" borderId="6" xfId="0" applyNumberFormat="1" applyFont="1" applyFill="1" applyBorder="1" applyAlignment="1">
      <alignment horizontal="center" wrapText="1"/>
    </xf>
    <xf numFmtId="10" fontId="36" fillId="10" borderId="19" xfId="0" applyNumberFormat="1" applyFont="1" applyFill="1" applyBorder="1" applyAlignment="1">
      <alignment horizontal="center" wrapText="1"/>
    </xf>
    <xf numFmtId="0" fontId="6" fillId="0" borderId="8" xfId="0" applyFont="1" applyBorder="1" applyAlignment="1">
      <alignment wrapText="1"/>
    </xf>
    <xf numFmtId="0" fontId="6" fillId="0" borderId="4" xfId="0" applyFont="1" applyBorder="1" applyAlignment="1">
      <alignment wrapText="1"/>
    </xf>
    <xf numFmtId="0" fontId="6" fillId="0" borderId="16" xfId="0" applyFont="1" applyBorder="1" applyAlignment="1">
      <alignment wrapText="1"/>
    </xf>
    <xf numFmtId="0" fontId="6" fillId="0" borderId="15" xfId="0" applyFont="1" applyBorder="1" applyAlignment="1">
      <alignment wrapText="1"/>
    </xf>
    <xf numFmtId="0" fontId="6" fillId="0" borderId="12" xfId="0" applyFont="1" applyBorder="1" applyAlignment="1">
      <alignment wrapText="1"/>
    </xf>
    <xf numFmtId="0" fontId="24" fillId="0" borderId="15" xfId="0" applyFont="1" applyBorder="1" applyAlignment="1">
      <alignment horizontal="center" vertical="center" wrapText="1"/>
    </xf>
    <xf numFmtId="0" fontId="24" fillId="0" borderId="16" xfId="0" applyFont="1" applyBorder="1" applyAlignment="1">
      <alignment horizontal="center" vertical="center" wrapText="1"/>
    </xf>
    <xf numFmtId="0" fontId="6" fillId="0" borderId="20" xfId="0" applyFont="1" applyBorder="1" applyAlignment="1">
      <alignment wrapText="1"/>
    </xf>
    <xf numFmtId="0" fontId="6" fillId="0" borderId="21" xfId="0" applyFont="1" applyBorder="1" applyAlignment="1">
      <alignment horizontal="center" wrapText="1"/>
    </xf>
    <xf numFmtId="0" fontId="24" fillId="0" borderId="21" xfId="0" applyFont="1" applyBorder="1" applyAlignment="1">
      <alignment horizontal="center" wrapText="1"/>
    </xf>
    <xf numFmtId="0" fontId="6" fillId="0" borderId="22" xfId="0" applyFont="1" applyBorder="1" applyAlignment="1">
      <alignment wrapText="1"/>
    </xf>
    <xf numFmtId="0" fontId="6" fillId="13" borderId="20" xfId="0" applyFont="1" applyFill="1" applyBorder="1" applyAlignment="1">
      <alignment wrapText="1"/>
    </xf>
    <xf numFmtId="0" fontId="6" fillId="13" borderId="21" xfId="0" applyFont="1" applyFill="1" applyBorder="1" applyAlignment="1">
      <alignment horizontal="center" wrapText="1"/>
    </xf>
    <xf numFmtId="0" fontId="24" fillId="13" borderId="21" xfId="0" applyFont="1" applyFill="1" applyBorder="1" applyAlignment="1">
      <alignment horizontal="center" wrapText="1"/>
    </xf>
    <xf numFmtId="0" fontId="6" fillId="13" borderId="22" xfId="0" applyFont="1" applyFill="1" applyBorder="1" applyAlignment="1">
      <alignment wrapText="1"/>
    </xf>
    <xf numFmtId="0" fontId="6" fillId="13" borderId="21" xfId="0" applyFont="1" applyFill="1" applyBorder="1" applyAlignment="1">
      <alignment wrapText="1"/>
    </xf>
    <xf numFmtId="0" fontId="6" fillId="0" borderId="21" xfId="0" applyFont="1" applyBorder="1" applyAlignment="1">
      <alignment wrapText="1"/>
    </xf>
    <xf numFmtId="0" fontId="6" fillId="0" borderId="0" xfId="0" applyFont="1" applyAlignment="1">
      <alignment horizontal="center" wrapText="1"/>
    </xf>
    <xf numFmtId="0" fontId="24" fillId="0" borderId="0" xfId="0" applyFont="1" applyAlignment="1">
      <alignment horizontal="center" wrapText="1"/>
    </xf>
    <xf numFmtId="0" fontId="6" fillId="13" borderId="0" xfId="0" applyFont="1" applyFill="1" applyAlignment="1">
      <alignment horizontal="center" wrapText="1"/>
    </xf>
    <xf numFmtId="0" fontId="24" fillId="13" borderId="0" xfId="0" applyFont="1" applyFill="1" applyAlignment="1">
      <alignment horizontal="center" wrapText="1"/>
    </xf>
    <xf numFmtId="0" fontId="6" fillId="13" borderId="0" xfId="0" applyFont="1" applyFill="1" applyAlignment="1">
      <alignment wrapText="1"/>
    </xf>
    <xf numFmtId="0" fontId="24" fillId="4" borderId="0" xfId="0" applyFont="1" applyFill="1" applyAlignment="1">
      <alignment horizontal="center" wrapText="1"/>
    </xf>
    <xf numFmtId="0" fontId="6" fillId="4" borderId="0" xfId="0" applyFont="1" applyFill="1" applyAlignment="1">
      <alignment wrapText="1"/>
    </xf>
    <xf numFmtId="0" fontId="41" fillId="0" borderId="0" xfId="0" applyFont="1" applyAlignment="1">
      <alignment wrapText="1"/>
    </xf>
    <xf numFmtId="0" fontId="42" fillId="16" borderId="0" xfId="0" applyFont="1" applyFill="1" applyAlignment="1">
      <alignment wrapText="1"/>
    </xf>
    <xf numFmtId="0" fontId="3" fillId="0" borderId="0" xfId="0" applyFont="1" applyAlignment="1">
      <alignment wrapText="1"/>
    </xf>
    <xf numFmtId="0" fontId="45" fillId="0" borderId="23" xfId="0" applyFont="1" applyBorder="1" applyAlignment="1">
      <alignment horizontal="center" vertical="center" wrapText="1"/>
    </xf>
    <xf numFmtId="0" fontId="46" fillId="0" borderId="23" xfId="0" applyFont="1" applyBorder="1" applyAlignment="1">
      <alignment horizontal="center" vertical="center" wrapText="1"/>
    </xf>
    <xf numFmtId="0" fontId="47" fillId="0" borderId="23" xfId="0" applyFont="1" applyBorder="1" applyAlignment="1">
      <alignment horizontal="center" vertical="center" wrapText="1"/>
    </xf>
    <xf numFmtId="0" fontId="46" fillId="0" borderId="23" xfId="0" applyFont="1" applyBorder="1" applyAlignment="1">
      <alignment horizontal="center" textRotation="90" wrapText="1"/>
    </xf>
    <xf numFmtId="0" fontId="49" fillId="28" borderId="23" xfId="0" applyFont="1" applyFill="1" applyBorder="1" applyAlignment="1">
      <alignment vertical="center" wrapText="1"/>
    </xf>
    <xf numFmtId="0" fontId="50" fillId="0" borderId="23" xfId="0" applyFont="1" applyBorder="1" applyAlignment="1">
      <alignment wrapText="1"/>
    </xf>
    <xf numFmtId="2" fontId="56" fillId="29" borderId="23" xfId="0" applyNumberFormat="1" applyFont="1" applyFill="1" applyBorder="1" applyAlignment="1">
      <alignment horizontal="center" vertical="center" wrapText="1"/>
    </xf>
    <xf numFmtId="0" fontId="57" fillId="20" borderId="23" xfId="0" applyFont="1" applyFill="1" applyBorder="1" applyAlignment="1">
      <alignment horizontal="center" vertical="center" wrapText="1"/>
    </xf>
    <xf numFmtId="0" fontId="58" fillId="17" borderId="23" xfId="0" applyFont="1" applyFill="1" applyBorder="1" applyAlignment="1">
      <alignment wrapText="1"/>
    </xf>
    <xf numFmtId="0" fontId="59" fillId="0" borderId="23" xfId="0" applyFont="1" applyBorder="1" applyAlignment="1">
      <alignment horizontal="right" vertical="center" wrapText="1"/>
    </xf>
    <xf numFmtId="0" fontId="53" fillId="0" borderId="0" xfId="0" applyFont="1" applyBorder="1" applyAlignment="1">
      <alignment wrapText="1"/>
    </xf>
    <xf numFmtId="0" fontId="53" fillId="0" borderId="0" xfId="0" applyFont="1" applyAlignment="1">
      <alignment wrapText="1"/>
    </xf>
    <xf numFmtId="0" fontId="61" fillId="0" borderId="23" xfId="0" applyFont="1" applyBorder="1" applyAlignment="1">
      <alignment wrapText="1"/>
    </xf>
    <xf numFmtId="0" fontId="52" fillId="28" borderId="23" xfId="0" applyFont="1" applyFill="1" applyBorder="1" applyAlignment="1">
      <alignment vertical="center" wrapText="1"/>
    </xf>
    <xf numFmtId="4" fontId="56" fillId="29" borderId="23" xfId="0" applyNumberFormat="1" applyFont="1" applyFill="1" applyBorder="1" applyAlignment="1">
      <alignment horizontal="center" vertical="center" wrapText="1"/>
    </xf>
    <xf numFmtId="0" fontId="57" fillId="18" borderId="23" xfId="0" applyFont="1" applyFill="1" applyBorder="1" applyAlignment="1">
      <alignment horizontal="center" vertical="center" wrapText="1"/>
    </xf>
    <xf numFmtId="0" fontId="58" fillId="0" borderId="23" xfId="0" applyFont="1" applyBorder="1" applyAlignment="1">
      <alignment horizontal="right" vertical="center" wrapText="1"/>
    </xf>
    <xf numFmtId="0" fontId="63" fillId="4" borderId="23" xfId="0" applyFont="1" applyFill="1" applyBorder="1" applyAlignment="1">
      <alignment horizontal="right" vertical="center" wrapText="1"/>
    </xf>
    <xf numFmtId="10" fontId="64" fillId="21" borderId="23" xfId="0" applyNumberFormat="1" applyFont="1" applyFill="1" applyBorder="1" applyAlignment="1">
      <alignment vertical="center" wrapText="1"/>
    </xf>
    <xf numFmtId="9" fontId="64" fillId="21" borderId="23" xfId="0" applyNumberFormat="1" applyFont="1" applyFill="1" applyBorder="1" applyAlignment="1">
      <alignment horizontal="center" vertical="center" wrapText="1"/>
    </xf>
    <xf numFmtId="9" fontId="64" fillId="22" borderId="23" xfId="0" applyNumberFormat="1" applyFont="1" applyFill="1" applyBorder="1" applyAlignment="1">
      <alignment horizontal="center" vertical="center" wrapText="1"/>
    </xf>
    <xf numFmtId="164" fontId="65" fillId="4" borderId="23" xfId="0" applyNumberFormat="1" applyFont="1" applyFill="1" applyBorder="1" applyAlignment="1">
      <alignment horizontal="center" vertical="center" wrapText="1"/>
    </xf>
    <xf numFmtId="0" fontId="64" fillId="21" borderId="23" xfId="0" applyFont="1" applyFill="1" applyBorder="1" applyAlignment="1">
      <alignment vertical="center" wrapText="1"/>
    </xf>
    <xf numFmtId="0" fontId="58" fillId="21" borderId="23" xfId="0" applyFont="1" applyFill="1" applyBorder="1" applyAlignment="1">
      <alignment horizontal="center" vertical="center" wrapText="1"/>
    </xf>
    <xf numFmtId="0" fontId="58" fillId="22" borderId="23" xfId="0" applyFont="1" applyFill="1" applyBorder="1" applyAlignment="1">
      <alignment horizontal="center" vertical="center" wrapText="1"/>
    </xf>
    <xf numFmtId="0" fontId="66" fillId="4" borderId="23" xfId="0" applyFont="1" applyFill="1" applyBorder="1" applyAlignment="1">
      <alignment horizontal="center" vertical="center" wrapText="1"/>
    </xf>
    <xf numFmtId="10" fontId="68" fillId="9" borderId="23" xfId="0" applyNumberFormat="1" applyFont="1" applyFill="1" applyBorder="1" applyAlignment="1">
      <alignment horizontal="center" wrapText="1"/>
    </xf>
    <xf numFmtId="10" fontId="69" fillId="9" borderId="23" xfId="0" applyNumberFormat="1" applyFont="1" applyFill="1" applyBorder="1" applyAlignment="1">
      <alignment horizontal="center" wrapText="1"/>
    </xf>
    <xf numFmtId="0" fontId="70" fillId="4" borderId="23" xfId="0" applyFont="1" applyFill="1" applyBorder="1" applyAlignment="1">
      <alignment horizontal="center" vertical="center" wrapText="1"/>
    </xf>
    <xf numFmtId="0" fontId="58" fillId="0" borderId="23" xfId="0" applyFont="1" applyBorder="1" applyAlignment="1">
      <alignment horizontal="center" wrapText="1"/>
    </xf>
    <xf numFmtId="0" fontId="64" fillId="9" borderId="23" xfId="0" applyFont="1" applyFill="1" applyBorder="1" applyAlignment="1">
      <alignment vertical="center" wrapText="1"/>
    </xf>
    <xf numFmtId="165" fontId="64" fillId="9" borderId="23" xfId="0" applyNumberFormat="1" applyFont="1" applyFill="1" applyBorder="1" applyAlignment="1">
      <alignment horizontal="center" vertical="center" wrapText="1"/>
    </xf>
    <xf numFmtId="0" fontId="63" fillId="4" borderId="23" xfId="0" applyFont="1" applyFill="1" applyBorder="1" applyAlignment="1">
      <alignment horizontal="center" vertical="center" wrapText="1"/>
    </xf>
    <xf numFmtId="0" fontId="64" fillId="9" borderId="23" xfId="0" applyNumberFormat="1" applyFont="1" applyFill="1" applyBorder="1" applyAlignment="1">
      <alignment horizontal="center" vertical="center" wrapText="1"/>
    </xf>
    <xf numFmtId="0" fontId="53" fillId="4" borderId="23" xfId="0" applyFont="1" applyFill="1" applyBorder="1" applyAlignment="1">
      <alignment vertical="center" wrapText="1"/>
    </xf>
    <xf numFmtId="0" fontId="71" fillId="10" borderId="23" xfId="0" applyFont="1" applyFill="1" applyBorder="1" applyAlignment="1">
      <alignment wrapText="1"/>
    </xf>
    <xf numFmtId="165" fontId="68" fillId="10" borderId="23" xfId="0" applyNumberFormat="1" applyFont="1" applyFill="1" applyBorder="1" applyAlignment="1">
      <alignment horizontal="center" vertical="center" wrapText="1"/>
    </xf>
    <xf numFmtId="0" fontId="72" fillId="4" borderId="23" xfId="0" applyFont="1" applyFill="1" applyBorder="1" applyAlignment="1">
      <alignment horizontal="left" vertical="center" wrapText="1"/>
    </xf>
    <xf numFmtId="165" fontId="72" fillId="10" borderId="23" xfId="0" applyNumberFormat="1" applyFont="1" applyFill="1" applyBorder="1" applyAlignment="1">
      <alignment horizontal="center" vertical="center" wrapText="1"/>
    </xf>
    <xf numFmtId="165" fontId="74" fillId="10" borderId="23" xfId="0" applyNumberFormat="1" applyFont="1" applyFill="1" applyBorder="1" applyAlignment="1">
      <alignment horizontal="center" vertical="center" wrapText="1"/>
    </xf>
    <xf numFmtId="165" fontId="68" fillId="10" borderId="23" xfId="0" applyNumberFormat="1" applyFont="1" applyFill="1" applyBorder="1" applyAlignment="1">
      <alignment horizontal="center" wrapText="1"/>
    </xf>
    <xf numFmtId="0" fontId="64" fillId="0" borderId="23" xfId="0" applyFont="1" applyBorder="1" applyAlignment="1">
      <alignment horizontal="center" vertical="center" wrapText="1"/>
    </xf>
    <xf numFmtId="0" fontId="45" fillId="30" borderId="23" xfId="0" applyFont="1" applyFill="1" applyBorder="1" applyAlignment="1">
      <alignment horizontal="left" vertical="center" wrapText="1"/>
    </xf>
    <xf numFmtId="0" fontId="68" fillId="30" borderId="23" xfId="0" applyFont="1" applyFill="1" applyBorder="1" applyAlignment="1">
      <alignment horizontal="center" vertical="center" wrapText="1"/>
    </xf>
    <xf numFmtId="0" fontId="68" fillId="11" borderId="23" xfId="0" applyFont="1" applyFill="1" applyBorder="1" applyAlignment="1">
      <alignment horizontal="center" vertical="center" wrapText="1"/>
    </xf>
    <xf numFmtId="0" fontId="76" fillId="4" borderId="23" xfId="0" applyFont="1" applyFill="1" applyBorder="1" applyAlignment="1">
      <alignment vertical="center" wrapText="1"/>
    </xf>
    <xf numFmtId="165" fontId="68" fillId="30" borderId="23" xfId="0" applyNumberFormat="1" applyFont="1" applyFill="1" applyBorder="1" applyAlignment="1">
      <alignment horizontal="center" vertical="center" wrapText="1"/>
    </xf>
    <xf numFmtId="165" fontId="68" fillId="11" borderId="23" xfId="0" applyNumberFormat="1" applyFont="1" applyFill="1" applyBorder="1" applyAlignment="1">
      <alignment horizontal="center" vertical="center" wrapText="1"/>
    </xf>
    <xf numFmtId="0" fontId="77" fillId="0" borderId="23" xfId="0" applyFont="1" applyBorder="1" applyAlignment="1">
      <alignment horizontal="center" wrapText="1"/>
    </xf>
    <xf numFmtId="0" fontId="45" fillId="11" borderId="23" xfId="0" applyFont="1" applyFill="1" applyBorder="1" applyAlignment="1">
      <alignment horizontal="left" vertical="center" wrapText="1"/>
    </xf>
    <xf numFmtId="165" fontId="67" fillId="11" borderId="23" xfId="0" applyNumberFormat="1" applyFont="1" applyFill="1" applyBorder="1" applyAlignment="1">
      <alignment horizontal="center" vertical="center" wrapText="1"/>
    </xf>
    <xf numFmtId="10" fontId="68" fillId="11" borderId="23" xfId="0" applyNumberFormat="1" applyFont="1" applyFill="1" applyBorder="1" applyAlignment="1">
      <alignment horizontal="center" vertical="center" wrapText="1"/>
    </xf>
    <xf numFmtId="0" fontId="58" fillId="0" borderId="23" xfId="0" applyFont="1" applyBorder="1" applyAlignment="1">
      <alignment horizontal="left" wrapText="1"/>
    </xf>
    <xf numFmtId="0" fontId="71" fillId="0" borderId="23" xfId="0" applyFont="1" applyBorder="1" applyAlignment="1">
      <alignment horizontal="center" vertical="center" wrapText="1"/>
    </xf>
    <xf numFmtId="0" fontId="58" fillId="0" borderId="0" xfId="0" applyFont="1" applyBorder="1" applyAlignment="1">
      <alignment wrapText="1"/>
    </xf>
    <xf numFmtId="0" fontId="58" fillId="0" borderId="23" xfId="0" applyFont="1" applyBorder="1" applyAlignment="1">
      <alignment horizontal="left" vertical="center" wrapText="1"/>
    </xf>
    <xf numFmtId="0" fontId="58" fillId="17" borderId="23" xfId="0" applyFont="1" applyFill="1" applyBorder="1" applyAlignment="1">
      <alignment horizontal="center" vertical="center" wrapText="1"/>
    </xf>
    <xf numFmtId="0" fontId="58" fillId="18" borderId="23" xfId="0" applyFont="1" applyFill="1" applyBorder="1" applyAlignment="1">
      <alignment horizontal="center" vertical="center" wrapText="1"/>
    </xf>
    <xf numFmtId="0" fontId="58" fillId="19" borderId="23" xfId="0" applyFont="1" applyFill="1" applyBorder="1" applyAlignment="1">
      <alignment horizontal="center" vertical="center" wrapText="1"/>
    </xf>
    <xf numFmtId="0" fontId="81" fillId="0" borderId="23" xfId="0" applyFont="1" applyBorder="1" applyAlignment="1">
      <alignment vertical="center" wrapText="1"/>
    </xf>
    <xf numFmtId="14" fontId="58" fillId="0" borderId="23" xfId="0" applyNumberFormat="1" applyFont="1" applyBorder="1" applyAlignment="1">
      <alignment horizontal="center" vertical="center" wrapText="1"/>
    </xf>
    <xf numFmtId="0" fontId="58" fillId="0" borderId="23" xfId="0" applyFont="1" applyBorder="1" applyAlignment="1">
      <alignment vertical="center" wrapText="1"/>
    </xf>
    <xf numFmtId="0" fontId="64" fillId="0" borderId="23" xfId="0" applyFont="1" applyBorder="1" applyAlignment="1">
      <alignment vertical="center" wrapText="1"/>
    </xf>
    <xf numFmtId="0" fontId="58" fillId="17" borderId="23" xfId="0" applyFont="1" applyFill="1" applyBorder="1" applyAlignment="1">
      <alignment horizontal="center" wrapText="1"/>
    </xf>
    <xf numFmtId="0" fontId="64" fillId="0" borderId="23" xfId="0" applyFont="1" applyBorder="1" applyAlignment="1">
      <alignment horizontal="center" wrapText="1"/>
    </xf>
    <xf numFmtId="0" fontId="81" fillId="0" borderId="23" xfId="0" applyFont="1" applyBorder="1" applyAlignment="1">
      <alignment wrapText="1"/>
    </xf>
    <xf numFmtId="14" fontId="58" fillId="0" borderId="23" xfId="0" applyNumberFormat="1" applyFont="1" applyBorder="1" applyAlignment="1">
      <alignment horizontal="center" wrapText="1"/>
    </xf>
    <xf numFmtId="0" fontId="78" fillId="4" borderId="23" xfId="0" applyFont="1" applyFill="1" applyBorder="1" applyAlignment="1">
      <alignment horizontal="center" wrapText="1"/>
    </xf>
    <xf numFmtId="0" fontId="64" fillId="4" borderId="23" xfId="0" applyFont="1" applyFill="1" applyBorder="1" applyAlignment="1">
      <alignment horizontal="center" wrapText="1"/>
    </xf>
    <xf numFmtId="0" fontId="64" fillId="0" borderId="23" xfId="0" applyFont="1" applyBorder="1" applyAlignment="1">
      <alignment wrapText="1"/>
    </xf>
    <xf numFmtId="0" fontId="64" fillId="17" borderId="23" xfId="0" applyFont="1" applyFill="1" applyBorder="1" applyAlignment="1">
      <alignment horizontal="center" wrapText="1"/>
    </xf>
    <xf numFmtId="0" fontId="51" fillId="2" borderId="40" xfId="0" applyFont="1" applyFill="1" applyBorder="1" applyAlignment="1">
      <alignment horizontal="center" vertical="center" wrapText="1"/>
    </xf>
    <xf numFmtId="0" fontId="51" fillId="2" borderId="43" xfId="0" applyFont="1" applyFill="1" applyBorder="1" applyAlignment="1">
      <alignment horizontal="center" vertical="center" wrapText="1"/>
    </xf>
    <xf numFmtId="0" fontId="49" fillId="2" borderId="45" xfId="0" applyFont="1" applyFill="1" applyBorder="1" applyAlignment="1">
      <alignment vertical="center" wrapText="1"/>
    </xf>
    <xf numFmtId="0" fontId="49" fillId="2" borderId="45" xfId="0" applyFont="1" applyFill="1" applyBorder="1" applyAlignment="1">
      <alignment horizontal="center" vertical="center" wrapText="1"/>
    </xf>
    <xf numFmtId="0" fontId="49" fillId="4" borderId="45" xfId="0" applyFont="1" applyFill="1" applyBorder="1" applyAlignment="1">
      <alignment horizontal="center" vertical="center" wrapText="1"/>
    </xf>
    <xf numFmtId="0" fontId="52" fillId="4" borderId="45" xfId="0" applyFont="1" applyFill="1" applyBorder="1" applyAlignment="1">
      <alignment vertical="center" wrapText="1"/>
    </xf>
    <xf numFmtId="10" fontId="54" fillId="4" borderId="45" xfId="0" applyNumberFormat="1" applyFont="1" applyFill="1" applyBorder="1" applyAlignment="1">
      <alignment horizontal="center" vertical="center" wrapText="1"/>
    </xf>
    <xf numFmtId="4" fontId="52" fillId="2" borderId="45" xfId="0" applyNumberFormat="1" applyFont="1" applyFill="1" applyBorder="1" applyAlignment="1">
      <alignment horizontal="left" vertical="center" wrapText="1"/>
    </xf>
    <xf numFmtId="0" fontId="91" fillId="4" borderId="45" xfId="0" applyFont="1" applyFill="1" applyBorder="1" applyAlignment="1">
      <alignment horizontal="left" wrapText="1"/>
    </xf>
    <xf numFmtId="0" fontId="93" fillId="4" borderId="45" xfId="0" applyFont="1" applyFill="1" applyBorder="1" applyAlignment="1">
      <alignment horizontal="center" vertical="center" wrapText="1"/>
    </xf>
    <xf numFmtId="0" fontId="59" fillId="0" borderId="46" xfId="0" applyFont="1" applyBorder="1" applyAlignment="1">
      <alignment horizontal="right" vertical="center" wrapText="1"/>
    </xf>
    <xf numFmtId="0" fontId="61" fillId="0" borderId="23" xfId="0" applyFont="1" applyBorder="1" applyAlignment="1">
      <alignment horizontal="center" wrapText="1"/>
    </xf>
    <xf numFmtId="0" fontId="52" fillId="4" borderId="23" xfId="0" applyFont="1" applyFill="1" applyBorder="1" applyAlignment="1">
      <alignment vertical="center" wrapText="1"/>
    </xf>
    <xf numFmtId="4" fontId="52" fillId="2" borderId="23" xfId="0" applyNumberFormat="1" applyFont="1" applyFill="1" applyBorder="1" applyAlignment="1">
      <alignment horizontal="left" vertical="center" wrapText="1"/>
    </xf>
    <xf numFmtId="0" fontId="52" fillId="4" borderId="23" xfId="0" applyFont="1" applyFill="1" applyBorder="1" applyAlignment="1">
      <alignment horizontal="left" vertical="center" wrapText="1"/>
    </xf>
    <xf numFmtId="4" fontId="95" fillId="4" borderId="23" xfId="0" applyNumberFormat="1" applyFont="1" applyFill="1" applyBorder="1" applyAlignment="1">
      <alignment horizontal="center" wrapText="1"/>
    </xf>
    <xf numFmtId="0" fontId="96" fillId="0" borderId="23" xfId="0" applyFont="1" applyBorder="1" applyAlignment="1">
      <alignment horizontal="center" wrapText="1"/>
    </xf>
    <xf numFmtId="0" fontId="97" fillId="0" borderId="23" xfId="0" applyFont="1" applyBorder="1" applyAlignment="1">
      <alignment horizontal="center" wrapText="1"/>
    </xf>
    <xf numFmtId="10" fontId="64" fillId="7" borderId="47" xfId="0" applyNumberFormat="1" applyFont="1" applyFill="1" applyBorder="1" applyAlignment="1">
      <alignment vertical="center" wrapText="1"/>
    </xf>
    <xf numFmtId="10" fontId="58" fillId="7" borderId="23" xfId="0" applyNumberFormat="1" applyFont="1" applyFill="1" applyBorder="1" applyAlignment="1">
      <alignment vertical="center" wrapText="1"/>
    </xf>
    <xf numFmtId="10" fontId="64" fillId="7" borderId="23" xfId="0" applyNumberFormat="1" applyFont="1" applyFill="1" applyBorder="1" applyAlignment="1">
      <alignment horizontal="center" vertical="center" wrapText="1"/>
    </xf>
    <xf numFmtId="10" fontId="71" fillId="7" borderId="23" xfId="0" applyNumberFormat="1" applyFont="1" applyFill="1" applyBorder="1" applyAlignment="1">
      <alignment horizontal="center" vertical="center" wrapText="1"/>
    </xf>
    <xf numFmtId="0" fontId="64" fillId="7" borderId="47" xfId="0" applyFont="1" applyFill="1" applyBorder="1" applyAlignment="1">
      <alignment vertical="center" wrapText="1"/>
    </xf>
    <xf numFmtId="0" fontId="64" fillId="7" borderId="23" xfId="0" applyFont="1" applyFill="1" applyBorder="1" applyAlignment="1">
      <alignment vertical="center" wrapText="1"/>
    </xf>
    <xf numFmtId="0" fontId="64" fillId="7" borderId="23" xfId="0" applyFont="1" applyFill="1" applyBorder="1" applyAlignment="1">
      <alignment horizontal="center" vertical="center" wrapText="1"/>
    </xf>
    <xf numFmtId="0" fontId="67" fillId="9" borderId="47" xfId="0" applyFont="1" applyFill="1" applyBorder="1" applyAlignment="1">
      <alignment wrapText="1"/>
    </xf>
    <xf numFmtId="0" fontId="68" fillId="9" borderId="23" xfId="0" applyFont="1" applyFill="1" applyBorder="1" applyAlignment="1">
      <alignment wrapText="1"/>
    </xf>
    <xf numFmtId="0" fontId="64" fillId="9" borderId="47" xfId="0" applyFont="1" applyFill="1" applyBorder="1" applyAlignment="1">
      <alignment vertical="center" wrapText="1"/>
    </xf>
    <xf numFmtId="0" fontId="58" fillId="9" borderId="23" xfId="0" applyFont="1" applyFill="1" applyBorder="1" applyAlignment="1">
      <alignment vertical="center" wrapText="1"/>
    </xf>
    <xf numFmtId="10" fontId="64" fillId="9" borderId="23" xfId="0" applyNumberFormat="1" applyFont="1" applyFill="1" applyBorder="1" applyAlignment="1">
      <alignment horizontal="center" vertical="center" wrapText="1"/>
    </xf>
    <xf numFmtId="165" fontId="45" fillId="9" borderId="23" xfId="0" applyNumberFormat="1" applyFont="1" applyFill="1" applyBorder="1" applyAlignment="1">
      <alignment horizontal="center" vertical="center" wrapText="1"/>
    </xf>
    <xf numFmtId="164" fontId="64" fillId="9" borderId="23" xfId="0" applyNumberFormat="1" applyFont="1" applyFill="1" applyBorder="1" applyAlignment="1">
      <alignment horizontal="center" vertical="center" wrapText="1"/>
    </xf>
    <xf numFmtId="0" fontId="71" fillId="10" borderId="47" xfId="0" applyFont="1" applyFill="1" applyBorder="1" applyAlignment="1">
      <alignment wrapText="1"/>
    </xf>
    <xf numFmtId="0" fontId="58" fillId="10" borderId="23" xfId="0" applyFont="1" applyFill="1" applyBorder="1" applyAlignment="1">
      <alignment vertical="center" wrapText="1"/>
    </xf>
    <xf numFmtId="10" fontId="68" fillId="10" borderId="23" xfId="0" applyNumberFormat="1" applyFont="1" applyFill="1" applyBorder="1" applyAlignment="1">
      <alignment horizontal="center" vertical="center" wrapText="1"/>
    </xf>
    <xf numFmtId="165" fontId="67" fillId="10" borderId="23" xfId="0" applyNumberFormat="1" applyFont="1" applyFill="1" applyBorder="1" applyAlignment="1">
      <alignment horizontal="center" vertical="center" wrapText="1"/>
    </xf>
    <xf numFmtId="0" fontId="53" fillId="10" borderId="23" xfId="0" applyFont="1" applyFill="1" applyBorder="1" applyAlignment="1">
      <alignment wrapText="1"/>
    </xf>
    <xf numFmtId="10" fontId="72" fillId="10" borderId="23" xfId="0" applyNumberFormat="1" applyFont="1" applyFill="1" applyBorder="1" applyAlignment="1">
      <alignment horizontal="center" vertical="center" wrapText="1"/>
    </xf>
    <xf numFmtId="0" fontId="71" fillId="10" borderId="25" xfId="0" applyFont="1" applyFill="1" applyBorder="1" applyAlignment="1">
      <alignment wrapText="1"/>
    </xf>
    <xf numFmtId="0" fontId="68" fillId="10" borderId="23" xfId="0" applyFont="1" applyFill="1" applyBorder="1" applyAlignment="1">
      <alignment wrapText="1"/>
    </xf>
    <xf numFmtId="10" fontId="68" fillId="10" borderId="23" xfId="0" applyNumberFormat="1" applyFont="1" applyFill="1" applyBorder="1" applyAlignment="1">
      <alignment horizontal="center" wrapText="1"/>
    </xf>
    <xf numFmtId="165" fontId="67" fillId="10" borderId="23" xfId="0" applyNumberFormat="1" applyFont="1" applyFill="1" applyBorder="1" applyAlignment="1">
      <alignment horizontal="center" wrapText="1"/>
    </xf>
    <xf numFmtId="0" fontId="58" fillId="10" borderId="23" xfId="0" applyFont="1" applyFill="1" applyBorder="1" applyAlignment="1">
      <alignment wrapText="1"/>
    </xf>
    <xf numFmtId="0" fontId="58" fillId="0" borderId="47" xfId="0" applyFont="1" applyBorder="1" applyAlignment="1">
      <alignment wrapText="1"/>
    </xf>
    <xf numFmtId="0" fontId="45" fillId="11" borderId="47" xfId="0" applyFont="1" applyFill="1" applyBorder="1" applyAlignment="1">
      <alignment horizontal="left" vertical="center" wrapText="1"/>
    </xf>
    <xf numFmtId="0" fontId="58" fillId="11" borderId="23" xfId="0" applyFont="1" applyFill="1" applyBorder="1" applyAlignment="1">
      <alignment vertical="center" wrapText="1"/>
    </xf>
    <xf numFmtId="0" fontId="67" fillId="11" borderId="23" xfId="0" applyFont="1" applyFill="1" applyBorder="1" applyAlignment="1">
      <alignment horizontal="center" vertical="center" wrapText="1"/>
    </xf>
    <xf numFmtId="10" fontId="67" fillId="11" borderId="23" xfId="0" applyNumberFormat="1" applyFont="1" applyFill="1" applyBorder="1" applyAlignment="1">
      <alignment horizontal="center" vertical="center" wrapText="1"/>
    </xf>
    <xf numFmtId="165" fontId="79" fillId="11" borderId="23" xfId="0" applyNumberFormat="1" applyFont="1" applyFill="1" applyBorder="1" applyAlignment="1">
      <alignment horizontal="center" vertical="center" wrapText="1"/>
    </xf>
    <xf numFmtId="0" fontId="58" fillId="0" borderId="25" xfId="0" applyFont="1" applyBorder="1" applyAlignment="1">
      <alignment horizontal="left" wrapText="1"/>
    </xf>
    <xf numFmtId="0" fontId="64" fillId="12" borderId="23" xfId="0" applyFont="1" applyFill="1" applyBorder="1" applyAlignment="1">
      <alignment horizontal="center" wrapText="1"/>
    </xf>
    <xf numFmtId="0" fontId="58" fillId="0" borderId="6" xfId="0" applyFont="1" applyBorder="1" applyAlignment="1">
      <alignment wrapText="1"/>
    </xf>
    <xf numFmtId="0" fontId="58" fillId="0" borderId="25" xfId="0" applyFont="1" applyBorder="1" applyAlignment="1">
      <alignment horizontal="left" vertical="center" wrapText="1"/>
    </xf>
    <xf numFmtId="0" fontId="58" fillId="8" borderId="23" xfId="0" applyFont="1" applyFill="1" applyBorder="1" applyAlignment="1">
      <alignment horizontal="center" vertical="center" wrapText="1"/>
    </xf>
    <xf numFmtId="0" fontId="58" fillId="4" borderId="23" xfId="0" applyFont="1" applyFill="1" applyBorder="1" applyAlignment="1">
      <alignment horizontal="center" vertical="center" wrapText="1"/>
    </xf>
    <xf numFmtId="0" fontId="58" fillId="0" borderId="4" xfId="0" applyFont="1" applyBorder="1" applyAlignment="1">
      <alignment wrapText="1"/>
    </xf>
    <xf numFmtId="0" fontId="58" fillId="0" borderId="25" xfId="0" applyFont="1" applyBorder="1" applyAlignment="1">
      <alignment wrapText="1"/>
    </xf>
    <xf numFmtId="0" fontId="58" fillId="14" borderId="25" xfId="0" applyFont="1" applyFill="1" applyBorder="1" applyAlignment="1">
      <alignment horizontal="left" vertical="center" wrapText="1"/>
    </xf>
    <xf numFmtId="0" fontId="58" fillId="15" borderId="23" xfId="0" applyFont="1" applyFill="1" applyBorder="1" applyAlignment="1">
      <alignment horizontal="center" vertical="center" wrapText="1"/>
    </xf>
    <xf numFmtId="0" fontId="58" fillId="14" borderId="23" xfId="0" applyFont="1" applyFill="1" applyBorder="1" applyAlignment="1">
      <alignment horizontal="center" vertical="center" wrapText="1"/>
    </xf>
    <xf numFmtId="0" fontId="58" fillId="0" borderId="2" xfId="0" applyFont="1" applyBorder="1" applyAlignment="1">
      <alignment wrapText="1"/>
    </xf>
    <xf numFmtId="0" fontId="58" fillId="6" borderId="23" xfId="0" applyFont="1" applyFill="1" applyBorder="1" applyAlignment="1">
      <alignment horizontal="center" vertical="center" wrapText="1"/>
    </xf>
    <xf numFmtId="0" fontId="53" fillId="14" borderId="25" xfId="0" applyFont="1" applyFill="1" applyBorder="1" applyAlignment="1">
      <alignment horizontal="left" vertical="center" wrapText="1"/>
    </xf>
    <xf numFmtId="0" fontId="58" fillId="4" borderId="25" xfId="0" applyFont="1" applyFill="1" applyBorder="1" applyAlignment="1">
      <alignment horizontal="left" vertical="center" wrapText="1"/>
    </xf>
    <xf numFmtId="0" fontId="58" fillId="4" borderId="23" xfId="0" applyFont="1" applyFill="1" applyBorder="1" applyAlignment="1">
      <alignment vertical="center" wrapText="1"/>
    </xf>
    <xf numFmtId="0" fontId="64" fillId="4" borderId="23" xfId="0" applyFont="1" applyFill="1" applyBorder="1" applyAlignment="1">
      <alignment horizontal="center" vertical="center" wrapText="1"/>
    </xf>
    <xf numFmtId="14" fontId="58" fillId="4" borderId="23" xfId="0" applyNumberFormat="1" applyFont="1" applyFill="1" applyBorder="1" applyAlignment="1">
      <alignment horizontal="center" vertical="center" wrapText="1"/>
    </xf>
    <xf numFmtId="0" fontId="68" fillId="4" borderId="24" xfId="0" applyFont="1" applyFill="1" applyBorder="1" applyAlignment="1">
      <alignment horizontal="center" vertical="center" wrapText="1"/>
    </xf>
    <xf numFmtId="0" fontId="53" fillId="6" borderId="23" xfId="0" applyFont="1" applyFill="1" applyBorder="1" applyAlignment="1">
      <alignment horizontal="center" vertical="center" wrapText="1"/>
    </xf>
    <xf numFmtId="0" fontId="58" fillId="0" borderId="2" xfId="0" applyFont="1" applyBorder="1" applyAlignment="1">
      <alignment vertical="center" wrapText="1"/>
    </xf>
    <xf numFmtId="0" fontId="60" fillId="0" borderId="23" xfId="0" applyFont="1" applyBorder="1" applyAlignment="1">
      <alignment horizontal="center" vertical="center" wrapText="1"/>
    </xf>
    <xf numFmtId="0" fontId="81" fillId="0" borderId="23" xfId="0" applyFont="1" applyBorder="1" applyAlignment="1">
      <alignment vertical="center"/>
    </xf>
    <xf numFmtId="0" fontId="81" fillId="14" borderId="25" xfId="0" applyFont="1" applyFill="1" applyBorder="1" applyAlignment="1">
      <alignment horizontal="left" vertical="center" wrapText="1"/>
    </xf>
    <xf numFmtId="0" fontId="81" fillId="4" borderId="23" xfId="0" applyFont="1" applyFill="1" applyBorder="1" applyAlignment="1">
      <alignment vertical="center" wrapText="1"/>
    </xf>
    <xf numFmtId="0" fontId="58" fillId="0" borderId="24" xfId="0" applyFont="1" applyBorder="1" applyAlignment="1">
      <alignment horizontal="center" vertical="center" wrapText="1"/>
    </xf>
    <xf numFmtId="0" fontId="81" fillId="0" borderId="25" xfId="0" applyFont="1" applyBorder="1" applyAlignment="1">
      <alignment horizontal="left" vertical="center" wrapText="1"/>
    </xf>
    <xf numFmtId="0" fontId="79" fillId="0" borderId="23" xfId="0" applyFont="1" applyBorder="1" applyAlignment="1">
      <alignment vertical="center" wrapText="1"/>
    </xf>
    <xf numFmtId="0" fontId="64" fillId="12" borderId="23" xfId="0" applyFont="1" applyFill="1" applyBorder="1" applyAlignment="1">
      <alignment horizontal="center" vertical="center" wrapText="1"/>
    </xf>
    <xf numFmtId="0" fontId="87" fillId="0" borderId="25" xfId="0" applyFont="1" applyBorder="1" applyAlignment="1">
      <alignment horizontal="left" vertical="center" wrapText="1"/>
    </xf>
    <xf numFmtId="0" fontId="58" fillId="6" borderId="23" xfId="0" applyFont="1" applyFill="1" applyBorder="1" applyAlignment="1">
      <alignment horizontal="center" wrapText="1"/>
    </xf>
    <xf numFmtId="0" fontId="58" fillId="14" borderId="25" xfId="0" applyFont="1" applyFill="1" applyBorder="1" applyAlignment="1">
      <alignment wrapText="1"/>
    </xf>
    <xf numFmtId="0" fontId="58" fillId="14" borderId="23" xfId="0" applyFont="1" applyFill="1" applyBorder="1" applyAlignment="1">
      <alignment horizontal="center" wrapText="1"/>
    </xf>
    <xf numFmtId="0" fontId="58" fillId="0" borderId="25" xfId="0" applyFont="1" applyBorder="1" applyAlignment="1">
      <alignment vertical="center" wrapText="1"/>
    </xf>
    <xf numFmtId="0" fontId="58" fillId="8" borderId="23" xfId="0" applyFont="1" applyFill="1" applyBorder="1" applyAlignment="1">
      <alignment horizontal="center" wrapText="1"/>
    </xf>
    <xf numFmtId="0" fontId="58" fillId="15" borderId="23" xfId="0" applyFont="1" applyFill="1" applyBorder="1" applyAlignment="1">
      <alignment horizontal="center" wrapText="1"/>
    </xf>
    <xf numFmtId="0" fontId="79" fillId="0" borderId="23" xfId="0" applyFont="1" applyBorder="1" applyAlignment="1">
      <alignment wrapText="1"/>
    </xf>
    <xf numFmtId="0" fontId="58" fillId="4" borderId="25" xfId="0" applyFont="1" applyFill="1" applyBorder="1" applyAlignment="1">
      <alignment wrapText="1"/>
    </xf>
    <xf numFmtId="0" fontId="58" fillId="4" borderId="23" xfId="0" applyFont="1" applyFill="1" applyBorder="1" applyAlignment="1">
      <alignment horizontal="center" wrapText="1"/>
    </xf>
    <xf numFmtId="0" fontId="58" fillId="4" borderId="48" xfId="0" applyFont="1" applyFill="1" applyBorder="1" applyAlignment="1">
      <alignment wrapText="1"/>
    </xf>
    <xf numFmtId="0" fontId="58" fillId="0" borderId="49" xfId="0" applyFont="1" applyBorder="1" applyAlignment="1">
      <alignment wrapText="1"/>
    </xf>
    <xf numFmtId="0" fontId="58" fillId="4" borderId="49" xfId="0" applyFont="1" applyFill="1" applyBorder="1" applyAlignment="1">
      <alignment horizontal="center" wrapText="1"/>
    </xf>
    <xf numFmtId="0" fontId="58" fillId="4" borderId="49" xfId="0" applyFont="1" applyFill="1" applyBorder="1" applyAlignment="1">
      <alignment horizontal="center" vertical="center" wrapText="1"/>
    </xf>
    <xf numFmtId="0" fontId="58" fillId="4" borderId="50" xfId="0" applyFont="1" applyFill="1" applyBorder="1" applyAlignment="1">
      <alignment horizontal="center" vertical="center" wrapText="1"/>
    </xf>
    <xf numFmtId="0" fontId="58" fillId="0" borderId="50" xfId="0" applyFont="1" applyBorder="1" applyAlignment="1">
      <alignment horizontal="center" vertical="center" wrapText="1"/>
    </xf>
    <xf numFmtId="0" fontId="64" fillId="0" borderId="50" xfId="0" applyFont="1" applyBorder="1" applyAlignment="1">
      <alignment horizontal="center" vertical="center" wrapText="1"/>
    </xf>
    <xf numFmtId="0" fontId="81" fillId="0" borderId="50" xfId="0" applyFont="1" applyBorder="1" applyAlignment="1">
      <alignment wrapText="1"/>
    </xf>
    <xf numFmtId="14" fontId="58" fillId="0" borderId="50" xfId="0" applyNumberFormat="1" applyFont="1" applyBorder="1" applyAlignment="1">
      <alignment horizontal="center" wrapText="1"/>
    </xf>
    <xf numFmtId="0" fontId="58" fillId="0" borderId="50" xfId="0" applyFont="1" applyBorder="1" applyAlignment="1">
      <alignment vertical="center" wrapText="1"/>
    </xf>
    <xf numFmtId="0" fontId="64" fillId="0" borderId="50" xfId="0" applyFont="1" applyBorder="1" applyAlignment="1">
      <alignment vertical="center" wrapText="1"/>
    </xf>
    <xf numFmtId="0" fontId="68" fillId="0" borderId="51" xfId="0" applyFont="1" applyBorder="1" applyAlignment="1">
      <alignment horizontal="center" vertical="center" wrapText="1"/>
    </xf>
    <xf numFmtId="165" fontId="68" fillId="9" borderId="23" xfId="0" applyNumberFormat="1" applyFont="1" applyFill="1" applyBorder="1" applyAlignment="1">
      <alignment horizontal="center" vertical="center" wrapText="1"/>
    </xf>
    <xf numFmtId="0" fontId="64" fillId="21" borderId="23" xfId="0" applyFont="1" applyFill="1" applyBorder="1" applyAlignment="1">
      <alignment horizontal="center" vertical="center" wrapText="1"/>
    </xf>
    <xf numFmtId="165" fontId="64" fillId="21" borderId="23" xfId="0" applyNumberFormat="1" applyFont="1" applyFill="1" applyBorder="1" applyAlignment="1">
      <alignment horizontal="center" vertical="center" wrapText="1"/>
    </xf>
    <xf numFmtId="0" fontId="152" fillId="0" borderId="23" xfId="1" applyBorder="1" applyAlignment="1">
      <alignment vertical="center" wrapText="1"/>
    </xf>
    <xf numFmtId="0" fontId="68" fillId="0" borderId="23" xfId="0" applyFont="1" applyBorder="1" applyAlignment="1">
      <alignment horizontal="center" vertical="center" wrapText="1"/>
    </xf>
    <xf numFmtId="0" fontId="58" fillId="25" borderId="23" xfId="0" applyFont="1" applyFill="1" applyBorder="1" applyAlignment="1">
      <alignment horizontal="center" vertical="center" wrapText="1"/>
    </xf>
    <xf numFmtId="0" fontId="9" fillId="0" borderId="21" xfId="0" applyFont="1" applyBorder="1" applyAlignment="1">
      <alignment wrapText="1"/>
    </xf>
    <xf numFmtId="0" fontId="9" fillId="13" borderId="21" xfId="0" applyFont="1" applyFill="1" applyBorder="1" applyAlignment="1">
      <alignment wrapText="1"/>
    </xf>
    <xf numFmtId="0" fontId="9" fillId="13" borderId="0" xfId="0" applyFont="1" applyFill="1" applyAlignment="1">
      <alignment wrapText="1"/>
    </xf>
    <xf numFmtId="0" fontId="9" fillId="5" borderId="0" xfId="0" applyFont="1" applyFill="1" applyAlignment="1">
      <alignment wrapText="1"/>
    </xf>
    <xf numFmtId="0" fontId="9" fillId="3" borderId="0" xfId="0" applyFont="1" applyFill="1" applyAlignment="1">
      <alignment wrapText="1"/>
    </xf>
    <xf numFmtId="0" fontId="9" fillId="0" borderId="0" xfId="0" applyFont="1" applyAlignment="1">
      <alignment horizontal="left" wrapText="1"/>
    </xf>
    <xf numFmtId="0" fontId="12" fillId="4" borderId="0" xfId="0" applyFont="1" applyFill="1" applyAlignment="1">
      <alignment vertical="center" wrapText="1"/>
    </xf>
    <xf numFmtId="0" fontId="30" fillId="0" borderId="0" xfId="0" applyFont="1" applyAlignment="1">
      <alignment vertical="center" wrapText="1"/>
    </xf>
    <xf numFmtId="0" fontId="12" fillId="0" borderId="0" xfId="0" applyFont="1" applyAlignment="1">
      <alignment vertical="center" wrapText="1"/>
    </xf>
    <xf numFmtId="0" fontId="100" fillId="0" borderId="23" xfId="0" applyFont="1" applyBorder="1" applyAlignment="1">
      <alignment horizontal="center" vertical="center" wrapText="1"/>
    </xf>
    <xf numFmtId="0" fontId="99" fillId="0" borderId="23" xfId="0" applyFont="1" applyBorder="1" applyAlignment="1">
      <alignment vertical="center" wrapText="1"/>
    </xf>
    <xf numFmtId="0" fontId="58" fillId="34" borderId="23" xfId="0" applyFont="1" applyFill="1" applyBorder="1" applyAlignment="1">
      <alignment horizontal="center" vertical="center" wrapText="1"/>
    </xf>
    <xf numFmtId="0" fontId="58" fillId="35" borderId="23" xfId="0" applyFont="1" applyFill="1" applyBorder="1" applyAlignment="1">
      <alignment horizontal="center" vertical="center" wrapText="1"/>
    </xf>
    <xf numFmtId="0" fontId="46" fillId="0" borderId="23" xfId="0" applyFont="1" applyBorder="1" applyAlignment="1">
      <alignment horizontal="center" wrapText="1"/>
    </xf>
    <xf numFmtId="0" fontId="101" fillId="0" borderId="23" xfId="1" applyFont="1" applyBorder="1" applyAlignment="1">
      <alignment vertical="center" wrapText="1"/>
    </xf>
    <xf numFmtId="0" fontId="102" fillId="0" borderId="23" xfId="1" applyFont="1" applyBorder="1" applyAlignment="1">
      <alignment horizontal="center" vertical="center" wrapText="1"/>
    </xf>
    <xf numFmtId="0" fontId="58" fillId="20" borderId="23" xfId="0" applyFont="1" applyFill="1" applyBorder="1" applyAlignment="1">
      <alignment horizontal="center" vertical="center" wrapText="1"/>
    </xf>
    <xf numFmtId="0" fontId="58" fillId="26" borderId="23" xfId="0" applyFont="1" applyFill="1" applyBorder="1" applyAlignment="1">
      <alignment horizontal="center" vertical="center" wrapText="1"/>
    </xf>
    <xf numFmtId="0" fontId="64" fillId="35" borderId="23" xfId="0" applyFont="1" applyFill="1" applyBorder="1" applyAlignment="1">
      <alignment horizontal="center" vertical="center" wrapText="1"/>
    </xf>
    <xf numFmtId="0" fontId="101" fillId="35" borderId="23" xfId="1" applyFont="1" applyFill="1" applyBorder="1" applyAlignment="1">
      <alignment vertical="center" wrapText="1"/>
    </xf>
    <xf numFmtId="14" fontId="58" fillId="35" borderId="23" xfId="0" applyNumberFormat="1" applyFont="1" applyFill="1" applyBorder="1" applyAlignment="1">
      <alignment horizontal="center" vertical="center" wrapText="1"/>
    </xf>
    <xf numFmtId="0" fontId="58" fillId="35" borderId="0" xfId="0" applyFont="1" applyFill="1" applyBorder="1" applyAlignment="1">
      <alignment wrapText="1"/>
    </xf>
    <xf numFmtId="0" fontId="53" fillId="35" borderId="0" xfId="0" applyFont="1" applyFill="1" applyBorder="1" applyAlignment="1">
      <alignment wrapText="1"/>
    </xf>
    <xf numFmtId="0" fontId="53" fillId="35" borderId="0" xfId="0" applyFont="1" applyFill="1" applyAlignment="1">
      <alignment wrapText="1"/>
    </xf>
    <xf numFmtId="0" fontId="58" fillId="35" borderId="23" xfId="0" applyFont="1" applyFill="1" applyBorder="1" applyAlignment="1">
      <alignment horizontal="left" vertical="center" wrapText="1"/>
    </xf>
    <xf numFmtId="0" fontId="6" fillId="0" borderId="23" xfId="1" applyFont="1" applyBorder="1" applyAlignment="1">
      <alignment vertical="center" wrapText="1"/>
    </xf>
    <xf numFmtId="0" fontId="3" fillId="0" borderId="23" xfId="1" applyFont="1" applyBorder="1" applyAlignment="1">
      <alignment vertical="center" wrapText="1"/>
    </xf>
    <xf numFmtId="0" fontId="152" fillId="35" borderId="23" xfId="1" applyFill="1" applyBorder="1" applyAlignment="1">
      <alignment vertical="center" wrapText="1"/>
    </xf>
    <xf numFmtId="0" fontId="58" fillId="24" borderId="23" xfId="0" applyFont="1" applyFill="1" applyBorder="1" applyAlignment="1">
      <alignment horizontal="left" vertical="center" wrapText="1"/>
    </xf>
    <xf numFmtId="0" fontId="67" fillId="0" borderId="23" xfId="0" applyFont="1" applyBorder="1" applyAlignment="1">
      <alignment horizontal="left" vertical="center" wrapText="1"/>
    </xf>
    <xf numFmtId="0" fontId="106" fillId="0" borderId="23" xfId="1" applyFont="1" applyBorder="1" applyAlignment="1">
      <alignment wrapText="1"/>
    </xf>
    <xf numFmtId="0" fontId="107" fillId="0" borderId="23" xfId="1" applyFont="1" applyBorder="1" applyAlignment="1">
      <alignment vertical="center" wrapText="1"/>
    </xf>
    <xf numFmtId="0" fontId="58" fillId="17" borderId="23" xfId="0" applyFont="1" applyFill="1" applyBorder="1" applyAlignment="1">
      <alignment horizontal="left" vertical="center" wrapText="1"/>
    </xf>
    <xf numFmtId="0" fontId="43" fillId="0" borderId="23" xfId="1" applyFont="1" applyBorder="1" applyAlignment="1">
      <alignment vertical="center" wrapText="1"/>
    </xf>
    <xf numFmtId="0" fontId="109" fillId="0" borderId="23" xfId="1" applyFont="1" applyBorder="1" applyAlignment="1">
      <alignment vertical="center" wrapText="1"/>
    </xf>
    <xf numFmtId="0" fontId="60" fillId="4" borderId="23" xfId="0" applyFont="1" applyFill="1" applyBorder="1" applyAlignment="1">
      <alignment horizontal="center" vertical="center" wrapText="1"/>
    </xf>
    <xf numFmtId="0" fontId="64" fillId="17" borderId="23" xfId="0" applyFont="1" applyFill="1" applyBorder="1" applyAlignment="1">
      <alignment horizontal="center" vertical="center" wrapText="1"/>
    </xf>
    <xf numFmtId="0" fontId="152" fillId="17" borderId="23" xfId="1" applyFill="1" applyBorder="1" applyAlignment="1">
      <alignment vertical="center" wrapText="1"/>
    </xf>
    <xf numFmtId="14" fontId="58" fillId="17" borderId="23" xfId="0" applyNumberFormat="1" applyFont="1" applyFill="1" applyBorder="1" applyAlignment="1">
      <alignment horizontal="center" vertical="center" wrapText="1"/>
    </xf>
    <xf numFmtId="0" fontId="58" fillId="17" borderId="0" xfId="0" applyFont="1" applyFill="1" applyBorder="1" applyAlignment="1">
      <alignment wrapText="1"/>
    </xf>
    <xf numFmtId="0" fontId="53" fillId="17" borderId="0" xfId="0" applyFont="1" applyFill="1" applyBorder="1" applyAlignment="1">
      <alignment wrapText="1"/>
    </xf>
    <xf numFmtId="0" fontId="53" fillId="17" borderId="0" xfId="0" applyFont="1" applyFill="1" applyAlignment="1">
      <alignment wrapText="1"/>
    </xf>
    <xf numFmtId="0" fontId="68" fillId="35" borderId="23" xfId="0" applyFont="1" applyFill="1" applyBorder="1" applyAlignment="1">
      <alignment horizontal="left" vertical="center" wrapText="1"/>
    </xf>
    <xf numFmtId="0" fontId="64" fillId="36" borderId="23" xfId="0" applyFont="1" applyFill="1" applyBorder="1" applyAlignment="1">
      <alignment vertical="center" wrapText="1"/>
    </xf>
    <xf numFmtId="165" fontId="64" fillId="36" borderId="23" xfId="2" applyNumberFormat="1" applyFont="1" applyFill="1" applyBorder="1" applyAlignment="1">
      <alignment horizontal="center" vertical="center" wrapText="1"/>
    </xf>
    <xf numFmtId="0" fontId="58" fillId="36" borderId="23" xfId="0" applyFont="1" applyFill="1" applyBorder="1" applyAlignment="1">
      <alignment horizontal="center" vertical="center" wrapText="1"/>
    </xf>
    <xf numFmtId="0" fontId="64" fillId="36" borderId="23" xfId="0" applyFont="1" applyFill="1" applyBorder="1" applyAlignment="1">
      <alignment horizontal="center" vertical="center" wrapText="1"/>
    </xf>
    <xf numFmtId="0" fontId="101" fillId="17" borderId="23" xfId="1" applyFont="1" applyFill="1" applyBorder="1" applyAlignment="1">
      <alignment vertical="center" wrapText="1"/>
    </xf>
    <xf numFmtId="0" fontId="109" fillId="17" borderId="23" xfId="1" applyFont="1" applyFill="1" applyBorder="1" applyAlignment="1">
      <alignment vertical="center" wrapText="1"/>
    </xf>
    <xf numFmtId="0" fontId="58" fillId="17" borderId="23" xfId="0" applyFont="1" applyFill="1" applyBorder="1" applyAlignment="1">
      <alignment vertical="center" wrapText="1"/>
    </xf>
    <xf numFmtId="0" fontId="111" fillId="0" borderId="23" xfId="1" applyFont="1" applyBorder="1" applyAlignment="1">
      <alignment vertical="center" wrapText="1"/>
    </xf>
    <xf numFmtId="0" fontId="43" fillId="35" borderId="23" xfId="1" applyFont="1" applyFill="1" applyBorder="1" applyAlignment="1">
      <alignment vertical="center" wrapText="1"/>
    </xf>
    <xf numFmtId="0" fontId="107" fillId="17" borderId="23" xfId="1" applyFont="1" applyFill="1" applyBorder="1" applyAlignment="1">
      <alignment vertical="center" wrapText="1"/>
    </xf>
    <xf numFmtId="0" fontId="6" fillId="17" borderId="23" xfId="1" applyFont="1" applyFill="1" applyBorder="1" applyAlignment="1">
      <alignment vertical="center" wrapText="1"/>
    </xf>
    <xf numFmtId="1" fontId="64" fillId="36" borderId="23" xfId="2" applyNumberFormat="1" applyFont="1" applyFill="1" applyBorder="1" applyAlignment="1">
      <alignment horizontal="center" vertical="center" wrapText="1"/>
    </xf>
    <xf numFmtId="0" fontId="43" fillId="17" borderId="23" xfId="1" applyFont="1" applyFill="1" applyBorder="1" applyAlignment="1">
      <alignment vertical="center" wrapText="1"/>
    </xf>
    <xf numFmtId="0" fontId="68" fillId="17" borderId="23" xfId="0" applyFont="1" applyFill="1" applyBorder="1" applyAlignment="1">
      <alignment horizontal="left" vertical="center" wrapText="1"/>
    </xf>
    <xf numFmtId="0" fontId="76" fillId="17" borderId="23" xfId="0" applyFont="1" applyFill="1" applyBorder="1" applyAlignment="1">
      <alignment horizontal="center" vertical="center" wrapText="1"/>
    </xf>
    <xf numFmtId="0" fontId="36" fillId="0" borderId="23" xfId="1" applyFont="1" applyBorder="1" applyAlignment="1">
      <alignment vertical="center" wrapText="1"/>
    </xf>
    <xf numFmtId="1" fontId="68" fillId="9" borderId="23" xfId="0" applyNumberFormat="1" applyFont="1" applyFill="1" applyBorder="1" applyAlignment="1">
      <alignment horizontal="center" vertical="center" wrapText="1"/>
    </xf>
    <xf numFmtId="10" fontId="68" fillId="9" borderId="23" xfId="0" applyNumberFormat="1" applyFont="1" applyFill="1" applyBorder="1" applyAlignment="1">
      <alignment horizontal="center" vertical="center" wrapText="1"/>
    </xf>
    <xf numFmtId="1" fontId="58" fillId="0" borderId="23" xfId="0" applyNumberFormat="1" applyFont="1" applyBorder="1" applyAlignment="1">
      <alignment wrapText="1"/>
    </xf>
    <xf numFmtId="1" fontId="114" fillId="19" borderId="23" xfId="0" applyNumberFormat="1" applyFont="1" applyFill="1" applyBorder="1" applyAlignment="1">
      <alignment horizontal="center" vertical="center" wrapText="1"/>
    </xf>
    <xf numFmtId="0" fontId="58" fillId="25" borderId="23" xfId="0" applyFont="1" applyFill="1" applyBorder="1" applyAlignment="1">
      <alignment horizontal="center" wrapText="1"/>
    </xf>
    <xf numFmtId="0" fontId="58" fillId="26" borderId="23" xfId="0" applyFont="1" applyFill="1" applyBorder="1" applyAlignment="1">
      <alignment horizontal="center" wrapText="1"/>
    </xf>
    <xf numFmtId="0" fontId="115" fillId="0" borderId="23" xfId="0" applyFont="1" applyBorder="1" applyAlignment="1">
      <alignment wrapText="1"/>
    </xf>
    <xf numFmtId="0" fontId="76" fillId="17" borderId="23" xfId="0" applyFont="1" applyFill="1" applyBorder="1" applyAlignment="1">
      <alignment horizontal="left" wrapText="1"/>
    </xf>
    <xf numFmtId="14" fontId="58" fillId="17" borderId="23" xfId="0" applyNumberFormat="1" applyFont="1" applyFill="1" applyBorder="1" applyAlignment="1">
      <alignment horizontal="center" wrapText="1"/>
    </xf>
    <xf numFmtId="0" fontId="115" fillId="17" borderId="23" xfId="0" applyFont="1" applyFill="1" applyBorder="1" applyAlignment="1">
      <alignment wrapText="1"/>
    </xf>
    <xf numFmtId="0" fontId="81" fillId="17" borderId="23" xfId="0" applyFont="1" applyFill="1" applyBorder="1" applyAlignment="1">
      <alignment wrapText="1"/>
    </xf>
    <xf numFmtId="0" fontId="67" fillId="17" borderId="23" xfId="0" applyFont="1" applyFill="1" applyBorder="1" applyAlignment="1">
      <alignment horizontal="left" vertical="center" wrapText="1"/>
    </xf>
    <xf numFmtId="0" fontId="58" fillId="17" borderId="23" xfId="0" applyFont="1" applyFill="1" applyBorder="1" applyAlignment="1">
      <alignment horizontal="left" wrapText="1"/>
    </xf>
    <xf numFmtId="0" fontId="58" fillId="24" borderId="23" xfId="0" applyFont="1" applyFill="1" applyBorder="1" applyAlignment="1">
      <alignment horizontal="left" wrapText="1"/>
    </xf>
    <xf numFmtId="0" fontId="68" fillId="0" borderId="23" xfId="0" applyFont="1" applyBorder="1" applyAlignment="1">
      <alignment horizontal="left" wrapText="1"/>
    </xf>
    <xf numFmtId="0" fontId="67" fillId="0" borderId="23" xfId="0" applyFont="1" applyBorder="1" applyAlignment="1">
      <alignment horizontal="left" wrapText="1"/>
    </xf>
    <xf numFmtId="0" fontId="58" fillId="37" borderId="23" xfId="0" applyFont="1" applyFill="1" applyBorder="1" applyAlignment="1">
      <alignment horizontal="center" vertical="center" wrapText="1"/>
    </xf>
    <xf numFmtId="0" fontId="36" fillId="17" borderId="23" xfId="1" applyFont="1" applyFill="1" applyBorder="1" applyAlignment="1">
      <alignment vertical="center" wrapText="1"/>
    </xf>
    <xf numFmtId="0" fontId="53" fillId="17" borderId="23" xfId="0" applyFont="1" applyFill="1" applyBorder="1" applyAlignment="1">
      <alignment wrapText="1"/>
    </xf>
    <xf numFmtId="0" fontId="117" fillId="27" borderId="40" xfId="0" applyFont="1" applyFill="1" applyBorder="1" applyAlignment="1">
      <alignment horizontal="center" vertical="center" wrapText="1"/>
    </xf>
    <xf numFmtId="0" fontId="76" fillId="24" borderId="23" xfId="0" applyFont="1" applyFill="1" applyBorder="1" applyAlignment="1">
      <alignment horizontal="left" wrapText="1"/>
    </xf>
    <xf numFmtId="0" fontId="56" fillId="27" borderId="41" xfId="0" applyFont="1" applyFill="1" applyBorder="1" applyAlignment="1">
      <alignment horizontal="center" vertical="center" wrapText="1"/>
    </xf>
    <xf numFmtId="0" fontId="56" fillId="27" borderId="39" xfId="0" applyFont="1" applyFill="1" applyBorder="1" applyAlignment="1">
      <alignment horizontal="center" vertical="center" wrapText="1"/>
    </xf>
    <xf numFmtId="0" fontId="114" fillId="4" borderId="23" xfId="0" applyFont="1" applyFill="1" applyBorder="1" applyAlignment="1">
      <alignment horizontal="center" vertical="center" wrapText="1"/>
    </xf>
    <xf numFmtId="0" fontId="88" fillId="17" borderId="23" xfId="0" applyFont="1" applyFill="1" applyBorder="1" applyAlignment="1">
      <alignment vertical="center" wrapText="1"/>
    </xf>
    <xf numFmtId="0" fontId="90" fillId="28" borderId="23" xfId="0" applyFont="1" applyFill="1" applyBorder="1" applyAlignment="1">
      <alignment vertical="center" wrapText="1"/>
    </xf>
    <xf numFmtId="0" fontId="78" fillId="28" borderId="23" xfId="0" applyFont="1" applyFill="1" applyBorder="1" applyAlignment="1">
      <alignment horizontal="center" vertical="center" wrapText="1"/>
    </xf>
    <xf numFmtId="0" fontId="71" fillId="19" borderId="24" xfId="0" applyNumberFormat="1" applyFont="1" applyFill="1" applyBorder="1" applyAlignment="1">
      <alignment wrapText="1"/>
    </xf>
    <xf numFmtId="0" fontId="88" fillId="17" borderId="26" xfId="0" applyFont="1" applyFill="1" applyBorder="1" applyAlignment="1">
      <alignment vertical="center" wrapText="1"/>
    </xf>
    <xf numFmtId="0" fontId="57" fillId="28" borderId="26" xfId="0" applyFont="1" applyFill="1" applyBorder="1" applyAlignment="1">
      <alignment vertical="top" wrapText="1"/>
    </xf>
    <xf numFmtId="0" fontId="122" fillId="28" borderId="26" xfId="0" applyFont="1" applyFill="1" applyBorder="1" applyAlignment="1">
      <alignment vertical="top" wrapText="1"/>
    </xf>
    <xf numFmtId="4" fontId="56" fillId="28" borderId="41" xfId="0" applyNumberFormat="1" applyFont="1" applyFill="1" applyBorder="1" applyAlignment="1">
      <alignment horizontal="center" vertical="center" wrapText="1"/>
    </xf>
    <xf numFmtId="0" fontId="125" fillId="19" borderId="39" xfId="0" applyFont="1" applyFill="1" applyBorder="1" applyAlignment="1">
      <alignment vertical="top" wrapText="1"/>
    </xf>
    <xf numFmtId="0" fontId="105" fillId="0" borderId="60" xfId="0" applyFont="1" applyBorder="1" applyAlignment="1">
      <alignment horizontal="center" vertical="center" wrapText="1"/>
    </xf>
    <xf numFmtId="0" fontId="46" fillId="0" borderId="61" xfId="0" applyFont="1" applyBorder="1" applyAlignment="1">
      <alignment horizontal="center" vertical="center" wrapText="1"/>
    </xf>
    <xf numFmtId="0" fontId="114" fillId="4" borderId="27" xfId="0" applyFont="1" applyFill="1" applyBorder="1" applyAlignment="1">
      <alignment horizontal="center" vertical="center" wrapText="1"/>
    </xf>
    <xf numFmtId="10" fontId="64" fillId="21" borderId="62" xfId="0" applyNumberFormat="1" applyFont="1" applyFill="1" applyBorder="1" applyAlignment="1">
      <alignment vertical="center" wrapText="1"/>
    </xf>
    <xf numFmtId="165" fontId="64" fillId="21" borderId="63" xfId="0" applyNumberFormat="1" applyFont="1" applyFill="1" applyBorder="1" applyAlignment="1">
      <alignment horizontal="center" vertical="center" wrapText="1"/>
    </xf>
    <xf numFmtId="0" fontId="64" fillId="21" borderId="65" xfId="0" applyFont="1" applyFill="1" applyBorder="1" applyAlignment="1">
      <alignment vertical="center" wrapText="1"/>
    </xf>
    <xf numFmtId="0" fontId="64" fillId="9" borderId="45" xfId="0" applyFont="1" applyFill="1" applyBorder="1" applyAlignment="1">
      <alignment vertical="center" wrapText="1"/>
    </xf>
    <xf numFmtId="165" fontId="68" fillId="9" borderId="45" xfId="0" applyNumberFormat="1" applyFont="1" applyFill="1" applyBorder="1" applyAlignment="1">
      <alignment horizontal="center" vertical="center" wrapText="1"/>
    </xf>
    <xf numFmtId="0" fontId="58" fillId="0" borderId="26" xfId="0" applyFont="1" applyBorder="1" applyAlignment="1">
      <alignment wrapText="1"/>
    </xf>
    <xf numFmtId="10" fontId="58" fillId="0" borderId="26" xfId="0" applyNumberFormat="1" applyFont="1" applyBorder="1" applyAlignment="1">
      <alignment wrapText="1"/>
    </xf>
    <xf numFmtId="0" fontId="45" fillId="11" borderId="45" xfId="0" applyFont="1" applyFill="1" applyBorder="1" applyAlignment="1">
      <alignment horizontal="left" vertical="center" wrapText="1"/>
    </xf>
    <xf numFmtId="0" fontId="68" fillId="11" borderId="45" xfId="0" applyFont="1" applyFill="1" applyBorder="1" applyAlignment="1">
      <alignment horizontal="center" vertical="center" wrapText="1"/>
    </xf>
    <xf numFmtId="0" fontId="49" fillId="28" borderId="25" xfId="0" applyFont="1" applyFill="1" applyBorder="1" applyAlignment="1">
      <alignment vertical="center" wrapText="1"/>
    </xf>
    <xf numFmtId="0" fontId="50" fillId="0" borderId="41" xfId="0" applyFont="1" applyBorder="1" applyAlignment="1">
      <alignment wrapText="1"/>
    </xf>
    <xf numFmtId="0" fontId="122" fillId="21" borderId="66" xfId="0" applyFont="1" applyFill="1" applyBorder="1" applyAlignment="1">
      <alignment horizontal="center" vertical="center" wrapText="1"/>
    </xf>
    <xf numFmtId="0" fontId="53" fillId="0" borderId="23" xfId="0" applyFont="1" applyBorder="1" applyAlignment="1">
      <alignment horizontal="center" wrapText="1"/>
    </xf>
    <xf numFmtId="0" fontId="68" fillId="39" borderId="23" xfId="0" applyNumberFormat="1" applyFont="1" applyFill="1" applyBorder="1" applyAlignment="1">
      <alignment horizontal="center" wrapText="1"/>
    </xf>
    <xf numFmtId="10" fontId="68" fillId="39" borderId="23" xfId="0" applyNumberFormat="1" applyFont="1" applyFill="1" applyBorder="1" applyAlignment="1">
      <alignment wrapText="1"/>
    </xf>
    <xf numFmtId="0" fontId="71" fillId="38" borderId="23" xfId="0" applyFont="1" applyFill="1" applyBorder="1" applyAlignment="1">
      <alignment horizontal="center" vertical="center" wrapText="1"/>
    </xf>
    <xf numFmtId="0" fontId="94" fillId="0" borderId="0" xfId="0" applyFont="1" applyAlignment="1">
      <alignment wrapText="1"/>
    </xf>
    <xf numFmtId="0" fontId="68" fillId="39" borderId="63" xfId="0" applyNumberFormat="1" applyFont="1" applyFill="1" applyBorder="1" applyAlignment="1">
      <alignment horizontal="center" wrapText="1"/>
    </xf>
    <xf numFmtId="10" fontId="68" fillId="39" borderId="63" xfId="0" applyNumberFormat="1" applyFont="1" applyFill="1" applyBorder="1" applyAlignment="1">
      <alignment wrapText="1"/>
    </xf>
    <xf numFmtId="0" fontId="45" fillId="38" borderId="68" xfId="0" applyFont="1" applyFill="1" applyBorder="1" applyAlignment="1">
      <alignment horizontal="left" vertical="center" wrapText="1"/>
    </xf>
    <xf numFmtId="0" fontId="128" fillId="33" borderId="25" xfId="0" applyFont="1" applyFill="1" applyBorder="1" applyAlignment="1">
      <alignment horizontal="center" vertical="center" wrapText="1"/>
    </xf>
    <xf numFmtId="0" fontId="127" fillId="33" borderId="25" xfId="0" applyFont="1" applyFill="1" applyBorder="1" applyAlignment="1">
      <alignment horizontal="center" vertical="center" wrapText="1"/>
    </xf>
    <xf numFmtId="0" fontId="127" fillId="33" borderId="41" xfId="0" applyFont="1" applyFill="1" applyBorder="1" applyAlignment="1">
      <alignment horizontal="center" vertical="center" wrapText="1"/>
    </xf>
    <xf numFmtId="0" fontId="53" fillId="0" borderId="74" xfId="0" applyFont="1" applyBorder="1" applyAlignment="1">
      <alignment wrapText="1"/>
    </xf>
    <xf numFmtId="0" fontId="129" fillId="38" borderId="68" xfId="0" applyFont="1" applyFill="1" applyBorder="1" applyAlignment="1">
      <alignment horizontal="left" vertical="center" wrapText="1"/>
    </xf>
    <xf numFmtId="0" fontId="130" fillId="38" borderId="23" xfId="0" applyFont="1" applyFill="1" applyBorder="1" applyAlignment="1">
      <alignment horizontal="center" vertical="center" wrapText="1"/>
    </xf>
    <xf numFmtId="0" fontId="67" fillId="39" borderId="62" xfId="0" applyFont="1" applyFill="1" applyBorder="1" applyAlignment="1">
      <alignment wrapText="1"/>
    </xf>
    <xf numFmtId="0" fontId="67" fillId="39" borderId="68" xfId="0" applyFont="1" applyFill="1" applyBorder="1" applyAlignment="1">
      <alignment wrapText="1"/>
    </xf>
    <xf numFmtId="0" fontId="67" fillId="38" borderId="68" xfId="0" applyFont="1" applyFill="1" applyBorder="1" applyAlignment="1">
      <alignment horizontal="left" vertical="center" wrapText="1"/>
    </xf>
    <xf numFmtId="0" fontId="67" fillId="38" borderId="65" xfId="0" applyFont="1" applyFill="1" applyBorder="1" applyAlignment="1">
      <alignment horizontal="left" vertical="center" wrapText="1"/>
    </xf>
    <xf numFmtId="0" fontId="71" fillId="4" borderId="23" xfId="0" applyFont="1" applyFill="1" applyBorder="1" applyAlignment="1">
      <alignment horizontal="center" wrapText="1"/>
    </xf>
    <xf numFmtId="0" fontId="58" fillId="0" borderId="27" xfId="0" applyFont="1" applyBorder="1" applyAlignment="1">
      <alignment wrapText="1"/>
    </xf>
    <xf numFmtId="0" fontId="76" fillId="4" borderId="27" xfId="0" applyFont="1" applyFill="1" applyBorder="1" applyAlignment="1">
      <alignment vertical="center" wrapText="1"/>
    </xf>
    <xf numFmtId="0" fontId="77" fillId="0" borderId="27" xfId="0" applyFont="1" applyBorder="1" applyAlignment="1">
      <alignment horizontal="center" wrapText="1"/>
    </xf>
    <xf numFmtId="0" fontId="53" fillId="0" borderId="44" xfId="0" applyFont="1" applyBorder="1" applyAlignment="1">
      <alignment wrapText="1"/>
    </xf>
    <xf numFmtId="4" fontId="45" fillId="28" borderId="23" xfId="0" applyNumberFormat="1" applyFont="1" applyFill="1" applyBorder="1" applyAlignment="1">
      <alignment wrapText="1"/>
    </xf>
    <xf numFmtId="0" fontId="78" fillId="19" borderId="26" xfId="0" applyFont="1" applyFill="1" applyBorder="1" applyAlignment="1">
      <alignment horizontal="center" vertical="top" wrapText="1"/>
    </xf>
    <xf numFmtId="0" fontId="83" fillId="0" borderId="26" xfId="0" applyFont="1" applyBorder="1" applyAlignment="1">
      <alignment horizontal="center" vertical="top" wrapText="1"/>
    </xf>
    <xf numFmtId="0" fontId="83" fillId="17" borderId="26" xfId="0" applyFont="1" applyFill="1" applyBorder="1" applyAlignment="1">
      <alignment horizontal="center" vertical="top" wrapText="1"/>
    </xf>
    <xf numFmtId="0" fontId="78" fillId="28" borderId="26" xfId="0" applyNumberFormat="1" applyFont="1" applyFill="1" applyBorder="1" applyAlignment="1">
      <alignment horizontal="center" vertical="top" wrapText="1"/>
    </xf>
    <xf numFmtId="0" fontId="58" fillId="39" borderId="62" xfId="0" applyFont="1" applyFill="1" applyBorder="1" applyAlignment="1">
      <alignment horizontal="center" vertical="center" wrapText="1"/>
    </xf>
    <xf numFmtId="0" fontId="58" fillId="39" borderId="64" xfId="0" applyFont="1" applyFill="1" applyBorder="1" applyAlignment="1">
      <alignment horizontal="center" vertical="center" wrapText="1"/>
    </xf>
    <xf numFmtId="0" fontId="58" fillId="39" borderId="68" xfId="0" applyFont="1" applyFill="1" applyBorder="1" applyAlignment="1">
      <alignment horizontal="center" vertical="center" wrapText="1"/>
    </xf>
    <xf numFmtId="0" fontId="58" fillId="39" borderId="69" xfId="0" applyFont="1" applyFill="1" applyBorder="1" applyAlignment="1">
      <alignment horizontal="center" vertical="center" wrapText="1"/>
    </xf>
    <xf numFmtId="0" fontId="58" fillId="39" borderId="68" xfId="0" applyFont="1" applyFill="1" applyBorder="1" applyAlignment="1">
      <alignment wrapText="1"/>
    </xf>
    <xf numFmtId="0" fontId="58" fillId="39" borderId="65" xfId="0" applyFont="1" applyFill="1" applyBorder="1" applyAlignment="1">
      <alignment horizontal="center" wrapText="1"/>
    </xf>
    <xf numFmtId="0" fontId="53" fillId="39" borderId="67" xfId="0" applyFont="1" applyFill="1" applyBorder="1" applyAlignment="1">
      <alignment horizontal="center" wrapText="1"/>
    </xf>
    <xf numFmtId="0" fontId="71" fillId="0" borderId="61" xfId="0" applyFont="1" applyBorder="1" applyAlignment="1">
      <alignment horizontal="center" vertical="center" wrapText="1"/>
    </xf>
    <xf numFmtId="0" fontId="131" fillId="0" borderId="61" xfId="0" applyFont="1" applyBorder="1" applyAlignment="1">
      <alignment horizontal="center" vertical="center" wrapText="1"/>
    </xf>
    <xf numFmtId="0" fontId="132" fillId="0" borderId="61" xfId="0" applyFont="1" applyBorder="1" applyAlignment="1">
      <alignment horizontal="center" vertical="center" wrapText="1"/>
    </xf>
    <xf numFmtId="0" fontId="133" fillId="0" borderId="61" xfId="0" applyFont="1" applyBorder="1" applyAlignment="1">
      <alignment horizontal="center" vertical="center" wrapText="1"/>
    </xf>
    <xf numFmtId="1" fontId="114" fillId="19" borderId="27" xfId="0" applyNumberFormat="1" applyFont="1" applyFill="1" applyBorder="1" applyAlignment="1">
      <alignment horizontal="center" vertical="center" wrapText="1"/>
    </xf>
    <xf numFmtId="0" fontId="58" fillId="0" borderId="27" xfId="0" applyFont="1" applyBorder="1" applyAlignment="1">
      <alignment horizontal="center" vertical="center" wrapText="1"/>
    </xf>
    <xf numFmtId="0" fontId="64" fillId="0" borderId="27" xfId="0" applyFont="1" applyBorder="1" applyAlignment="1">
      <alignment horizontal="center" vertical="center" wrapText="1"/>
    </xf>
    <xf numFmtId="0" fontId="53" fillId="0" borderId="27" xfId="0" applyFont="1" applyBorder="1" applyAlignment="1">
      <alignment wrapText="1"/>
    </xf>
    <xf numFmtId="0" fontId="64" fillId="40" borderId="62" xfId="0" applyFont="1" applyFill="1" applyBorder="1" applyAlignment="1">
      <alignment vertical="center" wrapText="1"/>
    </xf>
    <xf numFmtId="165" fontId="58" fillId="40" borderId="63" xfId="2" applyNumberFormat="1" applyFont="1" applyFill="1" applyBorder="1" applyAlignment="1">
      <alignment horizontal="center" vertical="center" wrapText="1"/>
    </xf>
    <xf numFmtId="0" fontId="64" fillId="40" borderId="72" xfId="0" applyFont="1" applyFill="1" applyBorder="1" applyAlignment="1">
      <alignment vertical="center" wrapText="1"/>
    </xf>
    <xf numFmtId="0" fontId="58" fillId="40" borderId="73" xfId="2" applyNumberFormat="1" applyFont="1" applyFill="1" applyBorder="1" applyAlignment="1">
      <alignment horizontal="center" vertical="center" wrapText="1"/>
    </xf>
    <xf numFmtId="0" fontId="64" fillId="40" borderId="65" xfId="0" applyFont="1" applyFill="1" applyBorder="1" applyAlignment="1">
      <alignment vertical="center" wrapText="1"/>
    </xf>
    <xf numFmtId="1" fontId="58" fillId="40" borderId="66" xfId="2" applyNumberFormat="1" applyFont="1" applyFill="1" applyBorder="1" applyAlignment="1">
      <alignment horizontal="center" vertical="center" wrapText="1"/>
    </xf>
    <xf numFmtId="0" fontId="64" fillId="41" borderId="65" xfId="0" applyFont="1" applyFill="1" applyBorder="1" applyAlignment="1">
      <alignment vertical="center" wrapText="1"/>
    </xf>
    <xf numFmtId="0" fontId="64" fillId="41" borderId="62" xfId="0" applyFont="1" applyFill="1" applyBorder="1" applyAlignment="1">
      <alignment vertical="center" wrapText="1"/>
    </xf>
    <xf numFmtId="165" fontId="58" fillId="41" borderId="63" xfId="2" applyNumberFormat="1" applyFont="1" applyFill="1" applyBorder="1" applyAlignment="1">
      <alignment horizontal="center" vertical="center" wrapText="1"/>
    </xf>
    <xf numFmtId="0" fontId="64" fillId="41" borderId="68" xfId="0" quotePrefix="1" applyFont="1" applyFill="1" applyBorder="1" applyAlignment="1">
      <alignment vertical="center" wrapText="1"/>
    </xf>
    <xf numFmtId="165" fontId="58" fillId="41" borderId="23" xfId="2" applyNumberFormat="1" applyFont="1" applyFill="1" applyBorder="1" applyAlignment="1">
      <alignment horizontal="center" vertical="center" wrapText="1"/>
    </xf>
    <xf numFmtId="165" fontId="58" fillId="41" borderId="66" xfId="2" applyNumberFormat="1" applyFont="1" applyFill="1" applyBorder="1" applyAlignment="1">
      <alignment horizontal="center" vertical="center" wrapText="1"/>
    </xf>
    <xf numFmtId="165" fontId="64" fillId="41" borderId="66" xfId="2" applyNumberFormat="1" applyFont="1" applyFill="1" applyBorder="1" applyAlignment="1">
      <alignment horizontal="center" vertical="center" wrapText="1"/>
    </xf>
    <xf numFmtId="165" fontId="134" fillId="42" borderId="23" xfId="0" applyNumberFormat="1" applyFont="1" applyFill="1" applyBorder="1" applyAlignment="1">
      <alignment horizontal="center" vertical="center" wrapText="1"/>
    </xf>
    <xf numFmtId="165" fontId="134" fillId="42" borderId="66" xfId="0" applyNumberFormat="1" applyFont="1" applyFill="1" applyBorder="1" applyAlignment="1">
      <alignment horizontal="center" vertical="center" wrapText="1"/>
    </xf>
    <xf numFmtId="0" fontId="136" fillId="27" borderId="40" xfId="0" applyFont="1" applyFill="1" applyBorder="1" applyAlignment="1">
      <alignment horizontal="center" vertical="center" wrapText="1"/>
    </xf>
    <xf numFmtId="0" fontId="53" fillId="0" borderId="23" xfId="0" applyFont="1" applyBorder="1" applyAlignment="1">
      <alignment horizontal="left" wrapText="1"/>
    </xf>
    <xf numFmtId="0" fontId="79" fillId="17" borderId="23" xfId="0" applyFont="1" applyFill="1" applyBorder="1" applyAlignment="1">
      <alignment vertical="center" wrapText="1"/>
    </xf>
    <xf numFmtId="14" fontId="53" fillId="0" borderId="23" xfId="0" applyNumberFormat="1" applyFont="1" applyBorder="1" applyAlignment="1">
      <alignment horizontal="center" wrapText="1"/>
    </xf>
    <xf numFmtId="165" fontId="68" fillId="38" borderId="23" xfId="0" applyNumberFormat="1" applyFont="1" applyFill="1" applyBorder="1" applyAlignment="1">
      <alignment horizontal="center" vertical="center" wrapText="1"/>
    </xf>
    <xf numFmtId="0" fontId="137" fillId="27" borderId="39" xfId="0" applyFont="1" applyFill="1" applyBorder="1" applyAlignment="1">
      <alignment horizontal="right" vertical="center" wrapText="1"/>
    </xf>
    <xf numFmtId="165" fontId="138" fillId="38" borderId="66" xfId="0" applyNumberFormat="1" applyFont="1" applyFill="1" applyBorder="1" applyAlignment="1">
      <alignment horizontal="center" vertical="center" wrapText="1"/>
    </xf>
    <xf numFmtId="0" fontId="58" fillId="17" borderId="0" xfId="0" applyFont="1" applyFill="1" applyAlignment="1">
      <alignment wrapText="1"/>
    </xf>
    <xf numFmtId="0" fontId="87" fillId="17" borderId="23" xfId="0" applyFont="1" applyFill="1" applyBorder="1" applyAlignment="1">
      <alignment horizontal="left" wrapText="1"/>
    </xf>
    <xf numFmtId="0" fontId="53" fillId="24" borderId="23" xfId="0" applyFont="1" applyFill="1" applyBorder="1" applyAlignment="1">
      <alignment horizontal="left" wrapText="1"/>
    </xf>
    <xf numFmtId="165" fontId="135" fillId="21" borderId="63" xfId="0" applyNumberFormat="1" applyFont="1" applyFill="1" applyBorder="1" applyAlignment="1">
      <alignment horizontal="center" vertical="center" wrapText="1"/>
    </xf>
    <xf numFmtId="0" fontId="141" fillId="0" borderId="23" xfId="1" applyFont="1" applyBorder="1" applyAlignment="1">
      <alignment vertical="center" wrapText="1"/>
    </xf>
    <xf numFmtId="0" fontId="77" fillId="0" borderId="23" xfId="1" applyFont="1" applyBorder="1" applyAlignment="1">
      <alignment wrapText="1"/>
    </xf>
    <xf numFmtId="0" fontId="141" fillId="17" borderId="23" xfId="1" applyFont="1" applyFill="1" applyBorder="1" applyAlignment="1">
      <alignment vertical="center" wrapText="1"/>
    </xf>
    <xf numFmtId="0" fontId="58" fillId="0" borderId="23" xfId="1" applyFont="1" applyBorder="1" applyAlignment="1">
      <alignment vertical="center" wrapText="1"/>
    </xf>
    <xf numFmtId="0" fontId="58" fillId="17" borderId="23" xfId="1" applyFont="1" applyFill="1" applyBorder="1" applyAlignment="1">
      <alignment vertical="center" wrapText="1"/>
    </xf>
    <xf numFmtId="0" fontId="6" fillId="0" borderId="6" xfId="0" applyFont="1" applyBorder="1" applyAlignment="1">
      <alignment wrapText="1"/>
    </xf>
    <xf numFmtId="0" fontId="105" fillId="0" borderId="23" xfId="0" applyFont="1" applyBorder="1" applyAlignment="1">
      <alignment horizontal="center" vertical="center" wrapText="1"/>
    </xf>
    <xf numFmtId="0" fontId="64" fillId="24" borderId="23" xfId="0" applyFont="1" applyFill="1" applyBorder="1" applyAlignment="1">
      <alignment horizontal="left" wrapText="1"/>
    </xf>
    <xf numFmtId="0" fontId="58" fillId="0" borderId="45" xfId="0" applyFont="1" applyBorder="1" applyAlignment="1">
      <alignment wrapText="1"/>
    </xf>
    <xf numFmtId="0" fontId="143" fillId="17" borderId="23" xfId="1" applyFont="1" applyFill="1" applyBorder="1" applyAlignment="1">
      <alignment vertical="center" wrapText="1"/>
    </xf>
    <xf numFmtId="0" fontId="58" fillId="17" borderId="0" xfId="1" applyFont="1" applyFill="1" applyAlignment="1">
      <alignment wrapText="1"/>
    </xf>
    <xf numFmtId="0" fontId="68" fillId="0" borderId="23" xfId="0" applyFont="1" applyBorder="1" applyAlignment="1">
      <alignment wrapText="1"/>
    </xf>
    <xf numFmtId="0" fontId="58" fillId="0" borderId="0" xfId="0" applyFont="1" applyAlignment="1">
      <alignment wrapText="1"/>
    </xf>
    <xf numFmtId="0" fontId="141" fillId="17" borderId="0" xfId="1" applyFont="1" applyFill="1" applyAlignment="1">
      <alignment wrapText="1"/>
    </xf>
    <xf numFmtId="0" fontId="144" fillId="17" borderId="23" xfId="1" applyFont="1" applyFill="1" applyBorder="1" applyAlignment="1">
      <alignment vertical="center" wrapText="1"/>
    </xf>
    <xf numFmtId="0" fontId="53" fillId="17" borderId="23" xfId="0" applyFont="1" applyFill="1" applyBorder="1" applyAlignment="1">
      <alignment horizontal="center" wrapText="1"/>
    </xf>
    <xf numFmtId="0" fontId="145" fillId="17" borderId="23" xfId="0" applyFont="1" applyFill="1" applyBorder="1" applyAlignment="1">
      <alignment horizontal="center" vertical="center" wrapText="1"/>
    </xf>
    <xf numFmtId="0" fontId="53" fillId="17" borderId="23" xfId="0" applyFont="1" applyFill="1" applyBorder="1" applyAlignment="1">
      <alignment horizontal="left" wrapText="1"/>
    </xf>
    <xf numFmtId="0" fontId="58" fillId="17" borderId="24" xfId="0" applyFont="1" applyFill="1" applyBorder="1" applyAlignment="1">
      <alignment horizontal="center" vertical="center" wrapText="1"/>
    </xf>
    <xf numFmtId="0" fontId="58" fillId="17" borderId="0" xfId="0" applyFont="1" applyFill="1" applyBorder="1" applyAlignment="1">
      <alignment vertical="center" wrapText="1"/>
    </xf>
    <xf numFmtId="0" fontId="79" fillId="17" borderId="0" xfId="0" applyFont="1" applyFill="1" applyBorder="1" applyAlignment="1">
      <alignment vertical="center" wrapText="1"/>
    </xf>
    <xf numFmtId="0" fontId="64" fillId="17" borderId="0" xfId="0" applyFont="1" applyFill="1" applyBorder="1" applyAlignment="1">
      <alignment horizontal="center" vertical="center" wrapText="1"/>
    </xf>
    <xf numFmtId="0" fontId="58" fillId="17" borderId="0" xfId="0" applyFont="1" applyFill="1" applyBorder="1" applyAlignment="1">
      <alignment horizontal="center" vertical="center" wrapText="1"/>
    </xf>
    <xf numFmtId="0" fontId="53" fillId="25" borderId="23" xfId="0" applyFont="1" applyFill="1" applyBorder="1" applyAlignment="1">
      <alignment horizontal="center" wrapText="1"/>
    </xf>
    <xf numFmtId="0" fontId="64" fillId="4" borderId="43" xfId="0" applyFont="1" applyFill="1" applyBorder="1" applyAlignment="1">
      <alignment horizontal="right" vertical="center" wrapText="1"/>
    </xf>
    <xf numFmtId="0" fontId="68" fillId="4" borderId="27" xfId="0" applyFont="1" applyFill="1" applyBorder="1" applyAlignment="1">
      <alignment horizontal="left" vertical="center" wrapText="1"/>
    </xf>
    <xf numFmtId="3" fontId="146" fillId="28" borderId="25" xfId="0" applyNumberFormat="1" applyFont="1" applyFill="1" applyBorder="1" applyAlignment="1">
      <alignment horizontal="center" vertical="center" wrapText="1"/>
    </xf>
    <xf numFmtId="164" fontId="147" fillId="4" borderId="27" xfId="0" applyNumberFormat="1" applyFont="1" applyFill="1" applyBorder="1" applyAlignment="1">
      <alignment horizontal="center" vertical="center" wrapText="1"/>
    </xf>
    <xf numFmtId="0" fontId="114" fillId="4" borderId="25" xfId="0" applyFont="1" applyFill="1" applyBorder="1" applyAlignment="1">
      <alignment horizontal="center" vertical="center" wrapText="1"/>
    </xf>
    <xf numFmtId="0" fontId="141" fillId="0" borderId="23" xfId="1" applyFont="1" applyBorder="1" applyAlignment="1">
      <alignment wrapText="1"/>
    </xf>
    <xf numFmtId="0" fontId="141" fillId="17" borderId="23" xfId="1" applyFont="1" applyFill="1" applyBorder="1" applyAlignment="1">
      <alignment wrapText="1"/>
    </xf>
    <xf numFmtId="0" fontId="58" fillId="17" borderId="23" xfId="1" applyFont="1" applyFill="1" applyBorder="1" applyAlignment="1">
      <alignment wrapText="1"/>
    </xf>
    <xf numFmtId="0" fontId="53" fillId="0" borderId="0" xfId="0" applyFont="1" applyAlignment="1">
      <alignment horizontal="center" wrapText="1"/>
    </xf>
    <xf numFmtId="0" fontId="68" fillId="39" borderId="77" xfId="0" applyNumberFormat="1" applyFont="1" applyFill="1" applyBorder="1" applyAlignment="1">
      <alignment horizontal="center" wrapText="1"/>
    </xf>
    <xf numFmtId="10" fontId="68" fillId="39" borderId="77" xfId="0" applyNumberFormat="1" applyFont="1" applyFill="1" applyBorder="1" applyAlignment="1">
      <alignment wrapText="1"/>
    </xf>
    <xf numFmtId="0" fontId="126" fillId="38" borderId="68" xfId="0" applyFont="1" applyFill="1" applyBorder="1" applyAlignment="1">
      <alignment horizontal="left" vertical="center" wrapText="1"/>
    </xf>
    <xf numFmtId="1" fontId="69" fillId="38" borderId="23" xfId="0" applyNumberFormat="1" applyFont="1" applyFill="1" applyBorder="1" applyAlignment="1">
      <alignment horizontal="center" vertical="center" wrapText="1"/>
    </xf>
    <xf numFmtId="0" fontId="64" fillId="17" borderId="23" xfId="0" applyFont="1" applyFill="1" applyBorder="1" applyAlignment="1">
      <alignment horizontal="left" wrapText="1"/>
    </xf>
    <xf numFmtId="0" fontId="53" fillId="26" borderId="23" xfId="0" applyFont="1" applyFill="1" applyBorder="1" applyAlignment="1">
      <alignment horizontal="center" wrapText="1"/>
    </xf>
    <xf numFmtId="0" fontId="53" fillId="43" borderId="23" xfId="0" applyFont="1" applyFill="1" applyBorder="1" applyAlignment="1">
      <alignment wrapText="1"/>
    </xf>
    <xf numFmtId="0" fontId="148" fillId="17" borderId="23" xfId="0" applyFont="1" applyFill="1" applyBorder="1" applyAlignment="1">
      <alignment horizontal="center" vertical="center" wrapText="1"/>
    </xf>
    <xf numFmtId="0" fontId="149" fillId="0" borderId="23" xfId="0" applyFont="1" applyBorder="1" applyAlignment="1">
      <alignment horizontal="center" wrapText="1"/>
    </xf>
    <xf numFmtId="0" fontId="149" fillId="0" borderId="23" xfId="0" applyFont="1" applyBorder="1" applyAlignment="1">
      <alignment wrapText="1"/>
    </xf>
    <xf numFmtId="0" fontId="148" fillId="25" borderId="23" xfId="0" applyFont="1" applyFill="1" applyBorder="1" applyAlignment="1">
      <alignment horizontal="center" vertical="center" wrapText="1"/>
    </xf>
    <xf numFmtId="0" fontId="148" fillId="26" borderId="23" xfId="0" applyFont="1" applyFill="1" applyBorder="1" applyAlignment="1">
      <alignment horizontal="center" vertical="center" wrapText="1"/>
    </xf>
    <xf numFmtId="165" fontId="150" fillId="38" borderId="23" xfId="0" applyNumberFormat="1" applyFont="1" applyFill="1" applyBorder="1" applyAlignment="1">
      <alignment horizontal="center" vertical="center" wrapText="1"/>
    </xf>
    <xf numFmtId="165" fontId="150" fillId="38" borderId="66" xfId="0" applyNumberFormat="1" applyFont="1" applyFill="1" applyBorder="1" applyAlignment="1">
      <alignment horizontal="center" vertical="center" wrapText="1"/>
    </xf>
    <xf numFmtId="0" fontId="53" fillId="0" borderId="73" xfId="0" applyFont="1" applyBorder="1" applyAlignment="1">
      <alignment wrapText="1"/>
    </xf>
    <xf numFmtId="0" fontId="53" fillId="0" borderId="78" xfId="0" applyFont="1" applyBorder="1" applyAlignment="1">
      <alignment wrapText="1"/>
    </xf>
    <xf numFmtId="165" fontId="68" fillId="38" borderId="66" xfId="0" applyNumberFormat="1" applyFont="1" applyFill="1" applyBorder="1" applyAlignment="1">
      <alignment horizontal="center" vertical="center" wrapText="1"/>
    </xf>
    <xf numFmtId="0" fontId="152" fillId="17" borderId="23" xfId="1" applyFont="1" applyFill="1" applyBorder="1" applyAlignment="1">
      <alignment vertical="center" wrapText="1"/>
    </xf>
    <xf numFmtId="0" fontId="154" fillId="17" borderId="23" xfId="1" applyFont="1" applyFill="1" applyBorder="1" applyAlignment="1">
      <alignment vertical="center" wrapText="1"/>
    </xf>
    <xf numFmtId="165" fontId="138" fillId="38" borderId="23" xfId="0" applyNumberFormat="1" applyFont="1" applyFill="1" applyBorder="1" applyAlignment="1">
      <alignment horizontal="center" vertical="center" wrapText="1"/>
    </xf>
    <xf numFmtId="14" fontId="53" fillId="17" borderId="23" xfId="0" applyNumberFormat="1" applyFont="1" applyFill="1" applyBorder="1" applyAlignment="1">
      <alignment horizontal="center" wrapText="1"/>
    </xf>
    <xf numFmtId="0" fontId="53" fillId="0" borderId="0" xfId="0" applyFont="1" applyAlignment="1">
      <alignment vertical="top" wrapText="1"/>
    </xf>
    <xf numFmtId="0" fontId="53" fillId="0" borderId="52" xfId="0" applyFont="1" applyBorder="1" applyAlignment="1">
      <alignment wrapText="1"/>
    </xf>
    <xf numFmtId="0" fontId="53" fillId="0" borderId="53" xfId="0" applyFont="1" applyBorder="1" applyAlignment="1">
      <alignment wrapText="1"/>
    </xf>
    <xf numFmtId="0" fontId="53" fillId="0" borderId="53" xfId="0" applyFont="1" applyBorder="1" applyAlignment="1">
      <alignment vertical="top" wrapText="1"/>
    </xf>
    <xf numFmtId="0" fontId="155" fillId="17" borderId="26" xfId="0" applyFont="1" applyFill="1" applyBorder="1" applyAlignment="1">
      <alignment vertical="center" wrapText="1"/>
    </xf>
    <xf numFmtId="0" fontId="148" fillId="17" borderId="91" xfId="0" applyFont="1" applyFill="1" applyBorder="1" applyAlignment="1">
      <alignment horizontal="center" vertical="center" wrapText="1"/>
    </xf>
    <xf numFmtId="0" fontId="53" fillId="0" borderId="91" xfId="0" applyFont="1" applyBorder="1" applyAlignment="1">
      <alignment wrapText="1"/>
    </xf>
    <xf numFmtId="0" fontId="148" fillId="25" borderId="91" xfId="0" applyFont="1" applyFill="1" applyBorder="1" applyAlignment="1">
      <alignment horizontal="center" vertical="center" wrapText="1"/>
    </xf>
    <xf numFmtId="0" fontId="148" fillId="26" borderId="91" xfId="0" applyFont="1" applyFill="1" applyBorder="1" applyAlignment="1">
      <alignment horizontal="center" vertical="center" wrapText="1"/>
    </xf>
    <xf numFmtId="0" fontId="53" fillId="17" borderId="0" xfId="0" applyFont="1" applyFill="1" applyAlignment="1">
      <alignment vertical="top" wrapText="1"/>
    </xf>
    <xf numFmtId="0" fontId="53" fillId="17" borderId="91" xfId="0" applyFont="1" applyFill="1" applyBorder="1" applyAlignment="1">
      <alignment wrapText="1"/>
    </xf>
    <xf numFmtId="0" fontId="152" fillId="17" borderId="0" xfId="1" applyFill="1" applyAlignment="1">
      <alignment wrapText="1"/>
    </xf>
    <xf numFmtId="0" fontId="152" fillId="0" borderId="23" xfId="1" applyBorder="1" applyAlignment="1">
      <alignment wrapText="1"/>
    </xf>
    <xf numFmtId="0" fontId="149" fillId="26" borderId="23" xfId="0" applyFont="1" applyFill="1" applyBorder="1" applyAlignment="1">
      <alignment horizontal="center" wrapText="1"/>
    </xf>
    <xf numFmtId="0" fontId="149" fillId="17" borderId="23" xfId="0" applyFont="1" applyFill="1" applyBorder="1" applyAlignment="1">
      <alignment horizontal="center" wrapText="1"/>
    </xf>
    <xf numFmtId="0" fontId="149" fillId="17" borderId="23" xfId="0" applyFont="1" applyFill="1" applyBorder="1" applyAlignment="1">
      <alignment wrapText="1"/>
    </xf>
    <xf numFmtId="0" fontId="58" fillId="17" borderId="41" xfId="0" applyFont="1" applyFill="1" applyBorder="1" applyAlignment="1">
      <alignment horizontal="center" vertical="center" wrapText="1"/>
    </xf>
    <xf numFmtId="0" fontId="71" fillId="10" borderId="23" xfId="0" applyFont="1" applyFill="1" applyBorder="1" applyAlignment="1">
      <alignment vertical="center" wrapText="1"/>
    </xf>
    <xf numFmtId="0" fontId="53" fillId="0" borderId="25" xfId="0" applyFont="1" applyBorder="1" applyAlignment="1">
      <alignment vertical="center" wrapText="1"/>
    </xf>
    <xf numFmtId="0" fontId="53" fillId="0" borderId="23" xfId="0" applyFont="1" applyBorder="1" applyAlignment="1">
      <alignment vertical="center" wrapText="1"/>
    </xf>
    <xf numFmtId="0" fontId="58" fillId="39" borderId="68" xfId="0" applyFont="1" applyFill="1" applyBorder="1" applyAlignment="1">
      <alignment vertical="center" wrapText="1"/>
    </xf>
    <xf numFmtId="0" fontId="58" fillId="39" borderId="65" xfId="0" applyFont="1" applyFill="1" applyBorder="1" applyAlignment="1">
      <alignment horizontal="center" vertical="center" wrapText="1"/>
    </xf>
    <xf numFmtId="0" fontId="53" fillId="39" borderId="67" xfId="0" applyFont="1" applyFill="1" applyBorder="1" applyAlignment="1">
      <alignment horizontal="center" vertical="center" wrapText="1"/>
    </xf>
    <xf numFmtId="0" fontId="77" fillId="0" borderId="23" xfId="1" applyFont="1" applyBorder="1" applyAlignment="1">
      <alignment vertical="center" wrapText="1"/>
    </xf>
    <xf numFmtId="0" fontId="58" fillId="0" borderId="45" xfId="0" applyFont="1" applyBorder="1" applyAlignment="1">
      <alignment vertical="center" wrapText="1"/>
    </xf>
    <xf numFmtId="0" fontId="53" fillId="0" borderId="45" xfId="0" applyFont="1" applyBorder="1" applyAlignment="1">
      <alignment vertical="center" wrapText="1"/>
    </xf>
    <xf numFmtId="0" fontId="58" fillId="25" borderId="41" xfId="0" applyFont="1" applyFill="1" applyBorder="1" applyAlignment="1">
      <alignment horizontal="center" vertical="center" wrapText="1"/>
    </xf>
    <xf numFmtId="0" fontId="78" fillId="32" borderId="27" xfId="0" applyFont="1" applyFill="1" applyBorder="1" applyAlignment="1">
      <alignment wrapText="1"/>
    </xf>
    <xf numFmtId="0" fontId="78" fillId="32" borderId="25" xfId="0" applyFont="1" applyFill="1" applyBorder="1" applyAlignment="1">
      <alignment wrapText="1"/>
    </xf>
    <xf numFmtId="0" fontId="58" fillId="0" borderId="24" xfId="0" applyFont="1" applyBorder="1" applyAlignment="1">
      <alignment horizontal="left" wrapText="1"/>
    </xf>
    <xf numFmtId="165" fontId="68" fillId="11" borderId="26" xfId="0" applyNumberFormat="1" applyFont="1" applyFill="1" applyBorder="1" applyAlignment="1">
      <alignment horizontal="center" vertical="center" wrapText="1"/>
    </xf>
    <xf numFmtId="0" fontId="148" fillId="17" borderId="92" xfId="0" applyFont="1" applyFill="1" applyBorder="1" applyAlignment="1">
      <alignment horizontal="center" vertical="center" wrapText="1"/>
    </xf>
    <xf numFmtId="2" fontId="78" fillId="32" borderId="95" xfId="0" applyNumberFormat="1" applyFont="1" applyFill="1" applyBorder="1" applyAlignment="1">
      <alignment horizontal="center" vertical="center" wrapText="1"/>
    </xf>
    <xf numFmtId="0" fontId="83" fillId="33" borderId="95" xfId="0" applyFont="1" applyFill="1" applyBorder="1" applyAlignment="1">
      <alignment horizontal="center" vertical="center" wrapText="1"/>
    </xf>
    <xf numFmtId="0" fontId="78" fillId="32" borderId="27" xfId="0" applyFont="1" applyFill="1" applyBorder="1" applyAlignment="1">
      <alignment vertical="center" wrapText="1"/>
    </xf>
    <xf numFmtId="0" fontId="78" fillId="32" borderId="25" xfId="0" applyFont="1" applyFill="1" applyBorder="1" applyAlignment="1">
      <alignment vertical="center" wrapText="1"/>
    </xf>
    <xf numFmtId="0" fontId="148" fillId="17" borderId="26" xfId="0" applyFont="1" applyFill="1" applyBorder="1" applyAlignment="1">
      <alignment horizontal="center" vertical="center" wrapText="1"/>
    </xf>
    <xf numFmtId="0" fontId="58" fillId="17" borderId="26" xfId="0" applyFont="1" applyFill="1" applyBorder="1" applyAlignment="1">
      <alignment horizontal="center" vertical="center" wrapText="1"/>
    </xf>
    <xf numFmtId="0" fontId="58" fillId="17" borderId="45" xfId="0" applyFont="1" applyFill="1" applyBorder="1" applyAlignment="1">
      <alignment horizontal="center" wrapText="1"/>
    </xf>
    <xf numFmtId="0" fontId="58" fillId="17" borderId="45" xfId="0" applyFont="1" applyFill="1" applyBorder="1" applyAlignment="1">
      <alignment horizontal="center" vertical="center" wrapText="1"/>
    </xf>
    <xf numFmtId="0" fontId="78" fillId="33" borderId="95" xfId="0" applyFont="1" applyFill="1" applyBorder="1" applyAlignment="1">
      <alignment horizontal="center" vertical="center" wrapText="1"/>
    </xf>
    <xf numFmtId="0" fontId="58" fillId="17" borderId="26" xfId="0" applyFont="1" applyFill="1" applyBorder="1" applyAlignment="1">
      <alignment horizontal="center" wrapText="1"/>
    </xf>
    <xf numFmtId="0" fontId="148" fillId="17" borderId="45" xfId="0" applyFont="1" applyFill="1" applyBorder="1" applyAlignment="1">
      <alignment horizontal="center" vertical="center" wrapText="1"/>
    </xf>
    <xf numFmtId="0" fontId="78" fillId="32" borderId="23" xfId="0" applyFont="1" applyFill="1" applyBorder="1" applyAlignment="1">
      <alignment vertical="center" wrapText="1"/>
    </xf>
    <xf numFmtId="0" fontId="149" fillId="0" borderId="45" xfId="0" applyFont="1" applyBorder="1" applyAlignment="1">
      <alignment horizontal="center" wrapText="1"/>
    </xf>
    <xf numFmtId="2" fontId="78" fillId="32" borderId="96" xfId="0" applyNumberFormat="1" applyFont="1" applyFill="1" applyBorder="1" applyAlignment="1">
      <alignment horizontal="center" vertical="center" wrapText="1"/>
    </xf>
    <xf numFmtId="0" fontId="149" fillId="0" borderId="45" xfId="0" applyFont="1" applyBorder="1" applyAlignment="1">
      <alignment wrapText="1"/>
    </xf>
    <xf numFmtId="0" fontId="0" fillId="0" borderId="0" xfId="0" applyFont="1" applyAlignment="1">
      <alignment wrapText="1"/>
    </xf>
    <xf numFmtId="0" fontId="24" fillId="0" borderId="0" xfId="0" applyFont="1" applyBorder="1" applyAlignment="1">
      <alignment horizontal="center" vertical="center" wrapText="1"/>
    </xf>
    <xf numFmtId="0" fontId="67" fillId="45" borderId="62" xfId="0" applyFont="1" applyFill="1" applyBorder="1" applyAlignment="1">
      <alignment wrapText="1"/>
    </xf>
    <xf numFmtId="0" fontId="36" fillId="46" borderId="0" xfId="0" applyFont="1" applyFill="1" applyBorder="1" applyAlignment="1">
      <alignment wrapText="1"/>
    </xf>
    <xf numFmtId="0" fontId="68" fillId="45" borderId="77" xfId="0" applyNumberFormat="1" applyFont="1" applyFill="1" applyBorder="1" applyAlignment="1">
      <alignment horizontal="center" wrapText="1"/>
    </xf>
    <xf numFmtId="10" fontId="68" fillId="45" borderId="63" xfId="0" applyNumberFormat="1" applyFont="1" applyFill="1" applyBorder="1" applyAlignment="1">
      <alignment wrapText="1"/>
    </xf>
    <xf numFmtId="10" fontId="68" fillId="45" borderId="77" xfId="0" applyNumberFormat="1" applyFont="1" applyFill="1" applyBorder="1" applyAlignment="1">
      <alignment wrapText="1"/>
    </xf>
    <xf numFmtId="0" fontId="67" fillId="45" borderId="68" xfId="0" applyFont="1" applyFill="1" applyBorder="1" applyAlignment="1">
      <alignment wrapText="1"/>
    </xf>
    <xf numFmtId="0" fontId="68" fillId="45" borderId="23" xfId="0" applyNumberFormat="1" applyFont="1" applyFill="1" applyBorder="1" applyAlignment="1">
      <alignment horizontal="center" wrapText="1"/>
    </xf>
    <xf numFmtId="10" fontId="68" fillId="45" borderId="23" xfId="0" applyNumberFormat="1" applyFont="1" applyFill="1" applyBorder="1" applyAlignment="1">
      <alignment wrapText="1"/>
    </xf>
    <xf numFmtId="0" fontId="45" fillId="47" borderId="68" xfId="0" applyFont="1" applyFill="1" applyBorder="1" applyAlignment="1">
      <alignment horizontal="left" vertical="center" wrapText="1"/>
    </xf>
    <xf numFmtId="0" fontId="71" fillId="47" borderId="23" xfId="0" applyFont="1" applyFill="1" applyBorder="1" applyAlignment="1">
      <alignment horizontal="center" vertical="center" wrapText="1"/>
    </xf>
    <xf numFmtId="0" fontId="68" fillId="17" borderId="0" xfId="0" applyNumberFormat="1" applyFont="1" applyFill="1" applyBorder="1" applyAlignment="1">
      <alignment horizontal="center" wrapText="1"/>
    </xf>
    <xf numFmtId="0" fontId="71" fillId="42" borderId="0" xfId="0" applyFont="1" applyFill="1" applyBorder="1" applyAlignment="1">
      <alignment horizontal="center" vertical="center" wrapText="1"/>
    </xf>
    <xf numFmtId="0" fontId="58" fillId="35" borderId="23" xfId="0" applyFont="1" applyFill="1" applyBorder="1" applyAlignment="1">
      <alignment horizontal="center" wrapText="1"/>
    </xf>
    <xf numFmtId="14" fontId="58" fillId="35" borderId="23" xfId="0" applyNumberFormat="1" applyFont="1" applyFill="1" applyBorder="1" applyAlignment="1">
      <alignment horizontal="center" wrapText="1"/>
    </xf>
    <xf numFmtId="0" fontId="58" fillId="35" borderId="23" xfId="0" applyFont="1" applyFill="1" applyBorder="1" applyAlignment="1">
      <alignment vertical="center" wrapText="1"/>
    </xf>
    <xf numFmtId="0" fontId="79" fillId="35" borderId="23" xfId="0" applyFont="1" applyFill="1" applyBorder="1" applyAlignment="1">
      <alignment vertical="center" wrapText="1"/>
    </xf>
    <xf numFmtId="0" fontId="58" fillId="35" borderId="24" xfId="0" applyFont="1" applyFill="1" applyBorder="1" applyAlignment="1">
      <alignment horizontal="center" vertical="center" wrapText="1"/>
    </xf>
    <xf numFmtId="0" fontId="68" fillId="35" borderId="24" xfId="0" applyFont="1" applyFill="1" applyBorder="1" applyAlignment="1">
      <alignment horizontal="left" vertical="center" wrapText="1"/>
    </xf>
    <xf numFmtId="0" fontId="68" fillId="35" borderId="27" xfId="0" applyFont="1" applyFill="1" applyBorder="1" applyAlignment="1">
      <alignment horizontal="left" vertical="center" wrapText="1"/>
    </xf>
    <xf numFmtId="0" fontId="68" fillId="35" borderId="25" xfId="0" applyFont="1" applyFill="1" applyBorder="1" applyAlignment="1">
      <alignment horizontal="left" vertical="center" wrapText="1"/>
    </xf>
    <xf numFmtId="0" fontId="58" fillId="35" borderId="45" xfId="0" applyFont="1" applyFill="1" applyBorder="1" applyAlignment="1">
      <alignment horizontal="center" wrapText="1"/>
    </xf>
    <xf numFmtId="0" fontId="58" fillId="35" borderId="45" xfId="0" applyFont="1" applyFill="1" applyBorder="1" applyAlignment="1">
      <alignment horizontal="center" vertical="center" wrapText="1"/>
    </xf>
    <xf numFmtId="0" fontId="68" fillId="35" borderId="24" xfId="0" applyFont="1" applyFill="1" applyBorder="1" applyAlignment="1">
      <alignment horizontal="center" vertical="center" wrapText="1"/>
    </xf>
    <xf numFmtId="0" fontId="68" fillId="35" borderId="27" xfId="0" applyFont="1" applyFill="1" applyBorder="1" applyAlignment="1">
      <alignment horizontal="center" vertical="center" wrapText="1"/>
    </xf>
    <xf numFmtId="0" fontId="68" fillId="35" borderId="25" xfId="0" applyFont="1" applyFill="1" applyBorder="1" applyAlignment="1">
      <alignment horizontal="center" vertical="center" wrapText="1"/>
    </xf>
    <xf numFmtId="0" fontId="58" fillId="26" borderId="45" xfId="0" applyFont="1" applyFill="1" applyBorder="1" applyAlignment="1">
      <alignment horizontal="center" wrapText="1"/>
    </xf>
    <xf numFmtId="0" fontId="58" fillId="25" borderId="45" xfId="0" applyFont="1" applyFill="1" applyBorder="1" applyAlignment="1">
      <alignment horizontal="center" vertical="center" wrapText="1"/>
    </xf>
    <xf numFmtId="0" fontId="58" fillId="26" borderId="45" xfId="0" applyFont="1" applyFill="1" applyBorder="1" applyAlignment="1">
      <alignment horizontal="center" vertical="center" wrapText="1"/>
    </xf>
    <xf numFmtId="0" fontId="58" fillId="25" borderId="45" xfId="0" applyFont="1" applyFill="1" applyBorder="1" applyAlignment="1">
      <alignment horizontal="center" wrapText="1"/>
    </xf>
    <xf numFmtId="0" fontId="58" fillId="25" borderId="26" xfId="0" applyFont="1" applyFill="1" applyBorder="1" applyAlignment="1">
      <alignment horizontal="center" wrapText="1"/>
    </xf>
    <xf numFmtId="0" fontId="58" fillId="26" borderId="26" xfId="0" applyFont="1" applyFill="1" applyBorder="1" applyAlignment="1">
      <alignment horizontal="center" wrapText="1"/>
    </xf>
    <xf numFmtId="0" fontId="58" fillId="25" borderId="26" xfId="0" applyFont="1" applyFill="1" applyBorder="1" applyAlignment="1">
      <alignment horizontal="center" vertical="center" wrapText="1"/>
    </xf>
    <xf numFmtId="0" fontId="58" fillId="35" borderId="23" xfId="0" applyFont="1" applyFill="1" applyBorder="1" applyAlignment="1">
      <alignment horizontal="left" wrapText="1"/>
    </xf>
    <xf numFmtId="0" fontId="53" fillId="0" borderId="52" xfId="0" applyFont="1" applyBorder="1" applyAlignment="1">
      <alignment horizontal="left" wrapText="1"/>
    </xf>
    <xf numFmtId="0" fontId="53" fillId="0" borderId="0" xfId="0" applyFont="1" applyBorder="1" applyAlignment="1">
      <alignment horizontal="left" wrapText="1"/>
    </xf>
    <xf numFmtId="0" fontId="53" fillId="0" borderId="53" xfId="0" applyFont="1" applyBorder="1" applyAlignment="1">
      <alignment horizontal="left" wrapText="1"/>
    </xf>
    <xf numFmtId="0" fontId="68" fillId="17" borderId="24" xfId="0" applyFont="1" applyFill="1" applyBorder="1" applyAlignment="1">
      <alignment horizontal="center" vertical="center" wrapText="1"/>
    </xf>
    <xf numFmtId="0" fontId="68" fillId="17" borderId="27" xfId="0" applyFont="1" applyFill="1" applyBorder="1" applyAlignment="1">
      <alignment horizontal="center" vertical="center" wrapText="1"/>
    </xf>
    <xf numFmtId="0" fontId="68" fillId="17" borderId="25" xfId="0" applyFont="1" applyFill="1" applyBorder="1" applyAlignment="1">
      <alignment horizontal="center" vertical="center" wrapText="1"/>
    </xf>
    <xf numFmtId="0" fontId="68" fillId="17" borderId="24" xfId="0" applyFont="1" applyFill="1" applyBorder="1" applyAlignment="1">
      <alignment horizontal="left" vertical="center" wrapText="1"/>
    </xf>
    <xf numFmtId="0" fontId="68" fillId="17" borderId="27" xfId="0" applyFont="1" applyFill="1" applyBorder="1" applyAlignment="1">
      <alignment horizontal="left" vertical="center" wrapText="1"/>
    </xf>
    <xf numFmtId="0" fontId="68" fillId="17" borderId="25" xfId="0" applyFont="1" applyFill="1" applyBorder="1" applyAlignment="1">
      <alignment horizontal="left" vertical="center" wrapText="1"/>
    </xf>
    <xf numFmtId="0" fontId="68" fillId="0" borderId="24" xfId="0" applyFont="1" applyBorder="1" applyAlignment="1">
      <alignment horizontal="center" vertical="center" wrapText="1"/>
    </xf>
    <xf numFmtId="0" fontId="71" fillId="0" borderId="24" xfId="0" applyFont="1" applyBorder="1" applyAlignment="1">
      <alignment horizontal="center" vertical="center" wrapText="1"/>
    </xf>
    <xf numFmtId="4" fontId="56" fillId="27" borderId="27" xfId="0" applyNumberFormat="1" applyFont="1" applyFill="1" applyBorder="1" applyAlignment="1">
      <alignment horizontal="center" vertical="center" wrapText="1"/>
    </xf>
    <xf numFmtId="0" fontId="67" fillId="17" borderId="24" xfId="0" applyFont="1" applyFill="1" applyBorder="1" applyAlignment="1">
      <alignment horizontal="left" vertical="center" wrapText="1"/>
    </xf>
    <xf numFmtId="0" fontId="67" fillId="17" borderId="27" xfId="0" applyFont="1" applyFill="1" applyBorder="1" applyAlignment="1">
      <alignment horizontal="left" vertical="center" wrapText="1"/>
    </xf>
    <xf numFmtId="0" fontId="67" fillId="17" borderId="25" xfId="0" applyFont="1" applyFill="1" applyBorder="1" applyAlignment="1">
      <alignment horizontal="left" vertical="center" wrapText="1"/>
    </xf>
    <xf numFmtId="4" fontId="56" fillId="27" borderId="40" xfId="0" applyNumberFormat="1" applyFont="1" applyFill="1" applyBorder="1" applyAlignment="1">
      <alignment horizontal="center" vertical="center" wrapText="1"/>
    </xf>
    <xf numFmtId="0" fontId="53" fillId="0" borderId="0" xfId="0" applyFont="1" applyBorder="1" applyAlignment="1">
      <alignment vertical="top" wrapText="1"/>
    </xf>
    <xf numFmtId="0" fontId="67" fillId="17" borderId="24" xfId="0" applyFont="1" applyFill="1" applyBorder="1" applyAlignment="1">
      <alignment horizontal="center" vertical="center" wrapText="1"/>
    </xf>
    <xf numFmtId="0" fontId="67" fillId="17" borderId="27" xfId="0" applyFont="1" applyFill="1" applyBorder="1" applyAlignment="1">
      <alignment horizontal="center" vertical="center" wrapText="1"/>
    </xf>
    <xf numFmtId="0" fontId="67" fillId="17" borderId="25" xfId="0" applyFont="1" applyFill="1" applyBorder="1" applyAlignment="1">
      <alignment horizontal="center" vertical="center" wrapText="1"/>
    </xf>
    <xf numFmtId="0" fontId="68" fillId="17" borderId="23" xfId="0" applyFont="1" applyFill="1" applyBorder="1" applyAlignment="1">
      <alignment horizontal="center" vertical="center" wrapText="1"/>
    </xf>
    <xf numFmtId="0" fontId="116" fillId="0" borderId="0" xfId="0" applyFont="1" applyAlignment="1">
      <alignment wrapText="1"/>
    </xf>
    <xf numFmtId="0" fontId="53" fillId="0" borderId="25" xfId="0" applyFont="1" applyBorder="1" applyAlignment="1">
      <alignment wrapText="1"/>
    </xf>
    <xf numFmtId="0" fontId="53" fillId="4" borderId="23" xfId="0" applyFont="1" applyFill="1" applyBorder="1" applyAlignment="1">
      <alignment horizontal="center" vertical="center" wrapText="1"/>
    </xf>
    <xf numFmtId="0" fontId="53" fillId="0" borderId="23" xfId="0" applyFont="1" applyBorder="1" applyAlignment="1">
      <alignment wrapText="1"/>
    </xf>
    <xf numFmtId="0" fontId="53" fillId="0" borderId="45" xfId="0" applyFont="1" applyBorder="1" applyAlignment="1">
      <alignment wrapText="1"/>
    </xf>
    <xf numFmtId="0" fontId="58" fillId="0" borderId="23" xfId="0" applyFont="1" applyBorder="1" applyAlignment="1">
      <alignment wrapText="1"/>
    </xf>
    <xf numFmtId="0" fontId="53" fillId="0" borderId="42" xfId="0" applyFont="1" applyBorder="1" applyAlignment="1">
      <alignment wrapText="1"/>
    </xf>
    <xf numFmtId="0" fontId="53" fillId="0" borderId="24" xfId="0" applyFont="1" applyBorder="1" applyAlignment="1">
      <alignment wrapText="1"/>
    </xf>
    <xf numFmtId="0" fontId="58" fillId="0" borderId="23" xfId="0" applyFont="1" applyBorder="1" applyAlignment="1">
      <alignment horizontal="center" vertical="center" wrapText="1"/>
    </xf>
    <xf numFmtId="0" fontId="0" fillId="0" borderId="0" xfId="0" applyFont="1" applyAlignment="1">
      <alignment wrapText="1"/>
    </xf>
    <xf numFmtId="0" fontId="32" fillId="0" borderId="0" xfId="0" applyFont="1" applyAlignment="1">
      <alignment horizontal="center" wrapText="1"/>
    </xf>
    <xf numFmtId="0" fontId="68" fillId="17" borderId="24" xfId="0" applyFont="1" applyFill="1" applyBorder="1" applyAlignment="1">
      <alignment horizontal="left" vertical="center" wrapText="1"/>
    </xf>
    <xf numFmtId="0" fontId="68" fillId="17" borderId="27" xfId="0" applyFont="1" applyFill="1" applyBorder="1" applyAlignment="1">
      <alignment horizontal="left" vertical="center" wrapText="1"/>
    </xf>
    <xf numFmtId="0" fontId="68" fillId="17" borderId="25" xfId="0" applyFont="1" applyFill="1" applyBorder="1" applyAlignment="1">
      <alignment horizontal="left" vertical="center" wrapText="1"/>
    </xf>
    <xf numFmtId="0" fontId="151" fillId="44" borderId="82" xfId="1" applyFont="1" applyFill="1" applyBorder="1" applyAlignment="1">
      <alignment horizontal="center" vertical="center" wrapText="1"/>
    </xf>
    <xf numFmtId="0" fontId="4" fillId="44" borderId="27" xfId="0" applyFont="1" applyFill="1" applyBorder="1" applyAlignment="1">
      <alignment horizontal="center" vertical="center" wrapText="1"/>
    </xf>
    <xf numFmtId="0" fontId="4" fillId="44" borderId="83" xfId="0" applyFont="1" applyFill="1" applyBorder="1" applyAlignment="1">
      <alignment horizontal="center" vertical="center" wrapText="1"/>
    </xf>
    <xf numFmtId="0" fontId="151" fillId="44" borderId="84" xfId="1" applyFont="1" applyFill="1" applyBorder="1" applyAlignment="1">
      <alignment horizontal="center" vertical="center" wrapText="1"/>
    </xf>
    <xf numFmtId="0" fontId="4" fillId="44" borderId="85" xfId="0" applyFont="1" applyFill="1" applyBorder="1" applyAlignment="1">
      <alignment horizontal="center" vertical="center" wrapText="1"/>
    </xf>
    <xf numFmtId="0" fontId="4" fillId="44" borderId="86" xfId="0" applyFont="1" applyFill="1" applyBorder="1" applyAlignment="1">
      <alignment horizontal="center" vertical="center" wrapText="1"/>
    </xf>
    <xf numFmtId="0" fontId="73" fillId="0" borderId="23" xfId="1" applyFont="1" applyBorder="1" applyAlignment="1">
      <alignment horizontal="center" vertical="center" wrapText="1"/>
    </xf>
    <xf numFmtId="0" fontId="75" fillId="0" borderId="23" xfId="0" applyFont="1" applyBorder="1" applyAlignment="1">
      <alignment vertical="center" wrapText="1"/>
    </xf>
    <xf numFmtId="0" fontId="80" fillId="0" borderId="23" xfId="0" applyFont="1" applyBorder="1" applyAlignment="1">
      <alignment vertical="center" wrapText="1"/>
    </xf>
    <xf numFmtId="0" fontId="71" fillId="0" borderId="24" xfId="0" applyFont="1" applyBorder="1" applyAlignment="1">
      <alignment horizontal="center" vertical="center" wrapText="1"/>
    </xf>
    <xf numFmtId="0" fontId="71" fillId="0" borderId="27" xfId="0" applyFont="1" applyBorder="1" applyAlignment="1">
      <alignment horizontal="center" vertical="center" wrapText="1"/>
    </xf>
    <xf numFmtId="0" fontId="71" fillId="0" borderId="25" xfId="0" applyFont="1" applyBorder="1" applyAlignment="1">
      <alignment horizontal="center" vertical="center" wrapText="1"/>
    </xf>
    <xf numFmtId="0" fontId="67" fillId="17" borderId="24" xfId="0" applyFont="1" applyFill="1" applyBorder="1" applyAlignment="1">
      <alignment horizontal="left" vertical="center" wrapText="1"/>
    </xf>
    <xf numFmtId="0" fontId="67" fillId="17" borderId="27" xfId="0" applyFont="1" applyFill="1" applyBorder="1" applyAlignment="1">
      <alignment horizontal="left" vertical="center" wrapText="1"/>
    </xf>
    <xf numFmtId="0" fontId="67" fillId="17" borderId="25" xfId="0" applyFont="1" applyFill="1" applyBorder="1" applyAlignment="1">
      <alignment horizontal="left" vertical="center" wrapText="1"/>
    </xf>
    <xf numFmtId="0" fontId="83" fillId="44" borderId="79" xfId="0" applyFont="1" applyFill="1" applyBorder="1" applyAlignment="1">
      <alignment horizontal="center" wrapText="1"/>
    </xf>
    <xf numFmtId="0" fontId="83" fillId="44" borderId="80" xfId="0" applyFont="1" applyFill="1" applyBorder="1" applyAlignment="1">
      <alignment horizontal="center" wrapText="1"/>
    </xf>
    <xf numFmtId="0" fontId="83" fillId="44" borderId="81" xfId="0" applyFont="1" applyFill="1" applyBorder="1" applyAlignment="1">
      <alignment horizontal="center" wrapText="1"/>
    </xf>
    <xf numFmtId="0" fontId="151" fillId="44" borderId="82" xfId="1" applyFont="1" applyFill="1" applyBorder="1" applyAlignment="1">
      <alignment horizontal="center" wrapText="1"/>
    </xf>
    <xf numFmtId="0" fontId="4" fillId="44" borderId="27" xfId="0" applyFont="1" applyFill="1" applyBorder="1" applyAlignment="1">
      <alignment horizontal="center" wrapText="1"/>
    </xf>
    <xf numFmtId="0" fontId="4" fillId="44" borderId="83" xfId="0" applyFont="1" applyFill="1" applyBorder="1" applyAlignment="1">
      <alignment horizontal="center" wrapText="1"/>
    </xf>
    <xf numFmtId="0" fontId="151" fillId="44" borderId="84" xfId="1" applyFont="1" applyFill="1" applyBorder="1" applyAlignment="1">
      <alignment horizontal="center" wrapText="1"/>
    </xf>
    <xf numFmtId="0" fontId="4" fillId="44" borderId="85" xfId="0" applyFont="1" applyFill="1" applyBorder="1" applyAlignment="1">
      <alignment horizontal="center" wrapText="1"/>
    </xf>
    <xf numFmtId="0" fontId="4" fillId="44" borderId="86" xfId="0" applyFont="1" applyFill="1" applyBorder="1" applyAlignment="1">
      <alignment horizontal="center" wrapText="1"/>
    </xf>
    <xf numFmtId="0" fontId="156" fillId="44" borderId="39" xfId="1" applyFont="1" applyFill="1" applyBorder="1" applyAlignment="1">
      <alignment horizontal="center" vertical="center" wrapText="1"/>
    </xf>
    <xf numFmtId="0" fontId="156" fillId="44" borderId="40" xfId="1" applyFont="1" applyFill="1" applyBorder="1" applyAlignment="1">
      <alignment horizontal="center" vertical="center" wrapText="1"/>
    </xf>
    <xf numFmtId="0" fontId="156" fillId="44" borderId="41" xfId="1" applyFont="1" applyFill="1" applyBorder="1" applyAlignment="1">
      <alignment horizontal="center" vertical="center" wrapText="1"/>
    </xf>
    <xf numFmtId="0" fontId="156" fillId="44" borderId="42" xfId="1" applyFont="1" applyFill="1" applyBorder="1" applyAlignment="1">
      <alignment horizontal="center" vertical="center" wrapText="1"/>
    </xf>
    <xf numFmtId="0" fontId="156" fillId="44" borderId="43" xfId="1" applyFont="1" applyFill="1" applyBorder="1" applyAlignment="1">
      <alignment horizontal="center" vertical="center" wrapText="1"/>
    </xf>
    <xf numFmtId="0" fontId="156" fillId="44" borderId="44" xfId="1" applyFont="1" applyFill="1" applyBorder="1" applyAlignment="1">
      <alignment horizontal="center" vertical="center" wrapText="1"/>
    </xf>
    <xf numFmtId="0" fontId="68" fillId="17" borderId="24" xfId="0" applyFont="1" applyFill="1" applyBorder="1" applyAlignment="1">
      <alignment horizontal="center" vertical="center" wrapText="1"/>
    </xf>
    <xf numFmtId="0" fontId="68" fillId="17" borderId="27" xfId="0" applyFont="1" applyFill="1" applyBorder="1" applyAlignment="1">
      <alignment horizontal="center" vertical="center" wrapText="1"/>
    </xf>
    <xf numFmtId="0" fontId="68" fillId="17" borderId="25" xfId="0" applyFont="1" applyFill="1" applyBorder="1" applyAlignment="1">
      <alignment horizontal="center" vertical="center" wrapText="1"/>
    </xf>
    <xf numFmtId="0" fontId="83" fillId="44" borderId="79" xfId="0" applyFont="1" applyFill="1" applyBorder="1" applyAlignment="1">
      <alignment horizontal="center" vertical="center" wrapText="1"/>
    </xf>
    <xf numFmtId="0" fontId="83" fillId="44" borderId="80" xfId="0" applyFont="1" applyFill="1" applyBorder="1" applyAlignment="1">
      <alignment horizontal="center" vertical="center" wrapText="1"/>
    </xf>
    <xf numFmtId="0" fontId="83" fillId="44" borderId="81" xfId="0" applyFont="1" applyFill="1" applyBorder="1" applyAlignment="1">
      <alignment horizontal="center" vertical="center" wrapText="1"/>
    </xf>
    <xf numFmtId="0" fontId="142" fillId="0" borderId="70" xfId="1" applyFont="1" applyBorder="1" applyAlignment="1">
      <alignment horizontal="center" vertical="center" wrapText="1"/>
    </xf>
    <xf numFmtId="0" fontId="142" fillId="0" borderId="71" xfId="1" applyFont="1" applyBorder="1" applyAlignment="1">
      <alignment horizontal="center" vertical="center" wrapText="1"/>
    </xf>
    <xf numFmtId="0" fontId="121" fillId="23" borderId="52" xfId="0" applyFont="1" applyFill="1" applyBorder="1" applyAlignment="1">
      <alignment horizontal="center" vertical="center" wrapText="1"/>
    </xf>
    <xf numFmtId="0" fontId="121" fillId="23" borderId="53" xfId="0" applyFont="1" applyFill="1" applyBorder="1" applyAlignment="1">
      <alignment horizontal="center" vertical="center" wrapText="1"/>
    </xf>
    <xf numFmtId="10" fontId="44" fillId="29" borderId="24" xfId="0" applyNumberFormat="1" applyFont="1" applyFill="1" applyBorder="1" applyAlignment="1">
      <alignment horizontal="center" vertical="center" wrapText="1"/>
    </xf>
    <xf numFmtId="10" fontId="44" fillId="29" borderId="27" xfId="0" applyNumberFormat="1" applyFont="1" applyFill="1" applyBorder="1" applyAlignment="1">
      <alignment horizontal="center" vertical="center" wrapText="1"/>
    </xf>
    <xf numFmtId="165" fontId="123" fillId="27" borderId="24" xfId="0" applyNumberFormat="1" applyFont="1" applyFill="1" applyBorder="1" applyAlignment="1">
      <alignment horizontal="center" vertical="center" wrapText="1"/>
    </xf>
    <xf numFmtId="165" fontId="123" fillId="27" borderId="25" xfId="0" applyNumberFormat="1" applyFont="1" applyFill="1" applyBorder="1" applyAlignment="1">
      <alignment horizontal="center" vertical="center" wrapText="1"/>
    </xf>
    <xf numFmtId="0" fontId="88" fillId="23" borderId="87" xfId="0" applyFont="1" applyFill="1" applyBorder="1" applyAlignment="1">
      <alignment horizontal="center" vertical="center" wrapText="1"/>
    </xf>
    <xf numFmtId="0" fontId="88" fillId="23" borderId="40" xfId="0" applyFont="1" applyFill="1" applyBorder="1" applyAlignment="1">
      <alignment horizontal="center" vertical="center" wrapText="1"/>
    </xf>
    <xf numFmtId="0" fontId="88" fillId="23" borderId="41" xfId="0" applyFont="1" applyFill="1" applyBorder="1" applyAlignment="1">
      <alignment horizontal="center" vertical="center" wrapText="1"/>
    </xf>
    <xf numFmtId="0" fontId="88" fillId="23" borderId="88" xfId="0" applyFont="1" applyFill="1" applyBorder="1" applyAlignment="1">
      <alignment horizontal="center" vertical="center" wrapText="1"/>
    </xf>
    <xf numFmtId="0" fontId="88" fillId="23" borderId="89" xfId="0" applyFont="1" applyFill="1" applyBorder="1" applyAlignment="1">
      <alignment horizontal="center" vertical="center" wrapText="1"/>
    </xf>
    <xf numFmtId="0" fontId="88" fillId="23" borderId="90" xfId="0" applyFont="1" applyFill="1" applyBorder="1" applyAlignment="1">
      <alignment horizontal="center" vertical="center" wrapText="1"/>
    </xf>
    <xf numFmtId="0" fontId="77" fillId="0" borderId="52" xfId="0" applyFont="1" applyBorder="1" applyAlignment="1">
      <alignment horizontal="center" vertical="center" wrapText="1"/>
    </xf>
    <xf numFmtId="0" fontId="77" fillId="0" borderId="53" xfId="0" applyFont="1" applyBorder="1" applyAlignment="1">
      <alignment horizontal="center" vertical="center" wrapText="1"/>
    </xf>
    <xf numFmtId="0" fontId="58" fillId="0" borderId="75" xfId="0" applyFont="1" applyBorder="1" applyAlignment="1">
      <alignment horizontal="center" vertical="center" wrapText="1"/>
    </xf>
    <xf numFmtId="0" fontId="58" fillId="0" borderId="76" xfId="0" applyFont="1" applyBorder="1" applyAlignment="1">
      <alignment horizontal="center" vertical="center" wrapText="1"/>
    </xf>
    <xf numFmtId="0" fontId="120" fillId="0" borderId="28" xfId="0" applyFont="1" applyBorder="1" applyAlignment="1">
      <alignment horizontal="center" vertical="center" wrapText="1"/>
    </xf>
    <xf numFmtId="0" fontId="120" fillId="0" borderId="29" xfId="0" applyFont="1" applyBorder="1" applyAlignment="1">
      <alignment horizontal="center" vertical="center" wrapText="1"/>
    </xf>
    <xf numFmtId="0" fontId="120" fillId="0" borderId="30" xfId="0" applyFont="1" applyBorder="1" applyAlignment="1">
      <alignment horizontal="center" vertical="center" wrapText="1"/>
    </xf>
    <xf numFmtId="0" fontId="56" fillId="27" borderId="52" xfId="0" applyFont="1" applyFill="1" applyBorder="1" applyAlignment="1">
      <alignment horizontal="center" vertical="top" wrapText="1"/>
    </xf>
    <xf numFmtId="0" fontId="56" fillId="27" borderId="0" xfId="0" applyFont="1" applyFill="1" applyBorder="1" applyAlignment="1">
      <alignment horizontal="center" vertical="top" wrapText="1"/>
    </xf>
    <xf numFmtId="0" fontId="62" fillId="29" borderId="39" xfId="0" applyFont="1" applyFill="1" applyBorder="1" applyAlignment="1">
      <alignment horizontal="center" wrapText="1"/>
    </xf>
    <xf numFmtId="0" fontId="62" fillId="29" borderId="40" xfId="0" applyFont="1" applyFill="1" applyBorder="1" applyAlignment="1">
      <alignment horizontal="center" wrapText="1"/>
    </xf>
    <xf numFmtId="0" fontId="62" fillId="29" borderId="41" xfId="0" applyFont="1" applyFill="1" applyBorder="1" applyAlignment="1">
      <alignment horizontal="center" wrapText="1"/>
    </xf>
    <xf numFmtId="4" fontId="56" fillId="27" borderId="39" xfId="0" applyNumberFormat="1" applyFont="1" applyFill="1" applyBorder="1" applyAlignment="1">
      <alignment horizontal="center" vertical="center" wrapText="1"/>
    </xf>
    <xf numFmtId="4" fontId="56" fillId="27" borderId="40" xfId="0" applyNumberFormat="1" applyFont="1" applyFill="1" applyBorder="1" applyAlignment="1">
      <alignment horizontal="center" vertical="center" wrapText="1"/>
    </xf>
    <xf numFmtId="0" fontId="118" fillId="4" borderId="54" xfId="0" applyFont="1" applyFill="1" applyBorder="1" applyAlignment="1">
      <alignment horizontal="center" vertical="center" wrapText="1"/>
    </xf>
    <xf numFmtId="0" fontId="118" fillId="4" borderId="56" xfId="0" applyFont="1" applyFill="1" applyBorder="1" applyAlignment="1">
      <alignment horizontal="center" vertical="center" wrapText="1"/>
    </xf>
    <xf numFmtId="0" fontId="60" fillId="25" borderId="31" xfId="0" applyFont="1" applyFill="1" applyBorder="1" applyAlignment="1">
      <alignment horizontal="center" vertical="center" wrapText="1"/>
    </xf>
    <xf numFmtId="0" fontId="60" fillId="25" borderId="32" xfId="0" applyFont="1" applyFill="1" applyBorder="1" applyAlignment="1">
      <alignment horizontal="center" vertical="center" wrapText="1"/>
    </xf>
    <xf numFmtId="0" fontId="60" fillId="25" borderId="33" xfId="0" applyFont="1" applyFill="1" applyBorder="1" applyAlignment="1">
      <alignment horizontal="center" vertical="center" wrapText="1"/>
    </xf>
    <xf numFmtId="4" fontId="56" fillId="27" borderId="24" xfId="0" applyNumberFormat="1" applyFont="1" applyFill="1" applyBorder="1" applyAlignment="1">
      <alignment horizontal="center" vertical="center" wrapText="1"/>
    </xf>
    <xf numFmtId="4" fontId="56" fillId="27" borderId="27" xfId="0" applyNumberFormat="1" applyFont="1" applyFill="1" applyBorder="1" applyAlignment="1">
      <alignment horizontal="center" vertical="center" wrapText="1"/>
    </xf>
    <xf numFmtId="0" fontId="119" fillId="0" borderId="57" xfId="0" applyFont="1" applyBorder="1" applyAlignment="1">
      <alignment horizontal="center" vertical="center" wrapText="1"/>
    </xf>
    <xf numFmtId="0" fontId="119" fillId="0" borderId="58" xfId="0" applyFont="1" applyBorder="1" applyAlignment="1">
      <alignment horizontal="center" vertical="center" wrapText="1"/>
    </xf>
    <xf numFmtId="0" fontId="60" fillId="26" borderId="36" xfId="0" applyFont="1" applyFill="1" applyBorder="1" applyAlignment="1">
      <alignment horizontal="center" vertical="center" wrapText="1"/>
    </xf>
    <xf numFmtId="0" fontId="60" fillId="26" borderId="37" xfId="0" applyFont="1" applyFill="1" applyBorder="1" applyAlignment="1">
      <alignment horizontal="center" vertical="center" wrapText="1"/>
    </xf>
    <xf numFmtId="0" fontId="60" fillId="26" borderId="38" xfId="0" applyFont="1" applyFill="1" applyBorder="1" applyAlignment="1">
      <alignment horizontal="center" vertical="center" wrapText="1"/>
    </xf>
    <xf numFmtId="0" fontId="83" fillId="0" borderId="54" xfId="0" applyFont="1" applyBorder="1" applyAlignment="1">
      <alignment horizontal="center" vertical="center" wrapText="1"/>
    </xf>
    <xf numFmtId="0" fontId="83" fillId="0" borderId="56" xfId="0" applyFont="1" applyBorder="1" applyAlignment="1">
      <alignment horizontal="center" vertical="center" wrapText="1"/>
    </xf>
    <xf numFmtId="0" fontId="62" fillId="31" borderId="31" xfId="0" applyFont="1" applyFill="1" applyBorder="1" applyAlignment="1">
      <alignment horizontal="center" vertical="center" wrapText="1"/>
    </xf>
    <xf numFmtId="0" fontId="62" fillId="31" borderId="32" xfId="0" applyFont="1" applyFill="1" applyBorder="1" applyAlignment="1">
      <alignment horizontal="center" vertical="center" wrapText="1"/>
    </xf>
    <xf numFmtId="0" fontId="62" fillId="31" borderId="33" xfId="0" applyFont="1" applyFill="1" applyBorder="1" applyAlignment="1">
      <alignment horizontal="center" vertical="center" wrapText="1"/>
    </xf>
    <xf numFmtId="0" fontId="62" fillId="31" borderId="36" xfId="0" applyFont="1" applyFill="1" applyBorder="1" applyAlignment="1">
      <alignment horizontal="center" vertical="center" wrapText="1"/>
    </xf>
    <xf numFmtId="0" fontId="62" fillId="31" borderId="37" xfId="0" applyFont="1" applyFill="1" applyBorder="1" applyAlignment="1">
      <alignment horizontal="center" vertical="center" wrapText="1"/>
    </xf>
    <xf numFmtId="0" fontId="62" fillId="31" borderId="38" xfId="0" applyFont="1" applyFill="1" applyBorder="1" applyAlignment="1">
      <alignment horizontal="center" vertical="center" wrapText="1"/>
    </xf>
    <xf numFmtId="0" fontId="124" fillId="24" borderId="57" xfId="0" applyFont="1" applyFill="1" applyBorder="1" applyAlignment="1">
      <alignment horizontal="center" vertical="center" wrapText="1"/>
    </xf>
    <xf numFmtId="0" fontId="124" fillId="24" borderId="58" xfId="0" applyFont="1" applyFill="1" applyBorder="1" applyAlignment="1">
      <alignment horizontal="center" vertical="center" wrapText="1"/>
    </xf>
    <xf numFmtId="0" fontId="53" fillId="0" borderId="0" xfId="0" applyFont="1" applyAlignment="1">
      <alignment horizontal="left" wrapText="1"/>
    </xf>
    <xf numFmtId="0" fontId="53" fillId="0" borderId="52" xfId="0" applyFont="1" applyBorder="1" applyAlignment="1">
      <alignment horizontal="left" wrapText="1"/>
    </xf>
    <xf numFmtId="0" fontId="53" fillId="0" borderId="0" xfId="0" applyFont="1" applyBorder="1" applyAlignment="1">
      <alignment horizontal="left" wrapText="1"/>
    </xf>
    <xf numFmtId="0" fontId="53" fillId="0" borderId="53" xfId="0" applyFont="1" applyBorder="1" applyAlignment="1">
      <alignment horizontal="left" wrapText="1"/>
    </xf>
    <xf numFmtId="0" fontId="53" fillId="0" borderId="52" xfId="0" applyFont="1" applyBorder="1" applyAlignment="1">
      <alignment horizontal="left" vertical="center" wrapText="1"/>
    </xf>
    <xf numFmtId="0" fontId="53" fillId="0" borderId="0" xfId="0" applyFont="1" applyBorder="1" applyAlignment="1">
      <alignment horizontal="left" vertical="center" wrapText="1"/>
    </xf>
    <xf numFmtId="0" fontId="53" fillId="0" borderId="53" xfId="0" applyFont="1" applyBorder="1" applyAlignment="1">
      <alignment horizontal="left" vertical="center" wrapText="1"/>
    </xf>
    <xf numFmtId="0" fontId="53" fillId="0" borderId="42" xfId="0" applyFont="1" applyBorder="1" applyAlignment="1">
      <alignment horizontal="left" wrapText="1"/>
    </xf>
    <xf numFmtId="0" fontId="53" fillId="0" borderId="43" xfId="0" applyFont="1" applyBorder="1" applyAlignment="1">
      <alignment horizontal="left" wrapText="1"/>
    </xf>
    <xf numFmtId="0" fontId="53" fillId="0" borderId="44" xfId="0" applyFont="1" applyBorder="1" applyAlignment="1">
      <alignment horizontal="left" wrapText="1"/>
    </xf>
    <xf numFmtId="0" fontId="60" fillId="0" borderId="39" xfId="0" applyFont="1" applyBorder="1" applyAlignment="1">
      <alignment horizontal="left" wrapText="1"/>
    </xf>
    <xf numFmtId="0" fontId="60" fillId="0" borderId="40" xfId="0" applyFont="1" applyBorder="1" applyAlignment="1">
      <alignment horizontal="left" wrapText="1"/>
    </xf>
    <xf numFmtId="0" fontId="60" fillId="0" borderId="41" xfId="0" applyFont="1" applyBorder="1" applyAlignment="1">
      <alignment horizontal="left" wrapText="1"/>
    </xf>
    <xf numFmtId="0" fontId="53" fillId="0" borderId="24" xfId="0" applyFont="1" applyBorder="1" applyAlignment="1">
      <alignment horizontal="center" wrapText="1"/>
    </xf>
    <xf numFmtId="0" fontId="53" fillId="0" borderId="27" xfId="0" applyFont="1" applyBorder="1" applyAlignment="1">
      <alignment horizontal="center" wrapText="1"/>
    </xf>
    <xf numFmtId="0" fontId="53" fillId="0" borderId="25" xfId="0" applyFont="1" applyBorder="1" applyAlignment="1">
      <alignment horizontal="center" wrapText="1"/>
    </xf>
    <xf numFmtId="0" fontId="78" fillId="32" borderId="93" xfId="0" applyFont="1" applyFill="1" applyBorder="1" applyAlignment="1">
      <alignment horizontal="center" vertical="center" wrapText="1"/>
    </xf>
    <xf numFmtId="0" fontId="78" fillId="32" borderId="94" xfId="0" applyFont="1" applyFill="1" applyBorder="1" applyAlignment="1">
      <alignment horizontal="center" vertical="center" wrapText="1"/>
    </xf>
    <xf numFmtId="0" fontId="68" fillId="0" borderId="24" xfId="0" applyFont="1" applyBorder="1" applyAlignment="1">
      <alignment horizontal="center" vertical="center" wrapText="1"/>
    </xf>
    <xf numFmtId="0" fontId="68" fillId="0" borderId="27" xfId="0" applyFont="1" applyBorder="1" applyAlignment="1">
      <alignment horizontal="center" vertical="center" wrapText="1"/>
    </xf>
    <xf numFmtId="0" fontId="68" fillId="0" borderId="25" xfId="0" applyFont="1" applyBorder="1" applyAlignment="1">
      <alignment horizontal="center" vertical="center" wrapText="1"/>
    </xf>
    <xf numFmtId="0" fontId="78" fillId="32" borderId="93" xfId="0" applyFont="1" applyFill="1" applyBorder="1" applyAlignment="1">
      <alignment horizontal="center" wrapText="1"/>
    </xf>
    <xf numFmtId="0" fontId="78" fillId="32" borderId="94" xfId="0" applyFont="1" applyFill="1" applyBorder="1" applyAlignment="1">
      <alignment horizontal="center" wrapText="1"/>
    </xf>
    <xf numFmtId="0" fontId="78" fillId="32" borderId="95" xfId="0" applyFont="1" applyFill="1" applyBorder="1" applyAlignment="1">
      <alignment horizontal="center" wrapText="1"/>
    </xf>
    <xf numFmtId="0" fontId="78" fillId="32" borderId="95" xfId="0" applyFont="1" applyFill="1" applyBorder="1" applyAlignment="1">
      <alignment horizontal="center" vertical="center" wrapText="1"/>
    </xf>
    <xf numFmtId="0" fontId="139" fillId="17" borderId="24" xfId="1" applyFont="1" applyFill="1" applyBorder="1" applyAlignment="1">
      <alignment horizontal="center" vertical="center" wrapText="1"/>
    </xf>
    <xf numFmtId="0" fontId="68" fillId="17" borderId="23" xfId="0" applyFont="1" applyFill="1" applyBorder="1" applyAlignment="1">
      <alignment horizontal="center" vertical="center" wrapText="1"/>
    </xf>
    <xf numFmtId="0" fontId="67" fillId="17" borderId="24" xfId="0" applyFont="1" applyFill="1" applyBorder="1" applyAlignment="1">
      <alignment horizontal="center" vertical="center" wrapText="1"/>
    </xf>
    <xf numFmtId="0" fontId="67" fillId="17" borderId="27" xfId="0" applyFont="1" applyFill="1" applyBorder="1" applyAlignment="1">
      <alignment horizontal="center" vertical="center" wrapText="1"/>
    </xf>
    <xf numFmtId="0" fontId="67" fillId="17" borderId="25" xfId="0" applyFont="1" applyFill="1" applyBorder="1" applyAlignment="1">
      <alignment horizontal="center" vertical="center" wrapText="1"/>
    </xf>
    <xf numFmtId="0" fontId="88" fillId="23" borderId="39" xfId="0" applyFont="1" applyFill="1" applyBorder="1" applyAlignment="1">
      <alignment horizontal="center" vertical="center" wrapText="1"/>
    </xf>
    <xf numFmtId="0" fontId="88" fillId="23" borderId="52" xfId="0" applyFont="1" applyFill="1" applyBorder="1" applyAlignment="1">
      <alignment horizontal="center" vertical="center" wrapText="1"/>
    </xf>
    <xf numFmtId="0" fontId="88" fillId="23" borderId="53" xfId="0" applyFont="1" applyFill="1" applyBorder="1" applyAlignment="1">
      <alignment horizontal="center" vertical="center" wrapText="1"/>
    </xf>
    <xf numFmtId="0" fontId="73" fillId="0" borderId="23" xfId="1" applyFont="1" applyBorder="1" applyAlignment="1">
      <alignment horizontal="center" wrapText="1"/>
    </xf>
    <xf numFmtId="0" fontId="75" fillId="0" borderId="23" xfId="0" applyFont="1" applyBorder="1" applyAlignment="1">
      <alignment wrapText="1"/>
    </xf>
    <xf numFmtId="0" fontId="80" fillId="0" borderId="23" xfId="0" applyFont="1" applyBorder="1" applyAlignment="1">
      <alignment wrapText="1"/>
    </xf>
    <xf numFmtId="0" fontId="53" fillId="0" borderId="0" xfId="0" applyFont="1" applyBorder="1" applyAlignment="1">
      <alignment vertical="top" wrapText="1"/>
    </xf>
    <xf numFmtId="0" fontId="53" fillId="0" borderId="0" xfId="0" applyFont="1" applyAlignment="1">
      <alignment horizontal="left" vertical="top" wrapText="1"/>
    </xf>
    <xf numFmtId="0" fontId="78" fillId="32" borderId="24" xfId="0" applyFont="1" applyFill="1" applyBorder="1" applyAlignment="1">
      <alignment horizontal="center" vertical="center" wrapText="1"/>
    </xf>
    <xf numFmtId="0" fontId="78" fillId="32" borderId="27" xfId="0" applyFont="1" applyFill="1" applyBorder="1" applyAlignment="1">
      <alignment horizontal="center" vertical="center" wrapText="1"/>
    </xf>
    <xf numFmtId="0" fontId="78" fillId="32" borderId="25" xfId="0" applyFont="1" applyFill="1" applyBorder="1" applyAlignment="1">
      <alignment horizontal="center" vertical="center" wrapText="1"/>
    </xf>
    <xf numFmtId="0" fontId="127" fillId="32" borderId="24" xfId="0" applyFont="1" applyFill="1" applyBorder="1" applyAlignment="1">
      <alignment horizontal="center" wrapText="1"/>
    </xf>
    <xf numFmtId="0" fontId="127" fillId="32" borderId="27" xfId="0" applyFont="1" applyFill="1" applyBorder="1" applyAlignment="1">
      <alignment horizontal="center" wrapText="1"/>
    </xf>
    <xf numFmtId="0" fontId="127" fillId="32" borderId="39" xfId="0" applyFont="1" applyFill="1" applyBorder="1" applyAlignment="1">
      <alignment horizontal="center" vertical="center" wrapText="1"/>
    </xf>
    <xf numFmtId="0" fontId="127" fillId="32" borderId="40" xfId="0" applyFont="1" applyFill="1" applyBorder="1" applyAlignment="1">
      <alignment horizontal="center" vertical="center" wrapText="1"/>
    </xf>
    <xf numFmtId="0" fontId="78" fillId="32" borderId="23" xfId="0" applyFont="1" applyFill="1" applyBorder="1" applyAlignment="1">
      <alignment horizontal="center" vertical="center" wrapText="1"/>
    </xf>
    <xf numFmtId="0" fontId="78" fillId="32" borderId="24" xfId="0" applyFont="1" applyFill="1" applyBorder="1" applyAlignment="1">
      <alignment horizontal="center" wrapText="1"/>
    </xf>
    <xf numFmtId="0" fontId="78" fillId="32" borderId="27" xfId="0" applyFont="1" applyFill="1" applyBorder="1" applyAlignment="1">
      <alignment horizontal="center" wrapText="1"/>
    </xf>
    <xf numFmtId="0" fontId="78" fillId="32" borderId="25" xfId="0" applyFont="1" applyFill="1" applyBorder="1" applyAlignment="1">
      <alignment horizontal="center" wrapText="1"/>
    </xf>
    <xf numFmtId="0" fontId="112" fillId="0" borderId="26" xfId="1" applyFont="1" applyBorder="1" applyAlignment="1">
      <alignment horizontal="center" vertical="center" wrapText="1"/>
    </xf>
    <xf numFmtId="0" fontId="108" fillId="0" borderId="45" xfId="1" applyFont="1" applyBorder="1" applyAlignment="1">
      <alignment horizontal="center" vertical="center" wrapText="1"/>
    </xf>
    <xf numFmtId="0" fontId="78" fillId="32" borderId="23" xfId="0" applyFont="1" applyFill="1" applyBorder="1" applyAlignment="1">
      <alignment horizontal="center" wrapText="1"/>
    </xf>
    <xf numFmtId="0" fontId="58" fillId="33" borderId="23" xfId="0" applyFont="1" applyFill="1" applyBorder="1" applyAlignment="1">
      <alignment wrapText="1"/>
    </xf>
    <xf numFmtId="4" fontId="56" fillId="27" borderId="25" xfId="0" applyNumberFormat="1" applyFont="1" applyFill="1" applyBorder="1" applyAlignment="1">
      <alignment horizontal="center" vertical="center" wrapText="1"/>
    </xf>
    <xf numFmtId="165" fontId="55" fillId="29" borderId="27" xfId="0" applyNumberFormat="1" applyFont="1" applyFill="1" applyBorder="1" applyAlignment="1">
      <alignment horizontal="center" vertical="center" wrapText="1"/>
    </xf>
    <xf numFmtId="165" fontId="55" fillId="29" borderId="25" xfId="0" applyNumberFormat="1" applyFont="1" applyFill="1" applyBorder="1" applyAlignment="1">
      <alignment horizontal="center" vertical="center" wrapText="1"/>
    </xf>
    <xf numFmtId="0" fontId="88" fillId="23" borderId="42" xfId="0" applyFont="1" applyFill="1" applyBorder="1" applyAlignment="1">
      <alignment horizontal="center" vertical="center" wrapText="1"/>
    </xf>
    <xf numFmtId="0" fontId="88" fillId="23" borderId="43" xfId="0" applyFont="1" applyFill="1" applyBorder="1" applyAlignment="1">
      <alignment horizontal="center" vertical="center" wrapText="1"/>
    </xf>
    <xf numFmtId="0" fontId="88" fillId="23" borderId="44" xfId="0" applyFont="1" applyFill="1" applyBorder="1" applyAlignment="1">
      <alignment horizontal="center" vertical="center" wrapText="1"/>
    </xf>
    <xf numFmtId="0" fontId="90" fillId="2" borderId="39" xfId="0" applyFont="1" applyFill="1" applyBorder="1" applyAlignment="1">
      <alignment horizontal="left" vertical="center" wrapText="1"/>
    </xf>
    <xf numFmtId="0" fontId="90" fillId="2" borderId="40" xfId="0" applyFont="1" applyFill="1" applyBorder="1" applyAlignment="1">
      <alignment horizontal="left" vertical="center" wrapText="1"/>
    </xf>
    <xf numFmtId="0" fontId="90" fillId="2" borderId="42" xfId="0" applyFont="1" applyFill="1" applyBorder="1" applyAlignment="1">
      <alignment horizontal="left" vertical="center" wrapText="1"/>
    </xf>
    <xf numFmtId="0" fontId="90" fillId="2" borderId="43" xfId="0" applyFont="1" applyFill="1" applyBorder="1" applyAlignment="1">
      <alignment horizontal="left" vertical="center" wrapText="1"/>
    </xf>
    <xf numFmtId="0" fontId="62" fillId="29" borderId="24" xfId="0" applyFont="1" applyFill="1" applyBorder="1" applyAlignment="1">
      <alignment horizontal="center" wrapText="1"/>
    </xf>
    <xf numFmtId="0" fontId="62" fillId="29" borderId="27" xfId="0" applyFont="1" applyFill="1" applyBorder="1" applyAlignment="1">
      <alignment horizontal="center" wrapText="1"/>
    </xf>
    <xf numFmtId="0" fontId="62" fillId="29" borderId="25" xfId="0" applyFont="1" applyFill="1" applyBorder="1" applyAlignment="1">
      <alignment horizontal="center" wrapText="1"/>
    </xf>
    <xf numFmtId="0" fontId="56" fillId="27" borderId="42" xfId="0" applyFont="1" applyFill="1" applyBorder="1" applyAlignment="1">
      <alignment horizontal="center" vertical="top" wrapText="1"/>
    </xf>
    <xf numFmtId="0" fontId="57" fillId="27" borderId="43" xfId="0" applyFont="1" applyFill="1" applyBorder="1" applyAlignment="1">
      <alignment horizontal="center" vertical="top" wrapText="1"/>
    </xf>
    <xf numFmtId="0" fontId="57" fillId="27" borderId="44" xfId="0" applyFont="1" applyFill="1" applyBorder="1" applyAlignment="1">
      <alignment horizontal="center" vertical="top" wrapText="1"/>
    </xf>
    <xf numFmtId="0" fontId="60" fillId="25" borderId="54" xfId="0" applyFont="1" applyFill="1" applyBorder="1" applyAlignment="1">
      <alignment horizontal="center" vertical="center" wrapText="1"/>
    </xf>
    <xf numFmtId="0" fontId="60" fillId="25" borderId="55" xfId="0" applyFont="1" applyFill="1" applyBorder="1" applyAlignment="1">
      <alignment horizontal="center" vertical="center" wrapText="1"/>
    </xf>
    <xf numFmtId="0" fontId="60" fillId="25" borderId="56" xfId="0" applyFont="1" applyFill="1" applyBorder="1" applyAlignment="1">
      <alignment horizontal="center" vertical="center" wrapText="1"/>
    </xf>
    <xf numFmtId="0" fontId="116" fillId="0" borderId="0" xfId="0" applyFont="1" applyAlignment="1">
      <alignment wrapText="1"/>
    </xf>
    <xf numFmtId="0" fontId="60" fillId="26" borderId="57" xfId="0" applyFont="1" applyFill="1" applyBorder="1" applyAlignment="1">
      <alignment horizontal="center" vertical="center" wrapText="1"/>
    </xf>
    <xf numFmtId="0" fontId="60" fillId="26" borderId="59" xfId="0" applyFont="1" applyFill="1" applyBorder="1" applyAlignment="1">
      <alignment horizontal="center" vertical="center" wrapText="1"/>
    </xf>
    <xf numFmtId="0" fontId="60" fillId="26" borderId="58" xfId="0" applyFont="1" applyFill="1" applyBorder="1" applyAlignment="1">
      <alignment horizontal="center" vertical="center" wrapText="1"/>
    </xf>
    <xf numFmtId="0" fontId="62" fillId="31" borderId="0" xfId="0" applyFont="1" applyFill="1" applyBorder="1" applyAlignment="1">
      <alignment horizontal="center" vertical="center" wrapText="1"/>
    </xf>
    <xf numFmtId="0" fontId="62" fillId="31" borderId="35" xfId="0" applyFont="1" applyFill="1" applyBorder="1" applyAlignment="1">
      <alignment horizontal="center" vertical="center" wrapText="1"/>
    </xf>
    <xf numFmtId="0" fontId="78" fillId="7" borderId="23" xfId="0" applyFont="1" applyFill="1" applyBorder="1" applyAlignment="1">
      <alignment horizontal="center" wrapText="1"/>
    </xf>
    <xf numFmtId="0" fontId="58" fillId="0" borderId="23" xfId="0" applyFont="1" applyBorder="1" applyAlignment="1">
      <alignment wrapText="1"/>
    </xf>
    <xf numFmtId="0" fontId="52" fillId="2" borderId="45" xfId="0" applyFont="1" applyFill="1" applyBorder="1" applyAlignment="1">
      <alignment horizontal="left" vertical="center" wrapText="1"/>
    </xf>
    <xf numFmtId="0" fontId="53" fillId="0" borderId="45" xfId="0" applyFont="1" applyBorder="1" applyAlignment="1">
      <alignment wrapText="1"/>
    </xf>
    <xf numFmtId="0" fontId="74" fillId="4" borderId="45" xfId="0" applyFont="1" applyFill="1" applyBorder="1" applyAlignment="1">
      <alignment horizontal="center" vertical="center" wrapText="1"/>
    </xf>
    <xf numFmtId="0" fontId="53" fillId="0" borderId="42" xfId="0" applyFont="1" applyBorder="1" applyAlignment="1">
      <alignment wrapText="1"/>
    </xf>
    <xf numFmtId="0" fontId="53" fillId="0" borderId="23" xfId="0" applyFont="1" applyBorder="1" applyAlignment="1">
      <alignment wrapText="1"/>
    </xf>
    <xf numFmtId="0" fontId="53" fillId="0" borderId="24" xfId="0" applyFont="1" applyBorder="1" applyAlignment="1">
      <alignment wrapText="1"/>
    </xf>
    <xf numFmtId="0" fontId="58" fillId="0" borderId="23" xfId="0" applyFont="1" applyBorder="1" applyAlignment="1">
      <alignment horizontal="center" vertical="center" wrapText="1"/>
    </xf>
    <xf numFmtId="0" fontId="98" fillId="0" borderId="23" xfId="0" applyFont="1" applyBorder="1" applyAlignment="1">
      <alignment horizontal="center" wrapText="1"/>
    </xf>
    <xf numFmtId="0" fontId="52" fillId="2" borderId="45" xfId="0" applyFont="1" applyFill="1" applyBorder="1" applyAlignment="1">
      <alignment horizontal="right" vertical="center" wrapText="1"/>
    </xf>
    <xf numFmtId="10" fontId="54" fillId="2" borderId="45" xfId="0" applyNumberFormat="1" applyFont="1" applyFill="1" applyBorder="1" applyAlignment="1">
      <alignment horizontal="center" vertical="center" wrapText="1"/>
    </xf>
    <xf numFmtId="0" fontId="52" fillId="2" borderId="23" xfId="0" applyFont="1" applyFill="1" applyBorder="1" applyAlignment="1">
      <alignment horizontal="left" vertical="center" wrapText="1"/>
    </xf>
    <xf numFmtId="0" fontId="52" fillId="2" borderId="23" xfId="0" applyFont="1" applyFill="1" applyBorder="1" applyAlignment="1">
      <alignment horizontal="center" vertical="center" wrapText="1"/>
    </xf>
    <xf numFmtId="0" fontId="76" fillId="4" borderId="23" xfId="0" applyFont="1" applyFill="1" applyBorder="1" applyAlignment="1">
      <alignment horizontal="center" vertical="center" wrapText="1"/>
    </xf>
    <xf numFmtId="0" fontId="53" fillId="4" borderId="23" xfId="0" applyFont="1" applyFill="1" applyBorder="1" applyAlignment="1">
      <alignment horizontal="center" vertical="center" wrapText="1"/>
    </xf>
    <xf numFmtId="0" fontId="48" fillId="4" borderId="23" xfId="0" applyFont="1" applyFill="1" applyBorder="1" applyAlignment="1">
      <alignment horizontal="center" vertical="center" wrapText="1"/>
    </xf>
    <xf numFmtId="0" fontId="113" fillId="0" borderId="44" xfId="0" applyFont="1" applyBorder="1" applyAlignment="1">
      <alignment horizontal="center" vertical="center" wrapText="1"/>
    </xf>
    <xf numFmtId="0" fontId="53" fillId="0" borderId="25" xfId="0" applyFont="1" applyBorder="1" applyAlignment="1">
      <alignment wrapText="1"/>
    </xf>
    <xf numFmtId="0" fontId="89" fillId="2" borderId="45" xfId="0" applyFont="1" applyFill="1" applyBorder="1" applyAlignment="1">
      <alignment horizontal="center" vertical="center" wrapText="1"/>
    </xf>
    <xf numFmtId="0" fontId="94" fillId="0" borderId="23" xfId="0" applyFont="1" applyBorder="1" applyAlignment="1">
      <alignment wrapText="1"/>
    </xf>
    <xf numFmtId="0" fontId="53" fillId="0" borderId="45" xfId="0" applyFont="1" applyBorder="1" applyAlignment="1">
      <alignment horizontal="center" vertical="center" wrapText="1"/>
    </xf>
    <xf numFmtId="0" fontId="60" fillId="8" borderId="23" xfId="0" applyFont="1" applyFill="1" applyBorder="1" applyAlignment="1">
      <alignment horizontal="center" vertical="center" wrapText="1"/>
    </xf>
    <xf numFmtId="0" fontId="92" fillId="4" borderId="45" xfId="0" applyFont="1" applyFill="1" applyBorder="1" applyAlignment="1">
      <alignment horizontal="center" vertical="center" wrapText="1"/>
    </xf>
    <xf numFmtId="0" fontId="60" fillId="6" borderId="46" xfId="0" applyFont="1" applyFill="1" applyBorder="1" applyAlignment="1">
      <alignment horizontal="center" vertical="center" wrapText="1"/>
    </xf>
    <xf numFmtId="0" fontId="58" fillId="0" borderId="46" xfId="0" applyFont="1" applyBorder="1" applyAlignment="1">
      <alignment wrapText="1"/>
    </xf>
    <xf numFmtId="0" fontId="89" fillId="2" borderId="45" xfId="0" applyFont="1" applyFill="1" applyBorder="1" applyAlignment="1">
      <alignment horizontal="right" vertical="center" wrapText="1"/>
    </xf>
    <xf numFmtId="0" fontId="32" fillId="0" borderId="14" xfId="0" applyFont="1" applyBorder="1" applyAlignment="1">
      <alignment horizontal="center" wrapText="1"/>
    </xf>
    <xf numFmtId="0" fontId="6" fillId="0" borderId="14" xfId="0" applyFont="1" applyBorder="1" applyAlignment="1">
      <alignment wrapText="1"/>
    </xf>
    <xf numFmtId="0" fontId="32" fillId="0" borderId="0" xfId="0" applyFont="1" applyAlignment="1">
      <alignment horizontal="center" wrapText="1"/>
    </xf>
    <xf numFmtId="0" fontId="0" fillId="0" borderId="0" xfId="0" applyFont="1" applyAlignment="1">
      <alignment wrapText="1"/>
    </xf>
    <xf numFmtId="0" fontId="2" fillId="0" borderId="0" xfId="0" applyFont="1" applyAlignment="1">
      <alignment wrapText="1"/>
    </xf>
    <xf numFmtId="0" fontId="24" fillId="0" borderId="6" xfId="0" applyFont="1" applyBorder="1" applyAlignment="1">
      <alignment wrapText="1"/>
    </xf>
    <xf numFmtId="0" fontId="20" fillId="0" borderId="0" xfId="0" applyFont="1" applyAlignment="1">
      <alignment horizontal="center" vertical="center" wrapText="1"/>
    </xf>
    <xf numFmtId="0" fontId="24" fillId="12" borderId="0" xfId="0" applyFont="1" applyFill="1" applyAlignment="1">
      <alignment horizontal="center" wrapText="1"/>
    </xf>
    <xf numFmtId="0" fontId="11" fillId="2" borderId="0" xfId="0" applyFont="1" applyFill="1" applyAlignment="1">
      <alignment horizontal="center" vertical="center" wrapText="1"/>
    </xf>
    <xf numFmtId="0" fontId="11" fillId="2" borderId="0" xfId="0" applyFont="1" applyFill="1" applyAlignment="1">
      <alignment horizontal="right" vertical="center" wrapText="1"/>
    </xf>
    <xf numFmtId="10" fontId="103" fillId="2" borderId="0" xfId="0" applyNumberFormat="1" applyFont="1" applyFill="1" applyAlignment="1">
      <alignment horizontal="right" vertical="center" wrapText="1"/>
    </xf>
    <xf numFmtId="0" fontId="104" fillId="0" borderId="0" xfId="0" applyFont="1" applyAlignment="1">
      <alignment wrapText="1"/>
    </xf>
    <xf numFmtId="0" fontId="16" fillId="4" borderId="0" xfId="0" applyFont="1" applyFill="1" applyAlignment="1">
      <alignment horizontal="center" vertical="center" wrapText="1"/>
    </xf>
    <xf numFmtId="10" fontId="33" fillId="4" borderId="10" xfId="0" applyNumberFormat="1" applyFont="1" applyFill="1" applyBorder="1" applyAlignment="1">
      <alignment horizontal="center" vertical="center" wrapText="1"/>
    </xf>
    <xf numFmtId="0" fontId="6" fillId="0" borderId="11" xfId="0" applyFont="1" applyBorder="1" applyAlignment="1">
      <alignment wrapText="1"/>
    </xf>
    <xf numFmtId="0" fontId="6" fillId="0" borderId="17" xfId="0" applyFont="1" applyBorder="1" applyAlignment="1">
      <alignment wrapText="1"/>
    </xf>
    <xf numFmtId="0" fontId="6" fillId="0" borderId="7" xfId="0" applyFont="1" applyBorder="1" applyAlignment="1">
      <alignment wrapText="1"/>
    </xf>
    <xf numFmtId="0" fontId="14" fillId="0" borderId="2" xfId="0" applyFont="1" applyBorder="1" applyAlignment="1">
      <alignment horizontal="center" vertical="top" wrapText="1"/>
    </xf>
    <xf numFmtId="0" fontId="6" fillId="0" borderId="2" xfId="0" applyFont="1" applyBorder="1" applyAlignment="1">
      <alignment wrapText="1"/>
    </xf>
    <xf numFmtId="0" fontId="3" fillId="5" borderId="2" xfId="0" applyFont="1" applyFill="1" applyBorder="1" applyAlignment="1">
      <alignment wrapText="1"/>
    </xf>
    <xf numFmtId="0" fontId="0" fillId="0" borderId="0" xfId="0" applyFont="1" applyAlignment="1">
      <alignment horizontal="center" wrapText="1"/>
    </xf>
    <xf numFmtId="0" fontId="0" fillId="0" borderId="37" xfId="0" applyFont="1" applyBorder="1" applyAlignment="1">
      <alignment horizontal="center" wrapText="1"/>
    </xf>
    <xf numFmtId="0" fontId="74" fillId="17" borderId="34" xfId="0" applyFont="1" applyFill="1" applyBorder="1" applyAlignment="1">
      <alignment horizontal="center" vertical="center" wrapText="1"/>
    </xf>
    <xf numFmtId="0" fontId="74" fillId="17" borderId="0" xfId="0" applyFont="1" applyFill="1" applyBorder="1" applyAlignment="1">
      <alignment horizontal="center" vertical="center" wrapText="1"/>
    </xf>
    <xf numFmtId="0" fontId="74" fillId="17" borderId="35" xfId="0" applyFont="1" applyFill="1" applyBorder="1" applyAlignment="1">
      <alignment horizontal="center" vertical="center" wrapText="1"/>
    </xf>
    <xf numFmtId="0" fontId="74" fillId="17" borderId="36" xfId="0" applyFont="1" applyFill="1" applyBorder="1" applyAlignment="1">
      <alignment horizontal="center" vertical="center" wrapText="1"/>
    </xf>
    <xf numFmtId="0" fontId="74" fillId="17" borderId="37" xfId="0" applyFont="1" applyFill="1" applyBorder="1" applyAlignment="1">
      <alignment horizontal="center" vertical="center" wrapText="1"/>
    </xf>
    <xf numFmtId="0" fontId="74" fillId="17" borderId="38" xfId="0" applyFont="1" applyFill="1" applyBorder="1" applyAlignment="1">
      <alignment horizontal="center" vertical="center" wrapText="1"/>
    </xf>
    <xf numFmtId="0" fontId="82" fillId="0" borderId="28" xfId="0" applyFont="1" applyBorder="1" applyAlignment="1">
      <alignment horizontal="center" vertical="center" wrapText="1"/>
    </xf>
    <xf numFmtId="0" fontId="82" fillId="0" borderId="29" xfId="0" applyFont="1" applyBorder="1" applyAlignment="1">
      <alignment horizontal="center" vertical="center" wrapText="1"/>
    </xf>
    <xf numFmtId="0" fontId="82" fillId="0" borderId="30" xfId="0" applyFont="1" applyBorder="1" applyAlignment="1">
      <alignment horizontal="center" vertical="center" wrapText="1"/>
    </xf>
    <xf numFmtId="0" fontId="83" fillId="0" borderId="31" xfId="0" applyFont="1" applyBorder="1" applyAlignment="1">
      <alignment horizontal="center" vertical="center" wrapText="1"/>
    </xf>
    <xf numFmtId="0" fontId="83" fillId="0" borderId="32"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0" xfId="0" applyFont="1" applyBorder="1" applyAlignment="1">
      <alignment horizontal="center" vertical="center" wrapText="1"/>
    </xf>
    <xf numFmtId="0" fontId="53" fillId="24" borderId="36" xfId="0" applyFont="1" applyFill="1" applyBorder="1" applyAlignment="1">
      <alignment horizontal="center" vertical="center" wrapText="1"/>
    </xf>
    <xf numFmtId="0" fontId="53" fillId="24" borderId="37" xfId="0" applyFont="1" applyFill="1" applyBorder="1" applyAlignment="1">
      <alignment horizontal="center" vertical="center" wrapText="1"/>
    </xf>
    <xf numFmtId="0" fontId="83" fillId="0" borderId="33" xfId="0" applyFont="1" applyBorder="1" applyAlignment="1">
      <alignment horizontal="center" vertical="center" wrapText="1"/>
    </xf>
    <xf numFmtId="0" fontId="53" fillId="25" borderId="34" xfId="0" applyFont="1" applyFill="1" applyBorder="1" applyAlignment="1">
      <alignment horizontal="center" vertical="center" wrapText="1"/>
    </xf>
    <xf numFmtId="0" fontId="53" fillId="25" borderId="0" xfId="0" applyFont="1" applyFill="1" applyBorder="1" applyAlignment="1">
      <alignment horizontal="center" vertical="center" wrapText="1"/>
    </xf>
    <xf numFmtId="0" fontId="53" fillId="25" borderId="35" xfId="0" applyFont="1" applyFill="1" applyBorder="1" applyAlignment="1">
      <alignment horizontal="center" vertical="center" wrapText="1"/>
    </xf>
    <xf numFmtId="0" fontId="53" fillId="26" borderId="34" xfId="0" applyFont="1" applyFill="1" applyBorder="1" applyAlignment="1">
      <alignment horizontal="center" vertical="center" wrapText="1"/>
    </xf>
    <xf numFmtId="0" fontId="53" fillId="26" borderId="0" xfId="0" applyFont="1" applyFill="1" applyBorder="1" applyAlignment="1">
      <alignment horizontal="center" vertical="center" wrapText="1"/>
    </xf>
    <xf numFmtId="0" fontId="53" fillId="26" borderId="35" xfId="0" applyFont="1" applyFill="1" applyBorder="1" applyAlignment="1">
      <alignment horizontal="center" vertical="center" wrapText="1"/>
    </xf>
    <xf numFmtId="0" fontId="84" fillId="0" borderId="34" xfId="0" applyFont="1" applyBorder="1" applyAlignment="1">
      <alignment horizontal="center" vertical="center" wrapText="1"/>
    </xf>
    <xf numFmtId="0" fontId="84" fillId="0" borderId="0" xfId="0" applyFont="1" applyBorder="1" applyAlignment="1">
      <alignment horizontal="center" vertical="center" wrapText="1"/>
    </xf>
    <xf numFmtId="0" fontId="85" fillId="0" borderId="36" xfId="0" applyFont="1" applyBorder="1" applyAlignment="1">
      <alignment horizontal="center" vertical="center" wrapText="1"/>
    </xf>
    <xf numFmtId="0" fontId="85" fillId="0" borderId="37" xfId="0" applyFont="1" applyBorder="1" applyAlignment="1">
      <alignment horizontal="center" vertical="center" wrapText="1"/>
    </xf>
    <xf numFmtId="0" fontId="53" fillId="0" borderId="32" xfId="0" applyFont="1" applyBorder="1" applyAlignment="1">
      <alignment horizontal="center" wrapText="1"/>
    </xf>
    <xf numFmtId="0" fontId="53" fillId="0" borderId="0" xfId="0" applyFont="1" applyBorder="1" applyAlignment="1">
      <alignment horizontal="center" wrapText="1"/>
    </xf>
  </cellXfs>
  <cellStyles count="5">
    <cellStyle name="Followed Hyperlink" xfId="4" builtinId="9" customBuiltin="1"/>
    <cellStyle name="Hyperlink" xfId="1" builtinId="8" customBuiltin="1"/>
    <cellStyle name="Normal" xfId="0" builtinId="0"/>
    <cellStyle name="Normal 2" xfId="3" xr:uid="{00000000-0005-0000-0000-000002000000}"/>
    <cellStyle name="Percent" xfId="2" builtinId="5"/>
  </cellStyles>
  <dxfs count="339">
    <dxf>
      <font>
        <color rgb="FFFF0000"/>
      </font>
      <fill>
        <patternFill patternType="none"/>
      </fill>
      <alignment wrapText="1"/>
      <border>
        <left/>
        <right/>
        <top/>
        <bottom/>
      </border>
    </dxf>
    <dxf>
      <font>
        <color rgb="FF38761D"/>
      </font>
      <fill>
        <patternFill patternType="none"/>
      </fill>
      <alignment wrapText="1"/>
      <border>
        <left/>
        <right/>
        <top/>
        <bottom/>
      </border>
    </dxf>
    <dxf>
      <font>
        <color rgb="FFFF0000"/>
      </font>
      <fill>
        <patternFill patternType="none"/>
      </fill>
      <alignment wrapText="1"/>
      <border>
        <left/>
        <right/>
        <top/>
        <bottom/>
      </border>
    </dxf>
    <dxf>
      <font>
        <color rgb="FF38761D"/>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
      <font>
        <color rgb="FFFF0000"/>
      </font>
      <fill>
        <patternFill patternType="none"/>
      </fill>
      <alignment wrapText="1"/>
      <border>
        <left/>
        <right/>
        <top/>
        <bottom/>
      </border>
    </dxf>
  </dxfs>
  <tableStyles count="0" defaultTableStyle="TableStyleMedium2" defaultPivotStyle="PivotStyleLight16"/>
  <colors>
    <mruColors>
      <color rgb="FFFFE699"/>
      <color rgb="FFBBD8FB"/>
      <color rgb="FFFFFF66"/>
      <color rgb="FFEAEA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142875</xdr:colOff>
      <xdr:row>541</xdr:row>
      <xdr:rowOff>66675</xdr:rowOff>
    </xdr:from>
    <xdr:to>
      <xdr:col>11</xdr:col>
      <xdr:colOff>457975</xdr:colOff>
      <xdr:row>545</xdr:row>
      <xdr:rowOff>76327</xdr:rowOff>
    </xdr:to>
    <xdr:pic>
      <xdr:nvPicPr>
        <xdr:cNvPr id="2" name="Picture 1">
          <a:extLst>
            <a:ext uri="{FF2B5EF4-FFF2-40B4-BE49-F238E27FC236}">
              <a16:creationId xmlns:a16="http://schemas.microsoft.com/office/drawing/2014/main" id="{636378B4-E5F8-49FE-90C4-F20EA5CA1A1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09775" y="65932050"/>
          <a:ext cx="5553850" cy="657353"/>
        </a:xfrm>
        <a:prstGeom prst="rect">
          <a:avLst/>
        </a:prstGeom>
      </xdr:spPr>
    </xdr:pic>
    <xdr:clientData/>
  </xdr:twoCellAnchor>
  <xdr:twoCellAnchor editAs="oneCell">
    <xdr:from>
      <xdr:col>1</xdr:col>
      <xdr:colOff>95250</xdr:colOff>
      <xdr:row>546</xdr:row>
      <xdr:rowOff>152400</xdr:rowOff>
    </xdr:from>
    <xdr:to>
      <xdr:col>13</xdr:col>
      <xdr:colOff>58022</xdr:colOff>
      <xdr:row>566</xdr:row>
      <xdr:rowOff>133794</xdr:rowOff>
    </xdr:to>
    <xdr:pic>
      <xdr:nvPicPr>
        <xdr:cNvPr id="4" name="Picture 3">
          <a:extLst>
            <a:ext uri="{FF2B5EF4-FFF2-40B4-BE49-F238E27FC236}">
              <a16:creationId xmlns:a16="http://schemas.microsoft.com/office/drawing/2014/main" id="{6361DA77-C1FD-45EF-8BB0-23EFDBB008A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62150" y="66827400"/>
          <a:ext cx="6249272" cy="321989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0</xdr:colOff>
      <xdr:row>456</xdr:row>
      <xdr:rowOff>0</xdr:rowOff>
    </xdr:from>
    <xdr:to>
      <xdr:col>16</xdr:col>
      <xdr:colOff>315100</xdr:colOff>
      <xdr:row>460</xdr:row>
      <xdr:rowOff>9637</xdr:rowOff>
    </xdr:to>
    <xdr:pic>
      <xdr:nvPicPr>
        <xdr:cNvPr id="2" name="Picture 1">
          <a:extLst>
            <a:ext uri="{FF2B5EF4-FFF2-40B4-BE49-F238E27FC236}">
              <a16:creationId xmlns:a16="http://schemas.microsoft.com/office/drawing/2014/main" id="{C4EE02E3-C4D2-4839-96BC-6C72F9B68EF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438650" y="24422100"/>
          <a:ext cx="5553850" cy="65731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tangotiger.com/index.php/site/comments/scoring-system-for-hof-ballots-2015"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bit.ly/2gGMY8D" TargetMode="External"/><Relationship Id="rId2" Type="http://schemas.openxmlformats.org/officeDocument/2006/relationships/hyperlink" Target="http://bit.ly/2fAuQya" TargetMode="External"/><Relationship Id="rId1" Type="http://schemas.openxmlformats.org/officeDocument/2006/relationships/hyperlink" Target="http://tangotiger.com/index.php/site/comments/scoring-system-for-hof-ballots-2015" TargetMode="Externa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http://bit.ly/1IV4oo6" TargetMode="External"/><Relationship Id="rId18" Type="http://schemas.openxmlformats.org/officeDocument/2006/relationships/hyperlink" Target="http://bit.ly/1jYFzRI" TargetMode="External"/><Relationship Id="rId26" Type="http://schemas.openxmlformats.org/officeDocument/2006/relationships/hyperlink" Target="http://bit.ly/22lGGxh" TargetMode="External"/><Relationship Id="rId3" Type="http://schemas.openxmlformats.org/officeDocument/2006/relationships/hyperlink" Target="http://bit.ly/1NQ4JhP" TargetMode="External"/><Relationship Id="rId21" Type="http://schemas.openxmlformats.org/officeDocument/2006/relationships/hyperlink" Target="http://bit.ly/1juZDLm" TargetMode="External"/><Relationship Id="rId34" Type="http://schemas.openxmlformats.org/officeDocument/2006/relationships/hyperlink" Target="http://trib.in/1R4DSRK" TargetMode="External"/><Relationship Id="rId7" Type="http://schemas.openxmlformats.org/officeDocument/2006/relationships/hyperlink" Target="http://bit.ly/1PGKALg" TargetMode="External"/><Relationship Id="rId12" Type="http://schemas.openxmlformats.org/officeDocument/2006/relationships/hyperlink" Target="http://bit.ly/1HSXdCb" TargetMode="External"/><Relationship Id="rId17" Type="http://schemas.openxmlformats.org/officeDocument/2006/relationships/hyperlink" Target="http://bit.ly/1mkc9zr" TargetMode="External"/><Relationship Id="rId25" Type="http://schemas.openxmlformats.org/officeDocument/2006/relationships/hyperlink" Target="http://trib.in/1IJ2dd4" TargetMode="External"/><Relationship Id="rId33" Type="http://schemas.openxmlformats.org/officeDocument/2006/relationships/hyperlink" Target="http://bit.ly/1Z6x05g" TargetMode="External"/><Relationship Id="rId2" Type="http://schemas.openxmlformats.org/officeDocument/2006/relationships/hyperlink" Target="http://bit.ly/1lmmqdP" TargetMode="External"/><Relationship Id="rId16" Type="http://schemas.openxmlformats.org/officeDocument/2006/relationships/hyperlink" Target="http://www.twitter.com/NotMrTibbs" TargetMode="External"/><Relationship Id="rId20" Type="http://schemas.openxmlformats.org/officeDocument/2006/relationships/hyperlink" Target="http://bit.ly/1NnzAkb" TargetMode="External"/><Relationship Id="rId29" Type="http://schemas.openxmlformats.org/officeDocument/2006/relationships/hyperlink" Target="http://sfchron.cl/1Rfd9Cb" TargetMode="External"/><Relationship Id="rId1" Type="http://schemas.openxmlformats.org/officeDocument/2006/relationships/hyperlink" Target="http://tangotiger.com/index.php/site/comments/scoring-system-for-hof-ballots-2015" TargetMode="External"/><Relationship Id="rId6" Type="http://schemas.openxmlformats.org/officeDocument/2006/relationships/hyperlink" Target="http://bit.ly/1MRVs3Q" TargetMode="External"/><Relationship Id="rId11" Type="http://schemas.openxmlformats.org/officeDocument/2006/relationships/hyperlink" Target="http://bit.ly/1NxECfa" TargetMode="External"/><Relationship Id="rId24" Type="http://schemas.openxmlformats.org/officeDocument/2006/relationships/hyperlink" Target="http://es.pn/1QKlhKF" TargetMode="External"/><Relationship Id="rId32" Type="http://schemas.openxmlformats.org/officeDocument/2006/relationships/hyperlink" Target="http://bit.ly/1mDdv8O" TargetMode="External"/><Relationship Id="rId5" Type="http://schemas.openxmlformats.org/officeDocument/2006/relationships/hyperlink" Target="http://bit.ly/1Mi6DWk" TargetMode="External"/><Relationship Id="rId15" Type="http://schemas.openxmlformats.org/officeDocument/2006/relationships/hyperlink" Target="http://bit.ly/1lULIj6" TargetMode="External"/><Relationship Id="rId23" Type="http://schemas.openxmlformats.org/officeDocument/2006/relationships/hyperlink" Target="http://bit.ly/1JezcAz" TargetMode="External"/><Relationship Id="rId28" Type="http://schemas.openxmlformats.org/officeDocument/2006/relationships/hyperlink" Target="http://bit.ly/1PKR6l3" TargetMode="External"/><Relationship Id="rId10" Type="http://schemas.openxmlformats.org/officeDocument/2006/relationships/hyperlink" Target="http://bit.ly/1RhbUAI" TargetMode="External"/><Relationship Id="rId19" Type="http://schemas.openxmlformats.org/officeDocument/2006/relationships/hyperlink" Target="http://bit.ly/1RmKwlP" TargetMode="External"/><Relationship Id="rId31" Type="http://schemas.openxmlformats.org/officeDocument/2006/relationships/hyperlink" Target="http://bit.ly/1QXTtlU" TargetMode="External"/><Relationship Id="rId4" Type="http://schemas.openxmlformats.org/officeDocument/2006/relationships/hyperlink" Target="http://bit.ly/1MsfNx8" TargetMode="External"/><Relationship Id="rId9" Type="http://schemas.openxmlformats.org/officeDocument/2006/relationships/hyperlink" Target="http://trib.in/1In7xwK" TargetMode="External"/><Relationship Id="rId14" Type="http://schemas.openxmlformats.org/officeDocument/2006/relationships/hyperlink" Target="http://bit.ly/1Q0jEba" TargetMode="External"/><Relationship Id="rId22" Type="http://schemas.openxmlformats.org/officeDocument/2006/relationships/hyperlink" Target="http://bit.ly/1lPMAGl" TargetMode="External"/><Relationship Id="rId27" Type="http://schemas.openxmlformats.org/officeDocument/2006/relationships/hyperlink" Target="http://bit.ly/1mz3g5w" TargetMode="External"/><Relationship Id="rId30" Type="http://schemas.openxmlformats.org/officeDocument/2006/relationships/hyperlink" Target="http://bit.ly/1mDnHO3" TargetMode="External"/><Relationship Id="rId35" Type="http://schemas.openxmlformats.org/officeDocument/2006/relationships/printerSettings" Target="../printerSettings/printerSettings3.bin"/><Relationship Id="rId8" Type="http://schemas.openxmlformats.org/officeDocument/2006/relationships/hyperlink" Target="http://bit.ly/1XfeerH" TargetMode="External"/></Relationships>
</file>

<file path=xl/worksheets/_rels/sheet4.xml.rels><?xml version="1.0" encoding="UTF-8" standalone="yes"?>
<Relationships xmlns="http://schemas.openxmlformats.org/package/2006/relationships"><Relationship Id="rId117" Type="http://schemas.openxmlformats.org/officeDocument/2006/relationships/hyperlink" Target="http://bit.ly/1w0RQDW" TargetMode="External"/><Relationship Id="rId299" Type="http://schemas.openxmlformats.org/officeDocument/2006/relationships/hyperlink" Target="http://bbwaa.com/15-hof-ballots/" TargetMode="External"/><Relationship Id="rId21" Type="http://schemas.openxmlformats.org/officeDocument/2006/relationships/hyperlink" Target="http://bit.ly/1APHlr2" TargetMode="External"/><Relationship Id="rId63" Type="http://schemas.openxmlformats.org/officeDocument/2006/relationships/hyperlink" Target="http://es.pn/1rU0d92" TargetMode="External"/><Relationship Id="rId159" Type="http://schemas.openxmlformats.org/officeDocument/2006/relationships/hyperlink" Target="http://foxs.pt/1x9YU8k" TargetMode="External"/><Relationship Id="rId170" Type="http://schemas.openxmlformats.org/officeDocument/2006/relationships/hyperlink" Target="http://atmlb.com/1AS5UUn" TargetMode="External"/><Relationship Id="rId226" Type="http://schemas.openxmlformats.org/officeDocument/2006/relationships/hyperlink" Target="http://bbwaa.com/15-hof-ballots/" TargetMode="External"/><Relationship Id="rId268" Type="http://schemas.openxmlformats.org/officeDocument/2006/relationships/hyperlink" Target="http://bbwaa.com/15-hof-ballots/" TargetMode="External"/><Relationship Id="rId32" Type="http://schemas.openxmlformats.org/officeDocument/2006/relationships/hyperlink" Target="http://es.pn/1rU0d92" TargetMode="External"/><Relationship Id="rId74" Type="http://schemas.openxmlformats.org/officeDocument/2006/relationships/hyperlink" Target="http://es.pn/1rU0d92" TargetMode="External"/><Relationship Id="rId128" Type="http://schemas.openxmlformats.org/officeDocument/2006/relationships/hyperlink" Target="http://bit.ly/1wQgYgN" TargetMode="External"/><Relationship Id="rId5" Type="http://schemas.openxmlformats.org/officeDocument/2006/relationships/hyperlink" Target="http://tangotiger.com/index.php/site/comments/scoring-system-for-hof-ballots-2015" TargetMode="External"/><Relationship Id="rId181" Type="http://schemas.openxmlformats.org/officeDocument/2006/relationships/hyperlink" Target="http://bit.ly/17e35o0" TargetMode="External"/><Relationship Id="rId237" Type="http://schemas.openxmlformats.org/officeDocument/2006/relationships/hyperlink" Target="http://bbwaa.com/15-hof-ballots/" TargetMode="External"/><Relationship Id="rId279" Type="http://schemas.openxmlformats.org/officeDocument/2006/relationships/hyperlink" Target="http://bbwaa.com/15-hof-ballots/" TargetMode="External"/><Relationship Id="rId43" Type="http://schemas.openxmlformats.org/officeDocument/2006/relationships/hyperlink" Target="http://bit.ly/1BEtNiH" TargetMode="External"/><Relationship Id="rId139" Type="http://schemas.openxmlformats.org/officeDocument/2006/relationships/hyperlink" Target="http://es.pn/1rU0d92" TargetMode="External"/><Relationship Id="rId290" Type="http://schemas.openxmlformats.org/officeDocument/2006/relationships/hyperlink" Target="http://bbwaa.com/15-hof-ballots/" TargetMode="External"/><Relationship Id="rId304" Type="http://schemas.openxmlformats.org/officeDocument/2006/relationships/hyperlink" Target="http://bbwaa.com/15-hof-ballots/" TargetMode="External"/><Relationship Id="rId85" Type="http://schemas.openxmlformats.org/officeDocument/2006/relationships/hyperlink" Target="http://bit.ly/1DfyaF0" TargetMode="External"/><Relationship Id="rId150" Type="http://schemas.openxmlformats.org/officeDocument/2006/relationships/hyperlink" Target="http://bit.ly/1HCoTGN" TargetMode="External"/><Relationship Id="rId192" Type="http://schemas.openxmlformats.org/officeDocument/2006/relationships/hyperlink" Target="http://bbwaa.com/15-hof-ballots/" TargetMode="External"/><Relationship Id="rId206" Type="http://schemas.openxmlformats.org/officeDocument/2006/relationships/hyperlink" Target="http://bbwaa.com/15-hof-ballots/" TargetMode="External"/><Relationship Id="rId248" Type="http://schemas.openxmlformats.org/officeDocument/2006/relationships/hyperlink" Target="http://bbwaa.com/15-hof-ballots/" TargetMode="External"/><Relationship Id="rId12" Type="http://schemas.openxmlformats.org/officeDocument/2006/relationships/hyperlink" Target="http://bit.ly/1wSh4EX" TargetMode="External"/><Relationship Id="rId108" Type="http://schemas.openxmlformats.org/officeDocument/2006/relationships/hyperlink" Target="http://bit.ly/1xuYcCK" TargetMode="External"/><Relationship Id="rId54" Type="http://schemas.openxmlformats.org/officeDocument/2006/relationships/hyperlink" Target="http://imgur.com/gULiDdy" TargetMode="External"/><Relationship Id="rId96" Type="http://schemas.openxmlformats.org/officeDocument/2006/relationships/hyperlink" Target="http://bit.ly/1Dtg7IP" TargetMode="External"/><Relationship Id="rId161" Type="http://schemas.openxmlformats.org/officeDocument/2006/relationships/hyperlink" Target="http://es.pn/15mV27r" TargetMode="External"/><Relationship Id="rId217" Type="http://schemas.openxmlformats.org/officeDocument/2006/relationships/hyperlink" Target="http://bit.ly/1BccyUk" TargetMode="External"/><Relationship Id="rId259" Type="http://schemas.openxmlformats.org/officeDocument/2006/relationships/hyperlink" Target="http://bit.ly/14K1uVs" TargetMode="External"/><Relationship Id="rId23" Type="http://schemas.openxmlformats.org/officeDocument/2006/relationships/hyperlink" Target="http://bit.ly/1yB7Kqf" TargetMode="External"/><Relationship Id="rId119" Type="http://schemas.openxmlformats.org/officeDocument/2006/relationships/hyperlink" Target="http://bit.ly/1KcBZge" TargetMode="External"/><Relationship Id="rId270" Type="http://schemas.openxmlformats.org/officeDocument/2006/relationships/hyperlink" Target="http://bbwaa.com/15-hof-ballots/" TargetMode="External"/><Relationship Id="rId291" Type="http://schemas.openxmlformats.org/officeDocument/2006/relationships/hyperlink" Target="http://bit.ly/1xakbrX" TargetMode="External"/><Relationship Id="rId305" Type="http://schemas.openxmlformats.org/officeDocument/2006/relationships/hyperlink" Target="http://bit.ly/1xBJDvD" TargetMode="External"/><Relationship Id="rId44" Type="http://schemas.openxmlformats.org/officeDocument/2006/relationships/hyperlink" Target="http://bit.ly/1w9eJoB" TargetMode="External"/><Relationship Id="rId65" Type="http://schemas.openxmlformats.org/officeDocument/2006/relationships/hyperlink" Target="http://bit.ly/1HbmUZW" TargetMode="External"/><Relationship Id="rId86" Type="http://schemas.openxmlformats.org/officeDocument/2006/relationships/hyperlink" Target="http://bit.ly/13FPROq" TargetMode="External"/><Relationship Id="rId130" Type="http://schemas.openxmlformats.org/officeDocument/2006/relationships/hyperlink" Target="http://bit.ly/1CCAupe" TargetMode="External"/><Relationship Id="rId151" Type="http://schemas.openxmlformats.org/officeDocument/2006/relationships/hyperlink" Target="http://bit.ly/1wSjtzl" TargetMode="External"/><Relationship Id="rId172" Type="http://schemas.openxmlformats.org/officeDocument/2006/relationships/hyperlink" Target="http://bit.ly/1zTf3OA" TargetMode="External"/><Relationship Id="rId193" Type="http://schemas.openxmlformats.org/officeDocument/2006/relationships/hyperlink" Target="http://bit.ly/13XJar6" TargetMode="External"/><Relationship Id="rId207" Type="http://schemas.openxmlformats.org/officeDocument/2006/relationships/hyperlink" Target="http://bbwaa.com/15-hof-ballots/" TargetMode="External"/><Relationship Id="rId228" Type="http://schemas.openxmlformats.org/officeDocument/2006/relationships/hyperlink" Target="http://bbwaa.com/15-hof-ballots/" TargetMode="External"/><Relationship Id="rId249" Type="http://schemas.openxmlformats.org/officeDocument/2006/relationships/hyperlink" Target="http://bit.ly/1ACfr4d" TargetMode="External"/><Relationship Id="rId13" Type="http://schemas.openxmlformats.org/officeDocument/2006/relationships/hyperlink" Target="http://bit.ly/1wghLbZ" TargetMode="External"/><Relationship Id="rId109" Type="http://schemas.openxmlformats.org/officeDocument/2006/relationships/hyperlink" Target="http://onforb.es/1x9f2DL" TargetMode="External"/><Relationship Id="rId260" Type="http://schemas.openxmlformats.org/officeDocument/2006/relationships/hyperlink" Target="http://bbwaa.com/15-hof-ballots/" TargetMode="External"/><Relationship Id="rId281" Type="http://schemas.openxmlformats.org/officeDocument/2006/relationships/hyperlink" Target="http://bit.ly/14t5wSz" TargetMode="External"/><Relationship Id="rId34" Type="http://schemas.openxmlformats.org/officeDocument/2006/relationships/hyperlink" Target="http://bit.ly/1K4vL1Z" TargetMode="External"/><Relationship Id="rId55" Type="http://schemas.openxmlformats.org/officeDocument/2006/relationships/hyperlink" Target="http://bit.ly/1JVdZ0R" TargetMode="External"/><Relationship Id="rId76" Type="http://schemas.openxmlformats.org/officeDocument/2006/relationships/hyperlink" Target="http://atmlb.com/13UqbxC" TargetMode="External"/><Relationship Id="rId97" Type="http://schemas.openxmlformats.org/officeDocument/2006/relationships/hyperlink" Target="http://bit.ly/14qEL18" TargetMode="External"/><Relationship Id="rId120" Type="http://schemas.openxmlformats.org/officeDocument/2006/relationships/hyperlink" Target="http://bit.ly/1yQcfAV" TargetMode="External"/><Relationship Id="rId141" Type="http://schemas.openxmlformats.org/officeDocument/2006/relationships/hyperlink" Target="http://es.pn/1rU0d92" TargetMode="External"/><Relationship Id="rId7" Type="http://schemas.openxmlformats.org/officeDocument/2006/relationships/hyperlink" Target="http://bit.ly/1FohNZ1" TargetMode="External"/><Relationship Id="rId162" Type="http://schemas.openxmlformats.org/officeDocument/2006/relationships/hyperlink" Target="http://bit.ly/13BLqVa" TargetMode="External"/><Relationship Id="rId183" Type="http://schemas.openxmlformats.org/officeDocument/2006/relationships/hyperlink" Target="http://bit.ly/1JSfxbZ" TargetMode="External"/><Relationship Id="rId218" Type="http://schemas.openxmlformats.org/officeDocument/2006/relationships/hyperlink" Target="http://bit.ly/1yI7f3e" TargetMode="External"/><Relationship Id="rId239" Type="http://schemas.openxmlformats.org/officeDocument/2006/relationships/hyperlink" Target="http://bbwaa.com/15-hof-ballots/" TargetMode="External"/><Relationship Id="rId250" Type="http://schemas.openxmlformats.org/officeDocument/2006/relationships/hyperlink" Target="http://bbwaa.com/15-hof-ballots/" TargetMode="External"/><Relationship Id="rId271" Type="http://schemas.openxmlformats.org/officeDocument/2006/relationships/hyperlink" Target="http://bit.ly/1BFBnto" TargetMode="External"/><Relationship Id="rId292" Type="http://schemas.openxmlformats.org/officeDocument/2006/relationships/hyperlink" Target="http://bit.ly/1y31tcI" TargetMode="External"/><Relationship Id="rId306" Type="http://schemas.openxmlformats.org/officeDocument/2006/relationships/printerSettings" Target="../printerSettings/printerSettings4.bin"/><Relationship Id="rId24" Type="http://schemas.openxmlformats.org/officeDocument/2006/relationships/hyperlink" Target="http://bit.ly/1E2wLD8" TargetMode="External"/><Relationship Id="rId45" Type="http://schemas.openxmlformats.org/officeDocument/2006/relationships/hyperlink" Target="http://cin.ci/1IlcCF9" TargetMode="External"/><Relationship Id="rId66" Type="http://schemas.openxmlformats.org/officeDocument/2006/relationships/hyperlink" Target="http://bit.ly/1A84RDh" TargetMode="External"/><Relationship Id="rId87" Type="http://schemas.openxmlformats.org/officeDocument/2006/relationships/hyperlink" Target="http://bit.ly/1xzQcPl" TargetMode="External"/><Relationship Id="rId110" Type="http://schemas.openxmlformats.org/officeDocument/2006/relationships/hyperlink" Target="http://on.fb.me/13EpcSF" TargetMode="External"/><Relationship Id="rId131" Type="http://schemas.openxmlformats.org/officeDocument/2006/relationships/hyperlink" Target="http://atmlb.com/13UqbxC" TargetMode="External"/><Relationship Id="rId152" Type="http://schemas.openxmlformats.org/officeDocument/2006/relationships/hyperlink" Target="http://bit.ly/17fmKE2" TargetMode="External"/><Relationship Id="rId173" Type="http://schemas.openxmlformats.org/officeDocument/2006/relationships/hyperlink" Target="http://bit.ly/1BxDBey" TargetMode="External"/><Relationship Id="rId194" Type="http://schemas.openxmlformats.org/officeDocument/2006/relationships/hyperlink" Target="http://bit.ly/1DhtYVn" TargetMode="External"/><Relationship Id="rId208" Type="http://schemas.openxmlformats.org/officeDocument/2006/relationships/hyperlink" Target="http://bbwaa.com/15-hof-ballots/" TargetMode="External"/><Relationship Id="rId229" Type="http://schemas.openxmlformats.org/officeDocument/2006/relationships/hyperlink" Target="http://bbwaa.com/15-hof-ballots/" TargetMode="External"/><Relationship Id="rId240" Type="http://schemas.openxmlformats.org/officeDocument/2006/relationships/hyperlink" Target="http://bbwaa.com/15-hof-ballots/" TargetMode="External"/><Relationship Id="rId261" Type="http://schemas.openxmlformats.org/officeDocument/2006/relationships/hyperlink" Target="http://bit.ly/1wV1fxd" TargetMode="External"/><Relationship Id="rId14" Type="http://schemas.openxmlformats.org/officeDocument/2006/relationships/hyperlink" Target="http://bit.ly/1AiOK5Z" TargetMode="External"/><Relationship Id="rId35" Type="http://schemas.openxmlformats.org/officeDocument/2006/relationships/hyperlink" Target="http://bit.ly/1DGrocH" TargetMode="External"/><Relationship Id="rId56" Type="http://schemas.openxmlformats.org/officeDocument/2006/relationships/hyperlink" Target="http://bit.ly/16EIDMT" TargetMode="External"/><Relationship Id="rId77" Type="http://schemas.openxmlformats.org/officeDocument/2006/relationships/hyperlink" Target="http://bit.ly/1CYp0Kf" TargetMode="External"/><Relationship Id="rId100" Type="http://schemas.openxmlformats.org/officeDocument/2006/relationships/hyperlink" Target="http://bit.ly/1BrWizY" TargetMode="External"/><Relationship Id="rId282" Type="http://schemas.openxmlformats.org/officeDocument/2006/relationships/hyperlink" Target="http://bbwaa.com/15-hof-ballots/" TargetMode="External"/><Relationship Id="rId8" Type="http://schemas.openxmlformats.org/officeDocument/2006/relationships/hyperlink" Target="http://bit.ly/1AlzftV" TargetMode="External"/><Relationship Id="rId98" Type="http://schemas.openxmlformats.org/officeDocument/2006/relationships/hyperlink" Target="http://bit.ly/1wS8fuP" TargetMode="External"/><Relationship Id="rId121" Type="http://schemas.openxmlformats.org/officeDocument/2006/relationships/hyperlink" Target="http://nydn.us/1AzWRtJ" TargetMode="External"/><Relationship Id="rId142" Type="http://schemas.openxmlformats.org/officeDocument/2006/relationships/hyperlink" Target="http://bit.ly/1wnkuTc" TargetMode="External"/><Relationship Id="rId163" Type="http://schemas.openxmlformats.org/officeDocument/2006/relationships/hyperlink" Target="http://nydn.us/1AzWRtJ" TargetMode="External"/><Relationship Id="rId184" Type="http://schemas.openxmlformats.org/officeDocument/2006/relationships/hyperlink" Target="http://bit.ly/1CXJRAe" TargetMode="External"/><Relationship Id="rId219" Type="http://schemas.openxmlformats.org/officeDocument/2006/relationships/hyperlink" Target="http://cin.ci/17hecga" TargetMode="External"/><Relationship Id="rId230" Type="http://schemas.openxmlformats.org/officeDocument/2006/relationships/hyperlink" Target="http://bbwaa.com/15-hof-ballots/" TargetMode="External"/><Relationship Id="rId251" Type="http://schemas.openxmlformats.org/officeDocument/2006/relationships/hyperlink" Target="http://bbwaa.com/15-hof-ballots/" TargetMode="External"/><Relationship Id="rId25" Type="http://schemas.openxmlformats.org/officeDocument/2006/relationships/hyperlink" Target="http://bit.ly/1ByP0dV" TargetMode="External"/><Relationship Id="rId46" Type="http://schemas.openxmlformats.org/officeDocument/2006/relationships/hyperlink" Target="http://bit.ly/1KhY6lx" TargetMode="External"/><Relationship Id="rId67" Type="http://schemas.openxmlformats.org/officeDocument/2006/relationships/hyperlink" Target="http://es.pn/1rU0d92" TargetMode="External"/><Relationship Id="rId272" Type="http://schemas.openxmlformats.org/officeDocument/2006/relationships/hyperlink" Target="http://bbwaa.com/15-hof-ballots/" TargetMode="External"/><Relationship Id="rId293" Type="http://schemas.openxmlformats.org/officeDocument/2006/relationships/hyperlink" Target="http://bbwaa.com/15-hof-ballots/" TargetMode="External"/><Relationship Id="rId88" Type="http://schemas.openxmlformats.org/officeDocument/2006/relationships/hyperlink" Target="http://bit.ly/13BLqVa" TargetMode="External"/><Relationship Id="rId111" Type="http://schemas.openxmlformats.org/officeDocument/2006/relationships/hyperlink" Target="http://bit.ly/1wzmkx2" TargetMode="External"/><Relationship Id="rId132" Type="http://schemas.openxmlformats.org/officeDocument/2006/relationships/hyperlink" Target="http://on.freep.com/1tpHCTh" TargetMode="External"/><Relationship Id="rId153" Type="http://schemas.openxmlformats.org/officeDocument/2006/relationships/hyperlink" Target="http://bit.ly/1wbu3m2" TargetMode="External"/><Relationship Id="rId174" Type="http://schemas.openxmlformats.org/officeDocument/2006/relationships/hyperlink" Target="http://bit.ly/1xzmb1O" TargetMode="External"/><Relationship Id="rId195" Type="http://schemas.openxmlformats.org/officeDocument/2006/relationships/hyperlink" Target="http://bbwaa.com/15-hof-ballots/" TargetMode="External"/><Relationship Id="rId209" Type="http://schemas.openxmlformats.org/officeDocument/2006/relationships/hyperlink" Target="http://bbwaa.com/15-hof-ballots/" TargetMode="External"/><Relationship Id="rId220" Type="http://schemas.openxmlformats.org/officeDocument/2006/relationships/hyperlink" Target="http://bit.ly/14ErYYz" TargetMode="External"/><Relationship Id="rId241" Type="http://schemas.openxmlformats.org/officeDocument/2006/relationships/hyperlink" Target="http://bbwaa.com/15-hof-ballots/" TargetMode="External"/><Relationship Id="rId15" Type="http://schemas.openxmlformats.org/officeDocument/2006/relationships/hyperlink" Target="http://bit.ly/12PzHSA" TargetMode="External"/><Relationship Id="rId36" Type="http://schemas.openxmlformats.org/officeDocument/2006/relationships/hyperlink" Target="http://bit.ly/1BDeEyk" TargetMode="External"/><Relationship Id="rId57" Type="http://schemas.openxmlformats.org/officeDocument/2006/relationships/hyperlink" Target="http://bit.ly/1xck4j0" TargetMode="External"/><Relationship Id="rId262" Type="http://schemas.openxmlformats.org/officeDocument/2006/relationships/hyperlink" Target="http://bbwaa.com/15-hof-ballots/" TargetMode="External"/><Relationship Id="rId283" Type="http://schemas.openxmlformats.org/officeDocument/2006/relationships/hyperlink" Target="http://bit.ly/1ACfr4d" TargetMode="External"/><Relationship Id="rId78" Type="http://schemas.openxmlformats.org/officeDocument/2006/relationships/hyperlink" Target="http://nydn.us/1AzWRtJ" TargetMode="External"/><Relationship Id="rId99" Type="http://schemas.openxmlformats.org/officeDocument/2006/relationships/hyperlink" Target="http://bit.ly/1v8dhU9" TargetMode="External"/><Relationship Id="rId101" Type="http://schemas.openxmlformats.org/officeDocument/2006/relationships/hyperlink" Target="http://es.pn/1rU0d92" TargetMode="External"/><Relationship Id="rId122" Type="http://schemas.openxmlformats.org/officeDocument/2006/relationships/hyperlink" Target="http://foxs.pt/1xL9Ia7" TargetMode="External"/><Relationship Id="rId143" Type="http://schemas.openxmlformats.org/officeDocument/2006/relationships/hyperlink" Target="http://bit.ly/1AdWF4p" TargetMode="External"/><Relationship Id="rId164" Type="http://schemas.openxmlformats.org/officeDocument/2006/relationships/hyperlink" Target="http://bit.ly/1Hd2mjH" TargetMode="External"/><Relationship Id="rId185" Type="http://schemas.openxmlformats.org/officeDocument/2006/relationships/hyperlink" Target="http://bit.ly/1sNBEWo" TargetMode="External"/><Relationship Id="rId9" Type="http://schemas.openxmlformats.org/officeDocument/2006/relationships/hyperlink" Target="http://bit.ly/1D92yRr" TargetMode="External"/><Relationship Id="rId210" Type="http://schemas.openxmlformats.org/officeDocument/2006/relationships/hyperlink" Target="http://bit.ly/1ACyefM" TargetMode="External"/><Relationship Id="rId26" Type="http://schemas.openxmlformats.org/officeDocument/2006/relationships/hyperlink" Target="http://es.pn/1rU0d92" TargetMode="External"/><Relationship Id="rId231" Type="http://schemas.openxmlformats.org/officeDocument/2006/relationships/hyperlink" Target="http://bbwaa.com/15-hof-ballots/" TargetMode="External"/><Relationship Id="rId252" Type="http://schemas.openxmlformats.org/officeDocument/2006/relationships/hyperlink" Target="http://bbwaa.com/15-hof-ballots/" TargetMode="External"/><Relationship Id="rId273" Type="http://schemas.openxmlformats.org/officeDocument/2006/relationships/hyperlink" Target="http://bbwaa.com/15-hof-ballots/" TargetMode="External"/><Relationship Id="rId294" Type="http://schemas.openxmlformats.org/officeDocument/2006/relationships/hyperlink" Target="http://bbwaa.com/15-hof-ballots/" TargetMode="External"/><Relationship Id="rId47" Type="http://schemas.openxmlformats.org/officeDocument/2006/relationships/hyperlink" Target="http://bit.ly/1xER0UL" TargetMode="External"/><Relationship Id="rId68" Type="http://schemas.openxmlformats.org/officeDocument/2006/relationships/hyperlink" Target="http://bit.ly/1vK01oi" TargetMode="External"/><Relationship Id="rId89" Type="http://schemas.openxmlformats.org/officeDocument/2006/relationships/hyperlink" Target="http://bit.ly/1HbZtj3" TargetMode="External"/><Relationship Id="rId112" Type="http://schemas.openxmlformats.org/officeDocument/2006/relationships/hyperlink" Target="http://bit.ly/1CHsLqd" TargetMode="External"/><Relationship Id="rId133" Type="http://schemas.openxmlformats.org/officeDocument/2006/relationships/hyperlink" Target="http://bit.ly/1zgbP3v" TargetMode="External"/><Relationship Id="rId154" Type="http://schemas.openxmlformats.org/officeDocument/2006/relationships/hyperlink" Target="http://es.pn/1rU0d92" TargetMode="External"/><Relationship Id="rId175" Type="http://schemas.openxmlformats.org/officeDocument/2006/relationships/hyperlink" Target="https://twitter.com/NotMrTibbs/status/546387088707301376" TargetMode="External"/><Relationship Id="rId196" Type="http://schemas.openxmlformats.org/officeDocument/2006/relationships/hyperlink" Target="http://bbwaa.com/15-hof-ballots/" TargetMode="External"/><Relationship Id="rId200" Type="http://schemas.openxmlformats.org/officeDocument/2006/relationships/hyperlink" Target="http://bit.ly/1xkVw54" TargetMode="External"/><Relationship Id="rId16" Type="http://schemas.openxmlformats.org/officeDocument/2006/relationships/hyperlink" Target="http://bit.ly/1z9OaoZ" TargetMode="External"/><Relationship Id="rId221" Type="http://schemas.openxmlformats.org/officeDocument/2006/relationships/hyperlink" Target="http://bbwaa.com/15-hof-ballots/" TargetMode="External"/><Relationship Id="rId242" Type="http://schemas.openxmlformats.org/officeDocument/2006/relationships/hyperlink" Target="http://bbwaa.com/15-hof-ballots/" TargetMode="External"/><Relationship Id="rId263" Type="http://schemas.openxmlformats.org/officeDocument/2006/relationships/hyperlink" Target="http://bbwaa.com/15-hof-ballots/" TargetMode="External"/><Relationship Id="rId284" Type="http://schemas.openxmlformats.org/officeDocument/2006/relationships/hyperlink" Target="http://bbwaa.com/15-hof-ballots/" TargetMode="External"/><Relationship Id="rId37" Type="http://schemas.openxmlformats.org/officeDocument/2006/relationships/hyperlink" Target="http://bit.ly/1AI14Jd" TargetMode="External"/><Relationship Id="rId58" Type="http://schemas.openxmlformats.org/officeDocument/2006/relationships/hyperlink" Target="http://bit.ly/1yvHP8X" TargetMode="External"/><Relationship Id="rId79" Type="http://schemas.openxmlformats.org/officeDocument/2006/relationships/hyperlink" Target="http://bit.ly/1DcWrvy" TargetMode="External"/><Relationship Id="rId102" Type="http://schemas.openxmlformats.org/officeDocument/2006/relationships/hyperlink" Target="http://bit.ly/1vBeFy6" TargetMode="External"/><Relationship Id="rId123" Type="http://schemas.openxmlformats.org/officeDocument/2006/relationships/hyperlink" Target="http://bit.ly/1Ka22EM" TargetMode="External"/><Relationship Id="rId144" Type="http://schemas.openxmlformats.org/officeDocument/2006/relationships/hyperlink" Target="http://es.pn/1rU0d92" TargetMode="External"/><Relationship Id="rId90" Type="http://schemas.openxmlformats.org/officeDocument/2006/relationships/hyperlink" Target="http://bit.ly/14fAXz1" TargetMode="External"/><Relationship Id="rId165" Type="http://schemas.openxmlformats.org/officeDocument/2006/relationships/hyperlink" Target="http://bit.ly/1tgaF65" TargetMode="External"/><Relationship Id="rId186" Type="http://schemas.openxmlformats.org/officeDocument/2006/relationships/hyperlink" Target="http://bit.ly/1xoKIoZ" TargetMode="External"/><Relationship Id="rId211" Type="http://schemas.openxmlformats.org/officeDocument/2006/relationships/hyperlink" Target="http://bbwaa.com/15-hof-ballots/" TargetMode="External"/><Relationship Id="rId232" Type="http://schemas.openxmlformats.org/officeDocument/2006/relationships/hyperlink" Target="http://bit.ly/1DvqnjH" TargetMode="External"/><Relationship Id="rId253" Type="http://schemas.openxmlformats.org/officeDocument/2006/relationships/hyperlink" Target="http://bit.ly/1ACfr4d" TargetMode="External"/><Relationship Id="rId274" Type="http://schemas.openxmlformats.org/officeDocument/2006/relationships/hyperlink" Target="http://bbwaa.com/15-hof-ballots/" TargetMode="External"/><Relationship Id="rId295" Type="http://schemas.openxmlformats.org/officeDocument/2006/relationships/hyperlink" Target="http://bit.ly/1yT0xrG" TargetMode="External"/><Relationship Id="rId27" Type="http://schemas.openxmlformats.org/officeDocument/2006/relationships/hyperlink" Target="http://bit.ly/16MJmvy" TargetMode="External"/><Relationship Id="rId48" Type="http://schemas.openxmlformats.org/officeDocument/2006/relationships/hyperlink" Target="http://bit.ly/1BfNVHB" TargetMode="External"/><Relationship Id="rId69" Type="http://schemas.openxmlformats.org/officeDocument/2006/relationships/hyperlink" Target="http://trib.in/1zJsJrv" TargetMode="External"/><Relationship Id="rId113" Type="http://schemas.openxmlformats.org/officeDocument/2006/relationships/hyperlink" Target="http://bit.ly/1xM1tuu" TargetMode="External"/><Relationship Id="rId134" Type="http://schemas.openxmlformats.org/officeDocument/2006/relationships/hyperlink" Target="http://bit.ly/13D2Yjm" TargetMode="External"/><Relationship Id="rId80" Type="http://schemas.openxmlformats.org/officeDocument/2006/relationships/hyperlink" Target="http://on.fb.me/1zhe5LJ" TargetMode="External"/><Relationship Id="rId155" Type="http://schemas.openxmlformats.org/officeDocument/2006/relationships/hyperlink" Target="http://bit.ly/1wTqQXj" TargetMode="External"/><Relationship Id="rId176" Type="http://schemas.openxmlformats.org/officeDocument/2006/relationships/hyperlink" Target="http://atmlb.com/1AS5UUn" TargetMode="External"/><Relationship Id="rId197" Type="http://schemas.openxmlformats.org/officeDocument/2006/relationships/hyperlink" Target="http://bbwaa.com/15-hof-ballots/" TargetMode="External"/><Relationship Id="rId201" Type="http://schemas.openxmlformats.org/officeDocument/2006/relationships/hyperlink" Target="http://bit.ly/1yww15i" TargetMode="External"/><Relationship Id="rId222" Type="http://schemas.openxmlformats.org/officeDocument/2006/relationships/hyperlink" Target="http://on.fb.me/1wGoxry" TargetMode="External"/><Relationship Id="rId243" Type="http://schemas.openxmlformats.org/officeDocument/2006/relationships/hyperlink" Target="http://bit.ly/1ACfr4d" TargetMode="External"/><Relationship Id="rId264" Type="http://schemas.openxmlformats.org/officeDocument/2006/relationships/hyperlink" Target="http://bit.ly/1BwwRPX" TargetMode="External"/><Relationship Id="rId285" Type="http://schemas.openxmlformats.org/officeDocument/2006/relationships/hyperlink" Target="http://bbwaa.com/15-hof-ballots/" TargetMode="External"/><Relationship Id="rId17" Type="http://schemas.openxmlformats.org/officeDocument/2006/relationships/hyperlink" Target="http://on.fb.me/1wZD7hK" TargetMode="External"/><Relationship Id="rId38" Type="http://schemas.openxmlformats.org/officeDocument/2006/relationships/hyperlink" Target="http://bit.ly/1Ab7RgV" TargetMode="External"/><Relationship Id="rId59" Type="http://schemas.openxmlformats.org/officeDocument/2006/relationships/hyperlink" Target="http://bit.ly/1JQEWTn" TargetMode="External"/><Relationship Id="rId103" Type="http://schemas.openxmlformats.org/officeDocument/2006/relationships/hyperlink" Target="http://bit.ly/13Nycoy" TargetMode="External"/><Relationship Id="rId124" Type="http://schemas.openxmlformats.org/officeDocument/2006/relationships/hyperlink" Target="http://bit.ly/1HtbGA9" TargetMode="External"/><Relationship Id="rId70" Type="http://schemas.openxmlformats.org/officeDocument/2006/relationships/hyperlink" Target="http://bit.ly/1CNgVuu" TargetMode="External"/><Relationship Id="rId91" Type="http://schemas.openxmlformats.org/officeDocument/2006/relationships/hyperlink" Target="http://bit.ly/1Ka22EM" TargetMode="External"/><Relationship Id="rId145" Type="http://schemas.openxmlformats.org/officeDocument/2006/relationships/hyperlink" Target="http://bit.ly/1wGr9t7" TargetMode="External"/><Relationship Id="rId166" Type="http://schemas.openxmlformats.org/officeDocument/2006/relationships/hyperlink" Target="http://on-ajc.com/1xwPv9r" TargetMode="External"/><Relationship Id="rId187" Type="http://schemas.openxmlformats.org/officeDocument/2006/relationships/hyperlink" Target="http://bit.ly/1xorSiY" TargetMode="External"/><Relationship Id="rId1" Type="http://schemas.openxmlformats.org/officeDocument/2006/relationships/hyperlink" Target="http://www.twitter.com/NotMrTibbs" TargetMode="External"/><Relationship Id="rId212" Type="http://schemas.openxmlformats.org/officeDocument/2006/relationships/hyperlink" Target="http://bit.ly/1tQEyKp" TargetMode="External"/><Relationship Id="rId233" Type="http://schemas.openxmlformats.org/officeDocument/2006/relationships/hyperlink" Target="http://bbwaa.com/15-hof-ballots/" TargetMode="External"/><Relationship Id="rId254" Type="http://schemas.openxmlformats.org/officeDocument/2006/relationships/hyperlink" Target="http://bbwaa.com/15-hof-ballots/" TargetMode="External"/><Relationship Id="rId28" Type="http://schemas.openxmlformats.org/officeDocument/2006/relationships/hyperlink" Target="http://bit.ly/1wS8fuP" TargetMode="External"/><Relationship Id="rId49" Type="http://schemas.openxmlformats.org/officeDocument/2006/relationships/hyperlink" Target="http://bit.ly/1rhJvQs" TargetMode="External"/><Relationship Id="rId114" Type="http://schemas.openxmlformats.org/officeDocument/2006/relationships/hyperlink" Target="http://nydn.us/1AzWRtJ" TargetMode="External"/><Relationship Id="rId275" Type="http://schemas.openxmlformats.org/officeDocument/2006/relationships/hyperlink" Target="http://bbwaa.com/15-hof-ballots/" TargetMode="External"/><Relationship Id="rId296" Type="http://schemas.openxmlformats.org/officeDocument/2006/relationships/hyperlink" Target="http://bbwaa.com/15-hof-ballots/" TargetMode="External"/><Relationship Id="rId300" Type="http://schemas.openxmlformats.org/officeDocument/2006/relationships/hyperlink" Target="http://bit.ly/17uRLUC" TargetMode="External"/><Relationship Id="rId60" Type="http://schemas.openxmlformats.org/officeDocument/2006/relationships/hyperlink" Target="http://bit.ly/1EFgC72" TargetMode="External"/><Relationship Id="rId81" Type="http://schemas.openxmlformats.org/officeDocument/2006/relationships/hyperlink" Target="http://nwsdy.li/1tDUIqo" TargetMode="External"/><Relationship Id="rId135" Type="http://schemas.openxmlformats.org/officeDocument/2006/relationships/hyperlink" Target="http://atmlb.com/13UqbxC" TargetMode="External"/><Relationship Id="rId156" Type="http://schemas.openxmlformats.org/officeDocument/2006/relationships/hyperlink" Target="http://bit.ly/1t1QChe" TargetMode="External"/><Relationship Id="rId177" Type="http://schemas.openxmlformats.org/officeDocument/2006/relationships/hyperlink" Target="http://es.pn/1rU0d92" TargetMode="External"/><Relationship Id="rId198" Type="http://schemas.openxmlformats.org/officeDocument/2006/relationships/hyperlink" Target="http://bit.ly/1xS73wM" TargetMode="External"/><Relationship Id="rId202" Type="http://schemas.openxmlformats.org/officeDocument/2006/relationships/hyperlink" Target="http://bit.ly/1Dhn16J" TargetMode="External"/><Relationship Id="rId223" Type="http://schemas.openxmlformats.org/officeDocument/2006/relationships/hyperlink" Target="http://bbwaa.com/15-hof-ballots/" TargetMode="External"/><Relationship Id="rId244" Type="http://schemas.openxmlformats.org/officeDocument/2006/relationships/hyperlink" Target="http://bit.ly/14RMMMV" TargetMode="External"/><Relationship Id="rId18" Type="http://schemas.openxmlformats.org/officeDocument/2006/relationships/hyperlink" Target="http://atmlb.com/13UqbxC" TargetMode="External"/><Relationship Id="rId39" Type="http://schemas.openxmlformats.org/officeDocument/2006/relationships/hyperlink" Target="http://bit.ly/1wjnf5O" TargetMode="External"/><Relationship Id="rId265" Type="http://schemas.openxmlformats.org/officeDocument/2006/relationships/hyperlink" Target="http://bbwaa.com/15-hof-ballots/" TargetMode="External"/><Relationship Id="rId286" Type="http://schemas.openxmlformats.org/officeDocument/2006/relationships/hyperlink" Target="http://bbwaa.com/15-hof-ballots/" TargetMode="External"/><Relationship Id="rId50" Type="http://schemas.openxmlformats.org/officeDocument/2006/relationships/hyperlink" Target="http://bit.ly/1HGgH8w" TargetMode="External"/><Relationship Id="rId104" Type="http://schemas.openxmlformats.org/officeDocument/2006/relationships/hyperlink" Target="http://bit.ly/1BzwGSx" TargetMode="External"/><Relationship Id="rId125" Type="http://schemas.openxmlformats.org/officeDocument/2006/relationships/hyperlink" Target="http://ble.ac/17djF7x" TargetMode="External"/><Relationship Id="rId146" Type="http://schemas.openxmlformats.org/officeDocument/2006/relationships/hyperlink" Target="http://bit.ly/1xIcYW5" TargetMode="External"/><Relationship Id="rId167" Type="http://schemas.openxmlformats.org/officeDocument/2006/relationships/hyperlink" Target="http://bit.ly/1uWrFyM" TargetMode="External"/><Relationship Id="rId188" Type="http://schemas.openxmlformats.org/officeDocument/2006/relationships/hyperlink" Target="http://bit.ly/1xI0778" TargetMode="External"/><Relationship Id="rId71" Type="http://schemas.openxmlformats.org/officeDocument/2006/relationships/hyperlink" Target="http://bit.ly/1Ka22EM" TargetMode="External"/><Relationship Id="rId92" Type="http://schemas.openxmlformats.org/officeDocument/2006/relationships/hyperlink" Target="http://bit.ly/1AqHR1h" TargetMode="External"/><Relationship Id="rId213" Type="http://schemas.openxmlformats.org/officeDocument/2006/relationships/hyperlink" Target="http://imgur.com/SA8NTHB" TargetMode="External"/><Relationship Id="rId234" Type="http://schemas.openxmlformats.org/officeDocument/2006/relationships/hyperlink" Target="http://bbwaa.com/15-hof-ballots/" TargetMode="External"/><Relationship Id="rId2" Type="http://schemas.openxmlformats.org/officeDocument/2006/relationships/hyperlink" Target="http://1drv.ms/1JDa1qL" TargetMode="External"/><Relationship Id="rId29" Type="http://schemas.openxmlformats.org/officeDocument/2006/relationships/hyperlink" Target="http://bit.ly/1E8Pn4q" TargetMode="External"/><Relationship Id="rId255" Type="http://schemas.openxmlformats.org/officeDocument/2006/relationships/hyperlink" Target="http://bbwaa.com/15-hof-ballots/" TargetMode="External"/><Relationship Id="rId276" Type="http://schemas.openxmlformats.org/officeDocument/2006/relationships/hyperlink" Target="http://bit.ly/1BxoNOQ" TargetMode="External"/><Relationship Id="rId297" Type="http://schemas.openxmlformats.org/officeDocument/2006/relationships/hyperlink" Target="http://bbwaa.com/15-hof-ballots/" TargetMode="External"/><Relationship Id="rId40" Type="http://schemas.openxmlformats.org/officeDocument/2006/relationships/hyperlink" Target="http://bit.ly/1A84RDh" TargetMode="External"/><Relationship Id="rId115" Type="http://schemas.openxmlformats.org/officeDocument/2006/relationships/hyperlink" Target="http://bit.ly/1s1VrGz" TargetMode="External"/><Relationship Id="rId136" Type="http://schemas.openxmlformats.org/officeDocument/2006/relationships/hyperlink" Target="http://usat.ly/1AgV1z0" TargetMode="External"/><Relationship Id="rId157" Type="http://schemas.openxmlformats.org/officeDocument/2006/relationships/hyperlink" Target="http://bit.ly/1CJv758" TargetMode="External"/><Relationship Id="rId178" Type="http://schemas.openxmlformats.org/officeDocument/2006/relationships/hyperlink" Target="http://es.pn/1rU0d92" TargetMode="External"/><Relationship Id="rId301" Type="http://schemas.openxmlformats.org/officeDocument/2006/relationships/hyperlink" Target="http://bbwaa.com/15-hof-ballots/" TargetMode="External"/><Relationship Id="rId61" Type="http://schemas.openxmlformats.org/officeDocument/2006/relationships/hyperlink" Target="http://bit.ly/1uveuUl" TargetMode="External"/><Relationship Id="rId82" Type="http://schemas.openxmlformats.org/officeDocument/2006/relationships/hyperlink" Target="http://trib.in/1zJsJrv" TargetMode="External"/><Relationship Id="rId199" Type="http://schemas.openxmlformats.org/officeDocument/2006/relationships/hyperlink" Target="http://bbwaa.com/15-hof-ballots/" TargetMode="External"/><Relationship Id="rId203" Type="http://schemas.openxmlformats.org/officeDocument/2006/relationships/hyperlink" Target="http://bbwaa.com/15-hof-ballots/" TargetMode="External"/><Relationship Id="rId19" Type="http://schemas.openxmlformats.org/officeDocument/2006/relationships/hyperlink" Target="http://bit.ly/1xMoqRh" TargetMode="External"/><Relationship Id="rId224" Type="http://schemas.openxmlformats.org/officeDocument/2006/relationships/hyperlink" Target="http://bit.ly/1BZsLy9" TargetMode="External"/><Relationship Id="rId245" Type="http://schemas.openxmlformats.org/officeDocument/2006/relationships/hyperlink" Target="http://bit.ly/14ErYYz" TargetMode="External"/><Relationship Id="rId266" Type="http://schemas.openxmlformats.org/officeDocument/2006/relationships/hyperlink" Target="http://bbwaa.com/15-hof-ballots/" TargetMode="External"/><Relationship Id="rId287" Type="http://schemas.openxmlformats.org/officeDocument/2006/relationships/hyperlink" Target="http://bbwaa.com/15-hof-ballots/" TargetMode="External"/><Relationship Id="rId30" Type="http://schemas.openxmlformats.org/officeDocument/2006/relationships/hyperlink" Target="http://bit.ly/1xM8oa3" TargetMode="External"/><Relationship Id="rId105" Type="http://schemas.openxmlformats.org/officeDocument/2006/relationships/hyperlink" Target="http://bit.ly/1Aq9MwX" TargetMode="External"/><Relationship Id="rId126" Type="http://schemas.openxmlformats.org/officeDocument/2006/relationships/hyperlink" Target="http://trib.in/1zJsJrv" TargetMode="External"/><Relationship Id="rId147" Type="http://schemas.openxmlformats.org/officeDocument/2006/relationships/hyperlink" Target="http://bit.ly/1xLT90S" TargetMode="External"/><Relationship Id="rId168" Type="http://schemas.openxmlformats.org/officeDocument/2006/relationships/hyperlink" Target="http://bit.ly/1wS8fuP" TargetMode="External"/><Relationship Id="rId51" Type="http://schemas.openxmlformats.org/officeDocument/2006/relationships/hyperlink" Target="http://bit.ly/14dZl47" TargetMode="External"/><Relationship Id="rId72" Type="http://schemas.openxmlformats.org/officeDocument/2006/relationships/hyperlink" Target="http://on.thestar.com/1xM2WRi" TargetMode="External"/><Relationship Id="rId93" Type="http://schemas.openxmlformats.org/officeDocument/2006/relationships/hyperlink" Target="http://cour.at/1JAVAGH" TargetMode="External"/><Relationship Id="rId189" Type="http://schemas.openxmlformats.org/officeDocument/2006/relationships/hyperlink" Target="http://bit.ly/1wS8fuP" TargetMode="External"/><Relationship Id="rId3" Type="http://schemas.openxmlformats.org/officeDocument/2006/relationships/hyperlink" Target="http://www.baseballthinkfactory.org/newsstand/discussion/the_2015_hof_ballot_collecting_gizmo" TargetMode="External"/><Relationship Id="rId214" Type="http://schemas.openxmlformats.org/officeDocument/2006/relationships/hyperlink" Target="http://bbwaa.com/15-hof-ballots/" TargetMode="External"/><Relationship Id="rId235" Type="http://schemas.openxmlformats.org/officeDocument/2006/relationships/hyperlink" Target="http://bbwaa.com/15-hof-ballots/" TargetMode="External"/><Relationship Id="rId256" Type="http://schemas.openxmlformats.org/officeDocument/2006/relationships/hyperlink" Target="http://bit.ly/17iwwWd" TargetMode="External"/><Relationship Id="rId277" Type="http://schemas.openxmlformats.org/officeDocument/2006/relationships/hyperlink" Target="http://bit.ly/1KjKaaB" TargetMode="External"/><Relationship Id="rId298" Type="http://schemas.openxmlformats.org/officeDocument/2006/relationships/hyperlink" Target="http://bbwaa.com/15-hof-ballots/" TargetMode="External"/><Relationship Id="rId116" Type="http://schemas.openxmlformats.org/officeDocument/2006/relationships/hyperlink" Target="http://bit.ly/16YiEjH" TargetMode="External"/><Relationship Id="rId137" Type="http://schemas.openxmlformats.org/officeDocument/2006/relationships/hyperlink" Target="http://atmlb.com/1AS5UUn" TargetMode="External"/><Relationship Id="rId158" Type="http://schemas.openxmlformats.org/officeDocument/2006/relationships/hyperlink" Target="http://cin.ci/1B5JDTf" TargetMode="External"/><Relationship Id="rId302" Type="http://schemas.openxmlformats.org/officeDocument/2006/relationships/hyperlink" Target="http://bbwaa.com/15-hof-ballots/" TargetMode="External"/><Relationship Id="rId20" Type="http://schemas.openxmlformats.org/officeDocument/2006/relationships/hyperlink" Target="http://bit.ly/1Igv6Xr" TargetMode="External"/><Relationship Id="rId41" Type="http://schemas.openxmlformats.org/officeDocument/2006/relationships/hyperlink" Target="http://bit.ly/1rh7dMT" TargetMode="External"/><Relationship Id="rId62" Type="http://schemas.openxmlformats.org/officeDocument/2006/relationships/hyperlink" Target="http://bit.ly/1tDaTEu" TargetMode="External"/><Relationship Id="rId83" Type="http://schemas.openxmlformats.org/officeDocument/2006/relationships/hyperlink" Target="http://bit.ly/1rgdNDH" TargetMode="External"/><Relationship Id="rId179" Type="http://schemas.openxmlformats.org/officeDocument/2006/relationships/hyperlink" Target="http://bit.ly/1FRCyae" TargetMode="External"/><Relationship Id="rId190" Type="http://schemas.openxmlformats.org/officeDocument/2006/relationships/hyperlink" Target="http://cour.at/1w0UaLt" TargetMode="External"/><Relationship Id="rId204" Type="http://schemas.openxmlformats.org/officeDocument/2006/relationships/hyperlink" Target="http://bit.ly/1xqvEoE" TargetMode="External"/><Relationship Id="rId225" Type="http://schemas.openxmlformats.org/officeDocument/2006/relationships/hyperlink" Target="http://bit.ly/1In6w7n" TargetMode="External"/><Relationship Id="rId246" Type="http://schemas.openxmlformats.org/officeDocument/2006/relationships/hyperlink" Target="http://bit.ly/1CM7Grz" TargetMode="External"/><Relationship Id="rId267" Type="http://schemas.openxmlformats.org/officeDocument/2006/relationships/hyperlink" Target="http://strib.mn/13YUDqz" TargetMode="External"/><Relationship Id="rId288" Type="http://schemas.openxmlformats.org/officeDocument/2006/relationships/hyperlink" Target="http://bit.ly/1ACfr4d" TargetMode="External"/><Relationship Id="rId106" Type="http://schemas.openxmlformats.org/officeDocument/2006/relationships/hyperlink" Target="http://es.pn/1rU0d92" TargetMode="External"/><Relationship Id="rId127" Type="http://schemas.openxmlformats.org/officeDocument/2006/relationships/hyperlink" Target="http://bit.ly/1xxPwtD" TargetMode="External"/><Relationship Id="rId10" Type="http://schemas.openxmlformats.org/officeDocument/2006/relationships/hyperlink" Target="http://tnne.ws/1t61Vzr" TargetMode="External"/><Relationship Id="rId31" Type="http://schemas.openxmlformats.org/officeDocument/2006/relationships/hyperlink" Target="http://bit.ly/1B2ElZ3" TargetMode="External"/><Relationship Id="rId52" Type="http://schemas.openxmlformats.org/officeDocument/2006/relationships/hyperlink" Target="http://bit.ly/1zmTrGo" TargetMode="External"/><Relationship Id="rId73" Type="http://schemas.openxmlformats.org/officeDocument/2006/relationships/hyperlink" Target="http://bit.ly/14s082d" TargetMode="External"/><Relationship Id="rId94" Type="http://schemas.openxmlformats.org/officeDocument/2006/relationships/hyperlink" Target="http://atmlb.com/13UqbxC" TargetMode="External"/><Relationship Id="rId148" Type="http://schemas.openxmlformats.org/officeDocument/2006/relationships/hyperlink" Target="http://bit.ly/1sPQnpB" TargetMode="External"/><Relationship Id="rId169" Type="http://schemas.openxmlformats.org/officeDocument/2006/relationships/hyperlink" Target="http://bit.ly/1DbFy4v" TargetMode="External"/><Relationship Id="rId4" Type="http://schemas.openxmlformats.org/officeDocument/2006/relationships/hyperlink" Target="http://tangotiger.com/index.php/site/article/tangotiger-readers-rank-the-hof-players" TargetMode="External"/><Relationship Id="rId180" Type="http://schemas.openxmlformats.org/officeDocument/2006/relationships/hyperlink" Target="http://bit.ly/1wLjImr" TargetMode="External"/><Relationship Id="rId215" Type="http://schemas.openxmlformats.org/officeDocument/2006/relationships/hyperlink" Target="http://bit.ly/1y375Rd" TargetMode="External"/><Relationship Id="rId236" Type="http://schemas.openxmlformats.org/officeDocument/2006/relationships/hyperlink" Target="http://bbwaa.com/15-hof-ballots/" TargetMode="External"/><Relationship Id="rId257" Type="http://schemas.openxmlformats.org/officeDocument/2006/relationships/hyperlink" Target="http://bbwaa.com/15-hof-ballots/" TargetMode="External"/><Relationship Id="rId278" Type="http://schemas.openxmlformats.org/officeDocument/2006/relationships/hyperlink" Target="http://bbwaa.com/15-hof-ballots/" TargetMode="External"/><Relationship Id="rId303" Type="http://schemas.openxmlformats.org/officeDocument/2006/relationships/hyperlink" Target="http://cour.at/1w0UaLt" TargetMode="External"/><Relationship Id="rId42" Type="http://schemas.openxmlformats.org/officeDocument/2006/relationships/hyperlink" Target="http://bit.ly/1BB2R3J" TargetMode="External"/><Relationship Id="rId84" Type="http://schemas.openxmlformats.org/officeDocument/2006/relationships/hyperlink" Target="http://bit.ly/1K4UfZ1" TargetMode="External"/><Relationship Id="rId138" Type="http://schemas.openxmlformats.org/officeDocument/2006/relationships/hyperlink" Target="http://bit.ly/1vEMFKQ" TargetMode="External"/><Relationship Id="rId191" Type="http://schemas.openxmlformats.org/officeDocument/2006/relationships/hyperlink" Target="http://cour.at/1w0UaLt" TargetMode="External"/><Relationship Id="rId205" Type="http://schemas.openxmlformats.org/officeDocument/2006/relationships/hyperlink" Target="http://bbwaa.com/15-hof-ballots/" TargetMode="External"/><Relationship Id="rId247" Type="http://schemas.openxmlformats.org/officeDocument/2006/relationships/hyperlink" Target="http://on.fb.me/1ySggql" TargetMode="External"/><Relationship Id="rId107" Type="http://schemas.openxmlformats.org/officeDocument/2006/relationships/hyperlink" Target="http://bit.ly/13Vo5y3" TargetMode="External"/><Relationship Id="rId289" Type="http://schemas.openxmlformats.org/officeDocument/2006/relationships/hyperlink" Target="http://bit.ly/1DhqzG0" TargetMode="External"/><Relationship Id="rId11" Type="http://schemas.openxmlformats.org/officeDocument/2006/relationships/hyperlink" Target="http://bit.ly/1vsXuPV" TargetMode="External"/><Relationship Id="rId53" Type="http://schemas.openxmlformats.org/officeDocument/2006/relationships/hyperlink" Target="http://bit.ly/1vlodg4" TargetMode="External"/><Relationship Id="rId149" Type="http://schemas.openxmlformats.org/officeDocument/2006/relationships/hyperlink" Target="http://bit.ly/1FcxjXz" TargetMode="External"/><Relationship Id="rId95" Type="http://schemas.openxmlformats.org/officeDocument/2006/relationships/hyperlink" Target="http://bit.ly/1zkAHXO" TargetMode="External"/><Relationship Id="rId160" Type="http://schemas.openxmlformats.org/officeDocument/2006/relationships/hyperlink" Target="http://bit.ly/1AHxh3S" TargetMode="External"/><Relationship Id="rId216" Type="http://schemas.openxmlformats.org/officeDocument/2006/relationships/hyperlink" Target="http://bbwaa.com/15-hof-ballots/" TargetMode="External"/><Relationship Id="rId258" Type="http://schemas.openxmlformats.org/officeDocument/2006/relationships/hyperlink" Target="http://bbwaa.com/15-hof-ballots/" TargetMode="External"/><Relationship Id="rId22" Type="http://schemas.openxmlformats.org/officeDocument/2006/relationships/hyperlink" Target="http://atmlb.com/13UqbxC" TargetMode="External"/><Relationship Id="rId64" Type="http://schemas.openxmlformats.org/officeDocument/2006/relationships/hyperlink" Target="http://trib.in/1zJsJrv" TargetMode="External"/><Relationship Id="rId118" Type="http://schemas.openxmlformats.org/officeDocument/2006/relationships/hyperlink" Target="http://nwsdy.li/1xLKtEw" TargetMode="External"/><Relationship Id="rId171" Type="http://schemas.openxmlformats.org/officeDocument/2006/relationships/hyperlink" Target="http://bit.ly/1B8HHJS" TargetMode="External"/><Relationship Id="rId227" Type="http://schemas.openxmlformats.org/officeDocument/2006/relationships/hyperlink" Target="http://bit.ly/1xMjzxz" TargetMode="External"/><Relationship Id="rId269" Type="http://schemas.openxmlformats.org/officeDocument/2006/relationships/hyperlink" Target="http://bbwaa.com/15-hof-ballots/" TargetMode="External"/><Relationship Id="rId33" Type="http://schemas.openxmlformats.org/officeDocument/2006/relationships/hyperlink" Target="http://bit.ly/1BsFJGp" TargetMode="External"/><Relationship Id="rId129" Type="http://schemas.openxmlformats.org/officeDocument/2006/relationships/hyperlink" Target="http://atmlb.com/13UqbxC" TargetMode="External"/><Relationship Id="rId280" Type="http://schemas.openxmlformats.org/officeDocument/2006/relationships/hyperlink" Target="http://bbwaa.com/15-hof-ballots/" TargetMode="External"/><Relationship Id="rId75" Type="http://schemas.openxmlformats.org/officeDocument/2006/relationships/hyperlink" Target="http://bit.ly/1ALtoe5" TargetMode="External"/><Relationship Id="rId140" Type="http://schemas.openxmlformats.org/officeDocument/2006/relationships/hyperlink" Target="http://bit.ly/1zOXwmR" TargetMode="External"/><Relationship Id="rId182" Type="http://schemas.openxmlformats.org/officeDocument/2006/relationships/hyperlink" Target="http://trib.in/1zJsJrv" TargetMode="External"/><Relationship Id="rId6" Type="http://schemas.openxmlformats.org/officeDocument/2006/relationships/hyperlink" Target="http://bit.ly/1B2EN9k" TargetMode="External"/><Relationship Id="rId238" Type="http://schemas.openxmlformats.org/officeDocument/2006/relationships/hyperlink" Target="http://bbwaa.com/15-hof-ballots/" TargetMode="External"/></Relationships>
</file>

<file path=xl/worksheets/_rels/sheet5.xml.rels><?xml version="1.0" encoding="UTF-8" standalone="yes"?>
<Relationships xmlns="http://schemas.openxmlformats.org/package/2006/relationships"><Relationship Id="rId117" Type="http://schemas.openxmlformats.org/officeDocument/2006/relationships/hyperlink" Target="http://bit.ly/1aaqmFq" TargetMode="External"/><Relationship Id="rId21" Type="http://schemas.openxmlformats.org/officeDocument/2006/relationships/hyperlink" Target="http://bit.ly/1cVlZki" TargetMode="External"/><Relationship Id="rId63" Type="http://schemas.openxmlformats.org/officeDocument/2006/relationships/hyperlink" Target="http://atmlb.com/1acHryM" TargetMode="External"/><Relationship Id="rId159" Type="http://schemas.openxmlformats.org/officeDocument/2006/relationships/hyperlink" Target="http://bit.ly/1kqUqTW" TargetMode="External"/><Relationship Id="rId170" Type="http://schemas.openxmlformats.org/officeDocument/2006/relationships/hyperlink" Target="http://atmlb.com/1acHryM" TargetMode="External"/><Relationship Id="rId226" Type="http://schemas.openxmlformats.org/officeDocument/2006/relationships/hyperlink" Target="http://bit.ly/19QyWJz" TargetMode="External"/><Relationship Id="rId268" Type="http://schemas.openxmlformats.org/officeDocument/2006/relationships/hyperlink" Target="http://bbwaa.com/14-hof-ballots" TargetMode="External"/><Relationship Id="rId32" Type="http://schemas.openxmlformats.org/officeDocument/2006/relationships/hyperlink" Target="http://bit.ly/1ceEzDD" TargetMode="External"/><Relationship Id="rId74" Type="http://schemas.openxmlformats.org/officeDocument/2006/relationships/hyperlink" Target="http://cbsprt.co/1fb7QkS" TargetMode="External"/><Relationship Id="rId128" Type="http://schemas.openxmlformats.org/officeDocument/2006/relationships/hyperlink" Target="http://atmlb.com/1acHryM" TargetMode="External"/><Relationship Id="rId5" Type="http://schemas.openxmlformats.org/officeDocument/2006/relationships/hyperlink" Target="http://bit.ly/1dXOMkO" TargetMode="External"/><Relationship Id="rId181" Type="http://schemas.openxmlformats.org/officeDocument/2006/relationships/hyperlink" Target="http://bit.ly/1cVnjDQ" TargetMode="External"/><Relationship Id="rId237" Type="http://schemas.openxmlformats.org/officeDocument/2006/relationships/hyperlink" Target="http://bit.ly/1d10FbI" TargetMode="External"/><Relationship Id="rId258" Type="http://schemas.openxmlformats.org/officeDocument/2006/relationships/hyperlink" Target="http://bit.ly/1y44I0l" TargetMode="External"/><Relationship Id="rId22" Type="http://schemas.openxmlformats.org/officeDocument/2006/relationships/hyperlink" Target="http://bit.ly/1bMdv8M" TargetMode="External"/><Relationship Id="rId43" Type="http://schemas.openxmlformats.org/officeDocument/2006/relationships/hyperlink" Target="http://bit.ly/18zHBRT" TargetMode="External"/><Relationship Id="rId64" Type="http://schemas.openxmlformats.org/officeDocument/2006/relationships/hyperlink" Target="http://bit.ly/1ebsxbb" TargetMode="External"/><Relationship Id="rId118" Type="http://schemas.openxmlformats.org/officeDocument/2006/relationships/hyperlink" Target="http://bit.ly/1dg50cL" TargetMode="External"/><Relationship Id="rId139" Type="http://schemas.openxmlformats.org/officeDocument/2006/relationships/hyperlink" Target="http://bit.ly/1bP4egl" TargetMode="External"/><Relationship Id="rId85" Type="http://schemas.openxmlformats.org/officeDocument/2006/relationships/hyperlink" Target="http://atmlb.com/1acHryM" TargetMode="External"/><Relationship Id="rId150" Type="http://schemas.openxmlformats.org/officeDocument/2006/relationships/hyperlink" Target="http://bit.ly/1ag6vBs" TargetMode="External"/><Relationship Id="rId171" Type="http://schemas.openxmlformats.org/officeDocument/2006/relationships/hyperlink" Target="http://bit.ly/19p40Qh" TargetMode="External"/><Relationship Id="rId192" Type="http://schemas.openxmlformats.org/officeDocument/2006/relationships/hyperlink" Target="http://strib.mn/1gme11K" TargetMode="External"/><Relationship Id="rId206" Type="http://schemas.openxmlformats.org/officeDocument/2006/relationships/hyperlink" Target="http://bbwaa.com/14-hof-ballots" TargetMode="External"/><Relationship Id="rId227" Type="http://schemas.openxmlformats.org/officeDocument/2006/relationships/hyperlink" Target="http://bbwaa.com/14-hof-ballots" TargetMode="External"/><Relationship Id="rId248" Type="http://schemas.openxmlformats.org/officeDocument/2006/relationships/hyperlink" Target="http://bbwaa.com/14-hof-ballots" TargetMode="External"/><Relationship Id="rId269" Type="http://schemas.openxmlformats.org/officeDocument/2006/relationships/hyperlink" Target="http://bit.ly/1cYqdSa" TargetMode="External"/><Relationship Id="rId12" Type="http://schemas.openxmlformats.org/officeDocument/2006/relationships/hyperlink" Target="http://atmlb.com/1acHryM" TargetMode="External"/><Relationship Id="rId33" Type="http://schemas.openxmlformats.org/officeDocument/2006/relationships/hyperlink" Target="http://bit.ly/1dfIZuk" TargetMode="External"/><Relationship Id="rId108" Type="http://schemas.openxmlformats.org/officeDocument/2006/relationships/hyperlink" Target="http://es.pn/1havE8z" TargetMode="External"/><Relationship Id="rId129" Type="http://schemas.openxmlformats.org/officeDocument/2006/relationships/hyperlink" Target="http://es.pn/1hqKN5G" TargetMode="External"/><Relationship Id="rId54" Type="http://schemas.openxmlformats.org/officeDocument/2006/relationships/hyperlink" Target="http://dallasne.ws/1eCLf0i" TargetMode="External"/><Relationship Id="rId75" Type="http://schemas.openxmlformats.org/officeDocument/2006/relationships/hyperlink" Target="http://bit.ly/KCb9nv" TargetMode="External"/><Relationship Id="rId96" Type="http://schemas.openxmlformats.org/officeDocument/2006/relationships/hyperlink" Target="http://es.pn/1hqKN5G" TargetMode="External"/><Relationship Id="rId140" Type="http://schemas.openxmlformats.org/officeDocument/2006/relationships/hyperlink" Target="http://bit.ly/1f8zj6A" TargetMode="External"/><Relationship Id="rId161" Type="http://schemas.openxmlformats.org/officeDocument/2006/relationships/hyperlink" Target="http://bit.ly/1htAEVL" TargetMode="External"/><Relationship Id="rId182" Type="http://schemas.openxmlformats.org/officeDocument/2006/relationships/hyperlink" Target="http://bit.ly/1a8mNjs" TargetMode="External"/><Relationship Id="rId217" Type="http://schemas.openxmlformats.org/officeDocument/2006/relationships/hyperlink" Target="http://bit.ly/1cRgey6" TargetMode="External"/><Relationship Id="rId6" Type="http://schemas.openxmlformats.org/officeDocument/2006/relationships/hyperlink" Target="http://bit.ly/K62hp4" TargetMode="External"/><Relationship Id="rId238" Type="http://schemas.openxmlformats.org/officeDocument/2006/relationships/hyperlink" Target="http://bit.ly/1ks3dFh" TargetMode="External"/><Relationship Id="rId259" Type="http://schemas.openxmlformats.org/officeDocument/2006/relationships/hyperlink" Target="http://bbwaa.com/14-hof-ballots" TargetMode="External"/><Relationship Id="rId23" Type="http://schemas.openxmlformats.org/officeDocument/2006/relationships/hyperlink" Target="http://bit.ly/1g6PHkA" TargetMode="External"/><Relationship Id="rId119" Type="http://schemas.openxmlformats.org/officeDocument/2006/relationships/hyperlink" Target="http://atmlb.com/1acHryM" TargetMode="External"/><Relationship Id="rId270" Type="http://schemas.openxmlformats.org/officeDocument/2006/relationships/hyperlink" Target="http://bbwaa.com/14-hof-ballots" TargetMode="External"/><Relationship Id="rId44" Type="http://schemas.openxmlformats.org/officeDocument/2006/relationships/hyperlink" Target="http://bbwaa.com/14-hof-ballots" TargetMode="External"/><Relationship Id="rId65" Type="http://schemas.openxmlformats.org/officeDocument/2006/relationships/hyperlink" Target="http://bit.ly/1cBkpBw" TargetMode="External"/><Relationship Id="rId86" Type="http://schemas.openxmlformats.org/officeDocument/2006/relationships/hyperlink" Target="http://bit.ly/1cJwIhE" TargetMode="External"/><Relationship Id="rId130" Type="http://schemas.openxmlformats.org/officeDocument/2006/relationships/hyperlink" Target="http://es.pn/1hqKN5G" TargetMode="External"/><Relationship Id="rId151" Type="http://schemas.openxmlformats.org/officeDocument/2006/relationships/hyperlink" Target="http://foxs.pt/1cV1j6G" TargetMode="External"/><Relationship Id="rId172" Type="http://schemas.openxmlformats.org/officeDocument/2006/relationships/hyperlink" Target="http://atmlb.com/1acHryM" TargetMode="External"/><Relationship Id="rId193" Type="http://schemas.openxmlformats.org/officeDocument/2006/relationships/hyperlink" Target="http://bbwaa.com/14-hof-ballots" TargetMode="External"/><Relationship Id="rId207" Type="http://schemas.openxmlformats.org/officeDocument/2006/relationships/hyperlink" Target="http://bbwaa.com/14-hof-ballots" TargetMode="External"/><Relationship Id="rId228" Type="http://schemas.openxmlformats.org/officeDocument/2006/relationships/hyperlink" Target="http://bit.ly/1gnyPWV" TargetMode="External"/><Relationship Id="rId249" Type="http://schemas.openxmlformats.org/officeDocument/2006/relationships/hyperlink" Target="http://bit.ly/1cZOwDU" TargetMode="External"/><Relationship Id="rId13" Type="http://schemas.openxmlformats.org/officeDocument/2006/relationships/hyperlink" Target="http://bit.ly/1czLN2I" TargetMode="External"/><Relationship Id="rId109" Type="http://schemas.openxmlformats.org/officeDocument/2006/relationships/hyperlink" Target="http://bit.ly/18OP25S" TargetMode="External"/><Relationship Id="rId260" Type="http://schemas.openxmlformats.org/officeDocument/2006/relationships/hyperlink" Target="http://bbwaa.com/14-hof-ballots" TargetMode="External"/><Relationship Id="rId34" Type="http://schemas.openxmlformats.org/officeDocument/2006/relationships/hyperlink" Target="http://bit.ly/1gpnPbu" TargetMode="External"/><Relationship Id="rId55" Type="http://schemas.openxmlformats.org/officeDocument/2006/relationships/hyperlink" Target="http://bit.ly/Khi3Oe" TargetMode="External"/><Relationship Id="rId76" Type="http://schemas.openxmlformats.org/officeDocument/2006/relationships/hyperlink" Target="http://bit.ly/1cojNiB" TargetMode="External"/><Relationship Id="rId97" Type="http://schemas.openxmlformats.org/officeDocument/2006/relationships/hyperlink" Target="http://bit.ly/1bPkDRV" TargetMode="External"/><Relationship Id="rId120" Type="http://schemas.openxmlformats.org/officeDocument/2006/relationships/hyperlink" Target="http://bit.ly/1dPzwZ6" TargetMode="External"/><Relationship Id="rId141" Type="http://schemas.openxmlformats.org/officeDocument/2006/relationships/hyperlink" Target="http://bit.ly/1htAEVL" TargetMode="External"/><Relationship Id="rId7" Type="http://schemas.openxmlformats.org/officeDocument/2006/relationships/hyperlink" Target="http://bit.ly/1bHWFbn" TargetMode="External"/><Relationship Id="rId162" Type="http://schemas.openxmlformats.org/officeDocument/2006/relationships/hyperlink" Target="http://bbwaa.com/14-hof-ballots" TargetMode="External"/><Relationship Id="rId183" Type="http://schemas.openxmlformats.org/officeDocument/2006/relationships/hyperlink" Target="http://bit.ly/18OP9OC" TargetMode="External"/><Relationship Id="rId218" Type="http://schemas.openxmlformats.org/officeDocument/2006/relationships/hyperlink" Target="http://bit.ly/1lBNzFo" TargetMode="External"/><Relationship Id="rId239" Type="http://schemas.openxmlformats.org/officeDocument/2006/relationships/hyperlink" Target="http://bit.ly/1hIN648" TargetMode="External"/><Relationship Id="rId250" Type="http://schemas.openxmlformats.org/officeDocument/2006/relationships/hyperlink" Target="http://bit.ly/1y44I0l" TargetMode="External"/><Relationship Id="rId271" Type="http://schemas.openxmlformats.org/officeDocument/2006/relationships/hyperlink" Target="http://bbwaa.com/14-hof-ballots" TargetMode="External"/><Relationship Id="rId24" Type="http://schemas.openxmlformats.org/officeDocument/2006/relationships/hyperlink" Target="http://bit.ly/1dSaRkL" TargetMode="External"/><Relationship Id="rId45" Type="http://schemas.openxmlformats.org/officeDocument/2006/relationships/hyperlink" Target="http://es.pn/Khclfm" TargetMode="External"/><Relationship Id="rId66" Type="http://schemas.openxmlformats.org/officeDocument/2006/relationships/hyperlink" Target="http://bit.ly/1bzutaz" TargetMode="External"/><Relationship Id="rId87" Type="http://schemas.openxmlformats.org/officeDocument/2006/relationships/hyperlink" Target="http://bit.ly/1htAEVL" TargetMode="External"/><Relationship Id="rId110" Type="http://schemas.openxmlformats.org/officeDocument/2006/relationships/hyperlink" Target="http://bit.ly/19QdsyG" TargetMode="External"/><Relationship Id="rId131" Type="http://schemas.openxmlformats.org/officeDocument/2006/relationships/hyperlink" Target="http://bit.ly/19IGcXE" TargetMode="External"/><Relationship Id="rId152" Type="http://schemas.openxmlformats.org/officeDocument/2006/relationships/hyperlink" Target="http://bit.ly/19QyWJz" TargetMode="External"/><Relationship Id="rId173" Type="http://schemas.openxmlformats.org/officeDocument/2006/relationships/hyperlink" Target="http://es.pn/1hqKN5G" TargetMode="External"/><Relationship Id="rId194" Type="http://schemas.openxmlformats.org/officeDocument/2006/relationships/hyperlink" Target="http://bbwaa.com/14-hof-ballots" TargetMode="External"/><Relationship Id="rId208" Type="http://schemas.openxmlformats.org/officeDocument/2006/relationships/hyperlink" Target="http://bbwaa.com/14-hof-ballots" TargetMode="External"/><Relationship Id="rId229" Type="http://schemas.openxmlformats.org/officeDocument/2006/relationships/hyperlink" Target="http://bbwaa.com/14-hof-ballots" TargetMode="External"/><Relationship Id="rId240" Type="http://schemas.openxmlformats.org/officeDocument/2006/relationships/hyperlink" Target="http://bbwaa.com/14-hof-ballots" TargetMode="External"/><Relationship Id="rId261" Type="http://schemas.openxmlformats.org/officeDocument/2006/relationships/hyperlink" Target="http://bbwaa.com/14-hof-ballots" TargetMode="External"/><Relationship Id="rId14" Type="http://schemas.openxmlformats.org/officeDocument/2006/relationships/hyperlink" Target="http://bit.ly/1cZr771" TargetMode="External"/><Relationship Id="rId35" Type="http://schemas.openxmlformats.org/officeDocument/2006/relationships/hyperlink" Target="http://bit.ly/1cV1aQw" TargetMode="External"/><Relationship Id="rId56" Type="http://schemas.openxmlformats.org/officeDocument/2006/relationships/hyperlink" Target="http://es.pn/1hqKN5G" TargetMode="External"/><Relationship Id="rId77" Type="http://schemas.openxmlformats.org/officeDocument/2006/relationships/hyperlink" Target="http://bit.ly/1awsrsc" TargetMode="External"/><Relationship Id="rId100" Type="http://schemas.openxmlformats.org/officeDocument/2006/relationships/hyperlink" Target="http://bit.ly/1cJQSTw" TargetMode="External"/><Relationship Id="rId8" Type="http://schemas.openxmlformats.org/officeDocument/2006/relationships/hyperlink" Target="http://bit.ly/1a10Fad" TargetMode="External"/><Relationship Id="rId98" Type="http://schemas.openxmlformats.org/officeDocument/2006/relationships/hyperlink" Target="http://onforb.es/18qTcCY" TargetMode="External"/><Relationship Id="rId121" Type="http://schemas.openxmlformats.org/officeDocument/2006/relationships/hyperlink" Target="http://bit.ly/1cG6WIL" TargetMode="External"/><Relationship Id="rId142" Type="http://schemas.openxmlformats.org/officeDocument/2006/relationships/hyperlink" Target="http://bit.ly/19NBpql" TargetMode="External"/><Relationship Id="rId163" Type="http://schemas.openxmlformats.org/officeDocument/2006/relationships/hyperlink" Target="http://on.freep.com/1aGcI9S" TargetMode="External"/><Relationship Id="rId184" Type="http://schemas.openxmlformats.org/officeDocument/2006/relationships/hyperlink" Target="http://bit.ly/1bP4egl" TargetMode="External"/><Relationship Id="rId219" Type="http://schemas.openxmlformats.org/officeDocument/2006/relationships/hyperlink" Target="http://bbwaa.com/14-hof-ballots" TargetMode="External"/><Relationship Id="rId230" Type="http://schemas.openxmlformats.org/officeDocument/2006/relationships/hyperlink" Target="http://bbwaa.com/14-hof-ballots" TargetMode="External"/><Relationship Id="rId251" Type="http://schemas.openxmlformats.org/officeDocument/2006/relationships/hyperlink" Target="http://bit.ly/KXtg7G" TargetMode="External"/><Relationship Id="rId25" Type="http://schemas.openxmlformats.org/officeDocument/2006/relationships/hyperlink" Target="http://bit.ly/1kZt6dn" TargetMode="External"/><Relationship Id="rId46" Type="http://schemas.openxmlformats.org/officeDocument/2006/relationships/hyperlink" Target="http://bit.ly/1iv4vNZ" TargetMode="External"/><Relationship Id="rId67" Type="http://schemas.openxmlformats.org/officeDocument/2006/relationships/hyperlink" Target="http://bit.ly/1ieyCq3" TargetMode="External"/><Relationship Id="rId272" Type="http://schemas.openxmlformats.org/officeDocument/2006/relationships/hyperlink" Target="http://bit.ly/LllpAh" TargetMode="External"/><Relationship Id="rId88" Type="http://schemas.openxmlformats.org/officeDocument/2006/relationships/hyperlink" Target="http://bit.ly/1htAEVL" TargetMode="External"/><Relationship Id="rId111" Type="http://schemas.openxmlformats.org/officeDocument/2006/relationships/hyperlink" Target="http://bit.ly/1cV1oHv" TargetMode="External"/><Relationship Id="rId132" Type="http://schemas.openxmlformats.org/officeDocument/2006/relationships/hyperlink" Target="http://bit.ly/1havsGi" TargetMode="External"/><Relationship Id="rId153" Type="http://schemas.openxmlformats.org/officeDocument/2006/relationships/hyperlink" Target="http://es.pn/1fZShvC" TargetMode="External"/><Relationship Id="rId174" Type="http://schemas.openxmlformats.org/officeDocument/2006/relationships/hyperlink" Target="http://es.pn/1hqKN5G" TargetMode="External"/><Relationship Id="rId195" Type="http://schemas.openxmlformats.org/officeDocument/2006/relationships/hyperlink" Target="http://strib.mn/1gme11K" TargetMode="External"/><Relationship Id="rId209" Type="http://schemas.openxmlformats.org/officeDocument/2006/relationships/hyperlink" Target="http://bbwaa.com/14-hof-ballots" TargetMode="External"/><Relationship Id="rId220" Type="http://schemas.openxmlformats.org/officeDocument/2006/relationships/hyperlink" Target="http://bit.ly/1dXBoPA" TargetMode="External"/><Relationship Id="rId241" Type="http://schemas.openxmlformats.org/officeDocument/2006/relationships/hyperlink" Target="http://bbwaa.com/14-hof-ballots" TargetMode="External"/><Relationship Id="rId15" Type="http://schemas.openxmlformats.org/officeDocument/2006/relationships/hyperlink" Target="http://bit.ly/1bP4egl" TargetMode="External"/><Relationship Id="rId36" Type="http://schemas.openxmlformats.org/officeDocument/2006/relationships/hyperlink" Target="http://bit.ly/1h4Xb8f" TargetMode="External"/><Relationship Id="rId57" Type="http://schemas.openxmlformats.org/officeDocument/2006/relationships/hyperlink" Target="http://bit.ly/1ag6EVz" TargetMode="External"/><Relationship Id="rId262" Type="http://schemas.openxmlformats.org/officeDocument/2006/relationships/hyperlink" Target="http://bbwaa.com/14-hof-ballots" TargetMode="External"/><Relationship Id="rId78" Type="http://schemas.openxmlformats.org/officeDocument/2006/relationships/hyperlink" Target="http://bit.ly/1cBkpBw" TargetMode="External"/><Relationship Id="rId99" Type="http://schemas.openxmlformats.org/officeDocument/2006/relationships/hyperlink" Target="http://bit.ly/KCb9nv" TargetMode="External"/><Relationship Id="rId101" Type="http://schemas.openxmlformats.org/officeDocument/2006/relationships/hyperlink" Target="http://bit.ly/1jBg5si" TargetMode="External"/><Relationship Id="rId122" Type="http://schemas.openxmlformats.org/officeDocument/2006/relationships/hyperlink" Target="http://atmlb.com/1acHryM" TargetMode="External"/><Relationship Id="rId143" Type="http://schemas.openxmlformats.org/officeDocument/2006/relationships/hyperlink" Target="http://bit.ly/1afgv1p" TargetMode="External"/><Relationship Id="rId164" Type="http://schemas.openxmlformats.org/officeDocument/2006/relationships/hyperlink" Target="http://bit.ly/1lB8YhS" TargetMode="External"/><Relationship Id="rId185" Type="http://schemas.openxmlformats.org/officeDocument/2006/relationships/hyperlink" Target="http://bit.ly/1cBkpBw" TargetMode="External"/><Relationship Id="rId9" Type="http://schemas.openxmlformats.org/officeDocument/2006/relationships/hyperlink" Target="http://bit.ly/1cQeKZh" TargetMode="External"/><Relationship Id="rId210" Type="http://schemas.openxmlformats.org/officeDocument/2006/relationships/hyperlink" Target="http://bit.ly/1ii7970" TargetMode="External"/><Relationship Id="rId26" Type="http://schemas.openxmlformats.org/officeDocument/2006/relationships/hyperlink" Target="http://bit.ly/19GdYgb" TargetMode="External"/><Relationship Id="rId231" Type="http://schemas.openxmlformats.org/officeDocument/2006/relationships/hyperlink" Target="http://b.globe.com/JJ4GXi" TargetMode="External"/><Relationship Id="rId252" Type="http://schemas.openxmlformats.org/officeDocument/2006/relationships/hyperlink" Target="http://bit.ly/1dxD6DM" TargetMode="External"/><Relationship Id="rId273" Type="http://schemas.openxmlformats.org/officeDocument/2006/relationships/hyperlink" Target="http://bit.ly/KUEvO7" TargetMode="External"/><Relationship Id="rId47" Type="http://schemas.openxmlformats.org/officeDocument/2006/relationships/hyperlink" Target="http://cin.ci/1gyjuDE" TargetMode="External"/><Relationship Id="rId68" Type="http://schemas.openxmlformats.org/officeDocument/2006/relationships/hyperlink" Target="http://bit.ly/1kpb9qW" TargetMode="External"/><Relationship Id="rId89" Type="http://schemas.openxmlformats.org/officeDocument/2006/relationships/hyperlink" Target="http://bit.ly/1havdeg" TargetMode="External"/><Relationship Id="rId112" Type="http://schemas.openxmlformats.org/officeDocument/2006/relationships/hyperlink" Target="http://nydn.us/19dfcS3" TargetMode="External"/><Relationship Id="rId133" Type="http://schemas.openxmlformats.org/officeDocument/2006/relationships/hyperlink" Target="http://es.pn/1hqKN5G" TargetMode="External"/><Relationship Id="rId154" Type="http://schemas.openxmlformats.org/officeDocument/2006/relationships/hyperlink" Target="http://nydn.us/19dfcS3" TargetMode="External"/><Relationship Id="rId175" Type="http://schemas.openxmlformats.org/officeDocument/2006/relationships/hyperlink" Target="http://bit.ly/1bOXv9l" TargetMode="External"/><Relationship Id="rId196" Type="http://schemas.openxmlformats.org/officeDocument/2006/relationships/hyperlink" Target="http://bbwaa.com/14-hof-ballots" TargetMode="External"/><Relationship Id="rId200" Type="http://schemas.openxmlformats.org/officeDocument/2006/relationships/hyperlink" Target="http://bbwaa.com/14-hof-ballots" TargetMode="External"/><Relationship Id="rId16" Type="http://schemas.openxmlformats.org/officeDocument/2006/relationships/hyperlink" Target="http://bit.ly/19zU1dw" TargetMode="External"/><Relationship Id="rId221" Type="http://schemas.openxmlformats.org/officeDocument/2006/relationships/hyperlink" Target="http://bit.ly/1igNkkf" TargetMode="External"/><Relationship Id="rId242" Type="http://schemas.openxmlformats.org/officeDocument/2006/relationships/hyperlink" Target="http://bbwaa.com/14-hof-ballots" TargetMode="External"/><Relationship Id="rId263" Type="http://schemas.openxmlformats.org/officeDocument/2006/relationships/hyperlink" Target="http://strib.mn/1gme11K" TargetMode="External"/><Relationship Id="rId37" Type="http://schemas.openxmlformats.org/officeDocument/2006/relationships/hyperlink" Target="http://es.pn/1hqKN5G" TargetMode="External"/><Relationship Id="rId58" Type="http://schemas.openxmlformats.org/officeDocument/2006/relationships/hyperlink" Target="http://bit.ly/1aaqmFq" TargetMode="External"/><Relationship Id="rId79" Type="http://schemas.openxmlformats.org/officeDocument/2006/relationships/hyperlink" Target="http://bit.ly/KCb9nv" TargetMode="External"/><Relationship Id="rId102" Type="http://schemas.openxmlformats.org/officeDocument/2006/relationships/hyperlink" Target="http://bit.ly/1a1F9Px" TargetMode="External"/><Relationship Id="rId123" Type="http://schemas.openxmlformats.org/officeDocument/2006/relationships/hyperlink" Target="http://on.freep.com/1g9biJ2" TargetMode="External"/><Relationship Id="rId144" Type="http://schemas.openxmlformats.org/officeDocument/2006/relationships/hyperlink" Target="http://bit.ly/1cXdJyK" TargetMode="External"/><Relationship Id="rId90" Type="http://schemas.openxmlformats.org/officeDocument/2006/relationships/hyperlink" Target="http://bit.ly/1cMsdRq" TargetMode="External"/><Relationship Id="rId165" Type="http://schemas.openxmlformats.org/officeDocument/2006/relationships/hyperlink" Target="http://bit.ly/1htAEVL" TargetMode="External"/><Relationship Id="rId186" Type="http://schemas.openxmlformats.org/officeDocument/2006/relationships/hyperlink" Target="http://bit.ly/19eBYca" TargetMode="External"/><Relationship Id="rId211" Type="http://schemas.openxmlformats.org/officeDocument/2006/relationships/hyperlink" Target="http://bbwaa.com/14-hof-ballots" TargetMode="External"/><Relationship Id="rId232" Type="http://schemas.openxmlformats.org/officeDocument/2006/relationships/hyperlink" Target="http://bbwaa.com/14-hof-ballots" TargetMode="External"/><Relationship Id="rId253" Type="http://schemas.openxmlformats.org/officeDocument/2006/relationships/hyperlink" Target="http://bit.ly/1fml525" TargetMode="External"/><Relationship Id="rId274" Type="http://schemas.openxmlformats.org/officeDocument/2006/relationships/hyperlink" Target="http://bit.ly/1y44I0l" TargetMode="External"/><Relationship Id="rId27" Type="http://schemas.openxmlformats.org/officeDocument/2006/relationships/hyperlink" Target="http://bit.ly/1htAEVL" TargetMode="External"/><Relationship Id="rId48" Type="http://schemas.openxmlformats.org/officeDocument/2006/relationships/hyperlink" Target="http://bit.ly/KBYjWo" TargetMode="External"/><Relationship Id="rId69" Type="http://schemas.openxmlformats.org/officeDocument/2006/relationships/hyperlink" Target="http://bit.ly/1eTXDJh" TargetMode="External"/><Relationship Id="rId113" Type="http://schemas.openxmlformats.org/officeDocument/2006/relationships/hyperlink" Target="http://bit.ly/1AVvCJY" TargetMode="External"/><Relationship Id="rId134" Type="http://schemas.openxmlformats.org/officeDocument/2006/relationships/hyperlink" Target="http://bit.ly/1ejQttl" TargetMode="External"/><Relationship Id="rId80" Type="http://schemas.openxmlformats.org/officeDocument/2006/relationships/hyperlink" Target="http://bit.ly/19QyWJz" TargetMode="External"/><Relationship Id="rId155" Type="http://schemas.openxmlformats.org/officeDocument/2006/relationships/hyperlink" Target="http://bit.ly/1a0QH91" TargetMode="External"/><Relationship Id="rId176" Type="http://schemas.openxmlformats.org/officeDocument/2006/relationships/hyperlink" Target="http://bit.ly/1haw8vj" TargetMode="External"/><Relationship Id="rId197" Type="http://schemas.openxmlformats.org/officeDocument/2006/relationships/hyperlink" Target="http://bit.ly/1lYkcdD" TargetMode="External"/><Relationship Id="rId201" Type="http://schemas.openxmlformats.org/officeDocument/2006/relationships/hyperlink" Target="http://strib.mn/1gme11K" TargetMode="External"/><Relationship Id="rId222" Type="http://schemas.openxmlformats.org/officeDocument/2006/relationships/hyperlink" Target="http://bit.ly/Kzq2GN" TargetMode="External"/><Relationship Id="rId243" Type="http://schemas.openxmlformats.org/officeDocument/2006/relationships/hyperlink" Target="http://bbwaa.com/14-hof-ballots" TargetMode="External"/><Relationship Id="rId264" Type="http://schemas.openxmlformats.org/officeDocument/2006/relationships/hyperlink" Target="http://bit.ly/1ewfNfo" TargetMode="External"/><Relationship Id="rId17" Type="http://schemas.openxmlformats.org/officeDocument/2006/relationships/hyperlink" Target="http://bit.ly/1eFHnqT" TargetMode="External"/><Relationship Id="rId38" Type="http://schemas.openxmlformats.org/officeDocument/2006/relationships/hyperlink" Target="http://bit.ly/1d9duSP" TargetMode="External"/><Relationship Id="rId59" Type="http://schemas.openxmlformats.org/officeDocument/2006/relationships/hyperlink" Target="http://bit.ly/KhihVL" TargetMode="External"/><Relationship Id="rId103" Type="http://schemas.openxmlformats.org/officeDocument/2006/relationships/hyperlink" Target="http://nydn.us/19dfcS3" TargetMode="External"/><Relationship Id="rId124" Type="http://schemas.openxmlformats.org/officeDocument/2006/relationships/hyperlink" Target="http://bit.ly/1eCL70M" TargetMode="External"/><Relationship Id="rId70" Type="http://schemas.openxmlformats.org/officeDocument/2006/relationships/hyperlink" Target="http://bit.ly/1eKC5tK" TargetMode="External"/><Relationship Id="rId91" Type="http://schemas.openxmlformats.org/officeDocument/2006/relationships/hyperlink" Target="http://bit.ly/1iTaigp" TargetMode="External"/><Relationship Id="rId145" Type="http://schemas.openxmlformats.org/officeDocument/2006/relationships/hyperlink" Target="http://t.co/wbjaiCkpNQ" TargetMode="External"/><Relationship Id="rId166" Type="http://schemas.openxmlformats.org/officeDocument/2006/relationships/hyperlink" Target="http://bit.ly/1g7XJK1" TargetMode="External"/><Relationship Id="rId187" Type="http://schemas.openxmlformats.org/officeDocument/2006/relationships/hyperlink" Target="http://bit.ly/1aIiyYu" TargetMode="External"/><Relationship Id="rId1" Type="http://schemas.openxmlformats.org/officeDocument/2006/relationships/hyperlink" Target="http://www.twitter.com/NotMrTibbs" TargetMode="External"/><Relationship Id="rId212" Type="http://schemas.openxmlformats.org/officeDocument/2006/relationships/hyperlink" Target="http://bit.ly/1iWH1l0" TargetMode="External"/><Relationship Id="rId233" Type="http://schemas.openxmlformats.org/officeDocument/2006/relationships/hyperlink" Target="http://bbwaa.com/14-hof-ballots" TargetMode="External"/><Relationship Id="rId254" Type="http://schemas.openxmlformats.org/officeDocument/2006/relationships/hyperlink" Target="http://bit.ly/1xCAse8" TargetMode="External"/><Relationship Id="rId28" Type="http://schemas.openxmlformats.org/officeDocument/2006/relationships/hyperlink" Target="http://b.globe.com/1ejQxZS" TargetMode="External"/><Relationship Id="rId49" Type="http://schemas.openxmlformats.org/officeDocument/2006/relationships/hyperlink" Target="http://bit.ly/19GilI5" TargetMode="External"/><Relationship Id="rId114" Type="http://schemas.openxmlformats.org/officeDocument/2006/relationships/hyperlink" Target="http://bit.ly/1gDV4bC" TargetMode="External"/><Relationship Id="rId275" Type="http://schemas.openxmlformats.org/officeDocument/2006/relationships/hyperlink" Target="http://bbwaa.com/14-hof-ballots" TargetMode="External"/><Relationship Id="rId60" Type="http://schemas.openxmlformats.org/officeDocument/2006/relationships/hyperlink" Target="http://atmlb.com/1acHryM" TargetMode="External"/><Relationship Id="rId81" Type="http://schemas.openxmlformats.org/officeDocument/2006/relationships/hyperlink" Target="http://bit.ly/1ag5WYe" TargetMode="External"/><Relationship Id="rId135" Type="http://schemas.openxmlformats.org/officeDocument/2006/relationships/hyperlink" Target="http://bit.ly/K478XU" TargetMode="External"/><Relationship Id="rId156" Type="http://schemas.openxmlformats.org/officeDocument/2006/relationships/hyperlink" Target="http://b.globe.com/18OOIDY" TargetMode="External"/><Relationship Id="rId177" Type="http://schemas.openxmlformats.org/officeDocument/2006/relationships/hyperlink" Target="http://bit.ly/19TqO7L" TargetMode="External"/><Relationship Id="rId198" Type="http://schemas.openxmlformats.org/officeDocument/2006/relationships/hyperlink" Target="http://bit.ly/1lYkcdD" TargetMode="External"/><Relationship Id="rId202" Type="http://schemas.openxmlformats.org/officeDocument/2006/relationships/hyperlink" Target="http://bbwaa.com/14-hof-ballots" TargetMode="External"/><Relationship Id="rId223" Type="http://schemas.openxmlformats.org/officeDocument/2006/relationships/hyperlink" Target="http://bbwaa.com/14-hof-ballots" TargetMode="External"/><Relationship Id="rId244" Type="http://schemas.openxmlformats.org/officeDocument/2006/relationships/hyperlink" Target="http://bbwaa.com/14-hof-ballots" TargetMode="External"/><Relationship Id="rId18" Type="http://schemas.openxmlformats.org/officeDocument/2006/relationships/hyperlink" Target="http://bit.ly/1bCCiMw" TargetMode="External"/><Relationship Id="rId39" Type="http://schemas.openxmlformats.org/officeDocument/2006/relationships/hyperlink" Target="http://cin.ci/JHtYVD" TargetMode="External"/><Relationship Id="rId265" Type="http://schemas.openxmlformats.org/officeDocument/2006/relationships/hyperlink" Target="http://bbwaa.com/14-hof-ballots" TargetMode="External"/><Relationship Id="rId50" Type="http://schemas.openxmlformats.org/officeDocument/2006/relationships/hyperlink" Target="http://atmlb.com/1f24jVL" TargetMode="External"/><Relationship Id="rId104" Type="http://schemas.openxmlformats.org/officeDocument/2006/relationships/hyperlink" Target="http://bit.ly/18YDbo6" TargetMode="External"/><Relationship Id="rId125" Type="http://schemas.openxmlformats.org/officeDocument/2006/relationships/hyperlink" Target="http://bit.ly/1gCEprJ" TargetMode="External"/><Relationship Id="rId146" Type="http://schemas.openxmlformats.org/officeDocument/2006/relationships/hyperlink" Target="http://bit.ly/1kqB9C3" TargetMode="External"/><Relationship Id="rId167" Type="http://schemas.openxmlformats.org/officeDocument/2006/relationships/hyperlink" Target="http://t.co/EDWYVh0MUa" TargetMode="External"/><Relationship Id="rId188" Type="http://schemas.openxmlformats.org/officeDocument/2006/relationships/hyperlink" Target="http://cour.at/1lMKn9X" TargetMode="External"/><Relationship Id="rId71" Type="http://schemas.openxmlformats.org/officeDocument/2006/relationships/hyperlink" Target="http://bbwaa.com/14-hof-ballots" TargetMode="External"/><Relationship Id="rId92" Type="http://schemas.openxmlformats.org/officeDocument/2006/relationships/hyperlink" Target="http://es.pn/1hqKN5G" TargetMode="External"/><Relationship Id="rId213" Type="http://schemas.openxmlformats.org/officeDocument/2006/relationships/hyperlink" Target="http://bbwaa.com/14-hof-ballots" TargetMode="External"/><Relationship Id="rId234" Type="http://schemas.openxmlformats.org/officeDocument/2006/relationships/hyperlink" Target="http://bit.ly/1kwmAx0" TargetMode="External"/><Relationship Id="rId2" Type="http://schemas.openxmlformats.org/officeDocument/2006/relationships/hyperlink" Target="http://bo.st/1fOKD43" TargetMode="External"/><Relationship Id="rId29" Type="http://schemas.openxmlformats.org/officeDocument/2006/relationships/hyperlink" Target="http://bit.ly/1cXuTvX" TargetMode="External"/><Relationship Id="rId255" Type="http://schemas.openxmlformats.org/officeDocument/2006/relationships/hyperlink" Target="http://bbwaa.com/14-hof-ballots" TargetMode="External"/><Relationship Id="rId276" Type="http://schemas.openxmlformats.org/officeDocument/2006/relationships/hyperlink" Target="http://bbwaa.com/14-hof-ballots" TargetMode="External"/><Relationship Id="rId40" Type="http://schemas.openxmlformats.org/officeDocument/2006/relationships/hyperlink" Target="http://bit.ly/1dEqSwJ" TargetMode="External"/><Relationship Id="rId115" Type="http://schemas.openxmlformats.org/officeDocument/2006/relationships/hyperlink" Target="http://bit.ly/19QyWJz" TargetMode="External"/><Relationship Id="rId136" Type="http://schemas.openxmlformats.org/officeDocument/2006/relationships/hyperlink" Target="http://bit.ly/1hauRo4" TargetMode="External"/><Relationship Id="rId157" Type="http://schemas.openxmlformats.org/officeDocument/2006/relationships/hyperlink" Target="http://bit.ly/1bP4egl" TargetMode="External"/><Relationship Id="rId178" Type="http://schemas.openxmlformats.org/officeDocument/2006/relationships/hyperlink" Target="http://bit.ly/1aaqmFq" TargetMode="External"/><Relationship Id="rId61" Type="http://schemas.openxmlformats.org/officeDocument/2006/relationships/hyperlink" Target="http://bit.ly/1cOr7Rm" TargetMode="External"/><Relationship Id="rId82" Type="http://schemas.openxmlformats.org/officeDocument/2006/relationships/hyperlink" Target="http://bit.ly/1dfIZuk" TargetMode="External"/><Relationship Id="rId199" Type="http://schemas.openxmlformats.org/officeDocument/2006/relationships/hyperlink" Target="http://bit.ly/1lYk3XM" TargetMode="External"/><Relationship Id="rId203" Type="http://schemas.openxmlformats.org/officeDocument/2006/relationships/hyperlink" Target="http://bit.ly/19iklbA" TargetMode="External"/><Relationship Id="rId19" Type="http://schemas.openxmlformats.org/officeDocument/2006/relationships/hyperlink" Target="http://bit.ly/JGxVtC" TargetMode="External"/><Relationship Id="rId224" Type="http://schemas.openxmlformats.org/officeDocument/2006/relationships/hyperlink" Target="http://bbwaa.com/14-hof-ballots" TargetMode="External"/><Relationship Id="rId245" Type="http://schemas.openxmlformats.org/officeDocument/2006/relationships/hyperlink" Target="http://deadsp.in/19THfXk" TargetMode="External"/><Relationship Id="rId266" Type="http://schemas.openxmlformats.org/officeDocument/2006/relationships/hyperlink" Target="http://bbwaa.com/14-hof-ballots" TargetMode="External"/><Relationship Id="rId30" Type="http://schemas.openxmlformats.org/officeDocument/2006/relationships/hyperlink" Target="http://bit.ly/1lFKD7O" TargetMode="External"/><Relationship Id="rId105" Type="http://schemas.openxmlformats.org/officeDocument/2006/relationships/hyperlink" Target="http://bit.ly/1dPK0Ie" TargetMode="External"/><Relationship Id="rId126" Type="http://schemas.openxmlformats.org/officeDocument/2006/relationships/hyperlink" Target="http://atmlb.com/1acHryM" TargetMode="External"/><Relationship Id="rId147" Type="http://schemas.openxmlformats.org/officeDocument/2006/relationships/hyperlink" Target="http://bit.ly/1havlKL" TargetMode="External"/><Relationship Id="rId168" Type="http://schemas.openxmlformats.org/officeDocument/2006/relationships/hyperlink" Target="http://bit.ly/1eGbN0s" TargetMode="External"/><Relationship Id="rId51" Type="http://schemas.openxmlformats.org/officeDocument/2006/relationships/hyperlink" Target="http://bit.ly/JE4Vm6" TargetMode="External"/><Relationship Id="rId72" Type="http://schemas.openxmlformats.org/officeDocument/2006/relationships/hyperlink" Target="http://bit.ly/1aaqmFq" TargetMode="External"/><Relationship Id="rId93" Type="http://schemas.openxmlformats.org/officeDocument/2006/relationships/hyperlink" Target="http://bit.ly/1eWQPL3" TargetMode="External"/><Relationship Id="rId189" Type="http://schemas.openxmlformats.org/officeDocument/2006/relationships/hyperlink" Target="http://cour.at/1lMKn9X" TargetMode="External"/><Relationship Id="rId3" Type="http://schemas.openxmlformats.org/officeDocument/2006/relationships/hyperlink" Target="http://bit.ly/1vsXuPV" TargetMode="External"/><Relationship Id="rId214" Type="http://schemas.openxmlformats.org/officeDocument/2006/relationships/hyperlink" Target="http://bbwaa.com/14-hof-ballots" TargetMode="External"/><Relationship Id="rId235" Type="http://schemas.openxmlformats.org/officeDocument/2006/relationships/hyperlink" Target="http://bbwaa.com/14-hof-ballots" TargetMode="External"/><Relationship Id="rId256" Type="http://schemas.openxmlformats.org/officeDocument/2006/relationships/hyperlink" Target="http://strib.mn/KGoBXE" TargetMode="External"/><Relationship Id="rId277" Type="http://schemas.openxmlformats.org/officeDocument/2006/relationships/hyperlink" Target="http://bbwaa.com/14-hof-ballots" TargetMode="External"/><Relationship Id="rId116" Type="http://schemas.openxmlformats.org/officeDocument/2006/relationships/hyperlink" Target="http://bit.ly/19ZRC9u" TargetMode="External"/><Relationship Id="rId137" Type="http://schemas.openxmlformats.org/officeDocument/2006/relationships/hyperlink" Target="http://bit.ly/1iUeX1H" TargetMode="External"/><Relationship Id="rId158" Type="http://schemas.openxmlformats.org/officeDocument/2006/relationships/hyperlink" Target="http://es.pn/1hqKN5G" TargetMode="External"/><Relationship Id="rId20" Type="http://schemas.openxmlformats.org/officeDocument/2006/relationships/hyperlink" Target="http://atmlb.com/1acHryM" TargetMode="External"/><Relationship Id="rId41" Type="http://schemas.openxmlformats.org/officeDocument/2006/relationships/hyperlink" Target="http://bit.ly/1jbpqDz" TargetMode="External"/><Relationship Id="rId62" Type="http://schemas.openxmlformats.org/officeDocument/2006/relationships/hyperlink" Target="http://atmlb.com/1acHryM" TargetMode="External"/><Relationship Id="rId83" Type="http://schemas.openxmlformats.org/officeDocument/2006/relationships/hyperlink" Target="http://cour.at/19DLgPB" TargetMode="External"/><Relationship Id="rId179" Type="http://schemas.openxmlformats.org/officeDocument/2006/relationships/hyperlink" Target="http://bit.ly/1eitNsS" TargetMode="External"/><Relationship Id="rId190" Type="http://schemas.openxmlformats.org/officeDocument/2006/relationships/hyperlink" Target="http://bbwaa.com/14-hof-ballots" TargetMode="External"/><Relationship Id="rId204" Type="http://schemas.openxmlformats.org/officeDocument/2006/relationships/hyperlink" Target="http://bbwaa.com/14-hof-ballots" TargetMode="External"/><Relationship Id="rId225" Type="http://schemas.openxmlformats.org/officeDocument/2006/relationships/hyperlink" Target="http://bit.ly/JLhfRT" TargetMode="External"/><Relationship Id="rId246" Type="http://schemas.openxmlformats.org/officeDocument/2006/relationships/hyperlink" Target="http://bit.ly/K8cTnr" TargetMode="External"/><Relationship Id="rId267" Type="http://schemas.openxmlformats.org/officeDocument/2006/relationships/hyperlink" Target="http://bbwaa.com/14-hof-ballots" TargetMode="External"/><Relationship Id="rId106" Type="http://schemas.openxmlformats.org/officeDocument/2006/relationships/hyperlink" Target="http://bit.ly/1fOL0vv" TargetMode="External"/><Relationship Id="rId127" Type="http://schemas.openxmlformats.org/officeDocument/2006/relationships/hyperlink" Target="http://usat.ly/1cX1Usn" TargetMode="External"/><Relationship Id="rId10" Type="http://schemas.openxmlformats.org/officeDocument/2006/relationships/hyperlink" Target="http://bit.ly/JGIM76" TargetMode="External"/><Relationship Id="rId31" Type="http://schemas.openxmlformats.org/officeDocument/2006/relationships/hyperlink" Target="http://es.pn/1hqKN5G" TargetMode="External"/><Relationship Id="rId52" Type="http://schemas.openxmlformats.org/officeDocument/2006/relationships/hyperlink" Target="http://es.pn/1hqKN5G" TargetMode="External"/><Relationship Id="rId73" Type="http://schemas.openxmlformats.org/officeDocument/2006/relationships/hyperlink" Target="http://bit.ly/JHGvZe" TargetMode="External"/><Relationship Id="rId94" Type="http://schemas.openxmlformats.org/officeDocument/2006/relationships/hyperlink" Target="http://bit.ly/Ko8jlZ" TargetMode="External"/><Relationship Id="rId148" Type="http://schemas.openxmlformats.org/officeDocument/2006/relationships/hyperlink" Target="http://es.pn/1hqKN5G" TargetMode="External"/><Relationship Id="rId169" Type="http://schemas.openxmlformats.org/officeDocument/2006/relationships/hyperlink" Target="http://bit.ly/1eGbDpS" TargetMode="External"/><Relationship Id="rId4" Type="http://schemas.openxmlformats.org/officeDocument/2006/relationships/hyperlink" Target="http://bit.ly/1exhAB2" TargetMode="External"/><Relationship Id="rId180" Type="http://schemas.openxmlformats.org/officeDocument/2006/relationships/hyperlink" Target="http://bit.ly/1hav0YD" TargetMode="External"/><Relationship Id="rId215" Type="http://schemas.openxmlformats.org/officeDocument/2006/relationships/hyperlink" Target="http://bit.ly/1iZuVYa" TargetMode="External"/><Relationship Id="rId236" Type="http://schemas.openxmlformats.org/officeDocument/2006/relationships/hyperlink" Target="http://bit.ly/1iZuVYa" TargetMode="External"/><Relationship Id="rId257" Type="http://schemas.openxmlformats.org/officeDocument/2006/relationships/hyperlink" Target="http://bbwaa.com/14-hof-ballots" TargetMode="External"/><Relationship Id="rId278" Type="http://schemas.openxmlformats.org/officeDocument/2006/relationships/hyperlink" Target="http://bit.ly/JIexMZ" TargetMode="External"/><Relationship Id="rId42" Type="http://schemas.openxmlformats.org/officeDocument/2006/relationships/hyperlink" Target="http://bit.ly/Khi6d2" TargetMode="External"/><Relationship Id="rId84" Type="http://schemas.openxmlformats.org/officeDocument/2006/relationships/hyperlink" Target="http://bit.ly/18OOw7P" TargetMode="External"/><Relationship Id="rId138" Type="http://schemas.openxmlformats.org/officeDocument/2006/relationships/hyperlink" Target="http://bit.ly/1iwsNai" TargetMode="External"/><Relationship Id="rId191" Type="http://schemas.openxmlformats.org/officeDocument/2006/relationships/hyperlink" Target="http://bbwaa.com/14-hof-ballots" TargetMode="External"/><Relationship Id="rId205" Type="http://schemas.openxmlformats.org/officeDocument/2006/relationships/hyperlink" Target="http://bit.ly/1mdnwBK" TargetMode="External"/><Relationship Id="rId247" Type="http://schemas.openxmlformats.org/officeDocument/2006/relationships/hyperlink" Target="http://bbwaa.com/14-hof-ballots" TargetMode="External"/><Relationship Id="rId107" Type="http://schemas.openxmlformats.org/officeDocument/2006/relationships/hyperlink" Target="http://bit.ly/1lDJA8m" TargetMode="External"/><Relationship Id="rId11" Type="http://schemas.openxmlformats.org/officeDocument/2006/relationships/hyperlink" Target="http://bit.ly/1bP4egl" TargetMode="External"/><Relationship Id="rId53" Type="http://schemas.openxmlformats.org/officeDocument/2006/relationships/hyperlink" Target="http://bit.ly/1aaqmFq" TargetMode="External"/><Relationship Id="rId149" Type="http://schemas.openxmlformats.org/officeDocument/2006/relationships/hyperlink" Target="http://bit.ly/1e4bDK7" TargetMode="External"/><Relationship Id="rId95" Type="http://schemas.openxmlformats.org/officeDocument/2006/relationships/hyperlink" Target="http://bit.ly/1cpIwj0" TargetMode="External"/><Relationship Id="rId160" Type="http://schemas.openxmlformats.org/officeDocument/2006/relationships/hyperlink" Target="http://bit.ly/1izuuDU" TargetMode="External"/><Relationship Id="rId216" Type="http://schemas.openxmlformats.org/officeDocument/2006/relationships/hyperlink" Target="http://bbwaa.com/14-hof-ballots" TargetMode="External"/></Relationships>
</file>

<file path=xl/worksheets/_rels/sheet6.xml.rels><?xml version="1.0" encoding="UTF-8" standalone="yes"?>
<Relationships xmlns="http://schemas.openxmlformats.org/package/2006/relationships"><Relationship Id="rId117" Type="http://schemas.openxmlformats.org/officeDocument/2006/relationships/hyperlink" Target="http://bit.ly/UNdQ4g" TargetMode="External"/><Relationship Id="rId21" Type="http://schemas.openxmlformats.org/officeDocument/2006/relationships/hyperlink" Target="http://bit.ly/VZr2BQ" TargetMode="External"/><Relationship Id="rId42" Type="http://schemas.openxmlformats.org/officeDocument/2006/relationships/hyperlink" Target="http://bit.ly/WbjhJk" TargetMode="External"/><Relationship Id="rId63" Type="http://schemas.openxmlformats.org/officeDocument/2006/relationships/hyperlink" Target="http://on.freep.com/XaQFTo" TargetMode="External"/><Relationship Id="rId84" Type="http://schemas.openxmlformats.org/officeDocument/2006/relationships/hyperlink" Target="http://es.pn/VfYlFw" TargetMode="External"/><Relationship Id="rId138" Type="http://schemas.openxmlformats.org/officeDocument/2006/relationships/hyperlink" Target="http://atmlb.com/XJ90ee" TargetMode="External"/><Relationship Id="rId159" Type="http://schemas.openxmlformats.org/officeDocument/2006/relationships/hyperlink" Target="http://bit.ly/VLYFeA" TargetMode="External"/><Relationship Id="rId107" Type="http://schemas.openxmlformats.org/officeDocument/2006/relationships/hyperlink" Target="http://bit.ly/VoqOVG" TargetMode="External"/><Relationship Id="rId11" Type="http://schemas.openxmlformats.org/officeDocument/2006/relationships/hyperlink" Target="http://b.globe.com/Zg6U6D" TargetMode="External"/><Relationship Id="rId32" Type="http://schemas.openxmlformats.org/officeDocument/2006/relationships/hyperlink" Target="http://bit.ly/Yydghr" TargetMode="External"/><Relationship Id="rId53" Type="http://schemas.openxmlformats.org/officeDocument/2006/relationships/hyperlink" Target="http://bit.ly/Ux7yb2" TargetMode="External"/><Relationship Id="rId74" Type="http://schemas.openxmlformats.org/officeDocument/2006/relationships/hyperlink" Target="http://bit.ly/VgfZpo" TargetMode="External"/><Relationship Id="rId128" Type="http://schemas.openxmlformats.org/officeDocument/2006/relationships/hyperlink" Target="http://bit.ly/XJ8yg1" TargetMode="External"/><Relationship Id="rId149" Type="http://schemas.openxmlformats.org/officeDocument/2006/relationships/hyperlink" Target="http://es.pn/Vbaqvs" TargetMode="External"/><Relationship Id="rId5" Type="http://schemas.openxmlformats.org/officeDocument/2006/relationships/hyperlink" Target="http://bit.ly/Vbrq4W" TargetMode="External"/><Relationship Id="rId95" Type="http://schemas.openxmlformats.org/officeDocument/2006/relationships/hyperlink" Target="http://atmlb.com/XJ90ee" TargetMode="External"/><Relationship Id="rId22" Type="http://schemas.openxmlformats.org/officeDocument/2006/relationships/hyperlink" Target="http://bit.ly/ZqRYmb" TargetMode="External"/><Relationship Id="rId43" Type="http://schemas.openxmlformats.org/officeDocument/2006/relationships/hyperlink" Target="http://bit.ly/UBOD1x" TargetMode="External"/><Relationship Id="rId64" Type="http://schemas.openxmlformats.org/officeDocument/2006/relationships/hyperlink" Target="http://bit.ly/RknoGn" TargetMode="External"/><Relationship Id="rId118" Type="http://schemas.openxmlformats.org/officeDocument/2006/relationships/hyperlink" Target="http://bit.ly/VCLT25" TargetMode="External"/><Relationship Id="rId139" Type="http://schemas.openxmlformats.org/officeDocument/2006/relationships/hyperlink" Target="http://bit.ly/R28KTP" TargetMode="External"/><Relationship Id="rId80" Type="http://schemas.openxmlformats.org/officeDocument/2006/relationships/hyperlink" Target="http://b.globe.com/Vb1UN9" TargetMode="External"/><Relationship Id="rId85" Type="http://schemas.openxmlformats.org/officeDocument/2006/relationships/hyperlink" Target="http://es.pn/UBrrRb" TargetMode="External"/><Relationship Id="rId150" Type="http://schemas.openxmlformats.org/officeDocument/2006/relationships/hyperlink" Target="http://bit.ly/T8zv8Y" TargetMode="External"/><Relationship Id="rId155" Type="http://schemas.openxmlformats.org/officeDocument/2006/relationships/hyperlink" Target="http://bit.ly/Vgd1Bh" TargetMode="External"/><Relationship Id="rId12" Type="http://schemas.openxmlformats.org/officeDocument/2006/relationships/hyperlink" Target="http://es.pn/10syP2J" TargetMode="External"/><Relationship Id="rId17" Type="http://schemas.openxmlformats.org/officeDocument/2006/relationships/hyperlink" Target="http://bit.ly/Vgj1x4" TargetMode="External"/><Relationship Id="rId33" Type="http://schemas.openxmlformats.org/officeDocument/2006/relationships/hyperlink" Target="http://atmlb.com/XJ90ee" TargetMode="External"/><Relationship Id="rId38" Type="http://schemas.openxmlformats.org/officeDocument/2006/relationships/hyperlink" Target="http://trib.in/VCLpJb" TargetMode="External"/><Relationship Id="rId59" Type="http://schemas.openxmlformats.org/officeDocument/2006/relationships/hyperlink" Target="http://bit.ly/VZp1pp" TargetMode="External"/><Relationship Id="rId103" Type="http://schemas.openxmlformats.org/officeDocument/2006/relationships/hyperlink" Target="http://bit.ly/T8ySMH" TargetMode="External"/><Relationship Id="rId108" Type="http://schemas.openxmlformats.org/officeDocument/2006/relationships/hyperlink" Target="http://bit.ly/UdOQVR" TargetMode="External"/><Relationship Id="rId124" Type="http://schemas.openxmlformats.org/officeDocument/2006/relationships/hyperlink" Target="http://bit.ly/XLkk9L" TargetMode="External"/><Relationship Id="rId129" Type="http://schemas.openxmlformats.org/officeDocument/2006/relationships/hyperlink" Target="http://bit.ly/W61zqI" TargetMode="External"/><Relationship Id="rId54" Type="http://schemas.openxmlformats.org/officeDocument/2006/relationships/hyperlink" Target="http://es.pn/VfYlFw" TargetMode="External"/><Relationship Id="rId70" Type="http://schemas.openxmlformats.org/officeDocument/2006/relationships/hyperlink" Target="http://bit.ly/Vbrq4W" TargetMode="External"/><Relationship Id="rId75" Type="http://schemas.openxmlformats.org/officeDocument/2006/relationships/hyperlink" Target="http://es.pn/W8ZuKp" TargetMode="External"/><Relationship Id="rId91" Type="http://schemas.openxmlformats.org/officeDocument/2006/relationships/hyperlink" Target="http://bit.ly/VcDK4I" TargetMode="External"/><Relationship Id="rId96" Type="http://schemas.openxmlformats.org/officeDocument/2006/relationships/hyperlink" Target="http://bit.ly/Vbrq4W" TargetMode="External"/><Relationship Id="rId140" Type="http://schemas.openxmlformats.org/officeDocument/2006/relationships/hyperlink" Target="http://bit.ly/Vbrq4W" TargetMode="External"/><Relationship Id="rId145" Type="http://schemas.openxmlformats.org/officeDocument/2006/relationships/hyperlink" Target="http://on-msn.com/RC63c3" TargetMode="External"/><Relationship Id="rId1" Type="http://schemas.openxmlformats.org/officeDocument/2006/relationships/hyperlink" Target="http://bit.ly/10fvm8P" TargetMode="External"/><Relationship Id="rId6" Type="http://schemas.openxmlformats.org/officeDocument/2006/relationships/hyperlink" Target="http://atmlb.com/XJ90ee" TargetMode="External"/><Relationship Id="rId23" Type="http://schemas.openxmlformats.org/officeDocument/2006/relationships/hyperlink" Target="http://bit.ly/T8zGkH" TargetMode="External"/><Relationship Id="rId28" Type="http://schemas.openxmlformats.org/officeDocument/2006/relationships/hyperlink" Target="http://bit.ly/Vbrq4W" TargetMode="External"/><Relationship Id="rId49" Type="http://schemas.openxmlformats.org/officeDocument/2006/relationships/hyperlink" Target="http://bit.ly/TscRHE" TargetMode="External"/><Relationship Id="rId114" Type="http://schemas.openxmlformats.org/officeDocument/2006/relationships/hyperlink" Target="https://twitter.com/HaleMark/status/289072545372704769" TargetMode="External"/><Relationship Id="rId119" Type="http://schemas.openxmlformats.org/officeDocument/2006/relationships/hyperlink" Target="http://bit.ly/VCLT25" TargetMode="External"/><Relationship Id="rId44" Type="http://schemas.openxmlformats.org/officeDocument/2006/relationships/hyperlink" Target="http://bit.ly/VZp1pp" TargetMode="External"/><Relationship Id="rId60" Type="http://schemas.openxmlformats.org/officeDocument/2006/relationships/hyperlink" Target="http://cbsprt.co/UCNBm6" TargetMode="External"/><Relationship Id="rId65" Type="http://schemas.openxmlformats.org/officeDocument/2006/relationships/hyperlink" Target="http://usat.ly/UBq0lK" TargetMode="External"/><Relationship Id="rId81" Type="http://schemas.openxmlformats.org/officeDocument/2006/relationships/hyperlink" Target="http://bit.ly/100yzZK" TargetMode="External"/><Relationship Id="rId86" Type="http://schemas.openxmlformats.org/officeDocument/2006/relationships/hyperlink" Target="http://bit.ly/Vbrq4W" TargetMode="External"/><Relationship Id="rId130" Type="http://schemas.openxmlformats.org/officeDocument/2006/relationships/hyperlink" Target="http://bit.ly/Vb7Vt5" TargetMode="External"/><Relationship Id="rId135" Type="http://schemas.openxmlformats.org/officeDocument/2006/relationships/hyperlink" Target="http://bit.ly/Vbrq4W" TargetMode="External"/><Relationship Id="rId151" Type="http://schemas.openxmlformats.org/officeDocument/2006/relationships/hyperlink" Target="http://bit.ly/XLlVfH" TargetMode="External"/><Relationship Id="rId156" Type="http://schemas.openxmlformats.org/officeDocument/2006/relationships/hyperlink" Target="http://trib.in/VCLpJb" TargetMode="External"/><Relationship Id="rId13" Type="http://schemas.openxmlformats.org/officeDocument/2006/relationships/hyperlink" Target="http://bit.ly/ZqRJHT" TargetMode="External"/><Relationship Id="rId18" Type="http://schemas.openxmlformats.org/officeDocument/2006/relationships/hyperlink" Target="http://es.pn/VfYlFw" TargetMode="External"/><Relationship Id="rId39" Type="http://schemas.openxmlformats.org/officeDocument/2006/relationships/hyperlink" Target="http://cbsprt.co/RD7yXj" TargetMode="External"/><Relationship Id="rId109" Type="http://schemas.openxmlformats.org/officeDocument/2006/relationships/hyperlink" Target="http://bit.ly/VgtUPx" TargetMode="External"/><Relationship Id="rId34" Type="http://schemas.openxmlformats.org/officeDocument/2006/relationships/hyperlink" Target="http://bit.ly/Vbrq4W" TargetMode="External"/><Relationship Id="rId50" Type="http://schemas.openxmlformats.org/officeDocument/2006/relationships/hyperlink" Target="http://cbsprt.co/Vkr6Oc" TargetMode="External"/><Relationship Id="rId55" Type="http://schemas.openxmlformats.org/officeDocument/2006/relationships/hyperlink" Target="http://bit.ly/YBWm1x" TargetMode="External"/><Relationship Id="rId76" Type="http://schemas.openxmlformats.org/officeDocument/2006/relationships/hyperlink" Target="http://b.globe.com/VMcKF4" TargetMode="External"/><Relationship Id="rId97" Type="http://schemas.openxmlformats.org/officeDocument/2006/relationships/hyperlink" Target="http://bit.ly/XLkvlj" TargetMode="External"/><Relationship Id="rId104" Type="http://schemas.openxmlformats.org/officeDocument/2006/relationships/hyperlink" Target="http://bit.ly/UtyFmm" TargetMode="External"/><Relationship Id="rId120" Type="http://schemas.openxmlformats.org/officeDocument/2006/relationships/hyperlink" Target="http://bit.ly/XLlkKT" TargetMode="External"/><Relationship Id="rId125" Type="http://schemas.openxmlformats.org/officeDocument/2006/relationships/hyperlink" Target="http://es.pn/VfYlFw" TargetMode="External"/><Relationship Id="rId141" Type="http://schemas.openxmlformats.org/officeDocument/2006/relationships/hyperlink" Target="http://es.pn/VfYlFw" TargetMode="External"/><Relationship Id="rId146" Type="http://schemas.openxmlformats.org/officeDocument/2006/relationships/hyperlink" Target="http://es.pn/VfYlFw" TargetMode="External"/><Relationship Id="rId7" Type="http://schemas.openxmlformats.org/officeDocument/2006/relationships/hyperlink" Target="http://atmlb.com/XJ90ee" TargetMode="External"/><Relationship Id="rId71" Type="http://schemas.openxmlformats.org/officeDocument/2006/relationships/hyperlink" Target="http://bit.ly/Vbrq4W" TargetMode="External"/><Relationship Id="rId92" Type="http://schemas.openxmlformats.org/officeDocument/2006/relationships/hyperlink" Target="http://bo.st/YFFy8O" TargetMode="External"/><Relationship Id="rId2" Type="http://schemas.openxmlformats.org/officeDocument/2006/relationships/hyperlink" Target="http://bit.ly/100ynJS" TargetMode="External"/><Relationship Id="rId29" Type="http://schemas.openxmlformats.org/officeDocument/2006/relationships/hyperlink" Target="http://es.pn/VfYlFw" TargetMode="External"/><Relationship Id="rId24" Type="http://schemas.openxmlformats.org/officeDocument/2006/relationships/hyperlink" Target="http://bit.ly/VfBI3K" TargetMode="External"/><Relationship Id="rId40" Type="http://schemas.openxmlformats.org/officeDocument/2006/relationships/hyperlink" Target="http://bit.ly/TUTVCa" TargetMode="External"/><Relationship Id="rId45" Type="http://schemas.openxmlformats.org/officeDocument/2006/relationships/hyperlink" Target="http://bit.ly/VmPVvj" TargetMode="External"/><Relationship Id="rId66" Type="http://schemas.openxmlformats.org/officeDocument/2006/relationships/hyperlink" Target="http://atmlb.com/XJ90ee" TargetMode="External"/><Relationship Id="rId87" Type="http://schemas.openxmlformats.org/officeDocument/2006/relationships/hyperlink" Target="http://bit.ly/UtxS4P" TargetMode="External"/><Relationship Id="rId110" Type="http://schemas.openxmlformats.org/officeDocument/2006/relationships/hyperlink" Target="http://bit.ly/VfFgTE" TargetMode="External"/><Relationship Id="rId115" Type="http://schemas.openxmlformats.org/officeDocument/2006/relationships/hyperlink" Target="http://bit.ly/XLlkKT" TargetMode="External"/><Relationship Id="rId131" Type="http://schemas.openxmlformats.org/officeDocument/2006/relationships/hyperlink" Target="http://bit.ly/VwGw6f" TargetMode="External"/><Relationship Id="rId136" Type="http://schemas.openxmlformats.org/officeDocument/2006/relationships/hyperlink" Target="http://atmlb.com/XJ90ee" TargetMode="External"/><Relationship Id="rId157" Type="http://schemas.openxmlformats.org/officeDocument/2006/relationships/hyperlink" Target="http://bit.ly/RD7B5q" TargetMode="External"/><Relationship Id="rId61" Type="http://schemas.openxmlformats.org/officeDocument/2006/relationships/hyperlink" Target="http://trib.in/VCLpJb" TargetMode="External"/><Relationship Id="rId82" Type="http://schemas.openxmlformats.org/officeDocument/2006/relationships/hyperlink" Target="http://es.pn/VfYlFw" TargetMode="External"/><Relationship Id="rId152" Type="http://schemas.openxmlformats.org/officeDocument/2006/relationships/hyperlink" Target="http://bit.ly/RYKvI2" TargetMode="External"/><Relationship Id="rId19" Type="http://schemas.openxmlformats.org/officeDocument/2006/relationships/hyperlink" Target="http://bit.ly/UBCxFV" TargetMode="External"/><Relationship Id="rId14" Type="http://schemas.openxmlformats.org/officeDocument/2006/relationships/hyperlink" Target="http://bit.ly/Vbrq4W" TargetMode="External"/><Relationship Id="rId30" Type="http://schemas.openxmlformats.org/officeDocument/2006/relationships/hyperlink" Target="http://dallasne.ws/VfCIF4" TargetMode="External"/><Relationship Id="rId35" Type="http://schemas.openxmlformats.org/officeDocument/2006/relationships/hyperlink" Target="http://atmlb.com/XJ90ee" TargetMode="External"/><Relationship Id="rId56" Type="http://schemas.openxmlformats.org/officeDocument/2006/relationships/hyperlink" Target="http://bit.ly/VCLT25" TargetMode="External"/><Relationship Id="rId77" Type="http://schemas.openxmlformats.org/officeDocument/2006/relationships/hyperlink" Target="http://bit.ly/VcCZIR" TargetMode="External"/><Relationship Id="rId100" Type="http://schemas.openxmlformats.org/officeDocument/2006/relationships/hyperlink" Target="http://bit.ly/UBseBG" TargetMode="External"/><Relationship Id="rId105" Type="http://schemas.openxmlformats.org/officeDocument/2006/relationships/hyperlink" Target="http://es.pn/VfYlFw" TargetMode="External"/><Relationship Id="rId126" Type="http://schemas.openxmlformats.org/officeDocument/2006/relationships/hyperlink" Target="http://bit.ly/YYim5H" TargetMode="External"/><Relationship Id="rId147" Type="http://schemas.openxmlformats.org/officeDocument/2006/relationships/hyperlink" Target="https://twitter.com/JCRMarlinsbeat/status/289579076304379904" TargetMode="External"/><Relationship Id="rId8" Type="http://schemas.openxmlformats.org/officeDocument/2006/relationships/hyperlink" Target="https://twitter.com/PeterBotte/status/289037602613493760" TargetMode="External"/><Relationship Id="rId51" Type="http://schemas.openxmlformats.org/officeDocument/2006/relationships/hyperlink" Target="http://bit.ly/VCLT25" TargetMode="External"/><Relationship Id="rId72" Type="http://schemas.openxmlformats.org/officeDocument/2006/relationships/hyperlink" Target="http://bit.ly/Vbrq4W" TargetMode="External"/><Relationship Id="rId93" Type="http://schemas.openxmlformats.org/officeDocument/2006/relationships/hyperlink" Target="http://bit.ly/X1fg0D" TargetMode="External"/><Relationship Id="rId98" Type="http://schemas.openxmlformats.org/officeDocument/2006/relationships/hyperlink" Target="http://bit.ly/TiFOpm" TargetMode="External"/><Relationship Id="rId121" Type="http://schemas.openxmlformats.org/officeDocument/2006/relationships/hyperlink" Target="http://bit.ly/XIyZm1" TargetMode="External"/><Relationship Id="rId142" Type="http://schemas.openxmlformats.org/officeDocument/2006/relationships/hyperlink" Target="http://bit.ly/Vz9zSh" TargetMode="External"/><Relationship Id="rId3" Type="http://schemas.openxmlformats.org/officeDocument/2006/relationships/hyperlink" Target="http://bit.ly/XJcM7e" TargetMode="External"/><Relationship Id="rId25" Type="http://schemas.openxmlformats.org/officeDocument/2006/relationships/hyperlink" Target="http://bit.ly/VmPmlj" TargetMode="External"/><Relationship Id="rId46" Type="http://schemas.openxmlformats.org/officeDocument/2006/relationships/hyperlink" Target="http://cour.at/XGQygT" TargetMode="External"/><Relationship Id="rId67" Type="http://schemas.openxmlformats.org/officeDocument/2006/relationships/hyperlink" Target="http://es.pn/VfYlFw" TargetMode="External"/><Relationship Id="rId116" Type="http://schemas.openxmlformats.org/officeDocument/2006/relationships/hyperlink" Target="http://on.fb.me/UtykA8" TargetMode="External"/><Relationship Id="rId137" Type="http://schemas.openxmlformats.org/officeDocument/2006/relationships/hyperlink" Target="http://atmlb.com/XJ90ee" TargetMode="External"/><Relationship Id="rId158" Type="http://schemas.openxmlformats.org/officeDocument/2006/relationships/hyperlink" Target="http://bit.ly/XLlkKT" TargetMode="External"/><Relationship Id="rId20" Type="http://schemas.openxmlformats.org/officeDocument/2006/relationships/hyperlink" Target="http://cin.ci/VwwKN3" TargetMode="External"/><Relationship Id="rId41" Type="http://schemas.openxmlformats.org/officeDocument/2006/relationships/hyperlink" Target="http://bit.ly/WbjhJk" TargetMode="External"/><Relationship Id="rId62" Type="http://schemas.openxmlformats.org/officeDocument/2006/relationships/hyperlink" Target="http://bit.ly/Vg8qSG" TargetMode="External"/><Relationship Id="rId83" Type="http://schemas.openxmlformats.org/officeDocument/2006/relationships/hyperlink" Target="http://atmlb.com/XJ90ee" TargetMode="External"/><Relationship Id="rId88" Type="http://schemas.openxmlformats.org/officeDocument/2006/relationships/hyperlink" Target="http://bit.ly/Zg7kd9" TargetMode="External"/><Relationship Id="rId111" Type="http://schemas.openxmlformats.org/officeDocument/2006/relationships/hyperlink" Target="http://trib.in/VCLpJb" TargetMode="External"/><Relationship Id="rId132" Type="http://schemas.openxmlformats.org/officeDocument/2006/relationships/hyperlink" Target="http://bit.ly/WbjhJk" TargetMode="External"/><Relationship Id="rId153" Type="http://schemas.openxmlformats.org/officeDocument/2006/relationships/hyperlink" Target="http://atmlb.com/XJ90ee" TargetMode="External"/><Relationship Id="rId15" Type="http://schemas.openxmlformats.org/officeDocument/2006/relationships/hyperlink" Target="http://bit.ly/YYAvvz" TargetMode="External"/><Relationship Id="rId36" Type="http://schemas.openxmlformats.org/officeDocument/2006/relationships/hyperlink" Target="http://atmlb.com/XJ90ee" TargetMode="External"/><Relationship Id="rId57" Type="http://schemas.openxmlformats.org/officeDocument/2006/relationships/hyperlink" Target="http://bit.ly/TsbEA9" TargetMode="External"/><Relationship Id="rId106" Type="http://schemas.openxmlformats.org/officeDocument/2006/relationships/hyperlink" Target="http://bit.ly/VZftLl" TargetMode="External"/><Relationship Id="rId127" Type="http://schemas.openxmlformats.org/officeDocument/2006/relationships/hyperlink" Target="http://usat.ly/XJ88WX" TargetMode="External"/><Relationship Id="rId10" Type="http://schemas.openxmlformats.org/officeDocument/2006/relationships/hyperlink" Target="http://bit.ly/X1fKUm" TargetMode="External"/><Relationship Id="rId31" Type="http://schemas.openxmlformats.org/officeDocument/2006/relationships/hyperlink" Target="http://es.pn/VfYlFw" TargetMode="External"/><Relationship Id="rId52" Type="http://schemas.openxmlformats.org/officeDocument/2006/relationships/hyperlink" Target="http://atmlb.com/XJ90ee" TargetMode="External"/><Relationship Id="rId73" Type="http://schemas.openxmlformats.org/officeDocument/2006/relationships/hyperlink" Target="http://bit.ly/UKPECB" TargetMode="External"/><Relationship Id="rId78" Type="http://schemas.openxmlformats.org/officeDocument/2006/relationships/hyperlink" Target="http://bit.ly/ZqS90V" TargetMode="External"/><Relationship Id="rId94" Type="http://schemas.openxmlformats.org/officeDocument/2006/relationships/hyperlink" Target="http://bit.ly/XLkUo2" TargetMode="External"/><Relationship Id="rId99" Type="http://schemas.openxmlformats.org/officeDocument/2006/relationships/hyperlink" Target="http://es.pn/VfYxEA" TargetMode="External"/><Relationship Id="rId101" Type="http://schemas.openxmlformats.org/officeDocument/2006/relationships/hyperlink" Target="http://yhoo.it/T8zbqS" TargetMode="External"/><Relationship Id="rId122" Type="http://schemas.openxmlformats.org/officeDocument/2006/relationships/hyperlink" Target="http://bit.ly/VopWk6" TargetMode="External"/><Relationship Id="rId143" Type="http://schemas.openxmlformats.org/officeDocument/2006/relationships/hyperlink" Target="http://bit.ly/UB9vWQ" TargetMode="External"/><Relationship Id="rId148" Type="http://schemas.openxmlformats.org/officeDocument/2006/relationships/hyperlink" Target="http://bit.ly/VZp1pp" TargetMode="External"/><Relationship Id="rId4" Type="http://schemas.openxmlformats.org/officeDocument/2006/relationships/hyperlink" Target="http://bit.ly/Vgjxbh" TargetMode="External"/><Relationship Id="rId9" Type="http://schemas.openxmlformats.org/officeDocument/2006/relationships/hyperlink" Target="http://bit.ly/U4rq67" TargetMode="External"/><Relationship Id="rId26" Type="http://schemas.openxmlformats.org/officeDocument/2006/relationships/hyperlink" Target="http://dallasne.ws/VfCIF4" TargetMode="External"/><Relationship Id="rId47" Type="http://schemas.openxmlformats.org/officeDocument/2006/relationships/hyperlink" Target="http://bit.ly/Vg8qSG" TargetMode="External"/><Relationship Id="rId68" Type="http://schemas.openxmlformats.org/officeDocument/2006/relationships/hyperlink" Target="http://bit.ly/VmP11O" TargetMode="External"/><Relationship Id="rId89" Type="http://schemas.openxmlformats.org/officeDocument/2006/relationships/hyperlink" Target="http://bit.ly/11ebLFl" TargetMode="External"/><Relationship Id="rId112" Type="http://schemas.openxmlformats.org/officeDocument/2006/relationships/hyperlink" Target="http://trib.in/VCLpJb" TargetMode="External"/><Relationship Id="rId133" Type="http://schemas.openxmlformats.org/officeDocument/2006/relationships/hyperlink" Target="https://twitter.com/JackMagruder/status/289041405811249152" TargetMode="External"/><Relationship Id="rId154" Type="http://schemas.openxmlformats.org/officeDocument/2006/relationships/hyperlink" Target="http://bit.ly/UBpBzz" TargetMode="External"/><Relationship Id="rId16" Type="http://schemas.openxmlformats.org/officeDocument/2006/relationships/hyperlink" Target="http://bit.ly/Tn9mlq" TargetMode="External"/><Relationship Id="rId37" Type="http://schemas.openxmlformats.org/officeDocument/2006/relationships/hyperlink" Target="http://bit.ly/XJw3Wq" TargetMode="External"/><Relationship Id="rId58" Type="http://schemas.openxmlformats.org/officeDocument/2006/relationships/hyperlink" Target="http://bit.ly/VCKPew" TargetMode="External"/><Relationship Id="rId79" Type="http://schemas.openxmlformats.org/officeDocument/2006/relationships/hyperlink" Target="http://bit.ly/XJdt0m" TargetMode="External"/><Relationship Id="rId102" Type="http://schemas.openxmlformats.org/officeDocument/2006/relationships/hyperlink" Target="http://dallasne.ws/YSj5oW" TargetMode="External"/><Relationship Id="rId123" Type="http://schemas.openxmlformats.org/officeDocument/2006/relationships/hyperlink" Target="http://bit.ly/UdPbaZ" TargetMode="External"/><Relationship Id="rId144" Type="http://schemas.openxmlformats.org/officeDocument/2006/relationships/hyperlink" Target="http://bit.ly/YTMZKy" TargetMode="External"/><Relationship Id="rId90" Type="http://schemas.openxmlformats.org/officeDocument/2006/relationships/hyperlink" Target="http://bit.ly/VCL8pR" TargetMode="External"/><Relationship Id="rId27" Type="http://schemas.openxmlformats.org/officeDocument/2006/relationships/hyperlink" Target="http://atmlb.com/VkpNia" TargetMode="External"/><Relationship Id="rId48" Type="http://schemas.openxmlformats.org/officeDocument/2006/relationships/hyperlink" Target="http://atmlb.com/UtyNlW" TargetMode="External"/><Relationship Id="rId69" Type="http://schemas.openxmlformats.org/officeDocument/2006/relationships/hyperlink" Target="http://bit.ly/UBqM22" TargetMode="External"/><Relationship Id="rId113" Type="http://schemas.openxmlformats.org/officeDocument/2006/relationships/hyperlink" Target="http://bit.ly/VZp1pp" TargetMode="External"/><Relationship Id="rId134" Type="http://schemas.openxmlformats.org/officeDocument/2006/relationships/hyperlink" Target="http://es.pn/XJiA0A" TargetMode="External"/></Relationships>
</file>

<file path=xl/worksheets/_rels/sheet7.xml.rels><?xml version="1.0" encoding="UTF-8" standalone="yes"?>
<Relationships xmlns="http://schemas.openxmlformats.org/package/2006/relationships"><Relationship Id="rId26" Type="http://schemas.openxmlformats.org/officeDocument/2006/relationships/hyperlink" Target="http://bit.ly/sbNLK6" TargetMode="External"/><Relationship Id="rId21" Type="http://schemas.openxmlformats.org/officeDocument/2006/relationships/hyperlink" Target="http://dallasne.ws/vxmx02" TargetMode="External"/><Relationship Id="rId42" Type="http://schemas.openxmlformats.org/officeDocument/2006/relationships/hyperlink" Target="http://bit.ly/yfkYRV" TargetMode="External"/><Relationship Id="rId47" Type="http://schemas.openxmlformats.org/officeDocument/2006/relationships/hyperlink" Target="http://bit.ly/tVcJ9L" TargetMode="External"/><Relationship Id="rId63" Type="http://schemas.openxmlformats.org/officeDocument/2006/relationships/hyperlink" Target="http://es.pn/wIBqt9" TargetMode="External"/><Relationship Id="rId68" Type="http://schemas.openxmlformats.org/officeDocument/2006/relationships/hyperlink" Target="http://bit.ly/tVcJ9L" TargetMode="External"/><Relationship Id="rId84" Type="http://schemas.openxmlformats.org/officeDocument/2006/relationships/hyperlink" Target="http://bit.ly/u5ZdPb" TargetMode="External"/><Relationship Id="rId89" Type="http://schemas.openxmlformats.org/officeDocument/2006/relationships/hyperlink" Target="http://bit.ly/t9kDg4" TargetMode="External"/><Relationship Id="rId112" Type="http://schemas.openxmlformats.org/officeDocument/2006/relationships/hyperlink" Target="http://bit.ly/uk6RGl" TargetMode="External"/><Relationship Id="rId16" Type="http://schemas.openxmlformats.org/officeDocument/2006/relationships/hyperlink" Target="http://bit.ly/sGOfLH" TargetMode="External"/><Relationship Id="rId107" Type="http://schemas.openxmlformats.org/officeDocument/2006/relationships/hyperlink" Target="http://bit.ly/x4vUN5" TargetMode="External"/><Relationship Id="rId11" Type="http://schemas.openxmlformats.org/officeDocument/2006/relationships/hyperlink" Target="http://atmlb.com/zitS6W" TargetMode="External"/><Relationship Id="rId32" Type="http://schemas.openxmlformats.org/officeDocument/2006/relationships/hyperlink" Target="http://es.pn/wIBqt9" TargetMode="External"/><Relationship Id="rId37" Type="http://schemas.openxmlformats.org/officeDocument/2006/relationships/hyperlink" Target="http://bit.ly/tVcJ9L" TargetMode="External"/><Relationship Id="rId53" Type="http://schemas.openxmlformats.org/officeDocument/2006/relationships/hyperlink" Target="http://bit.ly/vG8bSM" TargetMode="External"/><Relationship Id="rId58" Type="http://schemas.openxmlformats.org/officeDocument/2006/relationships/hyperlink" Target="http://bit.ly/v9xecK" TargetMode="External"/><Relationship Id="rId74" Type="http://schemas.openxmlformats.org/officeDocument/2006/relationships/hyperlink" Target="http://atmlb.com/zitS6W" TargetMode="External"/><Relationship Id="rId79" Type="http://schemas.openxmlformats.org/officeDocument/2006/relationships/hyperlink" Target="http://es.pn/wIBqt9" TargetMode="External"/><Relationship Id="rId102" Type="http://schemas.openxmlformats.org/officeDocument/2006/relationships/hyperlink" Target="http://es.pn/wIBqt9" TargetMode="External"/><Relationship Id="rId5" Type="http://schemas.openxmlformats.org/officeDocument/2006/relationships/hyperlink" Target="http://bit.ly/sjT58f" TargetMode="External"/><Relationship Id="rId90" Type="http://schemas.openxmlformats.org/officeDocument/2006/relationships/hyperlink" Target="http://bit.ly/tVcJ9L" TargetMode="External"/><Relationship Id="rId95" Type="http://schemas.openxmlformats.org/officeDocument/2006/relationships/hyperlink" Target="http://bit.ly/rNDGoR" TargetMode="External"/><Relationship Id="rId22" Type="http://schemas.openxmlformats.org/officeDocument/2006/relationships/hyperlink" Target="http://es.pn/wIBqt9" TargetMode="External"/><Relationship Id="rId27" Type="http://schemas.openxmlformats.org/officeDocument/2006/relationships/hyperlink" Target="http://bit.ly/uJ2KJH" TargetMode="External"/><Relationship Id="rId43" Type="http://schemas.openxmlformats.org/officeDocument/2006/relationships/hyperlink" Target="http://bit.ly/uk6RGl" TargetMode="External"/><Relationship Id="rId48" Type="http://schemas.openxmlformats.org/officeDocument/2006/relationships/hyperlink" Target="http://bit.ly/tApERn" TargetMode="External"/><Relationship Id="rId64" Type="http://schemas.openxmlformats.org/officeDocument/2006/relationships/hyperlink" Target="http://bit.ly/v6xGPG" TargetMode="External"/><Relationship Id="rId69" Type="http://schemas.openxmlformats.org/officeDocument/2006/relationships/hyperlink" Target="http://bit.ly/z2MVaK" TargetMode="External"/><Relationship Id="rId113" Type="http://schemas.openxmlformats.org/officeDocument/2006/relationships/hyperlink" Target="http://bit.ly/xPhk9V" TargetMode="External"/><Relationship Id="rId80" Type="http://schemas.openxmlformats.org/officeDocument/2006/relationships/hyperlink" Target="http://es.pn/wIBqt9" TargetMode="External"/><Relationship Id="rId85" Type="http://schemas.openxmlformats.org/officeDocument/2006/relationships/hyperlink" Target="http://bit.ly/vSTEAv" TargetMode="External"/><Relationship Id="rId12" Type="http://schemas.openxmlformats.org/officeDocument/2006/relationships/hyperlink" Target="http://bit.ly/sdbjEu" TargetMode="External"/><Relationship Id="rId17" Type="http://schemas.openxmlformats.org/officeDocument/2006/relationships/hyperlink" Target="http://bit.ly/x9odL7" TargetMode="External"/><Relationship Id="rId33" Type="http://schemas.openxmlformats.org/officeDocument/2006/relationships/hyperlink" Target="http://bit.ly/uk6RGl" TargetMode="External"/><Relationship Id="rId38" Type="http://schemas.openxmlformats.org/officeDocument/2006/relationships/hyperlink" Target="http://bit.ly/ukBdrc" TargetMode="External"/><Relationship Id="rId59" Type="http://schemas.openxmlformats.org/officeDocument/2006/relationships/hyperlink" Target="http://bit.ly/thoamd" TargetMode="External"/><Relationship Id="rId103" Type="http://schemas.openxmlformats.org/officeDocument/2006/relationships/hyperlink" Target="http://es.pn/wIBqt9" TargetMode="External"/><Relationship Id="rId108" Type="http://schemas.openxmlformats.org/officeDocument/2006/relationships/hyperlink" Target="http://bit.ly/zlPSho" TargetMode="External"/><Relationship Id="rId54" Type="http://schemas.openxmlformats.org/officeDocument/2006/relationships/hyperlink" Target="http://bit.ly/uCFnYW" TargetMode="External"/><Relationship Id="rId70" Type="http://schemas.openxmlformats.org/officeDocument/2006/relationships/hyperlink" Target="http://bit.ly/z0FqBk" TargetMode="External"/><Relationship Id="rId75" Type="http://schemas.openxmlformats.org/officeDocument/2006/relationships/hyperlink" Target="http://bit.ly/tQlNZy" TargetMode="External"/><Relationship Id="rId91" Type="http://schemas.openxmlformats.org/officeDocument/2006/relationships/hyperlink" Target="http://es.pn/wIBqt9" TargetMode="External"/><Relationship Id="rId96" Type="http://schemas.openxmlformats.org/officeDocument/2006/relationships/hyperlink" Target="http://bit.ly/zZkMQG" TargetMode="External"/><Relationship Id="rId1" Type="http://schemas.openxmlformats.org/officeDocument/2006/relationships/hyperlink" Target="http://bo.st/aFkXns" TargetMode="External"/><Relationship Id="rId6" Type="http://schemas.openxmlformats.org/officeDocument/2006/relationships/hyperlink" Target="http://bit.ly/xcbwj9" TargetMode="External"/><Relationship Id="rId15" Type="http://schemas.openxmlformats.org/officeDocument/2006/relationships/hyperlink" Target="http://bit.ly/rU83tY" TargetMode="External"/><Relationship Id="rId23" Type="http://schemas.openxmlformats.org/officeDocument/2006/relationships/hyperlink" Target="http://bit.ly/tQDmkG" TargetMode="External"/><Relationship Id="rId28" Type="http://schemas.openxmlformats.org/officeDocument/2006/relationships/hyperlink" Target="http://cin.ci/uQIE36" TargetMode="External"/><Relationship Id="rId36" Type="http://schemas.openxmlformats.org/officeDocument/2006/relationships/hyperlink" Target="http://bit.ly/uk6RGl" TargetMode="External"/><Relationship Id="rId49" Type="http://schemas.openxmlformats.org/officeDocument/2006/relationships/hyperlink" Target="http://es.pn/wIBqt9" TargetMode="External"/><Relationship Id="rId57" Type="http://schemas.openxmlformats.org/officeDocument/2006/relationships/hyperlink" Target="http://bit.ly/woTUaN" TargetMode="External"/><Relationship Id="rId106" Type="http://schemas.openxmlformats.org/officeDocument/2006/relationships/hyperlink" Target="http://bit.ly/uIlKrO" TargetMode="External"/><Relationship Id="rId114" Type="http://schemas.openxmlformats.org/officeDocument/2006/relationships/hyperlink" Target="http://bit.ly/w93FQF" TargetMode="External"/><Relationship Id="rId10" Type="http://schemas.openxmlformats.org/officeDocument/2006/relationships/hyperlink" Target="http://bit.ly/sI4kPe" TargetMode="External"/><Relationship Id="rId31" Type="http://schemas.openxmlformats.org/officeDocument/2006/relationships/hyperlink" Target="http://bit.ly/vj7tZc" TargetMode="External"/><Relationship Id="rId44" Type="http://schemas.openxmlformats.org/officeDocument/2006/relationships/hyperlink" Target="http://bit.ly/w0tywM" TargetMode="External"/><Relationship Id="rId52" Type="http://schemas.openxmlformats.org/officeDocument/2006/relationships/hyperlink" Target="http://atmlb.com/zitS6W" TargetMode="External"/><Relationship Id="rId60" Type="http://schemas.openxmlformats.org/officeDocument/2006/relationships/hyperlink" Target="http://es.pn/wIBqt9" TargetMode="External"/><Relationship Id="rId65" Type="http://schemas.openxmlformats.org/officeDocument/2006/relationships/hyperlink" Target="http://bit.ly/t5O1Yt" TargetMode="External"/><Relationship Id="rId73" Type="http://schemas.openxmlformats.org/officeDocument/2006/relationships/hyperlink" Target="http://atmlb.com/zitS6W" TargetMode="External"/><Relationship Id="rId78" Type="http://schemas.openxmlformats.org/officeDocument/2006/relationships/hyperlink" Target="http://bit.ly/tuMKFm" TargetMode="External"/><Relationship Id="rId81" Type="http://schemas.openxmlformats.org/officeDocument/2006/relationships/hyperlink" Target="http://es.pn/wIBqt9" TargetMode="External"/><Relationship Id="rId86" Type="http://schemas.openxmlformats.org/officeDocument/2006/relationships/hyperlink" Target="http://on-msn.com/tR0gTr" TargetMode="External"/><Relationship Id="rId94" Type="http://schemas.openxmlformats.org/officeDocument/2006/relationships/hyperlink" Target="http://bit.ly/tL4dbm" TargetMode="External"/><Relationship Id="rId99" Type="http://schemas.openxmlformats.org/officeDocument/2006/relationships/hyperlink" Target="http://es.pn/wIBqt9" TargetMode="External"/><Relationship Id="rId101" Type="http://schemas.openxmlformats.org/officeDocument/2006/relationships/hyperlink" Target="http://atmlb.com/zitS6W" TargetMode="External"/><Relationship Id="rId4" Type="http://schemas.openxmlformats.org/officeDocument/2006/relationships/hyperlink" Target="http://bit.ly/xAFe5q" TargetMode="External"/><Relationship Id="rId9" Type="http://schemas.openxmlformats.org/officeDocument/2006/relationships/hyperlink" Target="http://sunsent.nl/xOQjiT" TargetMode="External"/><Relationship Id="rId13" Type="http://schemas.openxmlformats.org/officeDocument/2006/relationships/hyperlink" Target="http://es.pn/wIBqt9" TargetMode="External"/><Relationship Id="rId18" Type="http://schemas.openxmlformats.org/officeDocument/2006/relationships/hyperlink" Target="http://es.pn/wIBqt9" TargetMode="External"/><Relationship Id="rId39" Type="http://schemas.openxmlformats.org/officeDocument/2006/relationships/hyperlink" Target="http://atmlb.com/zitS6W" TargetMode="External"/><Relationship Id="rId109" Type="http://schemas.openxmlformats.org/officeDocument/2006/relationships/hyperlink" Target="http://bit.ly/xcbwj9" TargetMode="External"/><Relationship Id="rId34" Type="http://schemas.openxmlformats.org/officeDocument/2006/relationships/hyperlink" Target="http://bit.ly/rz9xdX" TargetMode="External"/><Relationship Id="rId50" Type="http://schemas.openxmlformats.org/officeDocument/2006/relationships/hyperlink" Target="http://cour.at/sLUTqI" TargetMode="External"/><Relationship Id="rId55" Type="http://schemas.openxmlformats.org/officeDocument/2006/relationships/hyperlink" Target="http://bit.ly/vEOvHi" TargetMode="External"/><Relationship Id="rId76" Type="http://schemas.openxmlformats.org/officeDocument/2006/relationships/hyperlink" Target="http://bit.ly/uvB6x2" TargetMode="External"/><Relationship Id="rId97" Type="http://schemas.openxmlformats.org/officeDocument/2006/relationships/hyperlink" Target="http://bit.ly/s3rCCy" TargetMode="External"/><Relationship Id="rId104" Type="http://schemas.openxmlformats.org/officeDocument/2006/relationships/hyperlink" Target="http://bit.ly/snOLQB" TargetMode="External"/><Relationship Id="rId7" Type="http://schemas.openxmlformats.org/officeDocument/2006/relationships/hyperlink" Target="http://atmlb.com/zitS6W" TargetMode="External"/><Relationship Id="rId71" Type="http://schemas.openxmlformats.org/officeDocument/2006/relationships/hyperlink" Target="http://bit.ly/uk6RGl" TargetMode="External"/><Relationship Id="rId92" Type="http://schemas.openxmlformats.org/officeDocument/2006/relationships/hyperlink" Target="http://bit.ly/xcbwj9" TargetMode="External"/><Relationship Id="rId2" Type="http://schemas.openxmlformats.org/officeDocument/2006/relationships/hyperlink" Target="http://bit.ly/sFd7vQ" TargetMode="External"/><Relationship Id="rId29" Type="http://schemas.openxmlformats.org/officeDocument/2006/relationships/hyperlink" Target="http://bit.ly/tWXdDc" TargetMode="External"/><Relationship Id="rId24" Type="http://schemas.openxmlformats.org/officeDocument/2006/relationships/hyperlink" Target="http://bit.ly/rOsqf7" TargetMode="External"/><Relationship Id="rId40" Type="http://schemas.openxmlformats.org/officeDocument/2006/relationships/hyperlink" Target="http://atmlb.com/zitS6W" TargetMode="External"/><Relationship Id="rId45" Type="http://schemas.openxmlformats.org/officeDocument/2006/relationships/hyperlink" Target="http://bit.ly/xKt5zn" TargetMode="External"/><Relationship Id="rId66" Type="http://schemas.openxmlformats.org/officeDocument/2006/relationships/hyperlink" Target="http://bit.ly/w420gL" TargetMode="External"/><Relationship Id="rId87" Type="http://schemas.openxmlformats.org/officeDocument/2006/relationships/hyperlink" Target="http://es.pn/wIBqt9" TargetMode="External"/><Relationship Id="rId110" Type="http://schemas.openxmlformats.org/officeDocument/2006/relationships/hyperlink" Target="http://bit.ly/tuQGlc" TargetMode="External"/><Relationship Id="rId61" Type="http://schemas.openxmlformats.org/officeDocument/2006/relationships/hyperlink" Target="http://onforb.es/um5AB3" TargetMode="External"/><Relationship Id="rId82" Type="http://schemas.openxmlformats.org/officeDocument/2006/relationships/hyperlink" Target="http://bit.ly/yCSwXD" TargetMode="External"/><Relationship Id="rId19" Type="http://schemas.openxmlformats.org/officeDocument/2006/relationships/hyperlink" Target="http://bit.ly/AC9PWn" TargetMode="External"/><Relationship Id="rId14" Type="http://schemas.openxmlformats.org/officeDocument/2006/relationships/hyperlink" Target="http://bit.ly/rGcXUa" TargetMode="External"/><Relationship Id="rId30" Type="http://schemas.openxmlformats.org/officeDocument/2006/relationships/hyperlink" Target="http://bit.ly/uXSrXw" TargetMode="External"/><Relationship Id="rId35" Type="http://schemas.openxmlformats.org/officeDocument/2006/relationships/hyperlink" Target="http://es.pn/wIBqt9" TargetMode="External"/><Relationship Id="rId56" Type="http://schemas.openxmlformats.org/officeDocument/2006/relationships/hyperlink" Target="http://es.pn/wIBqt9" TargetMode="External"/><Relationship Id="rId77" Type="http://schemas.openxmlformats.org/officeDocument/2006/relationships/hyperlink" Target="http://atmlb.com/zitS6W" TargetMode="External"/><Relationship Id="rId100" Type="http://schemas.openxmlformats.org/officeDocument/2006/relationships/hyperlink" Target="http://bit.ly/tjZaNh" TargetMode="External"/><Relationship Id="rId105" Type="http://schemas.openxmlformats.org/officeDocument/2006/relationships/hyperlink" Target="http://bit.ly/uk6RGl" TargetMode="External"/><Relationship Id="rId8" Type="http://schemas.openxmlformats.org/officeDocument/2006/relationships/hyperlink" Target="http://bit.ly/AbBXid" TargetMode="External"/><Relationship Id="rId51" Type="http://schemas.openxmlformats.org/officeDocument/2006/relationships/hyperlink" Target="http://atmlb.com/zitS6W" TargetMode="External"/><Relationship Id="rId72" Type="http://schemas.openxmlformats.org/officeDocument/2006/relationships/hyperlink" Target="http://bit.ly/uc6cfD" TargetMode="External"/><Relationship Id="rId93" Type="http://schemas.openxmlformats.org/officeDocument/2006/relationships/hyperlink" Target="http://es.pn/wIBqt9" TargetMode="External"/><Relationship Id="rId98" Type="http://schemas.openxmlformats.org/officeDocument/2006/relationships/hyperlink" Target="http://bit.ly/t0tmfy" TargetMode="External"/><Relationship Id="rId3" Type="http://schemas.openxmlformats.org/officeDocument/2006/relationships/hyperlink" Target="http://bit.ly/rqYHOe" TargetMode="External"/><Relationship Id="rId25" Type="http://schemas.openxmlformats.org/officeDocument/2006/relationships/hyperlink" Target="http://bit.ly/t1evwJ" TargetMode="External"/><Relationship Id="rId46" Type="http://schemas.openxmlformats.org/officeDocument/2006/relationships/hyperlink" Target="http://bit.ly/zzg7Hf" TargetMode="External"/><Relationship Id="rId67" Type="http://schemas.openxmlformats.org/officeDocument/2006/relationships/hyperlink" Target="http://bit.ly/yeSdFe" TargetMode="External"/><Relationship Id="rId20" Type="http://schemas.openxmlformats.org/officeDocument/2006/relationships/hyperlink" Target="http://bit.ly/tblOE4" TargetMode="External"/><Relationship Id="rId41" Type="http://schemas.openxmlformats.org/officeDocument/2006/relationships/hyperlink" Target="http://atmlb.com/zitS6W" TargetMode="External"/><Relationship Id="rId62" Type="http://schemas.openxmlformats.org/officeDocument/2006/relationships/hyperlink" Target="http://bit.ly/vcxTgF" TargetMode="External"/><Relationship Id="rId83" Type="http://schemas.openxmlformats.org/officeDocument/2006/relationships/hyperlink" Target="http://bit.ly/xcbwj9" TargetMode="External"/><Relationship Id="rId88" Type="http://schemas.openxmlformats.org/officeDocument/2006/relationships/hyperlink" Target="http://bit.ly/uk6RGl" TargetMode="External"/><Relationship Id="rId111" Type="http://schemas.openxmlformats.org/officeDocument/2006/relationships/hyperlink" Target="http://nyp.st/vqWwXb" TargetMode="External"/></Relationships>
</file>

<file path=xl/worksheets/_rels/sheet8.xml.rels><?xml version="1.0" encoding="UTF-8" standalone="yes"?>
<Relationships xmlns="http://schemas.openxmlformats.org/package/2006/relationships"><Relationship Id="rId26" Type="http://schemas.openxmlformats.org/officeDocument/2006/relationships/hyperlink" Target="http://bit.ly/fTQJtY" TargetMode="External"/><Relationship Id="rId117" Type="http://schemas.openxmlformats.org/officeDocument/2006/relationships/hyperlink" Target="http://bit.ly/gg4XgV" TargetMode="External"/><Relationship Id="rId21" Type="http://schemas.openxmlformats.org/officeDocument/2006/relationships/hyperlink" Target="http://bit.ly/fJ0iMv" TargetMode="External"/><Relationship Id="rId42" Type="http://schemas.openxmlformats.org/officeDocument/2006/relationships/hyperlink" Target="http://bit.ly/f2NEzt" TargetMode="External"/><Relationship Id="rId47" Type="http://schemas.openxmlformats.org/officeDocument/2006/relationships/hyperlink" Target="http://bit.ly/hNXreH" TargetMode="External"/><Relationship Id="rId63" Type="http://schemas.openxmlformats.org/officeDocument/2006/relationships/hyperlink" Target="http://bit.ly/h35dxx" TargetMode="External"/><Relationship Id="rId68" Type="http://schemas.openxmlformats.org/officeDocument/2006/relationships/hyperlink" Target="http://bit.ly/gal1gL" TargetMode="External"/><Relationship Id="rId84" Type="http://schemas.openxmlformats.org/officeDocument/2006/relationships/hyperlink" Target="http://es.pn/f3zMwJ" TargetMode="External"/><Relationship Id="rId89" Type="http://schemas.openxmlformats.org/officeDocument/2006/relationships/hyperlink" Target="http://bit.ly/gmQKeX" TargetMode="External"/><Relationship Id="rId112" Type="http://schemas.openxmlformats.org/officeDocument/2006/relationships/hyperlink" Target="http://es.pn/f3zMwJ" TargetMode="External"/><Relationship Id="rId16" Type="http://schemas.openxmlformats.org/officeDocument/2006/relationships/hyperlink" Target="http://es.pn/ftrnvz" TargetMode="External"/><Relationship Id="rId107" Type="http://schemas.openxmlformats.org/officeDocument/2006/relationships/hyperlink" Target="http://es.pn/f3zMwJ" TargetMode="External"/><Relationship Id="rId11" Type="http://schemas.openxmlformats.org/officeDocument/2006/relationships/hyperlink" Target="http://bit.ly/hKURYJ" TargetMode="External"/><Relationship Id="rId32" Type="http://schemas.openxmlformats.org/officeDocument/2006/relationships/hyperlink" Target="http://bit.ly/ewC2p7" TargetMode="External"/><Relationship Id="rId37" Type="http://schemas.openxmlformats.org/officeDocument/2006/relationships/hyperlink" Target="http://bit.ly/fW0qrG" TargetMode="External"/><Relationship Id="rId53" Type="http://schemas.openxmlformats.org/officeDocument/2006/relationships/hyperlink" Target="http://bit.ly/gTWctI" TargetMode="External"/><Relationship Id="rId58" Type="http://schemas.openxmlformats.org/officeDocument/2006/relationships/hyperlink" Target="http://es.pn/f3zMwJ" TargetMode="External"/><Relationship Id="rId74" Type="http://schemas.openxmlformats.org/officeDocument/2006/relationships/hyperlink" Target="http://bit.ly/f9JgGQ" TargetMode="External"/><Relationship Id="rId79" Type="http://schemas.openxmlformats.org/officeDocument/2006/relationships/hyperlink" Target="http://bit.ly/gTWctI" TargetMode="External"/><Relationship Id="rId102" Type="http://schemas.openxmlformats.org/officeDocument/2006/relationships/hyperlink" Target="http://bit.ly/gAEbK6" TargetMode="External"/><Relationship Id="rId5" Type="http://schemas.openxmlformats.org/officeDocument/2006/relationships/hyperlink" Target="http://bit.ly/gDnAPn" TargetMode="External"/><Relationship Id="rId90" Type="http://schemas.openxmlformats.org/officeDocument/2006/relationships/hyperlink" Target="http://bit.ly/fnBuMJ" TargetMode="External"/><Relationship Id="rId95" Type="http://schemas.openxmlformats.org/officeDocument/2006/relationships/hyperlink" Target="http://bit.ly/eMpmLE" TargetMode="External"/><Relationship Id="rId22" Type="http://schemas.openxmlformats.org/officeDocument/2006/relationships/hyperlink" Target="http://bit.ly/dHfePn" TargetMode="External"/><Relationship Id="rId27" Type="http://schemas.openxmlformats.org/officeDocument/2006/relationships/hyperlink" Target="http://bit.ly/fnK4Zk" TargetMode="External"/><Relationship Id="rId43" Type="http://schemas.openxmlformats.org/officeDocument/2006/relationships/hyperlink" Target="http://bit.ly/f2NEzt" TargetMode="External"/><Relationship Id="rId48" Type="http://schemas.openxmlformats.org/officeDocument/2006/relationships/hyperlink" Target="http://bit.ly/gTWctI" TargetMode="External"/><Relationship Id="rId64" Type="http://schemas.openxmlformats.org/officeDocument/2006/relationships/hyperlink" Target="http://bit.ly/dFCvWi" TargetMode="External"/><Relationship Id="rId69" Type="http://schemas.openxmlformats.org/officeDocument/2006/relationships/hyperlink" Target="http://bit.ly/iirVo4" TargetMode="External"/><Relationship Id="rId113" Type="http://schemas.openxmlformats.org/officeDocument/2006/relationships/hyperlink" Target="http://bit.ly/gTWctI" TargetMode="External"/><Relationship Id="rId118" Type="http://schemas.openxmlformats.org/officeDocument/2006/relationships/hyperlink" Target="http://bit.ly/gtAk0F" TargetMode="External"/><Relationship Id="rId80" Type="http://schemas.openxmlformats.org/officeDocument/2006/relationships/hyperlink" Target="http://bit.ly/fE7V5S" TargetMode="External"/><Relationship Id="rId85" Type="http://schemas.openxmlformats.org/officeDocument/2006/relationships/hyperlink" Target="http://es.pn/f3zMwJ" TargetMode="External"/><Relationship Id="rId12" Type="http://schemas.openxmlformats.org/officeDocument/2006/relationships/hyperlink" Target="http://mypict.me/show.php?id=fT7uD" TargetMode="External"/><Relationship Id="rId17" Type="http://schemas.openxmlformats.org/officeDocument/2006/relationships/hyperlink" Target="http://bit.ly/g231V7" TargetMode="External"/><Relationship Id="rId33" Type="http://schemas.openxmlformats.org/officeDocument/2006/relationships/hyperlink" Target="http://bit.ly/hRyVTv" TargetMode="External"/><Relationship Id="rId38" Type="http://schemas.openxmlformats.org/officeDocument/2006/relationships/hyperlink" Target="http://bit.ly/i6p89V" TargetMode="External"/><Relationship Id="rId59" Type="http://schemas.openxmlformats.org/officeDocument/2006/relationships/hyperlink" Target="http://bit.ly/hSZMyW" TargetMode="External"/><Relationship Id="rId103" Type="http://schemas.openxmlformats.org/officeDocument/2006/relationships/hyperlink" Target="http://bit.ly/fUytxQ" TargetMode="External"/><Relationship Id="rId108" Type="http://schemas.openxmlformats.org/officeDocument/2006/relationships/hyperlink" Target="http://bit.ly/fDZqDz" TargetMode="External"/><Relationship Id="rId54" Type="http://schemas.openxmlformats.org/officeDocument/2006/relationships/hyperlink" Target="http://bit.ly/gLNMlN" TargetMode="External"/><Relationship Id="rId70" Type="http://schemas.openxmlformats.org/officeDocument/2006/relationships/hyperlink" Target="http://bit.ly/fvjAdj" TargetMode="External"/><Relationship Id="rId75" Type="http://schemas.openxmlformats.org/officeDocument/2006/relationships/hyperlink" Target="http://bit.ly/fv4YNj" TargetMode="External"/><Relationship Id="rId91" Type="http://schemas.openxmlformats.org/officeDocument/2006/relationships/hyperlink" Target="http://bit.ly/gEv8Xv" TargetMode="External"/><Relationship Id="rId96" Type="http://schemas.openxmlformats.org/officeDocument/2006/relationships/hyperlink" Target="http://es.pn/f3zMwJ" TargetMode="External"/><Relationship Id="rId1" Type="http://schemas.openxmlformats.org/officeDocument/2006/relationships/hyperlink" Target="http://bit.ly/hXZ5NM" TargetMode="External"/><Relationship Id="rId6" Type="http://schemas.openxmlformats.org/officeDocument/2006/relationships/hyperlink" Target="http://bit.ly/eUpSYq" TargetMode="External"/><Relationship Id="rId23" Type="http://schemas.openxmlformats.org/officeDocument/2006/relationships/hyperlink" Target="http://es.pn/f3zMwJ" TargetMode="External"/><Relationship Id="rId28" Type="http://schemas.openxmlformats.org/officeDocument/2006/relationships/hyperlink" Target="http://bit.ly/dEtjgK" TargetMode="External"/><Relationship Id="rId49" Type="http://schemas.openxmlformats.org/officeDocument/2006/relationships/hyperlink" Target="http://bit.ly/hBp24y" TargetMode="External"/><Relationship Id="rId114" Type="http://schemas.openxmlformats.org/officeDocument/2006/relationships/hyperlink" Target="http://bit.ly/hjzaAh" TargetMode="External"/><Relationship Id="rId119" Type="http://schemas.openxmlformats.org/officeDocument/2006/relationships/hyperlink" Target="http://bit.ly/f2NEzt" TargetMode="External"/><Relationship Id="rId10" Type="http://schemas.openxmlformats.org/officeDocument/2006/relationships/hyperlink" Target="http://bit.ly/grFS48" TargetMode="External"/><Relationship Id="rId31" Type="http://schemas.openxmlformats.org/officeDocument/2006/relationships/hyperlink" Target="http://es.pn/f3zMwJ" TargetMode="External"/><Relationship Id="rId44" Type="http://schemas.openxmlformats.org/officeDocument/2006/relationships/hyperlink" Target="http://bit.ly/eszLmr" TargetMode="External"/><Relationship Id="rId52" Type="http://schemas.openxmlformats.org/officeDocument/2006/relationships/hyperlink" Target="http://bit.ly/eY86Gz" TargetMode="External"/><Relationship Id="rId60" Type="http://schemas.openxmlformats.org/officeDocument/2006/relationships/hyperlink" Target="http://bit.ly/gVdlvm" TargetMode="External"/><Relationship Id="rId65" Type="http://schemas.openxmlformats.org/officeDocument/2006/relationships/hyperlink" Target="http://bit.ly/gqEZ7a" TargetMode="External"/><Relationship Id="rId73" Type="http://schemas.openxmlformats.org/officeDocument/2006/relationships/hyperlink" Target="http://bit.ly/hQWmkj" TargetMode="External"/><Relationship Id="rId78" Type="http://schemas.openxmlformats.org/officeDocument/2006/relationships/hyperlink" Target="http://bit.ly/dW3Qr5" TargetMode="External"/><Relationship Id="rId81" Type="http://schemas.openxmlformats.org/officeDocument/2006/relationships/hyperlink" Target="http://bit.ly/gTWctI" TargetMode="External"/><Relationship Id="rId86" Type="http://schemas.openxmlformats.org/officeDocument/2006/relationships/hyperlink" Target="http://bit.ly/fE7V5S" TargetMode="External"/><Relationship Id="rId94" Type="http://schemas.openxmlformats.org/officeDocument/2006/relationships/hyperlink" Target="http://bit.ly/h10NtB" TargetMode="External"/><Relationship Id="rId99" Type="http://schemas.openxmlformats.org/officeDocument/2006/relationships/hyperlink" Target="http://es.pn/f3zMwJ" TargetMode="External"/><Relationship Id="rId101" Type="http://schemas.openxmlformats.org/officeDocument/2006/relationships/hyperlink" Target="http://bit.ly/fBiq1u" TargetMode="External"/><Relationship Id="rId4" Type="http://schemas.openxmlformats.org/officeDocument/2006/relationships/hyperlink" Target="http://bit.ly/g9kLKA" TargetMode="External"/><Relationship Id="rId9" Type="http://schemas.openxmlformats.org/officeDocument/2006/relationships/hyperlink" Target="http://bit.ly/gTWctI" TargetMode="External"/><Relationship Id="rId13" Type="http://schemas.openxmlformats.org/officeDocument/2006/relationships/hyperlink" Target="http://bit.ly/i94SOc" TargetMode="External"/><Relationship Id="rId18" Type="http://schemas.openxmlformats.org/officeDocument/2006/relationships/hyperlink" Target="http://bit.ly/i8tK8h" TargetMode="External"/><Relationship Id="rId39" Type="http://schemas.openxmlformats.org/officeDocument/2006/relationships/hyperlink" Target="http://bit.ly/gRLLew" TargetMode="External"/><Relationship Id="rId109" Type="http://schemas.openxmlformats.org/officeDocument/2006/relationships/hyperlink" Target="http://bit.ly/fVj4tS" TargetMode="External"/><Relationship Id="rId34" Type="http://schemas.openxmlformats.org/officeDocument/2006/relationships/hyperlink" Target="http://bit.ly/hDUqP3" TargetMode="External"/><Relationship Id="rId50" Type="http://schemas.openxmlformats.org/officeDocument/2006/relationships/hyperlink" Target="http://bit.ly/hgS0WD" TargetMode="External"/><Relationship Id="rId55" Type="http://schemas.openxmlformats.org/officeDocument/2006/relationships/hyperlink" Target="http://bit.ly/dQzCIw" TargetMode="External"/><Relationship Id="rId76" Type="http://schemas.openxmlformats.org/officeDocument/2006/relationships/hyperlink" Target="http://aol.it/hIGM3H" TargetMode="External"/><Relationship Id="rId97" Type="http://schemas.openxmlformats.org/officeDocument/2006/relationships/hyperlink" Target="http://bit.ly/hHMYGm" TargetMode="External"/><Relationship Id="rId104" Type="http://schemas.openxmlformats.org/officeDocument/2006/relationships/hyperlink" Target="http://bit.ly/gTWctI" TargetMode="External"/><Relationship Id="rId7" Type="http://schemas.openxmlformats.org/officeDocument/2006/relationships/hyperlink" Target="http://bit.ly/gtAk0F" TargetMode="External"/><Relationship Id="rId71" Type="http://schemas.openxmlformats.org/officeDocument/2006/relationships/hyperlink" Target="http://bit.ly/hbqNwu" TargetMode="External"/><Relationship Id="rId92" Type="http://schemas.openxmlformats.org/officeDocument/2006/relationships/hyperlink" Target="http://bit.ly/hXpzo6" TargetMode="External"/><Relationship Id="rId2" Type="http://schemas.openxmlformats.org/officeDocument/2006/relationships/hyperlink" Target="http://bit.ly/dLqUPJ" TargetMode="External"/><Relationship Id="rId29" Type="http://schemas.openxmlformats.org/officeDocument/2006/relationships/hyperlink" Target="http://bit.ly/fE7V5S" TargetMode="External"/><Relationship Id="rId24" Type="http://schemas.openxmlformats.org/officeDocument/2006/relationships/hyperlink" Target="http://bit.ly/dVznlh" TargetMode="External"/><Relationship Id="rId40" Type="http://schemas.openxmlformats.org/officeDocument/2006/relationships/hyperlink" Target="http://bit.ly/gTWctI" TargetMode="External"/><Relationship Id="rId45" Type="http://schemas.openxmlformats.org/officeDocument/2006/relationships/hyperlink" Target="http://bit.ly/hOPhiu" TargetMode="External"/><Relationship Id="rId66" Type="http://schemas.openxmlformats.org/officeDocument/2006/relationships/hyperlink" Target="http://bit.ly/fE7V5S" TargetMode="External"/><Relationship Id="rId87" Type="http://schemas.openxmlformats.org/officeDocument/2006/relationships/hyperlink" Target="http://bit.ly/fzbXtN" TargetMode="External"/><Relationship Id="rId110" Type="http://schemas.openxmlformats.org/officeDocument/2006/relationships/hyperlink" Target="http://bit.ly/hVPp7x" TargetMode="External"/><Relationship Id="rId115" Type="http://schemas.openxmlformats.org/officeDocument/2006/relationships/hyperlink" Target="http://bit.ly/hpjXr3" TargetMode="External"/><Relationship Id="rId61" Type="http://schemas.openxmlformats.org/officeDocument/2006/relationships/hyperlink" Target="http://bit.ly/fAr9yv" TargetMode="External"/><Relationship Id="rId82" Type="http://schemas.openxmlformats.org/officeDocument/2006/relationships/hyperlink" Target="http://es.pn/f3zMwJ" TargetMode="External"/><Relationship Id="rId19" Type="http://schemas.openxmlformats.org/officeDocument/2006/relationships/hyperlink" Target="http://bit.ly/dW3Qr5" TargetMode="External"/><Relationship Id="rId14" Type="http://schemas.openxmlformats.org/officeDocument/2006/relationships/hyperlink" Target="http://es.pn/f3zMwJ" TargetMode="External"/><Relationship Id="rId30" Type="http://schemas.openxmlformats.org/officeDocument/2006/relationships/hyperlink" Target="http://on.fb.me/eLVgVf" TargetMode="External"/><Relationship Id="rId35" Type="http://schemas.openxmlformats.org/officeDocument/2006/relationships/hyperlink" Target="http://bit.ly/dNxahT" TargetMode="External"/><Relationship Id="rId56" Type="http://schemas.openxmlformats.org/officeDocument/2006/relationships/hyperlink" Target="http://bit.ly/fz4UV7" TargetMode="External"/><Relationship Id="rId77" Type="http://schemas.openxmlformats.org/officeDocument/2006/relationships/hyperlink" Target="http://bit.ly/gTWctI" TargetMode="External"/><Relationship Id="rId100" Type="http://schemas.openxmlformats.org/officeDocument/2006/relationships/hyperlink" Target="http://bit.ly/dGszlK" TargetMode="External"/><Relationship Id="rId105" Type="http://schemas.openxmlformats.org/officeDocument/2006/relationships/hyperlink" Target="http://es.pn/f3zMwJ" TargetMode="External"/><Relationship Id="rId8" Type="http://schemas.openxmlformats.org/officeDocument/2006/relationships/hyperlink" Target="http://bit.ly/ht2NxC" TargetMode="External"/><Relationship Id="rId51" Type="http://schemas.openxmlformats.org/officeDocument/2006/relationships/hyperlink" Target="http://bit.ly/dXECUG" TargetMode="External"/><Relationship Id="rId72" Type="http://schemas.openxmlformats.org/officeDocument/2006/relationships/hyperlink" Target="http://bit.ly/hHMYGm" TargetMode="External"/><Relationship Id="rId93" Type="http://schemas.openxmlformats.org/officeDocument/2006/relationships/hyperlink" Target="http://es.pn/f3zMwJ" TargetMode="External"/><Relationship Id="rId98" Type="http://schemas.openxmlformats.org/officeDocument/2006/relationships/hyperlink" Target="http://bit.ly/gtAk0F" TargetMode="External"/><Relationship Id="rId3" Type="http://schemas.openxmlformats.org/officeDocument/2006/relationships/hyperlink" Target="http://bit.ly/ibLFka" TargetMode="External"/><Relationship Id="rId25" Type="http://schemas.openxmlformats.org/officeDocument/2006/relationships/hyperlink" Target="http://bit.ly/e6Cmoc" TargetMode="External"/><Relationship Id="rId46" Type="http://schemas.openxmlformats.org/officeDocument/2006/relationships/hyperlink" Target="http://es.pn/f3zMwJ" TargetMode="External"/><Relationship Id="rId67" Type="http://schemas.openxmlformats.org/officeDocument/2006/relationships/hyperlink" Target="http://twitpic.com/3k9nf2" TargetMode="External"/><Relationship Id="rId116" Type="http://schemas.openxmlformats.org/officeDocument/2006/relationships/hyperlink" Target="http://bit.ly/f9XDiE" TargetMode="External"/><Relationship Id="rId20" Type="http://schemas.openxmlformats.org/officeDocument/2006/relationships/hyperlink" Target="http://bit.ly/eeR7kG" TargetMode="External"/><Relationship Id="rId41" Type="http://schemas.openxmlformats.org/officeDocument/2006/relationships/hyperlink" Target="http://bit.ly/f2NEzt" TargetMode="External"/><Relationship Id="rId62" Type="http://schemas.openxmlformats.org/officeDocument/2006/relationships/hyperlink" Target="http://es.pn/f3zMwJ" TargetMode="External"/><Relationship Id="rId83" Type="http://schemas.openxmlformats.org/officeDocument/2006/relationships/hyperlink" Target="http://es.pn/gkGrSX" TargetMode="External"/><Relationship Id="rId88" Type="http://schemas.openxmlformats.org/officeDocument/2006/relationships/hyperlink" Target="http://bit.ly/h3X2yL" TargetMode="External"/><Relationship Id="rId111" Type="http://schemas.openxmlformats.org/officeDocument/2006/relationships/hyperlink" Target="http://bit.ly/gTXcOq" TargetMode="External"/><Relationship Id="rId15" Type="http://schemas.openxmlformats.org/officeDocument/2006/relationships/hyperlink" Target="http://bit.ly/hHMYGm" TargetMode="External"/><Relationship Id="rId36" Type="http://schemas.openxmlformats.org/officeDocument/2006/relationships/hyperlink" Target="http://bit.ly/hzI68X" TargetMode="External"/><Relationship Id="rId57" Type="http://schemas.openxmlformats.org/officeDocument/2006/relationships/hyperlink" Target="http://bit.ly/hri6iN" TargetMode="External"/><Relationship Id="rId106" Type="http://schemas.openxmlformats.org/officeDocument/2006/relationships/hyperlink" Target="http://bit.ly/gTWctI" TargetMode="External"/></Relationships>
</file>

<file path=xl/worksheets/_rels/sheet9.xml.rels><?xml version="1.0" encoding="UTF-8" standalone="yes"?>
<Relationships xmlns="http://schemas.openxmlformats.org/package/2006/relationships"><Relationship Id="rId26" Type="http://schemas.openxmlformats.org/officeDocument/2006/relationships/hyperlink" Target="http://bit.ly/63ELAy" TargetMode="External"/><Relationship Id="rId21" Type="http://schemas.openxmlformats.org/officeDocument/2006/relationships/hyperlink" Target="http://bit.ly/63ELAy" TargetMode="External"/><Relationship Id="rId42" Type="http://schemas.openxmlformats.org/officeDocument/2006/relationships/hyperlink" Target="http://bit.ly/7PZAzm" TargetMode="External"/><Relationship Id="rId47" Type="http://schemas.openxmlformats.org/officeDocument/2006/relationships/hyperlink" Target="http://bit.ly/8ILCTH" TargetMode="External"/><Relationship Id="rId63" Type="http://schemas.openxmlformats.org/officeDocument/2006/relationships/hyperlink" Target="http://bit.ly/68ExSN" TargetMode="External"/><Relationship Id="rId68" Type="http://schemas.openxmlformats.org/officeDocument/2006/relationships/hyperlink" Target="http://bit.ly/8f5ZUW" TargetMode="External"/><Relationship Id="rId84" Type="http://schemas.openxmlformats.org/officeDocument/2006/relationships/hyperlink" Target="http://twitter.com/StoneLarry/status/7241164956" TargetMode="External"/><Relationship Id="rId16" Type="http://schemas.openxmlformats.org/officeDocument/2006/relationships/hyperlink" Target="http://bit.ly/7PZAzm" TargetMode="External"/><Relationship Id="rId11" Type="http://schemas.openxmlformats.org/officeDocument/2006/relationships/hyperlink" Target="http://bit.ly/5oAemz" TargetMode="External"/><Relationship Id="rId32" Type="http://schemas.openxmlformats.org/officeDocument/2006/relationships/hyperlink" Target="http://bit.ly/7kAx8x" TargetMode="External"/><Relationship Id="rId37" Type="http://schemas.openxmlformats.org/officeDocument/2006/relationships/hyperlink" Target="http://bit.ly/60mFPV" TargetMode="External"/><Relationship Id="rId53" Type="http://schemas.openxmlformats.org/officeDocument/2006/relationships/hyperlink" Target="http://bit.ly/7cLx0T" TargetMode="External"/><Relationship Id="rId58" Type="http://schemas.openxmlformats.org/officeDocument/2006/relationships/hyperlink" Target="http://bit.ly/7r7kCM" TargetMode="External"/><Relationship Id="rId74" Type="http://schemas.openxmlformats.org/officeDocument/2006/relationships/hyperlink" Target="http://bit.ly/7kVlRa" TargetMode="External"/><Relationship Id="rId79" Type="http://schemas.openxmlformats.org/officeDocument/2006/relationships/hyperlink" Target="http://bit.ly/7PZAzm" TargetMode="External"/><Relationship Id="rId5" Type="http://schemas.openxmlformats.org/officeDocument/2006/relationships/hyperlink" Target="http://bit.ly/7r7kCM" TargetMode="External"/><Relationship Id="rId19" Type="http://schemas.openxmlformats.org/officeDocument/2006/relationships/hyperlink" Target="http://bit.ly/68ExSN" TargetMode="External"/><Relationship Id="rId14" Type="http://schemas.openxmlformats.org/officeDocument/2006/relationships/hyperlink" Target="http://bit.ly/4GLzHD" TargetMode="External"/><Relationship Id="rId22" Type="http://schemas.openxmlformats.org/officeDocument/2006/relationships/hyperlink" Target="http://bit.ly/7r7kCM" TargetMode="External"/><Relationship Id="rId27" Type="http://schemas.openxmlformats.org/officeDocument/2006/relationships/hyperlink" Target="http://bit.ly/80BzSh" TargetMode="External"/><Relationship Id="rId30" Type="http://schemas.openxmlformats.org/officeDocument/2006/relationships/hyperlink" Target="http://bit.ly/4sdHpz" TargetMode="External"/><Relationship Id="rId35" Type="http://schemas.openxmlformats.org/officeDocument/2006/relationships/hyperlink" Target="http://bit.ly/7PZAzm" TargetMode="External"/><Relationship Id="rId43" Type="http://schemas.openxmlformats.org/officeDocument/2006/relationships/hyperlink" Target="http://bit.ly/8ILCTH" TargetMode="External"/><Relationship Id="rId48" Type="http://schemas.openxmlformats.org/officeDocument/2006/relationships/hyperlink" Target="http://bit.ly/4KCF1n" TargetMode="External"/><Relationship Id="rId56" Type="http://schemas.openxmlformats.org/officeDocument/2006/relationships/hyperlink" Target="http://bit.ly/7r7kCM" TargetMode="External"/><Relationship Id="rId64" Type="http://schemas.openxmlformats.org/officeDocument/2006/relationships/hyperlink" Target="http://bit.ly/gI7TQJ" TargetMode="External"/><Relationship Id="rId69" Type="http://schemas.openxmlformats.org/officeDocument/2006/relationships/hyperlink" Target="http://bit.ly/7PZAzm" TargetMode="External"/><Relationship Id="rId77" Type="http://schemas.openxmlformats.org/officeDocument/2006/relationships/hyperlink" Target="http://bit.ly/89P8Ic" TargetMode="External"/><Relationship Id="rId8" Type="http://schemas.openxmlformats.org/officeDocument/2006/relationships/hyperlink" Target="http://bit.ly/7PZAzm" TargetMode="External"/><Relationship Id="rId51" Type="http://schemas.openxmlformats.org/officeDocument/2006/relationships/hyperlink" Target="http://bit.ly/8QRryt" TargetMode="External"/><Relationship Id="rId72" Type="http://schemas.openxmlformats.org/officeDocument/2006/relationships/hyperlink" Target="http://bit.ly/7PZAzm" TargetMode="External"/><Relationship Id="rId80" Type="http://schemas.openxmlformats.org/officeDocument/2006/relationships/hyperlink" Target="http://bit.ly/6zNiE2" TargetMode="External"/><Relationship Id="rId85" Type="http://schemas.openxmlformats.org/officeDocument/2006/relationships/hyperlink" Target="http://bit.ly/602gXa" TargetMode="External"/><Relationship Id="rId3" Type="http://schemas.openxmlformats.org/officeDocument/2006/relationships/hyperlink" Target="http://bit.ly/7r7kCM" TargetMode="External"/><Relationship Id="rId12" Type="http://schemas.openxmlformats.org/officeDocument/2006/relationships/hyperlink" Target="http://bit.ly/5NeSNk" TargetMode="External"/><Relationship Id="rId17" Type="http://schemas.openxmlformats.org/officeDocument/2006/relationships/hyperlink" Target="http://twitter.com/JackCurry1/status/7241608161" TargetMode="External"/><Relationship Id="rId25" Type="http://schemas.openxmlformats.org/officeDocument/2006/relationships/hyperlink" Target="http://bit.ly/8ZBEtE" TargetMode="External"/><Relationship Id="rId33" Type="http://schemas.openxmlformats.org/officeDocument/2006/relationships/hyperlink" Target="http://bit.ly/6tydXD" TargetMode="External"/><Relationship Id="rId38" Type="http://schemas.openxmlformats.org/officeDocument/2006/relationships/hyperlink" Target="http://bit.ly/8D7sR3" TargetMode="External"/><Relationship Id="rId46" Type="http://schemas.openxmlformats.org/officeDocument/2006/relationships/hyperlink" Target="http://bit.ly/5u0RFQ" TargetMode="External"/><Relationship Id="rId59" Type="http://schemas.openxmlformats.org/officeDocument/2006/relationships/hyperlink" Target="http://bit.ly/68ExSN" TargetMode="External"/><Relationship Id="rId67" Type="http://schemas.openxmlformats.org/officeDocument/2006/relationships/hyperlink" Target="http://bit.ly/63ELAy" TargetMode="External"/><Relationship Id="rId20" Type="http://schemas.openxmlformats.org/officeDocument/2006/relationships/hyperlink" Target="http://bit.ly/7PZAzm" TargetMode="External"/><Relationship Id="rId41" Type="http://schemas.openxmlformats.org/officeDocument/2006/relationships/hyperlink" Target="http://bit.ly/4ocCKb" TargetMode="External"/><Relationship Id="rId54" Type="http://schemas.openxmlformats.org/officeDocument/2006/relationships/hyperlink" Target="http://bit.ly/7shcRK" TargetMode="External"/><Relationship Id="rId62" Type="http://schemas.openxmlformats.org/officeDocument/2006/relationships/hyperlink" Target="http://bit.ly/7ORImv" TargetMode="External"/><Relationship Id="rId70" Type="http://schemas.openxmlformats.org/officeDocument/2006/relationships/hyperlink" Target="http://bit.ly/5LkFe6" TargetMode="External"/><Relationship Id="rId75" Type="http://schemas.openxmlformats.org/officeDocument/2006/relationships/hyperlink" Target="http://bit.ly/5PB4VU" TargetMode="External"/><Relationship Id="rId83" Type="http://schemas.openxmlformats.org/officeDocument/2006/relationships/hyperlink" Target="http://bit.ly/7r7kCM" TargetMode="External"/><Relationship Id="rId1" Type="http://schemas.openxmlformats.org/officeDocument/2006/relationships/hyperlink" Target="http://bit.ly/68ExSN" TargetMode="External"/><Relationship Id="rId6" Type="http://schemas.openxmlformats.org/officeDocument/2006/relationships/hyperlink" Target="http://bit.ly/7r7kCM" TargetMode="External"/><Relationship Id="rId15" Type="http://schemas.openxmlformats.org/officeDocument/2006/relationships/hyperlink" Target="http://bit.ly/70mX5j" TargetMode="External"/><Relationship Id="rId23" Type="http://schemas.openxmlformats.org/officeDocument/2006/relationships/hyperlink" Target="http://bit.ly/7PZAzm" TargetMode="External"/><Relationship Id="rId28" Type="http://schemas.openxmlformats.org/officeDocument/2006/relationships/hyperlink" Target="http://bit.ly/7r7kCM" TargetMode="External"/><Relationship Id="rId36" Type="http://schemas.openxmlformats.org/officeDocument/2006/relationships/hyperlink" Target="http://bit.ly/4ATVNE" TargetMode="External"/><Relationship Id="rId49" Type="http://schemas.openxmlformats.org/officeDocument/2006/relationships/hyperlink" Target="http://bit.ly/8Vwgd1" TargetMode="External"/><Relationship Id="rId57" Type="http://schemas.openxmlformats.org/officeDocument/2006/relationships/hyperlink" Target="http://bit.ly/4GVbFh" TargetMode="External"/><Relationship Id="rId10" Type="http://schemas.openxmlformats.org/officeDocument/2006/relationships/hyperlink" Target="http://twitter.com/jimcaple/status/7251920220" TargetMode="External"/><Relationship Id="rId31" Type="http://schemas.openxmlformats.org/officeDocument/2006/relationships/hyperlink" Target="http://bit.ly/4uZF1w" TargetMode="External"/><Relationship Id="rId44" Type="http://schemas.openxmlformats.org/officeDocument/2006/relationships/hyperlink" Target="http://bit.ly/68ExSN" TargetMode="External"/><Relationship Id="rId52" Type="http://schemas.openxmlformats.org/officeDocument/2006/relationships/hyperlink" Target="http://bit.ly/64sLsg" TargetMode="External"/><Relationship Id="rId60" Type="http://schemas.openxmlformats.org/officeDocument/2006/relationships/hyperlink" Target="http://bit.ly/7r7kCM" TargetMode="External"/><Relationship Id="rId65" Type="http://schemas.openxmlformats.org/officeDocument/2006/relationships/hyperlink" Target="http://bit.ly/87fzzy" TargetMode="External"/><Relationship Id="rId73" Type="http://schemas.openxmlformats.org/officeDocument/2006/relationships/hyperlink" Target="http://bit.ly/69wy66" TargetMode="External"/><Relationship Id="rId78" Type="http://schemas.openxmlformats.org/officeDocument/2006/relationships/hyperlink" Target="http://bit.ly/7r7kCM" TargetMode="External"/><Relationship Id="rId81" Type="http://schemas.openxmlformats.org/officeDocument/2006/relationships/hyperlink" Target="http://bit.ly/7r7kCM" TargetMode="External"/><Relationship Id="rId86" Type="http://schemas.openxmlformats.org/officeDocument/2006/relationships/hyperlink" Target="http://bit.ly/7kNbPD" TargetMode="External"/><Relationship Id="rId4" Type="http://schemas.openxmlformats.org/officeDocument/2006/relationships/hyperlink" Target="http://bit.ly/6zdJ28" TargetMode="External"/><Relationship Id="rId9" Type="http://schemas.openxmlformats.org/officeDocument/2006/relationships/hyperlink" Target="http://bit.ly/4wTml3" TargetMode="External"/><Relationship Id="rId13" Type="http://schemas.openxmlformats.org/officeDocument/2006/relationships/hyperlink" Target="http://bit.ly/8vo8wq" TargetMode="External"/><Relationship Id="rId18" Type="http://schemas.openxmlformats.org/officeDocument/2006/relationships/hyperlink" Target="http://bit.ly/5C8BUw" TargetMode="External"/><Relationship Id="rId39" Type="http://schemas.openxmlformats.org/officeDocument/2006/relationships/hyperlink" Target="http://bit.ly/8yKqxT" TargetMode="External"/><Relationship Id="rId34" Type="http://schemas.openxmlformats.org/officeDocument/2006/relationships/hyperlink" Target="http://bit.ly/63ELAy" TargetMode="External"/><Relationship Id="rId50" Type="http://schemas.openxmlformats.org/officeDocument/2006/relationships/hyperlink" Target="http://bit.ly/6e1Jza" TargetMode="External"/><Relationship Id="rId55" Type="http://schemas.openxmlformats.org/officeDocument/2006/relationships/hyperlink" Target="http://bit.ly/63ELAy" TargetMode="External"/><Relationship Id="rId76" Type="http://schemas.openxmlformats.org/officeDocument/2006/relationships/hyperlink" Target="http://bit.ly/7r7kCM" TargetMode="External"/><Relationship Id="rId7" Type="http://schemas.openxmlformats.org/officeDocument/2006/relationships/hyperlink" Target="http://bit.ly/90NuDg" TargetMode="External"/><Relationship Id="rId71" Type="http://schemas.openxmlformats.org/officeDocument/2006/relationships/hyperlink" Target="http://bit.ly/6IhSKY" TargetMode="External"/><Relationship Id="rId2" Type="http://schemas.openxmlformats.org/officeDocument/2006/relationships/hyperlink" Target="http://bit.ly/4Ay6tH" TargetMode="External"/><Relationship Id="rId29" Type="http://schemas.openxmlformats.org/officeDocument/2006/relationships/hyperlink" Target="http://bit.ly/7r7kCM" TargetMode="External"/><Relationship Id="rId24" Type="http://schemas.openxmlformats.org/officeDocument/2006/relationships/hyperlink" Target="http://bit.ly/58Xeh0" TargetMode="External"/><Relationship Id="rId40" Type="http://schemas.openxmlformats.org/officeDocument/2006/relationships/hyperlink" Target="http://bit.ly/7PZAzm" TargetMode="External"/><Relationship Id="rId45" Type="http://schemas.openxmlformats.org/officeDocument/2006/relationships/hyperlink" Target="http://bit.ly/71ojkS" TargetMode="External"/><Relationship Id="rId66" Type="http://schemas.openxmlformats.org/officeDocument/2006/relationships/hyperlink" Target="http://bit.ly/5ulbNe" TargetMode="External"/><Relationship Id="rId87" Type="http://schemas.openxmlformats.org/officeDocument/2006/relationships/hyperlink" Target="http://bit.ly/8fSb3Q" TargetMode="External"/><Relationship Id="rId61" Type="http://schemas.openxmlformats.org/officeDocument/2006/relationships/hyperlink" Target="http://bit.ly/7PZAzm" TargetMode="External"/><Relationship Id="rId82" Type="http://schemas.openxmlformats.org/officeDocument/2006/relationships/hyperlink" Target="http://bit.ly/8JcSX2" TargetMode="External"/></Relationships>
</file>

<file path=xl/worksheets/_rels/sheet11.xml.rels><?xml version="1.0" encoding="UTF-8" standalone="yes"?>
<Relationships xmlns="http://schemas.openxmlformats.org/package/2006/relationships"><Relationship Id="rId26" Type="http://schemas.openxmlformats.org/officeDocument/2006/relationships/hyperlink" Target="http://www.twitter.com/hawkaptexas" TargetMode="External"/><Relationship Id="rId21" Type="http://schemas.openxmlformats.org/officeDocument/2006/relationships/hyperlink" Target="http://www.twitter.com/kguregian" TargetMode="External"/><Relationship Id="rId42" Type="http://schemas.openxmlformats.org/officeDocument/2006/relationships/hyperlink" Target="http://www.twitter.com/Blincicome" TargetMode="External"/><Relationship Id="rId47" Type="http://schemas.openxmlformats.org/officeDocument/2006/relationships/hyperlink" Target="http://www.twitter.com/stevemeyerhoff" TargetMode="External"/><Relationship Id="rId63" Type="http://schemas.openxmlformats.org/officeDocument/2006/relationships/hyperlink" Target="http://www.twitter.com/drewsharp" TargetMode="External"/><Relationship Id="rId68" Type="http://schemas.openxmlformats.org/officeDocument/2006/relationships/hyperlink" Target="http://www.twitter.com/JohnStrege" TargetMode="External"/><Relationship Id="rId2" Type="http://schemas.openxmlformats.org/officeDocument/2006/relationships/hyperlink" Target="http://www.twitter.com/BuckysBunker" TargetMode="External"/><Relationship Id="rId16" Type="http://schemas.openxmlformats.org/officeDocument/2006/relationships/hyperlink" Target="http://bbwaa.com/" TargetMode="External"/><Relationship Id="rId29" Type="http://schemas.openxmlformats.org/officeDocument/2006/relationships/hyperlink" Target="http://www.twitter.com/oldbiscuitpants" TargetMode="External"/><Relationship Id="rId11" Type="http://schemas.openxmlformats.org/officeDocument/2006/relationships/hyperlink" Target="http://www.twitter.com/Lescarpenter" TargetMode="External"/><Relationship Id="rId24" Type="http://schemas.openxmlformats.org/officeDocument/2006/relationships/hyperlink" Target="http://www.twitter.com/HartAttakSports" TargetMode="External"/><Relationship Id="rId32" Type="http://schemas.openxmlformats.org/officeDocument/2006/relationships/hyperlink" Target="http://www.twitter.com/MichaelHuntMJS" TargetMode="External"/><Relationship Id="rId37" Type="http://schemas.openxmlformats.org/officeDocument/2006/relationships/hyperlink" Target="http://www.twitter.com/bkoch" TargetMode="External"/><Relationship Id="rId40" Type="http://schemas.openxmlformats.org/officeDocument/2006/relationships/hyperlink" Target="http://www.twitter.com/LarryLage" TargetMode="External"/><Relationship Id="rId45" Type="http://schemas.openxmlformats.org/officeDocument/2006/relationships/hyperlink" Target="http://www.twitter.com/lennymegs" TargetMode="External"/><Relationship Id="rId53" Type="http://schemas.openxmlformats.org/officeDocument/2006/relationships/hyperlink" Target="http://www.twitter.com/hidekiokuda48" TargetMode="External"/><Relationship Id="rId58" Type="http://schemas.openxmlformats.org/officeDocument/2006/relationships/hyperlink" Target="http://www.twitter.com/1500ESPN_Reusse" TargetMode="External"/><Relationship Id="rId66" Type="http://schemas.openxmlformats.org/officeDocument/2006/relationships/hyperlink" Target="http://www.twitter.com/arniestapleton" TargetMode="External"/><Relationship Id="rId74" Type="http://schemas.openxmlformats.org/officeDocument/2006/relationships/hyperlink" Target="http://www.twitter.com/Charley_Walters" TargetMode="External"/><Relationship Id="rId5" Type="http://schemas.openxmlformats.org/officeDocument/2006/relationships/hyperlink" Target="http://www.twitter.com/BarnesBurner" TargetMode="External"/><Relationship Id="rId61" Type="http://schemas.openxmlformats.org/officeDocument/2006/relationships/hyperlink" Target="http://www.twitter.com/CarrollRogers" TargetMode="External"/><Relationship Id="rId19" Type="http://schemas.openxmlformats.org/officeDocument/2006/relationships/hyperlink" Target="http://www.twitter.com/rgilliescanada" TargetMode="External"/><Relationship Id="rId14" Type="http://schemas.openxmlformats.org/officeDocument/2006/relationships/hyperlink" Target="http://www.twitter.com/cst_Cowley" TargetMode="External"/><Relationship Id="rId22" Type="http://schemas.openxmlformats.org/officeDocument/2006/relationships/hyperlink" Target="http://www.twitter.com/hagenp" TargetMode="External"/><Relationship Id="rId27" Type="http://schemas.openxmlformats.org/officeDocument/2006/relationships/hyperlink" Target="http://www.twitter.com/beisbolporgotas" TargetMode="External"/><Relationship Id="rId30" Type="http://schemas.openxmlformats.org/officeDocument/2006/relationships/hyperlink" Target="http://www.twitter.com/PeterHirdt" TargetMode="External"/><Relationship Id="rId35" Type="http://schemas.openxmlformats.org/officeDocument/2006/relationships/hyperlink" Target="http://www.twitter.com/KCKaegel" TargetMode="External"/><Relationship Id="rId43" Type="http://schemas.openxmlformats.org/officeDocument/2006/relationships/hyperlink" Target="http://www.twitter.com/LoprestiSports" TargetMode="External"/><Relationship Id="rId48" Type="http://schemas.openxmlformats.org/officeDocument/2006/relationships/hyperlink" Target="http://www.twitter.com/malcolm_moran" TargetMode="External"/><Relationship Id="rId56" Type="http://schemas.openxmlformats.org/officeDocument/2006/relationships/hyperlink" Target="http://www.twitter.com/terrypluto" TargetMode="External"/><Relationship Id="rId64" Type="http://schemas.openxmlformats.org/officeDocument/2006/relationships/hyperlink" Target="http://www.twitter.com/clarkspencer" TargetMode="External"/><Relationship Id="rId69" Type="http://schemas.openxmlformats.org/officeDocument/2006/relationships/hyperlink" Target="http://www.twitter.com/ByEvanWest" TargetMode="External"/><Relationship Id="rId8" Type="http://schemas.openxmlformats.org/officeDocument/2006/relationships/hyperlink" Target="http://www.twitter.com/MarkBradleyAJC" TargetMode="External"/><Relationship Id="rId51" Type="http://schemas.openxmlformats.org/officeDocument/2006/relationships/hyperlink" Target="http://www.twitter.com/oapostrophesd" TargetMode="External"/><Relationship Id="rId72" Type="http://schemas.openxmlformats.org/officeDocument/2006/relationships/hyperlink" Target="http://www.twitter.com/davandyck" TargetMode="External"/><Relationship Id="rId3" Type="http://schemas.openxmlformats.org/officeDocument/2006/relationships/hyperlink" Target="http://www.twitter.com/jim_armstrong" TargetMode="External"/><Relationship Id="rId12" Type="http://schemas.openxmlformats.org/officeDocument/2006/relationships/hyperlink" Target="http://www.twitter.com/LowellCohn" TargetMode="External"/><Relationship Id="rId17" Type="http://schemas.openxmlformats.org/officeDocument/2006/relationships/hyperlink" Target="http://www.twitter.com/TNT_Mariners" TargetMode="External"/><Relationship Id="rId25" Type="http://schemas.openxmlformats.org/officeDocument/2006/relationships/hyperlink" Target="http://www.twitter.com/SidHartman" TargetMode="External"/><Relationship Id="rId33" Type="http://schemas.openxmlformats.org/officeDocument/2006/relationships/hyperlink" Target="http://www.twitter.com/dailyhunter" TargetMode="External"/><Relationship Id="rId38" Type="http://schemas.openxmlformats.org/officeDocument/2006/relationships/hyperlink" Target="http://www.twitter.com/rkuwada" TargetMode="External"/><Relationship Id="rId46" Type="http://schemas.openxmlformats.org/officeDocument/2006/relationships/hyperlink" Target="http://rmucolonials.com/" TargetMode="External"/><Relationship Id="rId59" Type="http://schemas.openxmlformats.org/officeDocument/2006/relationships/hyperlink" Target="http://www.twitter.com/DaveReynolds2" TargetMode="External"/><Relationship Id="rId67" Type="http://schemas.openxmlformats.org/officeDocument/2006/relationships/hyperlink" Target="http://www.twitter.com/vitostellino" TargetMode="External"/><Relationship Id="rId20" Type="http://schemas.openxmlformats.org/officeDocument/2006/relationships/hyperlink" Target="http://www.twitter.com/toniginnetti" TargetMode="External"/><Relationship Id="rId41" Type="http://schemas.openxmlformats.org/officeDocument/2006/relationships/hyperlink" Target="http://www.twitter.com/KeithLLair" TargetMode="External"/><Relationship Id="rId54" Type="http://schemas.openxmlformats.org/officeDocument/2006/relationships/hyperlink" Target="http://www.twitter.com/joeostermeier" TargetMode="External"/><Relationship Id="rId62" Type="http://schemas.openxmlformats.org/officeDocument/2006/relationships/hyperlink" Target="http://www.twitter.com/markschmetzer" TargetMode="External"/><Relationship Id="rId70" Type="http://schemas.openxmlformats.org/officeDocument/2006/relationships/hyperlink" Target="http://www.twitter.com/TotalGamePlan" TargetMode="External"/><Relationship Id="rId75" Type="http://schemas.openxmlformats.org/officeDocument/2006/relationships/hyperlink" Target="http://www.twitter.com/esbbob" TargetMode="External"/><Relationship Id="rId1" Type="http://schemas.openxmlformats.org/officeDocument/2006/relationships/hyperlink" Target="http://www.twitter.com/grumpyadamek" TargetMode="External"/><Relationship Id="rId6" Type="http://schemas.openxmlformats.org/officeDocument/2006/relationships/hyperlink" Target="http://www.twitter.com/franblinebury" TargetMode="External"/><Relationship Id="rId15" Type="http://schemas.openxmlformats.org/officeDocument/2006/relationships/hyperlink" Target="http://bbwaa.com/" TargetMode="External"/><Relationship Id="rId23" Type="http://schemas.openxmlformats.org/officeDocument/2006/relationships/hyperlink" Target="http://www.twitter.com/bethharrisap" TargetMode="External"/><Relationship Id="rId28" Type="http://schemas.openxmlformats.org/officeDocument/2006/relationships/hyperlink" Target="http://www.twitter.com/JHickey3" TargetMode="External"/><Relationship Id="rId36" Type="http://schemas.openxmlformats.org/officeDocument/2006/relationships/hyperlink" Target="http://www.twitter.com/apjoekay" TargetMode="External"/><Relationship Id="rId49" Type="http://schemas.openxmlformats.org/officeDocument/2006/relationships/hyperlink" Target="http://www.twitter.com/SportsOfAllSort" TargetMode="External"/><Relationship Id="rId57" Type="http://schemas.openxmlformats.org/officeDocument/2006/relationships/hyperlink" Target="http://www.twitter.com/TomPowersPP" TargetMode="External"/><Relationship Id="rId10" Type="http://schemas.openxmlformats.org/officeDocument/2006/relationships/hyperlink" Target="http://www.twitter.com/joecapMARLINS" TargetMode="External"/><Relationship Id="rId31" Type="http://schemas.openxmlformats.org/officeDocument/2006/relationships/hyperlink" Target="http://www.twitter.com/SteveHirdt" TargetMode="External"/><Relationship Id="rId44" Type="http://schemas.openxmlformats.org/officeDocument/2006/relationships/hyperlink" Target="http://www.twitter.com/toallfields" TargetMode="External"/><Relationship Id="rId52" Type="http://schemas.openxmlformats.org/officeDocument/2006/relationships/hyperlink" Target="http://www.twitter.com/SheldonOckerABJ" TargetMode="External"/><Relationship Id="rId60" Type="http://schemas.openxmlformats.org/officeDocument/2006/relationships/hyperlink" Target="http://www.twitter.com/ByTimReynolds" TargetMode="External"/><Relationship Id="rId65" Type="http://schemas.openxmlformats.org/officeDocument/2006/relationships/hyperlink" Target="http://bbwaa.com/" TargetMode="External"/><Relationship Id="rId73" Type="http://schemas.openxmlformats.org/officeDocument/2006/relationships/hyperlink" Target="http://www.twitter.com/viloriac" TargetMode="External"/><Relationship Id="rId4" Type="http://schemas.openxmlformats.org/officeDocument/2006/relationships/hyperlink" Target="http://www.twitter.com/hbalzer721" TargetMode="External"/><Relationship Id="rId9" Type="http://schemas.openxmlformats.org/officeDocument/2006/relationships/hyperlink" Target="http://www.twitter.com/DaveBuscema" TargetMode="External"/><Relationship Id="rId13" Type="http://schemas.openxmlformats.org/officeDocument/2006/relationships/hyperlink" Target="http://www.twitter.com/genecollier" TargetMode="External"/><Relationship Id="rId18" Type="http://schemas.openxmlformats.org/officeDocument/2006/relationships/hyperlink" Target="http://www.twitter.com/johnerardi" TargetMode="External"/><Relationship Id="rId39" Type="http://schemas.openxmlformats.org/officeDocument/2006/relationships/hyperlink" Target="http://www.twitter.com/johnlabo" TargetMode="External"/><Relationship Id="rId34" Type="http://schemas.openxmlformats.org/officeDocument/2006/relationships/hyperlink" Target="http://www.twitter.com/chuckjohnsonINK" TargetMode="External"/><Relationship Id="rId50" Type="http://schemas.openxmlformats.org/officeDocument/2006/relationships/hyperlink" Target="http://www.twitter.com/irvmoss" TargetMode="External"/><Relationship Id="rId55" Type="http://schemas.openxmlformats.org/officeDocument/2006/relationships/hyperlink" Target="http://www.twitter.com/ESPNChiSox" TargetMode="External"/><Relationship Id="rId76" Type="http://schemas.openxmlformats.org/officeDocument/2006/relationships/hyperlink" Target="http://www.twitter.com/MWhicker03LANG" TargetMode="External"/><Relationship Id="rId7" Type="http://schemas.openxmlformats.org/officeDocument/2006/relationships/hyperlink" Target="http://www.twitter.com/earl_bloom_spts" TargetMode="External"/><Relationship Id="rId71" Type="http://schemas.openxmlformats.org/officeDocument/2006/relationships/hyperlink" Target="http://www.twitter.com/hbulma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M804"/>
  <sheetViews>
    <sheetView tabSelected="1" workbookViewId="0" xr3:uid="{842E5F09-E766-5B8D-85AF-A39847EA96FD}">
      <pane xSplit="1" ySplit="5" topLeftCell="B12" activePane="bottomRight" state="frozen"/>
      <selection pane="bottomRight" activeCell="A3" sqref="A3"/>
      <selection pane="bottomLeft" activeCell="A6" sqref="A6"/>
      <selection pane="topRight" activeCell="B1" sqref="B1"/>
    </sheetView>
  </sheetViews>
  <sheetFormatPr defaultColWidth="14.42578125" defaultRowHeight="12.75" customHeight="1" outlineLevelCol="1"/>
  <cols>
    <col min="1" max="1" width="28" style="137" customWidth="1"/>
    <col min="2" max="22" width="7.85546875" style="137" customWidth="1"/>
    <col min="23" max="34" width="6.7109375" style="137" hidden="1" customWidth="1" outlineLevel="1"/>
    <col min="35" max="35" width="6.7109375" style="137" customWidth="1" collapsed="1"/>
    <col min="36" max="36" width="21.5703125" style="491" customWidth="1"/>
    <col min="37" max="37" width="11.42578125" style="137" customWidth="1"/>
    <col min="38" max="38" width="1.42578125" style="137" hidden="1" customWidth="1"/>
    <col min="39" max="39" width="2.42578125" style="137" hidden="1" customWidth="1"/>
    <col min="40" max="63" width="3" style="137" hidden="1" customWidth="1"/>
    <col min="64" max="65" width="8" style="137" hidden="1" customWidth="1"/>
    <col min="66" max="88" width="3.7109375" style="137" hidden="1" customWidth="1"/>
    <col min="89" max="89" width="15.28515625" style="137" customWidth="1"/>
    <col min="90" max="90" width="2.28515625" style="137" customWidth="1"/>
    <col min="91" max="91" width="8.28515625" style="137" customWidth="1"/>
    <col min="92" max="16384" width="14.42578125" style="137"/>
  </cols>
  <sheetData>
    <row r="1" spans="1:91" ht="39.950000000000003" customHeight="1" thickTop="1" thickBot="1">
      <c r="A1" s="686" t="str">
        <f>HYPERLINK("http://www.twitter.com/NotMrTibbs", "Follow 
@NotMrTibbs")</f>
        <v>Follow 
@NotMrTibbs</v>
      </c>
      <c r="B1" s="694" t="s">
        <v>0</v>
      </c>
      <c r="C1" s="695"/>
      <c r="D1" s="696"/>
      <c r="E1" s="688">
        <f>(COUNTA($A32:$A350)-I1)</f>
        <v>313</v>
      </c>
      <c r="F1" s="689"/>
      <c r="G1" s="386"/>
      <c r="H1" s="473" t="s">
        <v>1</v>
      </c>
      <c r="I1" s="468">
        <f>COUNTA(A346:A350)</f>
        <v>4</v>
      </c>
      <c r="J1" s="387"/>
      <c r="K1" s="690" t="s">
        <v>2</v>
      </c>
      <c r="L1" s="691"/>
      <c r="M1" s="692">
        <f>(E1+I1)/422</f>
        <v>0.75118483412322279</v>
      </c>
      <c r="N1" s="693"/>
      <c r="O1" s="388"/>
      <c r="P1" s="719" t="s">
        <v>3</v>
      </c>
      <c r="Q1" s="720"/>
      <c r="R1" s="720"/>
      <c r="S1" s="626">
        <f>AVERAGE(AI32:AI350)</f>
        <v>8.7318611987381711</v>
      </c>
      <c r="T1" s="505">
        <f>SUM(B5:AH5)</f>
        <v>2768</v>
      </c>
      <c r="U1" s="389"/>
      <c r="V1" s="389"/>
      <c r="W1" s="433"/>
      <c r="X1" s="433"/>
      <c r="Y1" s="433"/>
      <c r="Z1" s="433"/>
      <c r="AA1" s="433"/>
      <c r="AB1" s="433"/>
      <c r="AC1" s="433"/>
      <c r="AD1" s="433"/>
      <c r="AE1" s="433"/>
      <c r="AF1" s="433"/>
      <c r="AG1" s="433"/>
      <c r="AH1" s="433"/>
      <c r="AI1" s="702" t="s">
        <v>4</v>
      </c>
      <c r="AJ1" s="704" t="s">
        <v>5</v>
      </c>
      <c r="AK1" s="705"/>
      <c r="AL1" s="705"/>
      <c r="AM1" s="705"/>
      <c r="AN1" s="705"/>
      <c r="AO1" s="705"/>
      <c r="AP1" s="705"/>
      <c r="AQ1" s="705"/>
      <c r="AR1" s="705"/>
      <c r="AS1" s="705"/>
      <c r="AT1" s="705"/>
      <c r="AU1" s="705"/>
      <c r="AV1" s="705"/>
      <c r="AW1" s="705"/>
      <c r="AX1" s="705"/>
      <c r="AY1" s="705"/>
      <c r="AZ1" s="705"/>
      <c r="BA1" s="705"/>
      <c r="BB1" s="705"/>
      <c r="BC1" s="705"/>
      <c r="BD1" s="705"/>
      <c r="BE1" s="705"/>
      <c r="BF1" s="705"/>
      <c r="BG1" s="705"/>
      <c r="BH1" s="705"/>
      <c r="BI1" s="705"/>
      <c r="BJ1" s="705"/>
      <c r="BK1" s="705"/>
      <c r="BL1" s="705"/>
      <c r="BM1" s="705"/>
      <c r="BN1" s="705"/>
      <c r="BO1" s="705"/>
      <c r="BP1" s="705"/>
      <c r="BQ1" s="705"/>
      <c r="BR1" s="705"/>
      <c r="BS1" s="705"/>
      <c r="BT1" s="705"/>
      <c r="BU1" s="705"/>
      <c r="BV1" s="705"/>
      <c r="BW1" s="705"/>
      <c r="BX1" s="705"/>
      <c r="BY1" s="705"/>
      <c r="BZ1" s="705"/>
      <c r="CA1" s="705"/>
      <c r="CB1" s="705"/>
      <c r="CC1" s="705"/>
      <c r="CD1" s="705"/>
      <c r="CE1" s="705"/>
      <c r="CF1" s="705"/>
      <c r="CG1" s="705"/>
      <c r="CH1" s="705"/>
      <c r="CI1" s="705"/>
      <c r="CJ1" s="705"/>
      <c r="CK1" s="705"/>
      <c r="CL1" s="705"/>
      <c r="CM1" s="706"/>
    </row>
    <row r="2" spans="1:91" ht="39.950000000000003" customHeight="1" thickTop="1" thickBot="1">
      <c r="A2" s="687"/>
      <c r="B2" s="697"/>
      <c r="C2" s="698"/>
      <c r="D2" s="699"/>
      <c r="E2" s="688"/>
      <c r="F2" s="689"/>
      <c r="G2" s="537"/>
      <c r="H2" s="707" t="s">
        <v>6</v>
      </c>
      <c r="I2" s="708"/>
      <c r="J2" s="391"/>
      <c r="K2" s="709" t="s">
        <v>7</v>
      </c>
      <c r="L2" s="710"/>
      <c r="M2" s="710"/>
      <c r="N2" s="711"/>
      <c r="O2" s="392"/>
      <c r="P2" s="712" t="s">
        <v>8</v>
      </c>
      <c r="Q2" s="713"/>
      <c r="R2" s="713"/>
      <c r="S2" s="630">
        <f>T2</f>
        <v>7.6380952380952385</v>
      </c>
      <c r="T2" s="393">
        <f>(AI13-T1)/AI5</f>
        <v>7.6380952380952385</v>
      </c>
      <c r="U2" s="394"/>
      <c r="V2" s="394"/>
      <c r="W2" s="434"/>
      <c r="X2" s="435"/>
      <c r="Y2" s="435"/>
      <c r="Z2" s="436"/>
      <c r="AA2" s="436"/>
      <c r="AB2" s="437"/>
      <c r="AC2" s="437"/>
      <c r="AD2" s="437"/>
      <c r="AE2" s="437"/>
      <c r="AF2" s="437"/>
      <c r="AG2" s="437"/>
      <c r="AH2" s="437"/>
      <c r="AI2" s="703"/>
      <c r="AJ2" s="714" t="s">
        <v>9</v>
      </c>
      <c r="AK2" s="715"/>
      <c r="AL2" s="716" t="s">
        <v>10</v>
      </c>
      <c r="AM2" s="717"/>
      <c r="AN2" s="717"/>
      <c r="AO2" s="717"/>
      <c r="AP2" s="717"/>
      <c r="AQ2" s="717"/>
      <c r="AR2" s="717"/>
      <c r="AS2" s="717"/>
      <c r="AT2" s="717"/>
      <c r="AU2" s="717"/>
      <c r="AV2" s="717"/>
      <c r="AW2" s="717"/>
      <c r="AX2" s="717"/>
      <c r="AY2" s="717"/>
      <c r="AZ2" s="717"/>
      <c r="BA2" s="717"/>
      <c r="BB2" s="717"/>
      <c r="BC2" s="717"/>
      <c r="BD2" s="717"/>
      <c r="BE2" s="717"/>
      <c r="BF2" s="717"/>
      <c r="BG2" s="717"/>
      <c r="BH2" s="717"/>
      <c r="BI2" s="717"/>
      <c r="BJ2" s="717"/>
      <c r="BK2" s="717"/>
      <c r="BL2" s="717"/>
      <c r="BM2" s="717"/>
      <c r="BN2" s="717"/>
      <c r="BO2" s="717"/>
      <c r="BP2" s="717"/>
      <c r="BQ2" s="717"/>
      <c r="BR2" s="717"/>
      <c r="BS2" s="717"/>
      <c r="BT2" s="717"/>
      <c r="BU2" s="717"/>
      <c r="BV2" s="717"/>
      <c r="BW2" s="717"/>
      <c r="BX2" s="717"/>
      <c r="BY2" s="717"/>
      <c r="BZ2" s="717"/>
      <c r="CA2" s="717"/>
      <c r="CB2" s="717"/>
      <c r="CC2" s="717"/>
      <c r="CD2" s="717"/>
      <c r="CE2" s="717"/>
      <c r="CF2" s="717"/>
      <c r="CG2" s="717"/>
      <c r="CH2" s="717"/>
      <c r="CI2" s="717"/>
      <c r="CJ2" s="717"/>
      <c r="CK2" s="717"/>
      <c r="CL2" s="717"/>
      <c r="CM2" s="718"/>
    </row>
    <row r="3" spans="1:91" ht="43.5" customHeight="1">
      <c r="A3" s="395" t="s">
        <v>11</v>
      </c>
      <c r="B3" s="445" t="s">
        <v>12</v>
      </c>
      <c r="C3" s="445" t="s">
        <v>13</v>
      </c>
      <c r="D3" s="446" t="s">
        <v>14</v>
      </c>
      <c r="E3" s="445" t="s">
        <v>15</v>
      </c>
      <c r="F3" s="445" t="s">
        <v>16</v>
      </c>
      <c r="G3" s="446" t="s">
        <v>17</v>
      </c>
      <c r="H3" s="446" t="s">
        <v>18</v>
      </c>
      <c r="I3" s="445" t="s">
        <v>19</v>
      </c>
      <c r="J3" s="445" t="s">
        <v>20</v>
      </c>
      <c r="K3" s="447" t="s">
        <v>21</v>
      </c>
      <c r="L3" s="445" t="s">
        <v>22</v>
      </c>
      <c r="M3" s="445" t="s">
        <v>23</v>
      </c>
      <c r="N3" s="446" t="s">
        <v>24</v>
      </c>
      <c r="O3" s="446" t="s">
        <v>25</v>
      </c>
      <c r="P3" s="445" t="s">
        <v>26</v>
      </c>
      <c r="Q3" s="445" t="s">
        <v>27</v>
      </c>
      <c r="R3" s="445" t="s">
        <v>28</v>
      </c>
      <c r="S3" s="446" t="s">
        <v>29</v>
      </c>
      <c r="T3" s="446" t="s">
        <v>30</v>
      </c>
      <c r="U3" s="445" t="s">
        <v>31</v>
      </c>
      <c r="V3" s="445" t="s">
        <v>32</v>
      </c>
      <c r="W3" s="396" t="s">
        <v>33</v>
      </c>
      <c r="X3" s="396" t="s">
        <v>34</v>
      </c>
      <c r="Y3" s="396" t="s">
        <v>35</v>
      </c>
      <c r="Z3" s="396" t="s">
        <v>36</v>
      </c>
      <c r="AA3" s="396" t="s">
        <v>37</v>
      </c>
      <c r="AB3" s="396" t="s">
        <v>38</v>
      </c>
      <c r="AC3" s="396" t="s">
        <v>39</v>
      </c>
      <c r="AD3" s="396" t="s">
        <v>40</v>
      </c>
      <c r="AE3" s="396" t="s">
        <v>41</v>
      </c>
      <c r="AF3" s="396" t="s">
        <v>42</v>
      </c>
      <c r="AG3" s="396" t="s">
        <v>43</v>
      </c>
      <c r="AH3" s="396" t="s">
        <v>44</v>
      </c>
      <c r="AI3" s="503"/>
      <c r="AJ3" s="721" t="s">
        <v>45</v>
      </c>
      <c r="AK3" s="722"/>
      <c r="AL3" s="723" t="s">
        <v>46</v>
      </c>
      <c r="AM3" s="724"/>
      <c r="AN3" s="724"/>
      <c r="AO3" s="724"/>
      <c r="AP3" s="724"/>
      <c r="AQ3" s="724"/>
      <c r="AR3" s="724"/>
      <c r="AS3" s="724"/>
      <c r="AT3" s="724"/>
      <c r="AU3" s="724"/>
      <c r="AV3" s="724"/>
      <c r="AW3" s="724"/>
      <c r="AX3" s="724"/>
      <c r="AY3" s="724"/>
      <c r="AZ3" s="724"/>
      <c r="BA3" s="724"/>
      <c r="BB3" s="724"/>
      <c r="BC3" s="724"/>
      <c r="BD3" s="724"/>
      <c r="BE3" s="724"/>
      <c r="BF3" s="724"/>
      <c r="BG3" s="724"/>
      <c r="BH3" s="724"/>
      <c r="BI3" s="724"/>
      <c r="BJ3" s="724"/>
      <c r="BK3" s="724"/>
      <c r="BL3" s="724"/>
      <c r="BM3" s="724"/>
      <c r="BN3" s="724"/>
      <c r="BO3" s="724"/>
      <c r="BP3" s="724"/>
      <c r="BQ3" s="724"/>
      <c r="BR3" s="724"/>
      <c r="BS3" s="724"/>
      <c r="BT3" s="724"/>
      <c r="BU3" s="724"/>
      <c r="BV3" s="724"/>
      <c r="BW3" s="724"/>
      <c r="BX3" s="724"/>
      <c r="BY3" s="724"/>
      <c r="BZ3" s="724"/>
      <c r="CA3" s="724"/>
      <c r="CB3" s="724"/>
      <c r="CC3" s="724"/>
      <c r="CD3" s="724"/>
      <c r="CE3" s="724"/>
      <c r="CF3" s="724"/>
      <c r="CG3" s="724"/>
      <c r="CH3" s="724"/>
      <c r="CI3" s="724"/>
      <c r="CJ3" s="724"/>
      <c r="CK3" s="724"/>
      <c r="CL3" s="724"/>
      <c r="CM3" s="725"/>
    </row>
    <row r="4" spans="1:91" ht="17.25" customHeight="1" thickTop="1">
      <c r="A4" s="398" t="s">
        <v>47</v>
      </c>
      <c r="B4" s="478">
        <f t="shared" ref="B4:AH4" si="0">COUNTIF(B32:B352,"x")/($E$1+$I$1)</f>
        <v>0.61198738170347</v>
      </c>
      <c r="C4" s="478">
        <f t="shared" si="0"/>
        <v>0.61198738170347</v>
      </c>
      <c r="D4" s="478">
        <f t="shared" si="0"/>
        <v>1.8927444794952682E-2</v>
      </c>
      <c r="E4" s="478">
        <f t="shared" si="0"/>
        <v>0.94321766561514198</v>
      </c>
      <c r="F4" s="478">
        <f t="shared" si="0"/>
        <v>0.78864353312302837</v>
      </c>
      <c r="G4" s="478">
        <f t="shared" si="0"/>
        <v>5.6782334384858045E-2</v>
      </c>
      <c r="H4" s="478">
        <f t="shared" si="0"/>
        <v>0.98107255520504733</v>
      </c>
      <c r="I4" s="478">
        <f t="shared" si="0"/>
        <v>0.14511041009463724</v>
      </c>
      <c r="J4" s="478">
        <f t="shared" si="0"/>
        <v>0.76340694006309151</v>
      </c>
      <c r="K4" s="478">
        <f t="shared" si="0"/>
        <v>0.21451104100946372</v>
      </c>
      <c r="L4" s="478">
        <f t="shared" si="0"/>
        <v>0.69085173501577291</v>
      </c>
      <c r="M4" s="478">
        <f t="shared" si="0"/>
        <v>0.22397476340694006</v>
      </c>
      <c r="N4" s="478">
        <f t="shared" si="0"/>
        <v>0.11987381703470032</v>
      </c>
      <c r="O4" s="478">
        <f t="shared" si="0"/>
        <v>1.8927444794952682E-2</v>
      </c>
      <c r="P4" s="478">
        <f t="shared" si="0"/>
        <v>0.57413249211356465</v>
      </c>
      <c r="Q4" s="478">
        <f t="shared" si="0"/>
        <v>0.11356466876971609</v>
      </c>
      <c r="R4" s="478">
        <f t="shared" si="0"/>
        <v>9.1482649842271294E-2</v>
      </c>
      <c r="S4" s="478">
        <f t="shared" si="0"/>
        <v>0.9242902208201893</v>
      </c>
      <c r="T4" s="478">
        <f t="shared" si="0"/>
        <v>0.34069400630914826</v>
      </c>
      <c r="U4" s="478">
        <f t="shared" si="0"/>
        <v>0.10725552050473186</v>
      </c>
      <c r="V4" s="478">
        <f t="shared" si="0"/>
        <v>0.37539432176656151</v>
      </c>
      <c r="W4" s="399">
        <f t="shared" si="0"/>
        <v>0</v>
      </c>
      <c r="X4" s="399">
        <f t="shared" si="0"/>
        <v>0</v>
      </c>
      <c r="Y4" s="399">
        <f t="shared" si="0"/>
        <v>0</v>
      </c>
      <c r="Z4" s="399">
        <f t="shared" si="0"/>
        <v>0</v>
      </c>
      <c r="AA4" s="399">
        <f t="shared" si="0"/>
        <v>0</v>
      </c>
      <c r="AB4" s="399">
        <f t="shared" si="0"/>
        <v>0</v>
      </c>
      <c r="AC4" s="399">
        <f t="shared" si="0"/>
        <v>0</v>
      </c>
      <c r="AD4" s="399">
        <f t="shared" si="0"/>
        <v>3.1545741324921135E-3</v>
      </c>
      <c r="AE4" s="399">
        <f t="shared" si="0"/>
        <v>0</v>
      </c>
      <c r="AF4" s="399">
        <f t="shared" si="0"/>
        <v>9.4637223974763408E-3</v>
      </c>
      <c r="AG4" s="399">
        <f t="shared" si="0"/>
        <v>3.1545741324921135E-3</v>
      </c>
      <c r="AH4" s="399">
        <f t="shared" si="0"/>
        <v>0</v>
      </c>
      <c r="AI4" s="506">
        <v>3496</v>
      </c>
      <c r="AJ4" s="726" t="s">
        <v>48</v>
      </c>
      <c r="AK4" s="727"/>
      <c r="AL4" s="728" t="s">
        <v>49</v>
      </c>
      <c r="AM4" s="729"/>
      <c r="AN4" s="729"/>
      <c r="AO4" s="729"/>
      <c r="AP4" s="729"/>
      <c r="AQ4" s="729"/>
      <c r="AR4" s="729"/>
      <c r="AS4" s="729"/>
      <c r="AT4" s="729"/>
      <c r="AU4" s="729"/>
      <c r="AV4" s="729"/>
      <c r="AW4" s="729"/>
      <c r="AX4" s="729"/>
      <c r="AY4" s="729"/>
      <c r="AZ4" s="729"/>
      <c r="BA4" s="729"/>
      <c r="BB4" s="729"/>
      <c r="BC4" s="729"/>
      <c r="BD4" s="729"/>
      <c r="BE4" s="729"/>
      <c r="BF4" s="729"/>
      <c r="BG4" s="729"/>
      <c r="BH4" s="729"/>
      <c r="BI4" s="729"/>
      <c r="BJ4" s="729"/>
      <c r="BK4" s="729"/>
      <c r="BL4" s="729"/>
      <c r="BM4" s="729"/>
      <c r="BN4" s="729"/>
      <c r="BO4" s="729"/>
      <c r="BP4" s="729"/>
      <c r="BQ4" s="729"/>
      <c r="BR4" s="729"/>
      <c r="BS4" s="729"/>
      <c r="BT4" s="729"/>
      <c r="BU4" s="729"/>
      <c r="BV4" s="729"/>
      <c r="BW4" s="729"/>
      <c r="BX4" s="729"/>
      <c r="BY4" s="729"/>
      <c r="BZ4" s="729"/>
      <c r="CA4" s="729"/>
      <c r="CB4" s="729"/>
      <c r="CC4" s="729"/>
      <c r="CD4" s="729"/>
      <c r="CE4" s="729"/>
      <c r="CF4" s="729"/>
      <c r="CG4" s="729"/>
      <c r="CH4" s="729"/>
      <c r="CI4" s="729"/>
      <c r="CJ4" s="729"/>
      <c r="CK4" s="729"/>
      <c r="CL4" s="729"/>
      <c r="CM4" s="730"/>
    </row>
    <row r="5" spans="1:91" ht="17.25" customHeight="1" thickBot="1">
      <c r="A5" s="400" t="s">
        <v>50</v>
      </c>
      <c r="B5" s="409">
        <f>COUNTIF(B32:B$350,"x")</f>
        <v>194</v>
      </c>
      <c r="C5" s="409">
        <f>COUNTIF(C32:C$350,"x")</f>
        <v>194</v>
      </c>
      <c r="D5" s="409">
        <f>COUNTIF(D32:D$350,"x")</f>
        <v>6</v>
      </c>
      <c r="E5" s="409">
        <f>COUNTIF(E32:E$350,"x")</f>
        <v>299</v>
      </c>
      <c r="F5" s="409">
        <f>COUNTIF(F32:F$350,"x")</f>
        <v>250</v>
      </c>
      <c r="G5" s="409">
        <f>COUNTIF(G32:G$350,"x")</f>
        <v>18</v>
      </c>
      <c r="H5" s="409">
        <f>COUNTIF(H32:H$350,"x")</f>
        <v>311</v>
      </c>
      <c r="I5" s="409">
        <f>COUNTIF(I32:I$350,"x")</f>
        <v>46</v>
      </c>
      <c r="J5" s="409">
        <f>COUNTIF(J32:J$350,"x")</f>
        <v>242</v>
      </c>
      <c r="K5" s="409">
        <f>COUNTIF(K32:K$350,"x")</f>
        <v>68</v>
      </c>
      <c r="L5" s="409">
        <f>COUNTIF(L32:L$350,"x")</f>
        <v>219</v>
      </c>
      <c r="M5" s="409">
        <f>COUNTIF(M32:M$350,"x")</f>
        <v>71</v>
      </c>
      <c r="N5" s="409">
        <f>COUNTIF(N32:N$350,"x")</f>
        <v>38</v>
      </c>
      <c r="O5" s="409">
        <f>COUNTIF(O32:O$350,"x")</f>
        <v>6</v>
      </c>
      <c r="P5" s="409">
        <f>COUNTIF(P32:P$350,"x")</f>
        <v>182</v>
      </c>
      <c r="Q5" s="409">
        <f>COUNTIF(Q32:Q$350,"x")</f>
        <v>36</v>
      </c>
      <c r="R5" s="409">
        <f>COUNTIF(R32:R$350,"x")</f>
        <v>29</v>
      </c>
      <c r="S5" s="409">
        <f>COUNTIF(S32:S$350,"x")</f>
        <v>293</v>
      </c>
      <c r="T5" s="409">
        <f>COUNTIF(T32:T$350,"x")</f>
        <v>108</v>
      </c>
      <c r="U5" s="409">
        <f>COUNTIF(U32:U$350,"x")</f>
        <v>34</v>
      </c>
      <c r="V5" s="409">
        <f>COUNTIF(V32:V$350,"x")</f>
        <v>119</v>
      </c>
      <c r="W5" s="409">
        <f>COUNTIF(W32:W$350,"x")</f>
        <v>0</v>
      </c>
      <c r="X5" s="409">
        <f>COUNTIF(X32:X$350,"x")</f>
        <v>0</v>
      </c>
      <c r="Y5" s="409">
        <f>COUNTIF(Y32:Y$350,"x")</f>
        <v>0</v>
      </c>
      <c r="Z5" s="409">
        <f>COUNTIF(Z32:Z$350,"x")</f>
        <v>0</v>
      </c>
      <c r="AA5" s="409">
        <f>COUNTIF(AA32:AA$350,"x")</f>
        <v>0</v>
      </c>
      <c r="AB5" s="409">
        <f>COUNTIF(AB32:AB$350,"x")</f>
        <v>0</v>
      </c>
      <c r="AC5" s="409">
        <f>COUNTIF(AC32:AC$350,"x")</f>
        <v>0</v>
      </c>
      <c r="AD5" s="409">
        <f>COUNTIF(AD32:AD$350,"x")</f>
        <v>1</v>
      </c>
      <c r="AE5" s="409">
        <f>COUNTIF(AE32:AE$350,"x")</f>
        <v>0</v>
      </c>
      <c r="AF5" s="409">
        <f>COUNTIF(AF32:AF$350,"x")</f>
        <v>3</v>
      </c>
      <c r="AG5" s="409">
        <f>COUNTIF(AG32:AG$350,"x")</f>
        <v>1</v>
      </c>
      <c r="AH5" s="409">
        <f>COUNTIF(AH32:AH$350,"x")</f>
        <v>0</v>
      </c>
      <c r="AI5" s="397">
        <f>422-E1-I1</f>
        <v>105</v>
      </c>
      <c r="AJ5" s="734" t="s">
        <v>51</v>
      </c>
      <c r="AK5" s="735"/>
      <c r="AL5" s="731"/>
      <c r="AM5" s="732"/>
      <c r="AN5" s="732"/>
      <c r="AO5" s="732"/>
      <c r="AP5" s="732"/>
      <c r="AQ5" s="732"/>
      <c r="AR5" s="732"/>
      <c r="AS5" s="732"/>
      <c r="AT5" s="732"/>
      <c r="AU5" s="732"/>
      <c r="AV5" s="732"/>
      <c r="AW5" s="732"/>
      <c r="AX5" s="732"/>
      <c r="AY5" s="732"/>
      <c r="AZ5" s="732"/>
      <c r="BA5" s="732"/>
      <c r="BB5" s="732"/>
      <c r="BC5" s="732"/>
      <c r="BD5" s="732"/>
      <c r="BE5" s="732"/>
      <c r="BF5" s="732"/>
      <c r="BG5" s="732"/>
      <c r="BH5" s="732"/>
      <c r="BI5" s="732"/>
      <c r="BJ5" s="732"/>
      <c r="BK5" s="732"/>
      <c r="BL5" s="732"/>
      <c r="BM5" s="732"/>
      <c r="BN5" s="732"/>
      <c r="BO5" s="732"/>
      <c r="BP5" s="732"/>
      <c r="BQ5" s="732"/>
      <c r="BR5" s="732"/>
      <c r="BS5" s="732"/>
      <c r="BT5" s="732"/>
      <c r="BU5" s="732"/>
      <c r="BV5" s="732"/>
      <c r="BW5" s="732"/>
      <c r="BX5" s="732"/>
      <c r="BY5" s="732"/>
      <c r="BZ5" s="732"/>
      <c r="CA5" s="732"/>
      <c r="CB5" s="732"/>
      <c r="CC5" s="732"/>
      <c r="CD5" s="732"/>
      <c r="CE5" s="732"/>
      <c r="CF5" s="732"/>
      <c r="CG5" s="732"/>
      <c r="CH5" s="732"/>
      <c r="CI5" s="732"/>
      <c r="CJ5" s="732"/>
      <c r="CK5" s="732"/>
      <c r="CL5" s="732"/>
      <c r="CM5" s="733"/>
    </row>
    <row r="6" spans="1:91" ht="17.25" hidden="1" customHeight="1" thickTop="1" thickBot="1">
      <c r="A6" s="453" t="s">
        <v>52</v>
      </c>
      <c r="B6" s="454" t="str">
        <f>IF((318-B5)/(424-$E$1-$I$1)&lt;=1,(318-B5)/(424-$E$1-$I$1),"Elim")</f>
        <v>Elim</v>
      </c>
      <c r="C6" s="454" t="str">
        <f t="shared" ref="C6:AH6" si="1">IF((318-C5)/(424-$E$1-$I$1)&lt;=1,(318-C5)/(424-$E$1-$I$1),"Elim")</f>
        <v>Elim</v>
      </c>
      <c r="D6" s="454" t="str">
        <f t="shared" si="1"/>
        <v>Elim</v>
      </c>
      <c r="E6" s="454">
        <f t="shared" si="1"/>
        <v>0.17757009345794392</v>
      </c>
      <c r="F6" s="454">
        <f t="shared" si="1"/>
        <v>0.63551401869158874</v>
      </c>
      <c r="G6" s="454" t="str">
        <f t="shared" si="1"/>
        <v>Elim</v>
      </c>
      <c r="H6" s="454">
        <f t="shared" si="1"/>
        <v>6.5420560747663545E-2</v>
      </c>
      <c r="I6" s="454" t="str">
        <f t="shared" si="1"/>
        <v>Elim</v>
      </c>
      <c r="J6" s="454">
        <f t="shared" si="1"/>
        <v>0.71028037383177567</v>
      </c>
      <c r="K6" s="454" t="str">
        <f t="shared" si="1"/>
        <v>Elim</v>
      </c>
      <c r="L6" s="454">
        <f t="shared" si="1"/>
        <v>0.92523364485981308</v>
      </c>
      <c r="M6" s="454" t="str">
        <f t="shared" si="1"/>
        <v>Elim</v>
      </c>
      <c r="N6" s="454" t="str">
        <f t="shared" si="1"/>
        <v>Elim</v>
      </c>
      <c r="O6" s="454" t="str">
        <f t="shared" si="1"/>
        <v>Elim</v>
      </c>
      <c r="P6" s="454" t="str">
        <f t="shared" si="1"/>
        <v>Elim</v>
      </c>
      <c r="Q6" s="454" t="str">
        <f t="shared" si="1"/>
        <v>Elim</v>
      </c>
      <c r="R6" s="454" t="str">
        <f t="shared" si="1"/>
        <v>Elim</v>
      </c>
      <c r="S6" s="454">
        <f t="shared" si="1"/>
        <v>0.23364485981308411</v>
      </c>
      <c r="T6" s="454" t="str">
        <f t="shared" si="1"/>
        <v>Elim</v>
      </c>
      <c r="U6" s="454" t="str">
        <f t="shared" si="1"/>
        <v>Elim</v>
      </c>
      <c r="V6" s="454" t="str">
        <f t="shared" si="1"/>
        <v>Elim</v>
      </c>
      <c r="W6" s="454" t="str">
        <f t="shared" si="1"/>
        <v>Elim</v>
      </c>
      <c r="X6" s="454" t="str">
        <f t="shared" si="1"/>
        <v>Elim</v>
      </c>
      <c r="Y6" s="454" t="str">
        <f t="shared" si="1"/>
        <v>Elim</v>
      </c>
      <c r="Z6" s="454" t="str">
        <f t="shared" si="1"/>
        <v>Elim</v>
      </c>
      <c r="AA6" s="454" t="str">
        <f t="shared" si="1"/>
        <v>Elim</v>
      </c>
      <c r="AB6" s="454" t="str">
        <f t="shared" si="1"/>
        <v>Elim</v>
      </c>
      <c r="AC6" s="454" t="str">
        <f t="shared" si="1"/>
        <v>Elim</v>
      </c>
      <c r="AD6" s="454" t="str">
        <f t="shared" si="1"/>
        <v>Elim</v>
      </c>
      <c r="AE6" s="454" t="str">
        <f t="shared" si="1"/>
        <v>Elim</v>
      </c>
      <c r="AF6" s="454" t="str">
        <f t="shared" si="1"/>
        <v>Elim</v>
      </c>
      <c r="AG6" s="454" t="str">
        <f t="shared" si="1"/>
        <v>Elim</v>
      </c>
      <c r="AH6" s="454" t="str">
        <f t="shared" si="1"/>
        <v>Elim</v>
      </c>
      <c r="AI6" s="507"/>
      <c r="AJ6" s="700" t="s">
        <v>53</v>
      </c>
      <c r="AK6" s="701"/>
      <c r="AL6" s="640"/>
      <c r="AM6" s="640"/>
      <c r="AN6" s="640"/>
      <c r="AO6" s="640"/>
      <c r="AP6" s="640"/>
      <c r="AQ6" s="640"/>
      <c r="AR6" s="640"/>
      <c r="AS6" s="640"/>
      <c r="AT6" s="640"/>
      <c r="AU6" s="640"/>
      <c r="AV6" s="640"/>
      <c r="AW6" s="640"/>
      <c r="AX6" s="640"/>
      <c r="AY6" s="640"/>
      <c r="AZ6" s="640"/>
      <c r="BA6" s="640"/>
      <c r="BB6" s="640"/>
      <c r="BC6" s="640"/>
      <c r="BD6" s="640"/>
      <c r="BE6" s="640"/>
      <c r="BF6" s="640"/>
      <c r="BG6" s="640"/>
      <c r="BH6" s="640"/>
      <c r="BI6" s="640"/>
      <c r="BJ6" s="640"/>
      <c r="BK6" s="640"/>
      <c r="BL6" s="640"/>
      <c r="BM6" s="640"/>
      <c r="BN6" s="640"/>
      <c r="BO6" s="640"/>
      <c r="BP6" s="640"/>
      <c r="BQ6" s="640"/>
      <c r="BR6" s="640"/>
      <c r="BS6" s="640"/>
      <c r="BT6" s="640"/>
      <c r="BU6" s="640"/>
      <c r="BV6" s="640"/>
      <c r="BW6" s="640"/>
      <c r="BX6" s="640"/>
      <c r="BY6" s="640"/>
      <c r="BZ6" s="640"/>
      <c r="CA6" s="640"/>
      <c r="CB6" s="640"/>
      <c r="CC6" s="640"/>
      <c r="CD6" s="640"/>
      <c r="CE6" s="640"/>
      <c r="CF6" s="640"/>
      <c r="CG6" s="640"/>
      <c r="CH6" s="640"/>
      <c r="CI6" s="640"/>
      <c r="CJ6" s="640"/>
      <c r="CK6" s="526"/>
      <c r="CL6" s="527"/>
      <c r="CM6" s="527"/>
    </row>
    <row r="7" spans="1:91" ht="17.25" hidden="1" customHeight="1">
      <c r="A7" s="455" t="s">
        <v>54</v>
      </c>
      <c r="B7" s="456">
        <f>318-B5</f>
        <v>124</v>
      </c>
      <c r="C7" s="456">
        <f t="shared" ref="C7:AH7" si="2">318-C5</f>
        <v>124</v>
      </c>
      <c r="D7" s="456">
        <f t="shared" si="2"/>
        <v>312</v>
      </c>
      <c r="E7" s="456">
        <f t="shared" si="2"/>
        <v>19</v>
      </c>
      <c r="F7" s="456">
        <f t="shared" si="2"/>
        <v>68</v>
      </c>
      <c r="G7" s="456">
        <f t="shared" si="2"/>
        <v>300</v>
      </c>
      <c r="H7" s="456">
        <f t="shared" si="2"/>
        <v>7</v>
      </c>
      <c r="I7" s="456">
        <f t="shared" si="2"/>
        <v>272</v>
      </c>
      <c r="J7" s="456">
        <f t="shared" si="2"/>
        <v>76</v>
      </c>
      <c r="K7" s="456">
        <f t="shared" si="2"/>
        <v>250</v>
      </c>
      <c r="L7" s="456">
        <f t="shared" si="2"/>
        <v>99</v>
      </c>
      <c r="M7" s="456">
        <f t="shared" si="2"/>
        <v>247</v>
      </c>
      <c r="N7" s="456">
        <f t="shared" si="2"/>
        <v>280</v>
      </c>
      <c r="O7" s="456">
        <f t="shared" si="2"/>
        <v>312</v>
      </c>
      <c r="P7" s="456">
        <f t="shared" si="2"/>
        <v>136</v>
      </c>
      <c r="Q7" s="456">
        <f t="shared" si="2"/>
        <v>282</v>
      </c>
      <c r="R7" s="456">
        <f t="shared" si="2"/>
        <v>289</v>
      </c>
      <c r="S7" s="456">
        <f t="shared" si="2"/>
        <v>25</v>
      </c>
      <c r="T7" s="456">
        <f t="shared" si="2"/>
        <v>210</v>
      </c>
      <c r="U7" s="456">
        <f t="shared" si="2"/>
        <v>284</v>
      </c>
      <c r="V7" s="456">
        <f t="shared" si="2"/>
        <v>199</v>
      </c>
      <c r="W7" s="456">
        <f t="shared" si="2"/>
        <v>318</v>
      </c>
      <c r="X7" s="456">
        <f t="shared" si="2"/>
        <v>318</v>
      </c>
      <c r="Y7" s="456">
        <f t="shared" si="2"/>
        <v>318</v>
      </c>
      <c r="Z7" s="456">
        <f t="shared" si="2"/>
        <v>318</v>
      </c>
      <c r="AA7" s="456">
        <f t="shared" si="2"/>
        <v>318</v>
      </c>
      <c r="AB7" s="456">
        <f t="shared" si="2"/>
        <v>318</v>
      </c>
      <c r="AC7" s="456">
        <f t="shared" si="2"/>
        <v>318</v>
      </c>
      <c r="AD7" s="456">
        <f t="shared" si="2"/>
        <v>317</v>
      </c>
      <c r="AE7" s="456">
        <f t="shared" si="2"/>
        <v>318</v>
      </c>
      <c r="AF7" s="456">
        <f t="shared" si="2"/>
        <v>315</v>
      </c>
      <c r="AG7" s="456">
        <f t="shared" si="2"/>
        <v>317</v>
      </c>
      <c r="AH7" s="456">
        <f t="shared" si="2"/>
        <v>318</v>
      </c>
      <c r="AI7" s="397"/>
      <c r="AJ7" s="438" t="s">
        <v>55</v>
      </c>
      <c r="AK7" s="439">
        <f>COUNTIF($AI$32:$AI$350,10)</f>
        <v>173</v>
      </c>
      <c r="AL7" s="432"/>
      <c r="AM7" s="640"/>
      <c r="AN7" s="640"/>
      <c r="AO7" s="640"/>
      <c r="AP7" s="640"/>
      <c r="AQ7" s="640"/>
      <c r="AR7" s="640"/>
      <c r="AS7" s="640"/>
      <c r="AT7" s="640"/>
      <c r="AU7" s="640"/>
      <c r="AV7" s="640"/>
      <c r="AW7" s="640"/>
      <c r="AX7" s="640"/>
      <c r="AY7" s="640"/>
      <c r="AZ7" s="640"/>
      <c r="BA7" s="640"/>
      <c r="BB7" s="640"/>
      <c r="BC7" s="640"/>
      <c r="BD7" s="640"/>
      <c r="BE7" s="640"/>
      <c r="BF7" s="640"/>
      <c r="BG7" s="640"/>
      <c r="BH7" s="640"/>
      <c r="BI7" s="640"/>
      <c r="BJ7" s="640"/>
      <c r="BK7" s="640"/>
      <c r="BL7" s="640"/>
      <c r="BM7" s="640"/>
      <c r="BN7" s="640"/>
      <c r="BO7" s="640"/>
      <c r="BP7" s="640"/>
      <c r="BQ7" s="640"/>
      <c r="BR7" s="640"/>
      <c r="BS7" s="640"/>
      <c r="BT7" s="640"/>
      <c r="BU7" s="640"/>
      <c r="BV7" s="640"/>
      <c r="BW7" s="640"/>
      <c r="BX7" s="640"/>
      <c r="BY7" s="640"/>
      <c r="BZ7" s="640"/>
      <c r="CA7" s="640"/>
      <c r="CB7" s="640"/>
      <c r="CC7" s="640"/>
      <c r="CD7" s="640"/>
      <c r="CE7" s="640"/>
      <c r="CF7" s="640"/>
      <c r="CG7" s="640"/>
      <c r="CH7" s="640"/>
      <c r="CI7" s="640"/>
      <c r="CJ7" s="642"/>
      <c r="CK7" s="665" t="s">
        <v>56</v>
      </c>
      <c r="CL7" s="666"/>
      <c r="CM7" s="667"/>
    </row>
    <row r="8" spans="1:91" ht="17.25" hidden="1" customHeight="1" thickBot="1">
      <c r="A8" s="457" t="s">
        <v>57</v>
      </c>
      <c r="B8" s="458" t="str">
        <f>IF(22-B5&lt;1,"---",22-B5)</f>
        <v>---</v>
      </c>
      <c r="C8" s="458" t="str">
        <f t="shared" ref="C8:AH8" si="3">IF(22-C5&lt;1,"---",22-C5)</f>
        <v>---</v>
      </c>
      <c r="D8" s="458">
        <f t="shared" si="3"/>
        <v>16</v>
      </c>
      <c r="E8" s="458" t="str">
        <f t="shared" si="3"/>
        <v>---</v>
      </c>
      <c r="F8" s="458" t="str">
        <f t="shared" si="3"/>
        <v>---</v>
      </c>
      <c r="G8" s="458">
        <f t="shared" si="3"/>
        <v>4</v>
      </c>
      <c r="H8" s="458" t="str">
        <f t="shared" si="3"/>
        <v>---</v>
      </c>
      <c r="I8" s="458" t="str">
        <f t="shared" si="3"/>
        <v>---</v>
      </c>
      <c r="J8" s="458" t="str">
        <f t="shared" si="3"/>
        <v>---</v>
      </c>
      <c r="K8" s="458" t="str">
        <f t="shared" si="3"/>
        <v>---</v>
      </c>
      <c r="L8" s="458" t="str">
        <f t="shared" si="3"/>
        <v>---</v>
      </c>
      <c r="M8" s="458" t="str">
        <f t="shared" si="3"/>
        <v>---</v>
      </c>
      <c r="N8" s="458" t="str">
        <f t="shared" si="3"/>
        <v>---</v>
      </c>
      <c r="O8" s="458">
        <f t="shared" si="3"/>
        <v>16</v>
      </c>
      <c r="P8" s="458" t="str">
        <f t="shared" si="3"/>
        <v>---</v>
      </c>
      <c r="Q8" s="458" t="str">
        <f t="shared" si="3"/>
        <v>---</v>
      </c>
      <c r="R8" s="458" t="str">
        <f t="shared" si="3"/>
        <v>---</v>
      </c>
      <c r="S8" s="458" t="str">
        <f t="shared" si="3"/>
        <v>---</v>
      </c>
      <c r="T8" s="458" t="str">
        <f t="shared" si="3"/>
        <v>---</v>
      </c>
      <c r="U8" s="458" t="str">
        <f t="shared" si="3"/>
        <v>---</v>
      </c>
      <c r="V8" s="458" t="str">
        <f t="shared" si="3"/>
        <v>---</v>
      </c>
      <c r="W8" s="458">
        <f t="shared" si="3"/>
        <v>22</v>
      </c>
      <c r="X8" s="458">
        <f t="shared" si="3"/>
        <v>22</v>
      </c>
      <c r="Y8" s="458">
        <f t="shared" si="3"/>
        <v>22</v>
      </c>
      <c r="Z8" s="458">
        <f t="shared" si="3"/>
        <v>22</v>
      </c>
      <c r="AA8" s="458">
        <f t="shared" si="3"/>
        <v>22</v>
      </c>
      <c r="AB8" s="458">
        <f t="shared" si="3"/>
        <v>22</v>
      </c>
      <c r="AC8" s="458">
        <f t="shared" si="3"/>
        <v>22</v>
      </c>
      <c r="AD8" s="458">
        <f t="shared" si="3"/>
        <v>21</v>
      </c>
      <c r="AE8" s="458">
        <f t="shared" si="3"/>
        <v>22</v>
      </c>
      <c r="AF8" s="458">
        <f t="shared" si="3"/>
        <v>19</v>
      </c>
      <c r="AG8" s="458">
        <f t="shared" si="3"/>
        <v>21</v>
      </c>
      <c r="AH8" s="458">
        <f t="shared" si="3"/>
        <v>22</v>
      </c>
      <c r="AI8" s="397"/>
      <c r="AJ8" s="440" t="s">
        <v>58</v>
      </c>
      <c r="AK8" s="441">
        <f>COUNTIF($AI$32:$AI$350,9)</f>
        <v>47</v>
      </c>
      <c r="AL8" s="637"/>
      <c r="AM8" s="639"/>
      <c r="AN8" s="639"/>
      <c r="AO8" s="639"/>
      <c r="AP8" s="639"/>
      <c r="AQ8" s="639"/>
      <c r="AR8" s="639"/>
      <c r="AS8" s="639"/>
      <c r="AT8" s="639"/>
      <c r="AU8" s="639"/>
      <c r="AV8" s="639"/>
      <c r="AW8" s="639"/>
      <c r="AX8" s="639"/>
      <c r="AY8" s="639"/>
      <c r="AZ8" s="639"/>
      <c r="BA8" s="639"/>
      <c r="BB8" s="639"/>
      <c r="BC8" s="639"/>
      <c r="BD8" s="639"/>
      <c r="BE8" s="639"/>
      <c r="BF8" s="639"/>
      <c r="BG8" s="639"/>
      <c r="BH8" s="639"/>
      <c r="BI8" s="639"/>
      <c r="BJ8" s="639"/>
      <c r="BK8" s="639"/>
      <c r="BL8" s="639"/>
      <c r="BM8" s="639"/>
      <c r="BN8" s="639"/>
      <c r="BO8" s="639"/>
      <c r="BP8" s="639"/>
      <c r="BQ8" s="639"/>
      <c r="BR8" s="639"/>
      <c r="BS8" s="639"/>
      <c r="BT8" s="639"/>
      <c r="BU8" s="639"/>
      <c r="BV8" s="639"/>
      <c r="BW8" s="639"/>
      <c r="BX8" s="639"/>
      <c r="BY8" s="639"/>
      <c r="BZ8" s="639"/>
      <c r="CA8" s="639"/>
      <c r="CB8" s="639"/>
      <c r="CC8" s="639"/>
      <c r="CD8" s="639"/>
      <c r="CE8" s="639"/>
      <c r="CF8" s="639"/>
      <c r="CG8" s="639"/>
      <c r="CH8" s="639"/>
      <c r="CI8" s="639"/>
      <c r="CJ8" s="643"/>
      <c r="CK8" s="668" t="str">
        <f>HYPERLINK("http://www.twitter.com/tonycal93","@tonycal93")</f>
        <v>@tonycal93</v>
      </c>
      <c r="CL8" s="669"/>
      <c r="CM8" s="670"/>
    </row>
    <row r="9" spans="1:91" ht="17.25" hidden="1" customHeight="1">
      <c r="A9" s="460" t="s">
        <v>59</v>
      </c>
      <c r="B9" s="461">
        <v>0.53800000000000003</v>
      </c>
      <c r="C9" s="461">
        <v>0.54100000000000004</v>
      </c>
      <c r="D9" s="461"/>
      <c r="E9" s="461">
        <v>0.71699999999999997</v>
      </c>
      <c r="F9" s="461">
        <v>0.74</v>
      </c>
      <c r="G9" s="461"/>
      <c r="H9" s="461"/>
      <c r="I9" s="461">
        <v>0.16700000000000001</v>
      </c>
      <c r="J9" s="461">
        <v>0.58599999999999997</v>
      </c>
      <c r="K9" s="461">
        <v>0.217</v>
      </c>
      <c r="L9" s="461">
        <v>0.51800000000000002</v>
      </c>
      <c r="M9" s="461">
        <v>0.23799999999999999</v>
      </c>
      <c r="N9" s="461"/>
      <c r="O9" s="461"/>
      <c r="P9" s="461">
        <v>0.45</v>
      </c>
      <c r="Q9" s="461">
        <v>0.13300000000000001</v>
      </c>
      <c r="R9" s="461">
        <v>8.5999999999999993E-2</v>
      </c>
      <c r="S9" s="461"/>
      <c r="T9" s="461"/>
      <c r="U9" s="461">
        <v>0.10199999999999999</v>
      </c>
      <c r="V9" s="461">
        <v>0.219</v>
      </c>
      <c r="W9" s="461"/>
      <c r="X9" s="461"/>
      <c r="Y9" s="461"/>
      <c r="Z9" s="461"/>
      <c r="AA9" s="461"/>
      <c r="AB9" s="461"/>
      <c r="AC9" s="461"/>
      <c r="AD9" s="461"/>
      <c r="AE9" s="461"/>
      <c r="AF9" s="461"/>
      <c r="AG9" s="461"/>
      <c r="AH9" s="461"/>
      <c r="AI9" s="397"/>
      <c r="AJ9" s="440" t="s">
        <v>60</v>
      </c>
      <c r="AK9" s="441">
        <f>COUNTIF($AI$32:$AI$350,8)</f>
        <v>28</v>
      </c>
      <c r="AL9" s="637"/>
      <c r="AM9" s="639"/>
      <c r="AN9" s="639"/>
      <c r="AO9" s="639"/>
      <c r="AP9" s="639"/>
      <c r="AQ9" s="639"/>
      <c r="AR9" s="639"/>
      <c r="AS9" s="639"/>
      <c r="AT9" s="639"/>
      <c r="AU9" s="639"/>
      <c r="AV9" s="639"/>
      <c r="AW9" s="639"/>
      <c r="AX9" s="639"/>
      <c r="AY9" s="639"/>
      <c r="AZ9" s="639"/>
      <c r="BA9" s="639"/>
      <c r="BB9" s="639"/>
      <c r="BC9" s="639"/>
      <c r="BD9" s="639"/>
      <c r="BE9" s="639"/>
      <c r="BF9" s="639"/>
      <c r="BG9" s="639"/>
      <c r="BH9" s="639"/>
      <c r="BI9" s="639"/>
      <c r="BJ9" s="639"/>
      <c r="BK9" s="639"/>
      <c r="BL9" s="639"/>
      <c r="BM9" s="639"/>
      <c r="BN9" s="639"/>
      <c r="BO9" s="639"/>
      <c r="BP9" s="639"/>
      <c r="BQ9" s="639"/>
      <c r="BR9" s="639"/>
      <c r="BS9" s="639"/>
      <c r="BT9" s="639"/>
      <c r="BU9" s="639"/>
      <c r="BV9" s="639"/>
      <c r="BW9" s="639"/>
      <c r="BX9" s="639"/>
      <c r="BY9" s="639"/>
      <c r="BZ9" s="639"/>
      <c r="CA9" s="639"/>
      <c r="CB9" s="639"/>
      <c r="CC9" s="639"/>
      <c r="CD9" s="639"/>
      <c r="CE9" s="639"/>
      <c r="CF9" s="639"/>
      <c r="CG9" s="639"/>
      <c r="CH9" s="639"/>
      <c r="CI9" s="639"/>
      <c r="CJ9" s="643"/>
      <c r="CK9" s="668" t="str">
        <f>HYPERLINK("http://www.twitter.com/ShutTheDore","@ShutTheDore")</f>
        <v>@ShutTheDore</v>
      </c>
      <c r="CL9" s="669"/>
      <c r="CM9" s="670"/>
    </row>
    <row r="10" spans="1:91" ht="17.25" hidden="1" customHeight="1" thickBot="1">
      <c r="A10" s="462" t="s">
        <v>61</v>
      </c>
      <c r="B10" s="463">
        <f>B9-B21</f>
        <v>-0.10499999999999998</v>
      </c>
      <c r="C10" s="463">
        <f>C9-C21</f>
        <v>-8.9999999999999969E-2</v>
      </c>
      <c r="D10" s="463"/>
      <c r="E10" s="463">
        <f>E9-E21</f>
        <v>-6.0000000000000053E-3</v>
      </c>
      <c r="F10" s="463">
        <f>F9-F21</f>
        <v>1.3000000000000012E-2</v>
      </c>
      <c r="G10" s="463"/>
      <c r="H10" s="463"/>
      <c r="I10" s="463">
        <f>I9-I21</f>
        <v>2.0000000000000018E-3</v>
      </c>
      <c r="J10" s="463">
        <f>J9-J21</f>
        <v>-7.3000000000000065E-2</v>
      </c>
      <c r="K10" s="463">
        <f>K9-K21</f>
        <v>5.5999999999999994E-2</v>
      </c>
      <c r="L10" s="463">
        <f>L9-L21</f>
        <v>-7.1999999999999953E-2</v>
      </c>
      <c r="M10" s="463">
        <f>M9-M21</f>
        <v>-1.100000000000001E-2</v>
      </c>
      <c r="N10" s="463"/>
      <c r="O10" s="463"/>
      <c r="P10" s="463">
        <f t="shared" ref="P10:R10" si="4">P9-P21</f>
        <v>-0.06</v>
      </c>
      <c r="Q10" s="463">
        <f t="shared" si="4"/>
        <v>1.7000000000000001E-2</v>
      </c>
      <c r="R10" s="463">
        <f t="shared" si="4"/>
        <v>-6.0000000000000053E-3</v>
      </c>
      <c r="S10" s="463"/>
      <c r="T10" s="463"/>
      <c r="U10" s="463">
        <f>U9-U21</f>
        <v>-6.0000000000000053E-3</v>
      </c>
      <c r="V10" s="463">
        <f>V9-V21</f>
        <v>-1.4000000000000012E-2</v>
      </c>
      <c r="W10" s="463"/>
      <c r="X10" s="463"/>
      <c r="Y10" s="463"/>
      <c r="Z10" s="463"/>
      <c r="AA10" s="463"/>
      <c r="AB10" s="463"/>
      <c r="AC10" s="463"/>
      <c r="AD10" s="463"/>
      <c r="AE10" s="463"/>
      <c r="AF10" s="463"/>
      <c r="AG10" s="463"/>
      <c r="AH10" s="463"/>
      <c r="AI10" s="397"/>
      <c r="AJ10" s="440" t="s">
        <v>62</v>
      </c>
      <c r="AK10" s="441">
        <f>COUNTIF($AI$32:$AI$350,7)</f>
        <v>25</v>
      </c>
      <c r="AL10" s="637"/>
      <c r="AM10" s="639"/>
      <c r="AN10" s="639"/>
      <c r="AO10" s="639"/>
      <c r="AP10" s="639"/>
      <c r="AQ10" s="639"/>
      <c r="AR10" s="639"/>
      <c r="AS10" s="639"/>
      <c r="AT10" s="639"/>
      <c r="AU10" s="639"/>
      <c r="AV10" s="639"/>
      <c r="AW10" s="639"/>
      <c r="AX10" s="639"/>
      <c r="AY10" s="639"/>
      <c r="AZ10" s="639"/>
      <c r="BA10" s="639"/>
      <c r="BB10" s="639"/>
      <c r="BC10" s="639"/>
      <c r="BD10" s="639"/>
      <c r="BE10" s="639"/>
      <c r="BF10" s="639"/>
      <c r="BG10" s="639"/>
      <c r="BH10" s="639"/>
      <c r="BI10" s="639"/>
      <c r="BJ10" s="639"/>
      <c r="BK10" s="639"/>
      <c r="BL10" s="639"/>
      <c r="BM10" s="639"/>
      <c r="BN10" s="639"/>
      <c r="BO10" s="639"/>
      <c r="BP10" s="639"/>
      <c r="BQ10" s="639"/>
      <c r="BR10" s="639"/>
      <c r="BS10" s="639"/>
      <c r="BT10" s="639"/>
      <c r="BU10" s="639"/>
      <c r="BV10" s="639"/>
      <c r="BW10" s="639"/>
      <c r="BX10" s="639"/>
      <c r="BY10" s="639"/>
      <c r="BZ10" s="639"/>
      <c r="CA10" s="639"/>
      <c r="CB10" s="639"/>
      <c r="CC10" s="639"/>
      <c r="CD10" s="639"/>
      <c r="CE10" s="639"/>
      <c r="CF10" s="639"/>
      <c r="CG10" s="639"/>
      <c r="CH10" s="639"/>
      <c r="CI10" s="639"/>
      <c r="CJ10" s="643"/>
      <c r="CK10" s="671" t="str">
        <f>HYPERLINK("http://www.twitter.com/jonbecker_","@jonbecker_")</f>
        <v>@jonbecker_</v>
      </c>
      <c r="CL10" s="672"/>
      <c r="CM10" s="673"/>
    </row>
    <row r="11" spans="1:91" ht="17.25" hidden="1" customHeight="1" thickBot="1">
      <c r="A11" s="459" t="s">
        <v>63</v>
      </c>
      <c r="B11" s="464">
        <f>'2017'!C16-'2017'!C4</f>
        <v>-0.21909832802547768</v>
      </c>
      <c r="C11" s="464">
        <f>'2017'!D16-'2017'!D4</f>
        <v>-0.20028861464968151</v>
      </c>
      <c r="D11" s="465"/>
      <c r="E11" s="464">
        <f>'2017'!E16-'2017'!E4</f>
        <v>-8.8077229299362569E-3</v>
      </c>
      <c r="F11" s="464">
        <f>'2017'!F16-'2017'!F4</f>
        <v>3.3339968152866772E-3</v>
      </c>
      <c r="G11" s="464"/>
      <c r="H11" s="464"/>
      <c r="I11" s="464">
        <f>'2017'!G16-'2017'!G4</f>
        <v>-1.572452229299362E-2</v>
      </c>
      <c r="J11" s="464">
        <f>'2017'!H16-'2017'!H4</f>
        <v>-0.12101910828025475</v>
      </c>
      <c r="K11" s="464">
        <f>'2017'!I16-'2017'!I4</f>
        <v>0.1451532643312102</v>
      </c>
      <c r="L11" s="464">
        <f>'2017'!J16-'2017'!J4</f>
        <v>-0.20143312101910826</v>
      </c>
      <c r="M11" s="464">
        <f>'2017'!M16-'2017'!M4</f>
        <v>-2.6472929936305734E-2</v>
      </c>
      <c r="N11" s="464"/>
      <c r="O11" s="464"/>
      <c r="P11" s="464">
        <f>'2017'!O16-'2017'!O4</f>
        <v>-0.18287221337579618</v>
      </c>
      <c r="Q11" s="464">
        <f>'2017'!P16-'2017'!P4</f>
        <v>1.0051751592356689E-2</v>
      </c>
      <c r="R11" s="464">
        <f>'2017'!R16-'2017'!R4</f>
        <v>-1.1046974522292988E-2</v>
      </c>
      <c r="S11" s="464"/>
      <c r="T11" s="464"/>
      <c r="U11" s="464">
        <f>'2017'!S16-'2017'!S4</f>
        <v>-2.2342754777070067E-2</v>
      </c>
      <c r="V11" s="464">
        <f>'2017'!T16-'2017'!T4</f>
        <v>-1.199243630573249E-2</v>
      </c>
      <c r="W11" s="465"/>
      <c r="X11" s="465"/>
      <c r="Y11" s="465"/>
      <c r="Z11" s="465"/>
      <c r="AA11" s="465"/>
      <c r="AB11" s="465"/>
      <c r="AC11" s="465"/>
      <c r="AD11" s="465"/>
      <c r="AE11" s="465"/>
      <c r="AF11" s="465"/>
      <c r="AG11" s="465"/>
      <c r="AH11" s="465"/>
      <c r="AI11" s="397"/>
      <c r="AJ11" s="440" t="s">
        <v>64</v>
      </c>
      <c r="AK11" s="441">
        <f>COUNTIF($AI$32:$AI$350,6)</f>
        <v>20</v>
      </c>
      <c r="AL11" s="637"/>
      <c r="AM11" s="639"/>
      <c r="AN11" s="639"/>
      <c r="AO11" s="639"/>
      <c r="AP11" s="639"/>
      <c r="AQ11" s="639"/>
      <c r="AR11" s="639"/>
      <c r="AS11" s="639"/>
      <c r="AT11" s="639"/>
      <c r="AU11" s="639"/>
      <c r="AV11" s="639"/>
      <c r="AW11" s="639"/>
      <c r="AX11" s="639"/>
      <c r="AY11" s="639"/>
      <c r="AZ11" s="639"/>
      <c r="BA11" s="639"/>
      <c r="BB11" s="639"/>
      <c r="BC11" s="639"/>
      <c r="BD11" s="639"/>
      <c r="BE11" s="639"/>
      <c r="BF11" s="639"/>
      <c r="BG11" s="639"/>
      <c r="BH11" s="639"/>
      <c r="BI11" s="639"/>
      <c r="BJ11" s="639"/>
      <c r="BK11" s="639"/>
      <c r="BL11" s="639"/>
      <c r="BM11" s="639"/>
      <c r="BN11" s="639"/>
      <c r="BO11" s="639"/>
      <c r="BP11" s="639"/>
      <c r="BQ11" s="639"/>
      <c r="BR11" s="639"/>
      <c r="BS11" s="639"/>
      <c r="BT11" s="639"/>
      <c r="BU11" s="639"/>
      <c r="BV11" s="639"/>
      <c r="BW11" s="639"/>
      <c r="BX11" s="639"/>
      <c r="BY11" s="639"/>
      <c r="BZ11" s="639"/>
      <c r="CA11" s="639"/>
      <c r="CB11" s="639"/>
      <c r="CC11" s="639"/>
      <c r="CD11" s="639"/>
      <c r="CE11" s="639"/>
      <c r="CF11" s="639"/>
      <c r="CG11" s="639"/>
      <c r="CH11" s="639"/>
      <c r="CI11" s="639"/>
      <c r="CJ11" s="639"/>
      <c r="CK11" s="640"/>
      <c r="CL11" s="640"/>
      <c r="CM11" s="640"/>
    </row>
    <row r="12" spans="1:91" ht="17.25" customHeight="1" thickBot="1">
      <c r="A12" s="401" t="s">
        <v>65</v>
      </c>
      <c r="B12" s="402">
        <v>0.56399999999999995</v>
      </c>
      <c r="C12" s="402">
        <v>0.57299999999999995</v>
      </c>
      <c r="D12" s="402">
        <v>1.9E-2</v>
      </c>
      <c r="E12" s="402">
        <v>0.92900000000000005</v>
      </c>
      <c r="F12" s="402">
        <v>0.79900000000000004</v>
      </c>
      <c r="G12" s="402">
        <v>7.2999999999999995E-2</v>
      </c>
      <c r="H12" s="402">
        <v>0.97199999999999998</v>
      </c>
      <c r="I12" s="402">
        <v>0.14499999999999999</v>
      </c>
      <c r="J12" s="402">
        <v>0.70399999999999996</v>
      </c>
      <c r="K12" s="402">
        <v>0.23200000000000001</v>
      </c>
      <c r="L12" s="402">
        <v>0.63500000000000001</v>
      </c>
      <c r="M12" s="402">
        <v>0.22</v>
      </c>
      <c r="N12" s="402">
        <v>0.10199999999999999</v>
      </c>
      <c r="O12" s="402">
        <v>2.4E-2</v>
      </c>
      <c r="P12" s="402">
        <v>0.51200000000000001</v>
      </c>
      <c r="Q12" s="402">
        <v>0.111</v>
      </c>
      <c r="R12" s="402">
        <v>7.8E-2</v>
      </c>
      <c r="S12" s="402">
        <v>0.89800000000000002</v>
      </c>
      <c r="T12" s="402">
        <v>0.37</v>
      </c>
      <c r="U12" s="402">
        <v>0.111</v>
      </c>
      <c r="V12" s="402">
        <v>0.34100000000000003</v>
      </c>
      <c r="W12" s="402">
        <v>5.0000000000000001E-3</v>
      </c>
      <c r="X12" s="402">
        <v>2E-3</v>
      </c>
      <c r="Y12" s="402">
        <v>0</v>
      </c>
      <c r="Z12" s="402">
        <v>0</v>
      </c>
      <c r="AA12" s="402">
        <v>0</v>
      </c>
      <c r="AB12" s="402">
        <v>2E-3</v>
      </c>
      <c r="AC12" s="402">
        <v>0</v>
      </c>
      <c r="AD12" s="402">
        <v>8.9999999999999993E-3</v>
      </c>
      <c r="AE12" s="402">
        <v>0</v>
      </c>
      <c r="AF12" s="402">
        <v>2.4E-2</v>
      </c>
      <c r="AG12" s="402">
        <v>5.0000000000000001E-3</v>
      </c>
      <c r="AH12" s="402">
        <v>0</v>
      </c>
      <c r="AI12" s="397"/>
      <c r="AL12" s="637"/>
      <c r="AM12" s="639"/>
      <c r="AN12" s="639"/>
      <c r="AO12" s="639"/>
      <c r="AP12" s="639"/>
      <c r="AQ12" s="639"/>
      <c r="AR12" s="639"/>
      <c r="AS12" s="639"/>
      <c r="AT12" s="639"/>
      <c r="AU12" s="639"/>
      <c r="AV12" s="639"/>
      <c r="AW12" s="639"/>
      <c r="AX12" s="639"/>
      <c r="AY12" s="639"/>
      <c r="AZ12" s="639"/>
      <c r="BA12" s="639"/>
      <c r="BB12" s="639"/>
      <c r="BC12" s="639"/>
      <c r="BD12" s="639"/>
      <c r="BE12" s="639"/>
      <c r="BF12" s="639"/>
      <c r="BG12" s="639"/>
      <c r="BH12" s="639"/>
      <c r="BI12" s="639"/>
      <c r="BJ12" s="639"/>
      <c r="BK12" s="639"/>
      <c r="BL12" s="639"/>
      <c r="BM12" s="639"/>
      <c r="BN12" s="639"/>
      <c r="BO12" s="639"/>
      <c r="BP12" s="639"/>
      <c r="BQ12" s="639"/>
      <c r="BR12" s="639"/>
      <c r="BS12" s="639"/>
      <c r="BT12" s="639"/>
      <c r="BU12" s="639"/>
      <c r="BV12" s="639"/>
      <c r="BW12" s="639"/>
      <c r="BX12" s="639"/>
      <c r="BY12" s="639"/>
      <c r="BZ12" s="639"/>
      <c r="CA12" s="639"/>
      <c r="CB12" s="639"/>
      <c r="CC12" s="639"/>
      <c r="CD12" s="639"/>
      <c r="CE12" s="639"/>
      <c r="CF12" s="639"/>
      <c r="CG12" s="639"/>
      <c r="CH12" s="639"/>
      <c r="CI12" s="639"/>
      <c r="CJ12" s="639"/>
      <c r="CK12" s="639"/>
      <c r="CL12" s="639"/>
      <c r="CM12" s="639"/>
    </row>
    <row r="13" spans="1:91" ht="17.25" customHeight="1">
      <c r="A13" s="156" t="s">
        <v>66</v>
      </c>
      <c r="B13" s="362">
        <v>238</v>
      </c>
      <c r="C13" s="362">
        <v>242</v>
      </c>
      <c r="D13" s="362">
        <v>8</v>
      </c>
      <c r="E13" s="362">
        <v>392</v>
      </c>
      <c r="F13" s="362">
        <v>337</v>
      </c>
      <c r="G13" s="362">
        <v>31</v>
      </c>
      <c r="H13" s="362">
        <v>410</v>
      </c>
      <c r="I13" s="362">
        <v>61</v>
      </c>
      <c r="J13" s="362">
        <v>297</v>
      </c>
      <c r="K13" s="362">
        <v>98</v>
      </c>
      <c r="L13" s="362">
        <v>268</v>
      </c>
      <c r="M13" s="362">
        <v>93</v>
      </c>
      <c r="N13" s="362">
        <v>43</v>
      </c>
      <c r="O13" s="362">
        <v>10</v>
      </c>
      <c r="P13" s="362">
        <v>216</v>
      </c>
      <c r="Q13" s="362">
        <v>47</v>
      </c>
      <c r="R13" s="362">
        <v>33</v>
      </c>
      <c r="S13" s="362">
        <v>379</v>
      </c>
      <c r="T13" s="362">
        <v>156</v>
      </c>
      <c r="U13" s="362">
        <v>47</v>
      </c>
      <c r="V13" s="362">
        <v>144</v>
      </c>
      <c r="W13" s="362">
        <v>2</v>
      </c>
      <c r="X13" s="362">
        <v>1</v>
      </c>
      <c r="Y13" s="362">
        <v>0</v>
      </c>
      <c r="Z13" s="362">
        <v>0</v>
      </c>
      <c r="AA13" s="362">
        <v>0</v>
      </c>
      <c r="AB13" s="362">
        <v>1</v>
      </c>
      <c r="AC13" s="362">
        <v>0</v>
      </c>
      <c r="AD13" s="362">
        <v>4</v>
      </c>
      <c r="AE13" s="362">
        <v>0</v>
      </c>
      <c r="AF13" s="362">
        <v>10</v>
      </c>
      <c r="AG13" s="362">
        <v>2</v>
      </c>
      <c r="AH13" s="362">
        <v>0</v>
      </c>
      <c r="AI13" s="449">
        <f>SUM(B13:AH13)</f>
        <v>3570</v>
      </c>
      <c r="AJ13" s="438" t="s">
        <v>55</v>
      </c>
      <c r="AK13" s="439">
        <f>COUNTIF($AI$32:$AI$350,10)</f>
        <v>173</v>
      </c>
      <c r="AL13" s="551"/>
      <c r="AM13" s="552"/>
      <c r="AN13" s="552"/>
      <c r="AO13" s="552"/>
      <c r="AP13" s="552"/>
      <c r="AQ13" s="552"/>
      <c r="AR13" s="552"/>
      <c r="AS13" s="552"/>
      <c r="AT13" s="552"/>
      <c r="AU13" s="552"/>
      <c r="AV13" s="552"/>
      <c r="AW13" s="552"/>
      <c r="AX13" s="552"/>
      <c r="AY13" s="552"/>
      <c r="AZ13" s="552"/>
      <c r="BA13" s="552"/>
      <c r="BB13" s="552"/>
      <c r="BC13" s="552"/>
      <c r="BD13" s="552"/>
      <c r="BE13" s="552"/>
      <c r="BF13" s="552"/>
      <c r="BG13" s="552"/>
      <c r="BH13" s="552"/>
      <c r="BI13" s="552"/>
      <c r="BJ13" s="552"/>
      <c r="BK13" s="552"/>
      <c r="BL13" s="552"/>
      <c r="BM13" s="552"/>
      <c r="BN13" s="552"/>
      <c r="BO13" s="552"/>
      <c r="BP13" s="552"/>
      <c r="BQ13" s="552"/>
      <c r="BR13" s="552"/>
      <c r="BS13" s="552"/>
      <c r="BT13" s="552"/>
      <c r="BU13" s="552"/>
      <c r="BV13" s="552"/>
      <c r="BW13" s="552"/>
      <c r="BX13" s="552"/>
      <c r="BY13" s="552"/>
      <c r="BZ13" s="552"/>
      <c r="CA13" s="552"/>
      <c r="CB13" s="552"/>
      <c r="CC13" s="552"/>
      <c r="CD13" s="552"/>
      <c r="CE13" s="552"/>
      <c r="CF13" s="552"/>
      <c r="CG13" s="552"/>
      <c r="CH13" s="552"/>
      <c r="CI13" s="552"/>
      <c r="CJ13" s="552"/>
      <c r="CK13" s="683" t="s">
        <v>56</v>
      </c>
      <c r="CL13" s="684"/>
      <c r="CM13" s="685"/>
    </row>
    <row r="14" spans="1:91" ht="15" customHeight="1">
      <c r="A14" s="550" t="s">
        <v>67</v>
      </c>
      <c r="B14" s="162">
        <f t="shared" ref="B14:AH14" si="5">(COUNTA(B32:B274)+COUNTA(B347:B350))/(COUNTA($A$32:$A$274)+COUNTA($A$347:$A$350))</f>
        <v>0.64372469635627527</v>
      </c>
      <c r="C14" s="162">
        <f t="shared" si="5"/>
        <v>0.64372469635627527</v>
      </c>
      <c r="D14" s="162">
        <f t="shared" si="5"/>
        <v>1.2145748987854251E-2</v>
      </c>
      <c r="E14" s="162">
        <f t="shared" si="5"/>
        <v>0.94736842105263153</v>
      </c>
      <c r="F14" s="162">
        <f t="shared" si="5"/>
        <v>0.78542510121457487</v>
      </c>
      <c r="G14" s="162">
        <f t="shared" si="5"/>
        <v>5.2631578947368418E-2</v>
      </c>
      <c r="H14" s="162">
        <f t="shared" si="5"/>
        <v>0.98380566801619429</v>
      </c>
      <c r="I14" s="162">
        <f t="shared" si="5"/>
        <v>0.13360323886639677</v>
      </c>
      <c r="J14" s="162">
        <f t="shared" si="5"/>
        <v>0.77327935222672062</v>
      </c>
      <c r="K14" s="162">
        <f t="shared" si="5"/>
        <v>0.20242914979757085</v>
      </c>
      <c r="L14" s="162">
        <f t="shared" si="5"/>
        <v>0.70040485829959509</v>
      </c>
      <c r="M14" s="162">
        <f t="shared" si="5"/>
        <v>0.22267206477732793</v>
      </c>
      <c r="N14" s="162">
        <f t="shared" si="5"/>
        <v>0.11740890688259109</v>
      </c>
      <c r="O14" s="162">
        <f t="shared" si="5"/>
        <v>1.2145748987854251E-2</v>
      </c>
      <c r="P14" s="162">
        <f t="shared" si="5"/>
        <v>0.60323886639676116</v>
      </c>
      <c r="Q14" s="162">
        <f t="shared" si="5"/>
        <v>0.10931174089068826</v>
      </c>
      <c r="R14" s="162">
        <f t="shared" si="5"/>
        <v>0.10526315789473684</v>
      </c>
      <c r="S14" s="162">
        <f t="shared" si="5"/>
        <v>0.93117408906882593</v>
      </c>
      <c r="T14" s="162">
        <f t="shared" si="5"/>
        <v>0.33603238866396762</v>
      </c>
      <c r="U14" s="162">
        <f t="shared" si="5"/>
        <v>0.10526315789473684</v>
      </c>
      <c r="V14" s="162">
        <f t="shared" si="5"/>
        <v>0.38461538461538464</v>
      </c>
      <c r="W14" s="162">
        <f t="shared" si="5"/>
        <v>0</v>
      </c>
      <c r="X14" s="162">
        <f t="shared" si="5"/>
        <v>0</v>
      </c>
      <c r="Y14" s="162">
        <f t="shared" si="5"/>
        <v>0</v>
      </c>
      <c r="Z14" s="162">
        <f t="shared" si="5"/>
        <v>0</v>
      </c>
      <c r="AA14" s="162">
        <f t="shared" si="5"/>
        <v>0</v>
      </c>
      <c r="AB14" s="162">
        <f t="shared" si="5"/>
        <v>0</v>
      </c>
      <c r="AC14" s="162">
        <f t="shared" si="5"/>
        <v>0</v>
      </c>
      <c r="AD14" s="162">
        <f t="shared" si="5"/>
        <v>4.048582995951417E-3</v>
      </c>
      <c r="AE14" s="162">
        <f t="shared" si="5"/>
        <v>0</v>
      </c>
      <c r="AF14" s="162">
        <f t="shared" si="5"/>
        <v>8.0971659919028341E-3</v>
      </c>
      <c r="AG14" s="162">
        <f t="shared" si="5"/>
        <v>0</v>
      </c>
      <c r="AH14" s="162">
        <f t="shared" si="5"/>
        <v>0</v>
      </c>
      <c r="AI14" s="504"/>
      <c r="AJ14" s="440" t="s">
        <v>58</v>
      </c>
      <c r="AK14" s="441">
        <f>COUNTIF($AI$32:$AI$350,9)</f>
        <v>47</v>
      </c>
      <c r="AL14" s="551"/>
      <c r="AM14" s="552"/>
      <c r="AN14" s="552"/>
      <c r="AO14" s="552"/>
      <c r="AP14" s="552"/>
      <c r="AQ14" s="552"/>
      <c r="AR14" s="552"/>
      <c r="AS14" s="552"/>
      <c r="AT14" s="552"/>
      <c r="AU14" s="552"/>
      <c r="AV14" s="552"/>
      <c r="AW14" s="552"/>
      <c r="AX14" s="552"/>
      <c r="AY14" s="552"/>
      <c r="AZ14" s="552"/>
      <c r="BA14" s="552"/>
      <c r="BB14" s="552"/>
      <c r="BC14" s="552"/>
      <c r="BD14" s="552"/>
      <c r="BE14" s="552"/>
      <c r="BF14" s="552"/>
      <c r="BG14" s="552"/>
      <c r="BH14" s="552"/>
      <c r="BI14" s="552"/>
      <c r="BJ14" s="552"/>
      <c r="BK14" s="552"/>
      <c r="BL14" s="479"/>
      <c r="BM14" s="656" t="str">
        <f>HYPERLINK("http://tangotiger.com/index.php/site/comments/scoring-system-for-hof-ballots-2015#7", "'Voter versus Voters' Tango Score (0 to 100)")</f>
        <v>'Voter versus Voters' Tango Score (0 to 100)</v>
      </c>
      <c r="BN14" s="552"/>
      <c r="BO14" s="552"/>
      <c r="BP14" s="552"/>
      <c r="BQ14" s="552"/>
      <c r="BR14" s="552"/>
      <c r="BS14" s="552"/>
      <c r="BT14" s="552"/>
      <c r="BU14" s="552"/>
      <c r="BV14" s="552"/>
      <c r="BW14" s="552"/>
      <c r="BX14" s="552"/>
      <c r="BY14" s="552"/>
      <c r="BZ14" s="552"/>
      <c r="CA14" s="552"/>
      <c r="CB14" s="552"/>
      <c r="CC14" s="552"/>
      <c r="CD14" s="552"/>
      <c r="CE14" s="552"/>
      <c r="CF14" s="552"/>
      <c r="CG14" s="552"/>
      <c r="CH14" s="552"/>
      <c r="CI14" s="552"/>
      <c r="CJ14" s="552"/>
      <c r="CK14" s="650" t="str">
        <f>HYPERLINK("http://www.twitter.com/tonycal93","@tonycal93")</f>
        <v>@tonycal93</v>
      </c>
      <c r="CL14" s="651"/>
      <c r="CM14" s="652"/>
    </row>
    <row r="15" spans="1:91" ht="12.75" customHeight="1">
      <c r="A15" s="550" t="s">
        <v>68</v>
      </c>
      <c r="B15" s="164">
        <f t="shared" ref="B15:I15" si="6">COUNTA(B276:B345)/COUNTA($A276:$A346)</f>
        <v>0.5</v>
      </c>
      <c r="C15" s="164">
        <f t="shared" si="6"/>
        <v>0.5</v>
      </c>
      <c r="D15" s="164">
        <f t="shared" si="6"/>
        <v>4.2857142857142858E-2</v>
      </c>
      <c r="E15" s="164">
        <f t="shared" si="6"/>
        <v>0.9285714285714286</v>
      </c>
      <c r="F15" s="164">
        <f t="shared" si="6"/>
        <v>0.8</v>
      </c>
      <c r="G15" s="164">
        <f t="shared" si="6"/>
        <v>7.1428571428571425E-2</v>
      </c>
      <c r="H15" s="164">
        <f t="shared" si="6"/>
        <v>0.97142857142857142</v>
      </c>
      <c r="I15" s="164">
        <f t="shared" si="6"/>
        <v>0.18571428571428572</v>
      </c>
      <c r="J15" s="164">
        <f t="shared" ref="J15:AH15" si="7">COUNTA(J276:J345)/COUNTA($A276:$A346)</f>
        <v>0.72857142857142854</v>
      </c>
      <c r="K15" s="164">
        <f t="shared" si="7"/>
        <v>0.25714285714285712</v>
      </c>
      <c r="L15" s="164">
        <f t="shared" si="7"/>
        <v>0.65714285714285714</v>
      </c>
      <c r="M15" s="164">
        <f t="shared" si="7"/>
        <v>0.22857142857142856</v>
      </c>
      <c r="N15" s="164">
        <f t="shared" si="7"/>
        <v>0.12857142857142856</v>
      </c>
      <c r="O15" s="164">
        <f t="shared" si="7"/>
        <v>4.2857142857142858E-2</v>
      </c>
      <c r="P15" s="164">
        <f t="shared" si="7"/>
        <v>0.47142857142857142</v>
      </c>
      <c r="Q15" s="164">
        <f t="shared" si="7"/>
        <v>0.12857142857142856</v>
      </c>
      <c r="R15" s="164">
        <f t="shared" si="7"/>
        <v>4.2857142857142858E-2</v>
      </c>
      <c r="S15" s="164">
        <f t="shared" si="7"/>
        <v>0.9</v>
      </c>
      <c r="T15" s="164">
        <f t="shared" si="7"/>
        <v>0.35714285714285715</v>
      </c>
      <c r="U15" s="164">
        <f t="shared" si="7"/>
        <v>0.11428571428571428</v>
      </c>
      <c r="V15" s="164">
        <f t="shared" si="7"/>
        <v>0.34285714285714286</v>
      </c>
      <c r="W15" s="164">
        <f t="shared" si="7"/>
        <v>0</v>
      </c>
      <c r="X15" s="164">
        <f t="shared" si="7"/>
        <v>0</v>
      </c>
      <c r="Y15" s="164">
        <f t="shared" si="7"/>
        <v>0</v>
      </c>
      <c r="Z15" s="164">
        <f t="shared" si="7"/>
        <v>0</v>
      </c>
      <c r="AA15" s="164">
        <f t="shared" si="7"/>
        <v>0</v>
      </c>
      <c r="AB15" s="164">
        <f t="shared" si="7"/>
        <v>0</v>
      </c>
      <c r="AC15" s="164">
        <f t="shared" si="7"/>
        <v>0</v>
      </c>
      <c r="AD15" s="164">
        <f t="shared" si="7"/>
        <v>0</v>
      </c>
      <c r="AE15" s="164">
        <f t="shared" si="7"/>
        <v>0</v>
      </c>
      <c r="AF15" s="164">
        <f t="shared" si="7"/>
        <v>1.4285714285714285E-2</v>
      </c>
      <c r="AG15" s="164">
        <f t="shared" si="7"/>
        <v>1.4285714285714285E-2</v>
      </c>
      <c r="AH15" s="164">
        <f t="shared" si="7"/>
        <v>0</v>
      </c>
      <c r="AI15" s="450"/>
      <c r="AJ15" s="440" t="s">
        <v>60</v>
      </c>
      <c r="AK15" s="441">
        <f>COUNTIF($AI$32:$AI$350,8)</f>
        <v>28</v>
      </c>
      <c r="AL15" s="551"/>
      <c r="AM15" s="552"/>
      <c r="AN15" s="552"/>
      <c r="AO15" s="552"/>
      <c r="AP15" s="552"/>
      <c r="AQ15" s="552"/>
      <c r="AR15" s="552"/>
      <c r="AS15" s="552"/>
      <c r="AT15" s="552"/>
      <c r="AU15" s="552"/>
      <c r="AV15" s="552"/>
      <c r="AW15" s="552"/>
      <c r="AX15" s="552"/>
      <c r="AY15" s="552"/>
      <c r="AZ15" s="552"/>
      <c r="BA15" s="552"/>
      <c r="BB15" s="552"/>
      <c r="BC15" s="552"/>
      <c r="BD15" s="552"/>
      <c r="BE15" s="552"/>
      <c r="BF15" s="552"/>
      <c r="BG15" s="552"/>
      <c r="BH15" s="552"/>
      <c r="BI15" s="552"/>
      <c r="BJ15" s="552"/>
      <c r="BK15" s="552"/>
      <c r="BL15" s="313"/>
      <c r="BM15" s="657"/>
      <c r="BN15" s="552"/>
      <c r="BO15" s="552"/>
      <c r="BP15" s="552"/>
      <c r="BQ15" s="552"/>
      <c r="BR15" s="552"/>
      <c r="BS15" s="552"/>
      <c r="BT15" s="552"/>
      <c r="BU15" s="552"/>
      <c r="BV15" s="552"/>
      <c r="BW15" s="552"/>
      <c r="BX15" s="552"/>
      <c r="BY15" s="552"/>
      <c r="BZ15" s="552"/>
      <c r="CA15" s="552"/>
      <c r="CB15" s="552"/>
      <c r="CC15" s="552"/>
      <c r="CD15" s="552"/>
      <c r="CE15" s="552"/>
      <c r="CF15" s="552"/>
      <c r="CG15" s="552"/>
      <c r="CH15" s="552"/>
      <c r="CI15" s="552"/>
      <c r="CJ15" s="552"/>
      <c r="CK15" s="650" t="str">
        <f>HYPERLINK("http://www.twitter.com/ShutTheDore","@ShutTheDore")</f>
        <v>@ShutTheDore</v>
      </c>
      <c r="CL15" s="651"/>
      <c r="CM15" s="652"/>
    </row>
    <row r="16" spans="1:91" ht="12.75" customHeight="1" thickBot="1">
      <c r="A16" s="550" t="s">
        <v>69</v>
      </c>
      <c r="B16" s="162">
        <f t="shared" ref="B16:AH16" si="8">B18/B19</f>
        <v>0.41904761904761906</v>
      </c>
      <c r="C16" s="162">
        <f t="shared" si="8"/>
        <v>0.45714285714285713</v>
      </c>
      <c r="D16" s="162">
        <f t="shared" si="8"/>
        <v>1.9047619047619049E-2</v>
      </c>
      <c r="E16" s="162">
        <f t="shared" si="8"/>
        <v>0.88571428571428568</v>
      </c>
      <c r="F16" s="162">
        <f t="shared" si="8"/>
        <v>0.82857142857142863</v>
      </c>
      <c r="G16" s="162">
        <f t="shared" si="8"/>
        <v>0.12380952380952381</v>
      </c>
      <c r="H16" s="162">
        <f t="shared" si="8"/>
        <v>0.94285714285714284</v>
      </c>
      <c r="I16" s="162">
        <f t="shared" si="8"/>
        <v>0.14285714285714285</v>
      </c>
      <c r="J16" s="162">
        <f t="shared" si="8"/>
        <v>0.52380952380952384</v>
      </c>
      <c r="K16" s="162">
        <f t="shared" si="8"/>
        <v>0.2857142857142857</v>
      </c>
      <c r="L16" s="162">
        <f t="shared" si="8"/>
        <v>0.46666666666666667</v>
      </c>
      <c r="M16" s="162">
        <f t="shared" si="8"/>
        <v>0.20952380952380953</v>
      </c>
      <c r="N16" s="162">
        <f t="shared" si="8"/>
        <v>4.7619047619047616E-2</v>
      </c>
      <c r="O16" s="162">
        <f t="shared" si="8"/>
        <v>3.8095238095238099E-2</v>
      </c>
      <c r="P16" s="162">
        <f t="shared" si="8"/>
        <v>0.32380952380952382</v>
      </c>
      <c r="Q16" s="162">
        <f t="shared" si="8"/>
        <v>0.10476190476190476</v>
      </c>
      <c r="R16" s="162">
        <f t="shared" si="8"/>
        <v>3.8095238095238099E-2</v>
      </c>
      <c r="S16" s="162">
        <f t="shared" si="8"/>
        <v>0.81904761904761902</v>
      </c>
      <c r="T16" s="162">
        <f t="shared" si="8"/>
        <v>0.45714285714285713</v>
      </c>
      <c r="U16" s="162">
        <f t="shared" si="8"/>
        <v>0.12380952380952381</v>
      </c>
      <c r="V16" s="162">
        <f t="shared" si="8"/>
        <v>0.23809523809523808</v>
      </c>
      <c r="W16" s="162">
        <f t="shared" ref="W16" si="9">W18/W19</f>
        <v>1.9047619047619049E-2</v>
      </c>
      <c r="X16" s="162">
        <f t="shared" si="8"/>
        <v>9.5238095238095247E-3</v>
      </c>
      <c r="Y16" s="162">
        <f t="shared" si="8"/>
        <v>0</v>
      </c>
      <c r="Z16" s="162">
        <f t="shared" si="8"/>
        <v>0</v>
      </c>
      <c r="AA16" s="162">
        <f t="shared" ref="AA16" si="10">AA18/AA19</f>
        <v>0</v>
      </c>
      <c r="AB16" s="162">
        <f t="shared" si="8"/>
        <v>9.5238095238095247E-3</v>
      </c>
      <c r="AC16" s="162">
        <f t="shared" ref="AC16" si="11">AC18/AC19</f>
        <v>0</v>
      </c>
      <c r="AD16" s="162">
        <f t="shared" si="8"/>
        <v>2.8571428571428571E-2</v>
      </c>
      <c r="AE16" s="162">
        <f t="shared" si="8"/>
        <v>0</v>
      </c>
      <c r="AF16" s="162">
        <f t="shared" si="8"/>
        <v>6.6666666666666666E-2</v>
      </c>
      <c r="AG16" s="162">
        <f t="shared" si="8"/>
        <v>9.5238095238095247E-3</v>
      </c>
      <c r="AH16" s="162">
        <f t="shared" si="8"/>
        <v>0</v>
      </c>
      <c r="AI16" s="451"/>
      <c r="AJ16" s="440" t="s">
        <v>62</v>
      </c>
      <c r="AK16" s="441">
        <f>COUNTIF($AI$32:$AI$350,7)</f>
        <v>25</v>
      </c>
      <c r="AL16" s="551"/>
      <c r="AM16" s="552"/>
      <c r="AN16" s="552"/>
      <c r="AO16" s="552"/>
      <c r="AP16" s="552"/>
      <c r="AQ16" s="552"/>
      <c r="AR16" s="552"/>
      <c r="AS16" s="552"/>
      <c r="AT16" s="552"/>
      <c r="AU16" s="552"/>
      <c r="AV16" s="552"/>
      <c r="AW16" s="552"/>
      <c r="AX16" s="552"/>
      <c r="AY16" s="552"/>
      <c r="AZ16" s="552"/>
      <c r="BA16" s="552"/>
      <c r="BB16" s="552"/>
      <c r="BC16" s="552"/>
      <c r="BD16" s="552"/>
      <c r="BE16" s="552"/>
      <c r="BF16" s="552"/>
      <c r="BG16" s="552"/>
      <c r="BH16" s="552"/>
      <c r="BI16" s="552"/>
      <c r="BJ16" s="552"/>
      <c r="BK16" s="552"/>
      <c r="BL16" s="313"/>
      <c r="BM16" s="657"/>
      <c r="BN16" s="552"/>
      <c r="BO16" s="552"/>
      <c r="BP16" s="552"/>
      <c r="BQ16" s="552"/>
      <c r="BR16" s="552"/>
      <c r="BS16" s="552"/>
      <c r="BT16" s="552"/>
      <c r="BU16" s="552"/>
      <c r="BV16" s="552"/>
      <c r="BW16" s="552"/>
      <c r="BX16" s="552"/>
      <c r="BY16" s="552"/>
      <c r="BZ16" s="552"/>
      <c r="CA16" s="552"/>
      <c r="CB16" s="552"/>
      <c r="CC16" s="552"/>
      <c r="CD16" s="552"/>
      <c r="CE16" s="552"/>
      <c r="CF16" s="552"/>
      <c r="CG16" s="552"/>
      <c r="CH16" s="552"/>
      <c r="CI16" s="552"/>
      <c r="CJ16" s="552"/>
      <c r="CK16" s="653" t="str">
        <f>HYPERLINK("http://www.twitter.com/jonbecker_","@jonbecker_")</f>
        <v>@jonbecker_</v>
      </c>
      <c r="CL16" s="654"/>
      <c r="CM16" s="655"/>
    </row>
    <row r="17" spans="1:91" ht="12.75" customHeight="1" thickBot="1">
      <c r="A17" s="550" t="s">
        <v>70</v>
      </c>
      <c r="B17" s="162">
        <f t="shared" ref="B17:AH17" si="12">B16-B4</f>
        <v>-0.19293976265585094</v>
      </c>
      <c r="C17" s="162">
        <f t="shared" si="12"/>
        <v>-0.15484452456061287</v>
      </c>
      <c r="D17" s="162">
        <f t="shared" si="12"/>
        <v>1.2017425266636766E-4</v>
      </c>
      <c r="E17" s="162">
        <f t="shared" si="12"/>
        <v>-5.75033799008563E-2</v>
      </c>
      <c r="F17" s="162">
        <f t="shared" si="12"/>
        <v>3.9927895448400252E-2</v>
      </c>
      <c r="G17" s="162">
        <f t="shared" si="12"/>
        <v>6.7027189424665762E-2</v>
      </c>
      <c r="H17" s="162">
        <f t="shared" si="12"/>
        <v>-3.8215412347904487E-2</v>
      </c>
      <c r="I17" s="162">
        <f t="shared" si="12"/>
        <v>-2.2532672374943885E-3</v>
      </c>
      <c r="J17" s="162">
        <f t="shared" si="12"/>
        <v>-0.23959741625356767</v>
      </c>
      <c r="K17" s="162">
        <f t="shared" si="12"/>
        <v>7.1203244704821977E-2</v>
      </c>
      <c r="L17" s="162">
        <f t="shared" si="12"/>
        <v>-0.22418506834910623</v>
      </c>
      <c r="M17" s="162">
        <f t="shared" si="12"/>
        <v>-1.445095388313053E-2</v>
      </c>
      <c r="N17" s="162">
        <f t="shared" si="12"/>
        <v>-7.2254769415652703E-2</v>
      </c>
      <c r="O17" s="162">
        <f t="shared" si="12"/>
        <v>1.9167793300285417E-2</v>
      </c>
      <c r="P17" s="162">
        <f t="shared" si="12"/>
        <v>-0.25032296830404083</v>
      </c>
      <c r="Q17" s="162">
        <f t="shared" si="12"/>
        <v>-8.8027640078113256E-3</v>
      </c>
      <c r="R17" s="162">
        <f t="shared" si="12"/>
        <v>-5.3387411747033195E-2</v>
      </c>
      <c r="S17" s="162">
        <f t="shared" si="12"/>
        <v>-0.10524260177257028</v>
      </c>
      <c r="T17" s="162">
        <f t="shared" si="12"/>
        <v>0.11644885083370887</v>
      </c>
      <c r="U17" s="162">
        <f t="shared" si="12"/>
        <v>1.6554003304791953E-2</v>
      </c>
      <c r="V17" s="162">
        <f t="shared" si="12"/>
        <v>-0.13729908367132343</v>
      </c>
      <c r="W17" s="162">
        <f t="shared" ref="W17" si="13">W16-W4</f>
        <v>1.9047619047619049E-2</v>
      </c>
      <c r="X17" s="162">
        <f t="shared" si="12"/>
        <v>9.5238095238095247E-3</v>
      </c>
      <c r="Y17" s="162">
        <f t="shared" si="12"/>
        <v>0</v>
      </c>
      <c r="Z17" s="162">
        <f t="shared" si="12"/>
        <v>0</v>
      </c>
      <c r="AA17" s="162">
        <f t="shared" ref="AA17" si="14">AA16-AA4</f>
        <v>0</v>
      </c>
      <c r="AB17" s="162">
        <f t="shared" si="12"/>
        <v>9.5238095238095247E-3</v>
      </c>
      <c r="AC17" s="162">
        <f t="shared" ref="AC17" si="15">AC16-AC4</f>
        <v>0</v>
      </c>
      <c r="AD17" s="162">
        <f t="shared" si="12"/>
        <v>2.5416854438936456E-2</v>
      </c>
      <c r="AE17" s="162">
        <f t="shared" si="12"/>
        <v>0</v>
      </c>
      <c r="AF17" s="162">
        <f t="shared" si="12"/>
        <v>5.7202944269190328E-2</v>
      </c>
      <c r="AG17" s="162">
        <f t="shared" si="12"/>
        <v>6.3692353913174116E-3</v>
      </c>
      <c r="AH17" s="162">
        <f t="shared" si="12"/>
        <v>0</v>
      </c>
      <c r="AI17" s="429"/>
      <c r="AJ17" s="440" t="s">
        <v>64</v>
      </c>
      <c r="AK17" s="441">
        <f>COUNTIF($AI$32:$AI$350,6)</f>
        <v>20</v>
      </c>
      <c r="AL17" s="551"/>
      <c r="AM17" s="552"/>
      <c r="AN17" s="552"/>
      <c r="AO17" s="552"/>
      <c r="AP17" s="552"/>
      <c r="AQ17" s="552"/>
      <c r="AR17" s="552"/>
      <c r="AS17" s="552"/>
      <c r="AT17" s="552"/>
      <c r="AU17" s="552"/>
      <c r="AV17" s="552"/>
      <c r="AW17" s="552"/>
      <c r="AX17" s="552"/>
      <c r="AY17" s="552"/>
      <c r="AZ17" s="552"/>
      <c r="BA17" s="552"/>
      <c r="BB17" s="552"/>
      <c r="BC17" s="552"/>
      <c r="BD17" s="552"/>
      <c r="BE17" s="552"/>
      <c r="BF17" s="552"/>
      <c r="BG17" s="552"/>
      <c r="BH17" s="552"/>
      <c r="BI17" s="552"/>
      <c r="BJ17" s="552"/>
      <c r="BK17" s="552"/>
      <c r="BL17" s="313"/>
      <c r="BM17" s="657"/>
      <c r="BN17" s="552"/>
      <c r="BO17" s="552"/>
      <c r="BP17" s="552"/>
      <c r="BQ17" s="552"/>
      <c r="BR17" s="552"/>
      <c r="BS17" s="552"/>
      <c r="BT17" s="552"/>
      <c r="BU17" s="552"/>
      <c r="BV17" s="552"/>
      <c r="BW17" s="552"/>
      <c r="BX17" s="552"/>
      <c r="BY17" s="552"/>
      <c r="BZ17" s="552"/>
      <c r="CA17" s="552"/>
      <c r="CB17" s="552"/>
      <c r="CC17" s="552"/>
      <c r="CD17" s="552"/>
      <c r="CE17" s="552"/>
      <c r="CF17" s="552"/>
      <c r="CG17" s="552"/>
      <c r="CH17" s="552"/>
      <c r="CI17" s="552"/>
      <c r="CJ17" s="552"/>
      <c r="CK17" s="552"/>
      <c r="CL17" s="552"/>
      <c r="CM17" s="552"/>
    </row>
    <row r="18" spans="1:91" ht="12.75" hidden="1" customHeight="1">
      <c r="A18" s="641"/>
      <c r="B18" s="364">
        <f>B13-B5</f>
        <v>44</v>
      </c>
      <c r="C18" s="364">
        <f>C13-C5</f>
        <v>48</v>
      </c>
      <c r="D18" s="364">
        <f t="shared" ref="D18" si="16">D13-D5</f>
        <v>2</v>
      </c>
      <c r="E18" s="364">
        <f t="shared" ref="E18:AH18" si="17">E13-E5</f>
        <v>93</v>
      </c>
      <c r="F18" s="364">
        <f t="shared" si="17"/>
        <v>87</v>
      </c>
      <c r="G18" s="364">
        <f t="shared" si="17"/>
        <v>13</v>
      </c>
      <c r="H18" s="364">
        <f t="shared" si="17"/>
        <v>99</v>
      </c>
      <c r="I18" s="364">
        <f t="shared" si="17"/>
        <v>15</v>
      </c>
      <c r="J18" s="364">
        <f t="shared" si="17"/>
        <v>55</v>
      </c>
      <c r="K18" s="364">
        <f t="shared" si="17"/>
        <v>30</v>
      </c>
      <c r="L18" s="364">
        <f t="shared" si="17"/>
        <v>49</v>
      </c>
      <c r="M18" s="364">
        <f t="shared" si="17"/>
        <v>22</v>
      </c>
      <c r="N18" s="364">
        <f t="shared" si="17"/>
        <v>5</v>
      </c>
      <c r="O18" s="364">
        <f t="shared" si="17"/>
        <v>4</v>
      </c>
      <c r="P18" s="364">
        <f t="shared" si="17"/>
        <v>34</v>
      </c>
      <c r="Q18" s="364">
        <f t="shared" si="17"/>
        <v>11</v>
      </c>
      <c r="R18" s="364">
        <f t="shared" si="17"/>
        <v>4</v>
      </c>
      <c r="S18" s="364">
        <f t="shared" si="17"/>
        <v>86</v>
      </c>
      <c r="T18" s="364">
        <f t="shared" si="17"/>
        <v>48</v>
      </c>
      <c r="U18" s="364">
        <f t="shared" si="17"/>
        <v>13</v>
      </c>
      <c r="V18" s="364">
        <f t="shared" si="17"/>
        <v>25</v>
      </c>
      <c r="W18" s="364">
        <f t="shared" ref="W18" si="18">W13-W5</f>
        <v>2</v>
      </c>
      <c r="X18" s="364">
        <f t="shared" si="17"/>
        <v>1</v>
      </c>
      <c r="Y18" s="364">
        <f t="shared" si="17"/>
        <v>0</v>
      </c>
      <c r="Z18" s="364">
        <f t="shared" si="17"/>
        <v>0</v>
      </c>
      <c r="AA18" s="364">
        <f t="shared" ref="AA18" si="19">AA13-AA5</f>
        <v>0</v>
      </c>
      <c r="AB18" s="364">
        <f t="shared" si="17"/>
        <v>1</v>
      </c>
      <c r="AC18" s="364">
        <f t="shared" ref="AC18" si="20">AC13-AC5</f>
        <v>0</v>
      </c>
      <c r="AD18" s="364">
        <f t="shared" si="17"/>
        <v>3</v>
      </c>
      <c r="AE18" s="364">
        <f t="shared" si="17"/>
        <v>0</v>
      </c>
      <c r="AF18" s="364">
        <f t="shared" si="17"/>
        <v>7</v>
      </c>
      <c r="AG18" s="364">
        <f t="shared" si="17"/>
        <v>1</v>
      </c>
      <c r="AH18" s="364">
        <f t="shared" si="17"/>
        <v>0</v>
      </c>
      <c r="AI18" s="452"/>
      <c r="AJ18" s="553"/>
      <c r="AK18" s="441"/>
      <c r="AL18" s="551"/>
      <c r="AM18" s="552"/>
      <c r="AN18" s="552"/>
      <c r="AO18" s="552"/>
      <c r="AP18" s="552"/>
      <c r="AQ18" s="552"/>
      <c r="AR18" s="552"/>
      <c r="AS18" s="552"/>
      <c r="AT18" s="552"/>
      <c r="AU18" s="552"/>
      <c r="AV18" s="552"/>
      <c r="AW18" s="552"/>
      <c r="AX18" s="552"/>
      <c r="AY18" s="552"/>
      <c r="AZ18" s="552"/>
      <c r="BA18" s="552"/>
      <c r="BB18" s="552"/>
      <c r="BC18" s="552"/>
      <c r="BD18" s="552"/>
      <c r="BE18" s="552"/>
      <c r="BF18" s="552"/>
      <c r="BG18" s="552"/>
      <c r="BH18" s="552"/>
      <c r="BI18" s="552"/>
      <c r="BJ18" s="552"/>
      <c r="BK18" s="552"/>
      <c r="BL18" s="313"/>
      <c r="BM18" s="657"/>
      <c r="BN18" s="552"/>
      <c r="BO18" s="552"/>
      <c r="BP18" s="552"/>
      <c r="BQ18" s="552"/>
      <c r="BR18" s="552"/>
      <c r="BS18" s="552"/>
      <c r="BT18" s="552"/>
      <c r="BU18" s="552"/>
      <c r="BV18" s="552"/>
      <c r="BW18" s="552"/>
      <c r="BX18" s="552"/>
      <c r="BY18" s="552"/>
      <c r="BZ18" s="552"/>
      <c r="CA18" s="552"/>
      <c r="CB18" s="552"/>
      <c r="CC18" s="552"/>
      <c r="CD18" s="552"/>
      <c r="CE18" s="552"/>
      <c r="CF18" s="552"/>
      <c r="CG18" s="552"/>
      <c r="CH18" s="552"/>
      <c r="CI18" s="552"/>
      <c r="CJ18" s="552"/>
      <c r="CK18" s="552"/>
      <c r="CL18" s="552"/>
      <c r="CM18" s="552"/>
    </row>
    <row r="19" spans="1:91" ht="12.75" hidden="1" customHeight="1">
      <c r="A19" s="641"/>
      <c r="B19" s="641">
        <f>422-$E1-$I$1</f>
        <v>105</v>
      </c>
      <c r="C19" s="641">
        <f t="shared" ref="C19:AH19" si="21">422-$E1-$I$1</f>
        <v>105</v>
      </c>
      <c r="D19" s="641">
        <f t="shared" si="21"/>
        <v>105</v>
      </c>
      <c r="E19" s="641">
        <f t="shared" si="21"/>
        <v>105</v>
      </c>
      <c r="F19" s="641">
        <f t="shared" si="21"/>
        <v>105</v>
      </c>
      <c r="G19" s="641">
        <f t="shared" si="21"/>
        <v>105</v>
      </c>
      <c r="H19" s="641">
        <f t="shared" si="21"/>
        <v>105</v>
      </c>
      <c r="I19" s="641">
        <f t="shared" si="21"/>
        <v>105</v>
      </c>
      <c r="J19" s="641">
        <f t="shared" si="21"/>
        <v>105</v>
      </c>
      <c r="K19" s="641">
        <f t="shared" si="21"/>
        <v>105</v>
      </c>
      <c r="L19" s="641">
        <f t="shared" si="21"/>
        <v>105</v>
      </c>
      <c r="M19" s="641">
        <f t="shared" si="21"/>
        <v>105</v>
      </c>
      <c r="N19" s="641">
        <f t="shared" si="21"/>
        <v>105</v>
      </c>
      <c r="O19" s="641">
        <f t="shared" si="21"/>
        <v>105</v>
      </c>
      <c r="P19" s="641">
        <f t="shared" si="21"/>
        <v>105</v>
      </c>
      <c r="Q19" s="641">
        <f t="shared" si="21"/>
        <v>105</v>
      </c>
      <c r="R19" s="641">
        <f t="shared" si="21"/>
        <v>105</v>
      </c>
      <c r="S19" s="641">
        <f t="shared" si="21"/>
        <v>105</v>
      </c>
      <c r="T19" s="641">
        <f t="shared" si="21"/>
        <v>105</v>
      </c>
      <c r="U19" s="641">
        <f t="shared" si="21"/>
        <v>105</v>
      </c>
      <c r="V19" s="641">
        <f t="shared" si="21"/>
        <v>105</v>
      </c>
      <c r="W19" s="641">
        <f t="shared" si="21"/>
        <v>105</v>
      </c>
      <c r="X19" s="641">
        <f t="shared" si="21"/>
        <v>105</v>
      </c>
      <c r="Y19" s="641">
        <f t="shared" si="21"/>
        <v>105</v>
      </c>
      <c r="Z19" s="641">
        <f t="shared" si="21"/>
        <v>105</v>
      </c>
      <c r="AA19" s="641">
        <f t="shared" si="21"/>
        <v>105</v>
      </c>
      <c r="AB19" s="641">
        <f t="shared" si="21"/>
        <v>105</v>
      </c>
      <c r="AC19" s="641">
        <f t="shared" si="21"/>
        <v>105</v>
      </c>
      <c r="AD19" s="641">
        <f t="shared" si="21"/>
        <v>105</v>
      </c>
      <c r="AE19" s="641">
        <f t="shared" si="21"/>
        <v>105</v>
      </c>
      <c r="AF19" s="641">
        <f t="shared" si="21"/>
        <v>105</v>
      </c>
      <c r="AG19" s="641">
        <f t="shared" si="21"/>
        <v>105</v>
      </c>
      <c r="AH19" s="641">
        <f t="shared" si="21"/>
        <v>105</v>
      </c>
      <c r="AI19" s="429"/>
      <c r="AJ19" s="553"/>
      <c r="AK19" s="441"/>
      <c r="AL19" s="551"/>
      <c r="AM19" s="552"/>
      <c r="AN19" s="552"/>
      <c r="AO19" s="552"/>
      <c r="AP19" s="552"/>
      <c r="AQ19" s="552"/>
      <c r="AR19" s="552"/>
      <c r="AS19" s="552"/>
      <c r="AT19" s="552"/>
      <c r="AU19" s="552"/>
      <c r="AV19" s="552"/>
      <c r="AW19" s="552"/>
      <c r="AX19" s="552"/>
      <c r="AY19" s="552"/>
      <c r="AZ19" s="552"/>
      <c r="BA19" s="552"/>
      <c r="BB19" s="552"/>
      <c r="BC19" s="552"/>
      <c r="BD19" s="552"/>
      <c r="BE19" s="552"/>
      <c r="BF19" s="552"/>
      <c r="BG19" s="552"/>
      <c r="BH19" s="552"/>
      <c r="BI19" s="552"/>
      <c r="BJ19" s="552"/>
      <c r="BK19" s="552"/>
      <c r="BL19" s="313"/>
      <c r="BM19" s="657"/>
      <c r="BN19" s="552"/>
      <c r="BO19" s="552"/>
      <c r="BP19" s="552"/>
      <c r="BQ19" s="552"/>
      <c r="BR19" s="552"/>
      <c r="BS19" s="552"/>
      <c r="BT19" s="552"/>
      <c r="BU19" s="552"/>
      <c r="BV19" s="552"/>
      <c r="BW19" s="552"/>
      <c r="BX19" s="552"/>
      <c r="BY19" s="552"/>
      <c r="BZ19" s="552"/>
      <c r="CA19" s="552"/>
      <c r="CB19" s="552"/>
      <c r="CC19" s="552"/>
      <c r="CD19" s="552"/>
      <c r="CE19" s="552"/>
      <c r="CF19" s="552"/>
      <c r="CG19" s="552"/>
      <c r="CH19" s="552"/>
      <c r="CI19" s="552"/>
      <c r="CJ19" s="552"/>
      <c r="CK19" s="552"/>
      <c r="CL19" s="552"/>
      <c r="CM19" s="552"/>
    </row>
    <row r="20" spans="1:91" ht="12.75" hidden="1" customHeight="1">
      <c r="A20" s="403" t="s">
        <v>71</v>
      </c>
      <c r="B20" s="403">
        <f>RANK(B4,B4:AH4,0)</f>
        <v>7</v>
      </c>
      <c r="C20" s="403"/>
      <c r="D20" s="403"/>
      <c r="E20" s="403"/>
      <c r="F20" s="403"/>
      <c r="G20" s="403"/>
      <c r="H20" s="403"/>
      <c r="I20" s="403"/>
      <c r="J20" s="403"/>
      <c r="K20" s="403"/>
      <c r="L20" s="403"/>
      <c r="M20" s="403"/>
      <c r="N20" s="403"/>
      <c r="O20" s="403"/>
      <c r="P20" s="403"/>
      <c r="Q20" s="403"/>
      <c r="R20" s="403"/>
      <c r="S20" s="403"/>
      <c r="T20" s="403"/>
      <c r="U20" s="403"/>
      <c r="V20" s="403"/>
      <c r="W20" s="403"/>
      <c r="X20" s="403"/>
      <c r="Y20" s="403"/>
      <c r="Z20" s="403"/>
      <c r="AA20" s="403"/>
      <c r="AB20" s="403"/>
      <c r="AC20" s="403"/>
      <c r="AD20" s="403"/>
      <c r="AE20" s="403"/>
      <c r="AF20" s="403"/>
      <c r="AG20" s="403"/>
      <c r="AH20" s="403"/>
      <c r="AI20" s="429"/>
      <c r="AJ20" s="553"/>
      <c r="AK20" s="441"/>
      <c r="AL20" s="551"/>
      <c r="AM20" s="552"/>
      <c r="AN20" s="552"/>
      <c r="AO20" s="552"/>
      <c r="AP20" s="552"/>
      <c r="AQ20" s="552"/>
      <c r="AR20" s="552"/>
      <c r="AS20" s="552"/>
      <c r="AT20" s="552"/>
      <c r="AU20" s="552"/>
      <c r="AV20" s="552"/>
      <c r="AW20" s="552"/>
      <c r="AX20" s="552"/>
      <c r="AY20" s="552"/>
      <c r="AZ20" s="552"/>
      <c r="BA20" s="552"/>
      <c r="BB20" s="552"/>
      <c r="BC20" s="552"/>
      <c r="BD20" s="552"/>
      <c r="BE20" s="552"/>
      <c r="BF20" s="552"/>
      <c r="BG20" s="552"/>
      <c r="BH20" s="552"/>
      <c r="BI20" s="552"/>
      <c r="BJ20" s="552"/>
      <c r="BK20" s="552"/>
      <c r="BL20" s="313"/>
      <c r="BM20" s="657"/>
      <c r="BN20" s="552"/>
      <c r="BO20" s="552"/>
      <c r="BP20" s="552"/>
      <c r="BQ20" s="552"/>
      <c r="BR20" s="552"/>
      <c r="BS20" s="552"/>
      <c r="BT20" s="552"/>
      <c r="BU20" s="552"/>
      <c r="BV20" s="552"/>
      <c r="BW20" s="552"/>
      <c r="BX20" s="552"/>
      <c r="BY20" s="552"/>
      <c r="BZ20" s="552"/>
      <c r="CA20" s="552"/>
      <c r="CB20" s="552"/>
      <c r="CC20" s="552"/>
      <c r="CD20" s="552"/>
      <c r="CE20" s="552"/>
      <c r="CF20" s="552"/>
      <c r="CG20" s="552"/>
      <c r="CH20" s="552"/>
      <c r="CI20" s="552"/>
      <c r="CJ20" s="552"/>
      <c r="CK20" s="552"/>
      <c r="CL20" s="552"/>
      <c r="CM20" s="552"/>
    </row>
    <row r="21" spans="1:91" ht="12.75" hidden="1" customHeight="1" thickBot="1">
      <c r="A21" s="403" t="s">
        <v>72</v>
      </c>
      <c r="B21" s="404">
        <v>0.64300000000000002</v>
      </c>
      <c r="C21" s="404">
        <v>0.63100000000000001</v>
      </c>
      <c r="D21" s="404"/>
      <c r="E21" s="404">
        <v>0.72299999999999998</v>
      </c>
      <c r="F21" s="404">
        <v>0.72699999999999998</v>
      </c>
      <c r="G21" s="404"/>
      <c r="H21" s="404"/>
      <c r="I21" s="404">
        <v>0.16500000000000001</v>
      </c>
      <c r="J21" s="404">
        <v>0.65900000000000003</v>
      </c>
      <c r="K21" s="404">
        <v>0.161</v>
      </c>
      <c r="L21" s="404">
        <v>0.59</v>
      </c>
      <c r="M21" s="404">
        <v>0.249</v>
      </c>
      <c r="N21" s="404"/>
      <c r="O21" s="404"/>
      <c r="P21" s="404">
        <v>0.51</v>
      </c>
      <c r="Q21" s="404">
        <v>0.11600000000000001</v>
      </c>
      <c r="R21" s="404">
        <v>9.1999999999999998E-2</v>
      </c>
      <c r="S21" s="404"/>
      <c r="T21" s="404"/>
      <c r="U21" s="404">
        <v>0.108</v>
      </c>
      <c r="V21" s="404">
        <v>0.23300000000000001</v>
      </c>
      <c r="W21" s="404"/>
      <c r="X21" s="404"/>
      <c r="Y21" s="404"/>
      <c r="Z21" s="404"/>
      <c r="AA21" s="404"/>
      <c r="AB21" s="404"/>
      <c r="AC21" s="404"/>
      <c r="AD21" s="404"/>
      <c r="AE21" s="404"/>
      <c r="AF21" s="404"/>
      <c r="AG21" s="404"/>
      <c r="AH21" s="404"/>
      <c r="AI21" s="429"/>
      <c r="AJ21" s="553"/>
      <c r="AK21" s="441"/>
      <c r="AL21" s="551"/>
      <c r="AM21" s="552"/>
      <c r="AN21" s="552"/>
      <c r="AO21" s="552"/>
      <c r="AP21" s="552"/>
      <c r="AQ21" s="552"/>
      <c r="AR21" s="552"/>
      <c r="AS21" s="552"/>
      <c r="AT21" s="552"/>
      <c r="AU21" s="552"/>
      <c r="AV21" s="552"/>
      <c r="AW21" s="552"/>
      <c r="AX21" s="552"/>
      <c r="AY21" s="552"/>
      <c r="AZ21" s="552"/>
      <c r="BA21" s="552"/>
      <c r="BB21" s="552"/>
      <c r="BC21" s="552"/>
      <c r="BD21" s="552"/>
      <c r="BE21" s="552"/>
      <c r="BF21" s="552"/>
      <c r="BG21" s="552"/>
      <c r="BH21" s="552"/>
      <c r="BI21" s="552"/>
      <c r="BJ21" s="552"/>
      <c r="BK21" s="552"/>
      <c r="BL21" s="313"/>
      <c r="BM21" s="657"/>
      <c r="BN21" s="552"/>
      <c r="BO21" s="552"/>
      <c r="BP21" s="552"/>
      <c r="BQ21" s="552"/>
      <c r="BR21" s="552"/>
      <c r="BS21" s="552"/>
      <c r="BT21" s="552"/>
      <c r="BU21" s="552"/>
      <c r="BV21" s="552"/>
      <c r="BW21" s="552"/>
      <c r="BX21" s="552"/>
      <c r="BY21" s="552"/>
      <c r="BZ21" s="552"/>
      <c r="CA21" s="552"/>
      <c r="CB21" s="552"/>
      <c r="CC21" s="552"/>
      <c r="CD21" s="552"/>
      <c r="CE21" s="552"/>
      <c r="CF21" s="552"/>
      <c r="CG21" s="552"/>
      <c r="CH21" s="552"/>
      <c r="CI21" s="552"/>
      <c r="CJ21" s="552"/>
      <c r="CK21" s="552"/>
      <c r="CL21" s="552"/>
      <c r="CM21" s="552"/>
    </row>
    <row r="22" spans="1:91" ht="12.75" customHeight="1">
      <c r="A22" s="424" t="s">
        <v>73</v>
      </c>
      <c r="B22" s="512">
        <v>4</v>
      </c>
      <c r="C22" s="512">
        <v>4</v>
      </c>
      <c r="D22" s="416"/>
      <c r="E22" s="512">
        <v>57</v>
      </c>
      <c r="F22" s="512">
        <v>18</v>
      </c>
      <c r="G22" s="512"/>
      <c r="H22" s="512"/>
      <c r="I22" s="512">
        <v>8</v>
      </c>
      <c r="J22" s="512">
        <v>40</v>
      </c>
      <c r="K22" s="512">
        <v>15</v>
      </c>
      <c r="L22" s="512">
        <v>37</v>
      </c>
      <c r="M22" s="512">
        <v>9</v>
      </c>
      <c r="N22" s="513"/>
      <c r="O22" s="512"/>
      <c r="P22" s="512">
        <v>25</v>
      </c>
      <c r="Q22" s="512">
        <v>4</v>
      </c>
      <c r="R22" s="512">
        <v>3</v>
      </c>
      <c r="S22" s="512"/>
      <c r="T22" s="512"/>
      <c r="U22" s="512">
        <v>3</v>
      </c>
      <c r="V22" s="512">
        <v>41</v>
      </c>
      <c r="W22" s="416"/>
      <c r="X22" s="416"/>
      <c r="Y22" s="416"/>
      <c r="Z22" s="416"/>
      <c r="AA22" s="416"/>
      <c r="AB22" s="416"/>
      <c r="AC22" s="416"/>
      <c r="AD22" s="416"/>
      <c r="AE22" s="416"/>
      <c r="AF22" s="416"/>
      <c r="AG22" s="416"/>
      <c r="AH22" s="416"/>
      <c r="AI22" s="429"/>
      <c r="AJ22" s="440" t="s">
        <v>74</v>
      </c>
      <c r="AK22" s="441">
        <f>COUNTIF($AI$32:$AI$350,5)</f>
        <v>10</v>
      </c>
      <c r="AL22" s="551"/>
      <c r="AM22" s="552"/>
      <c r="AN22" s="552"/>
      <c r="AO22" s="552"/>
      <c r="AP22" s="552"/>
      <c r="AQ22" s="552"/>
      <c r="AR22" s="552"/>
      <c r="AS22" s="552"/>
      <c r="AT22" s="552"/>
      <c r="AU22" s="552"/>
      <c r="AV22" s="552"/>
      <c r="AW22" s="552"/>
      <c r="AX22" s="552"/>
      <c r="AY22" s="552"/>
      <c r="AZ22" s="552"/>
      <c r="BA22" s="552"/>
      <c r="BB22" s="552"/>
      <c r="BC22" s="552"/>
      <c r="BD22" s="552"/>
      <c r="BE22" s="552"/>
      <c r="BF22" s="552"/>
      <c r="BG22" s="552"/>
      <c r="BH22" s="552"/>
      <c r="BI22" s="552"/>
      <c r="BJ22" s="552"/>
      <c r="BK22" s="552"/>
      <c r="BL22" s="313"/>
      <c r="BM22" s="657"/>
      <c r="BN22" s="552"/>
      <c r="BO22" s="552"/>
      <c r="BP22" s="552"/>
      <c r="BQ22" s="552"/>
      <c r="BR22" s="552"/>
      <c r="BS22" s="552"/>
      <c r="BT22" s="552"/>
      <c r="BU22" s="552"/>
      <c r="BV22" s="552"/>
      <c r="BW22" s="552"/>
      <c r="BX22" s="552"/>
      <c r="BY22" s="552"/>
      <c r="BZ22" s="552"/>
      <c r="CA22" s="552"/>
      <c r="CB22" s="552"/>
      <c r="CC22" s="552"/>
      <c r="CD22" s="552"/>
      <c r="CE22" s="552"/>
      <c r="CF22" s="552"/>
      <c r="CG22" s="552"/>
      <c r="CH22" s="552"/>
      <c r="CI22" s="552"/>
      <c r="CJ22" s="552"/>
      <c r="CK22" s="674" t="str">
        <f>HYPERLINK("https://docs.google.com/spreadsheets/d/1t-B1n_X9rHa2yWwkbJpwbHewhwdE59J33lUnF88lthg/edit?usp=sharing","Ballots By Type (Ballot Twins)")</f>
        <v>Ballots By Type (Ballot Twins)</v>
      </c>
      <c r="CL22" s="675"/>
      <c r="CM22" s="676"/>
    </row>
    <row r="23" spans="1:91" ht="12.75" customHeight="1">
      <c r="A23" s="425" t="s">
        <v>75</v>
      </c>
      <c r="B23" s="411">
        <v>-3</v>
      </c>
      <c r="C23" s="411">
        <v>-1</v>
      </c>
      <c r="D23" s="412"/>
      <c r="E23" s="411">
        <v>-1</v>
      </c>
      <c r="F23" s="411">
        <v>-3</v>
      </c>
      <c r="G23" s="411"/>
      <c r="H23" s="411"/>
      <c r="I23" s="411">
        <v>-12</v>
      </c>
      <c r="J23" s="411">
        <v>-4</v>
      </c>
      <c r="K23" s="411">
        <v>-7</v>
      </c>
      <c r="L23" s="411">
        <v>-6</v>
      </c>
      <c r="M23" s="411">
        <v>-13</v>
      </c>
      <c r="N23" s="412"/>
      <c r="O23" s="411"/>
      <c r="P23" s="411">
        <v>-11</v>
      </c>
      <c r="Q23" s="411">
        <v>-8</v>
      </c>
      <c r="R23" s="411">
        <v>-6</v>
      </c>
      <c r="S23" s="411"/>
      <c r="T23" s="411"/>
      <c r="U23" s="411">
        <v>-5</v>
      </c>
      <c r="V23" s="411">
        <v>-1</v>
      </c>
      <c r="W23" s="412"/>
      <c r="X23" s="412"/>
      <c r="Y23" s="412"/>
      <c r="Z23" s="412"/>
      <c r="AA23" s="412"/>
      <c r="AB23" s="412"/>
      <c r="AC23" s="412"/>
      <c r="AD23" s="412"/>
      <c r="AE23" s="412"/>
      <c r="AF23" s="412"/>
      <c r="AG23" s="412"/>
      <c r="AH23" s="412"/>
      <c r="AI23" s="429"/>
      <c r="AJ23" s="440" t="s">
        <v>76</v>
      </c>
      <c r="AK23" s="441">
        <f>COUNTIF($AI$32:$AI$350,4)</f>
        <v>8</v>
      </c>
      <c r="AL23" s="551"/>
      <c r="AM23" s="552"/>
      <c r="AN23" s="552"/>
      <c r="AO23" s="552"/>
      <c r="AP23" s="552"/>
      <c r="AQ23" s="552"/>
      <c r="AR23" s="552"/>
      <c r="AS23" s="552"/>
      <c r="AT23" s="552"/>
      <c r="AU23" s="552"/>
      <c r="AV23" s="552"/>
      <c r="AW23" s="552"/>
      <c r="AX23" s="552"/>
      <c r="AY23" s="552"/>
      <c r="AZ23" s="552"/>
      <c r="BA23" s="552"/>
      <c r="BB23" s="552"/>
      <c r="BC23" s="552"/>
      <c r="BD23" s="552"/>
      <c r="BE23" s="552"/>
      <c r="BF23" s="552"/>
      <c r="BG23" s="552"/>
      <c r="BH23" s="552"/>
      <c r="BI23" s="552"/>
      <c r="BJ23" s="552"/>
      <c r="BK23" s="552"/>
      <c r="BL23" s="313"/>
      <c r="BM23" s="657"/>
      <c r="BN23" s="552"/>
      <c r="BO23" s="552"/>
      <c r="BP23" s="552"/>
      <c r="BQ23" s="552"/>
      <c r="BR23" s="552"/>
      <c r="BS23" s="552"/>
      <c r="BT23" s="552"/>
      <c r="BU23" s="552"/>
      <c r="BV23" s="552"/>
      <c r="BW23" s="552"/>
      <c r="BX23" s="552"/>
      <c r="BY23" s="552"/>
      <c r="BZ23" s="552"/>
      <c r="CA23" s="552"/>
      <c r="CB23" s="552"/>
      <c r="CC23" s="552"/>
      <c r="CD23" s="552"/>
      <c r="CE23" s="552"/>
      <c r="CF23" s="552"/>
      <c r="CG23" s="552"/>
      <c r="CH23" s="552"/>
      <c r="CI23" s="552"/>
      <c r="CJ23" s="552"/>
      <c r="CK23" s="677"/>
      <c r="CL23" s="678"/>
      <c r="CM23" s="679"/>
    </row>
    <row r="24" spans="1:91" ht="12.75" customHeight="1">
      <c r="A24" s="417" t="s">
        <v>77</v>
      </c>
      <c r="B24" s="413">
        <f>B22+B23</f>
        <v>1</v>
      </c>
      <c r="C24" s="413">
        <f>C22+C23</f>
        <v>3</v>
      </c>
      <c r="D24" s="413"/>
      <c r="E24" s="413">
        <f>E22+E23</f>
        <v>56</v>
      </c>
      <c r="F24" s="413">
        <f>F22+F23</f>
        <v>15</v>
      </c>
      <c r="G24" s="413"/>
      <c r="H24" s="413"/>
      <c r="I24" s="413">
        <f>I22+I23</f>
        <v>-4</v>
      </c>
      <c r="J24" s="413">
        <f>J22+J23</f>
        <v>36</v>
      </c>
      <c r="K24" s="413">
        <f>K22+K23</f>
        <v>8</v>
      </c>
      <c r="L24" s="413">
        <f>L22+L23</f>
        <v>31</v>
      </c>
      <c r="M24" s="413">
        <f>M22+M23</f>
        <v>-4</v>
      </c>
      <c r="N24" s="413"/>
      <c r="O24" s="413"/>
      <c r="P24" s="413">
        <f t="shared" ref="P24:R24" si="22">P22+P23</f>
        <v>14</v>
      </c>
      <c r="Q24" s="413">
        <f t="shared" si="22"/>
        <v>-4</v>
      </c>
      <c r="R24" s="413">
        <f t="shared" si="22"/>
        <v>-3</v>
      </c>
      <c r="S24" s="413"/>
      <c r="T24" s="413"/>
      <c r="U24" s="413">
        <f>U22+U23</f>
        <v>-2</v>
      </c>
      <c r="V24" s="413">
        <f>V22+V23</f>
        <v>40</v>
      </c>
      <c r="W24" s="413"/>
      <c r="X24" s="413"/>
      <c r="Y24" s="413"/>
      <c r="Z24" s="413"/>
      <c r="AA24" s="413"/>
      <c r="AB24" s="413"/>
      <c r="AC24" s="413"/>
      <c r="AD24" s="413"/>
      <c r="AE24" s="413"/>
      <c r="AF24" s="413"/>
      <c r="AG24" s="413"/>
      <c r="AH24" s="413"/>
      <c r="AI24" s="430"/>
      <c r="AJ24" s="440" t="s">
        <v>78</v>
      </c>
      <c r="AK24" s="441">
        <f>COUNTIF($AI$32:$AI$350,3)</f>
        <v>4</v>
      </c>
      <c r="AL24" s="551"/>
      <c r="AM24" s="552"/>
      <c r="AN24" s="552"/>
      <c r="AO24" s="552"/>
      <c r="AP24" s="552"/>
      <c r="AQ24" s="552"/>
      <c r="AR24" s="552"/>
      <c r="AS24" s="552"/>
      <c r="AT24" s="552"/>
      <c r="AU24" s="552"/>
      <c r="AV24" s="552"/>
      <c r="AW24" s="552"/>
      <c r="AX24" s="552"/>
      <c r="AY24" s="552"/>
      <c r="AZ24" s="552"/>
      <c r="BA24" s="552"/>
      <c r="BB24" s="552"/>
      <c r="BC24" s="552"/>
      <c r="BD24" s="552"/>
      <c r="BE24" s="552"/>
      <c r="BF24" s="552"/>
      <c r="BG24" s="552"/>
      <c r="BH24" s="552"/>
      <c r="BI24" s="552"/>
      <c r="BJ24" s="552"/>
      <c r="BK24" s="552"/>
      <c r="BL24" s="313"/>
      <c r="BM24" s="657"/>
      <c r="BN24" s="552"/>
      <c r="BO24" s="552"/>
      <c r="BP24" s="552"/>
      <c r="BQ24" s="552"/>
      <c r="BR24" s="552"/>
      <c r="BS24" s="552"/>
      <c r="BT24" s="552"/>
      <c r="BU24" s="552"/>
      <c r="BV24" s="552"/>
      <c r="BW24" s="552"/>
      <c r="BX24" s="552"/>
      <c r="BY24" s="552"/>
      <c r="BZ24" s="552"/>
      <c r="CA24" s="552"/>
      <c r="CB24" s="552"/>
      <c r="CC24" s="552"/>
      <c r="CD24" s="552"/>
      <c r="CE24" s="552"/>
      <c r="CF24" s="552"/>
      <c r="CG24" s="552"/>
      <c r="CH24" s="552"/>
      <c r="CI24" s="552"/>
      <c r="CJ24" s="552"/>
      <c r="CK24" s="552"/>
      <c r="CL24" s="552"/>
      <c r="CM24" s="552"/>
    </row>
    <row r="25" spans="1:91" ht="12.75" customHeight="1">
      <c r="A25" s="514" t="s">
        <v>79</v>
      </c>
      <c r="B25" s="515">
        <f>317-B13</f>
        <v>79</v>
      </c>
      <c r="C25" s="515">
        <f t="shared" ref="C25:V25" si="23">317-C13</f>
        <v>75</v>
      </c>
      <c r="D25" s="515">
        <f t="shared" si="23"/>
        <v>309</v>
      </c>
      <c r="E25" s="515"/>
      <c r="F25" s="515"/>
      <c r="G25" s="515">
        <f t="shared" si="23"/>
        <v>286</v>
      </c>
      <c r="H25" s="515"/>
      <c r="I25" s="515">
        <f t="shared" si="23"/>
        <v>256</v>
      </c>
      <c r="J25" s="515">
        <f t="shared" si="23"/>
        <v>20</v>
      </c>
      <c r="K25" s="515">
        <f t="shared" si="23"/>
        <v>219</v>
      </c>
      <c r="L25" s="515">
        <f t="shared" si="23"/>
        <v>49</v>
      </c>
      <c r="M25" s="515">
        <f t="shared" si="23"/>
        <v>224</v>
      </c>
      <c r="N25" s="515">
        <f t="shared" si="23"/>
        <v>274</v>
      </c>
      <c r="O25" s="515">
        <f t="shared" si="23"/>
        <v>307</v>
      </c>
      <c r="P25" s="515">
        <f t="shared" si="23"/>
        <v>101</v>
      </c>
      <c r="Q25" s="515">
        <f t="shared" si="23"/>
        <v>270</v>
      </c>
      <c r="R25" s="515">
        <f t="shared" si="23"/>
        <v>284</v>
      </c>
      <c r="S25" s="515"/>
      <c r="T25" s="515">
        <f t="shared" si="23"/>
        <v>161</v>
      </c>
      <c r="U25" s="515">
        <f t="shared" si="23"/>
        <v>270</v>
      </c>
      <c r="V25" s="515">
        <f t="shared" si="23"/>
        <v>173</v>
      </c>
      <c r="W25" s="423"/>
      <c r="X25" s="423"/>
      <c r="Y25" s="423"/>
      <c r="Z25" s="423"/>
      <c r="AA25" s="423"/>
      <c r="AB25" s="423"/>
      <c r="AC25" s="423"/>
      <c r="AD25" s="423"/>
      <c r="AE25" s="423"/>
      <c r="AF25" s="423"/>
      <c r="AG25" s="423"/>
      <c r="AH25" s="423"/>
      <c r="AI25" s="430"/>
      <c r="AJ25" s="440" t="s">
        <v>80</v>
      </c>
      <c r="AK25" s="441">
        <f>COUNTIF($AI$32:$AI$350,2)</f>
        <v>1</v>
      </c>
      <c r="AL25" s="551"/>
      <c r="AM25" s="552"/>
      <c r="AN25" s="552"/>
      <c r="AO25" s="552"/>
      <c r="AP25" s="552"/>
      <c r="AQ25" s="552"/>
      <c r="AR25" s="552"/>
      <c r="AS25" s="552"/>
      <c r="AT25" s="552"/>
      <c r="AU25" s="552"/>
      <c r="AV25" s="552"/>
      <c r="AW25" s="552"/>
      <c r="AX25" s="552"/>
      <c r="AY25" s="552"/>
      <c r="AZ25" s="552"/>
      <c r="BA25" s="552"/>
      <c r="BB25" s="552"/>
      <c r="BC25" s="552"/>
      <c r="BD25" s="552"/>
      <c r="BE25" s="552"/>
      <c r="BF25" s="552"/>
      <c r="BG25" s="552"/>
      <c r="BH25" s="552"/>
      <c r="BI25" s="552"/>
      <c r="BJ25" s="552"/>
      <c r="BK25" s="552"/>
      <c r="BL25" s="313"/>
      <c r="BM25" s="657"/>
      <c r="BN25" s="552"/>
      <c r="BO25" s="552"/>
      <c r="BP25" s="552"/>
      <c r="BQ25" s="552"/>
      <c r="BR25" s="552"/>
      <c r="BS25" s="552"/>
      <c r="BT25" s="552"/>
      <c r="BU25" s="552"/>
      <c r="BV25" s="552"/>
      <c r="BW25" s="552"/>
      <c r="BX25" s="552"/>
      <c r="BY25" s="552"/>
      <c r="BZ25" s="552"/>
      <c r="CA25" s="552"/>
      <c r="CB25" s="552"/>
      <c r="CC25" s="552"/>
      <c r="CD25" s="552"/>
      <c r="CE25" s="552"/>
      <c r="CF25" s="552"/>
      <c r="CG25" s="552"/>
      <c r="CH25" s="552"/>
      <c r="CI25" s="552"/>
      <c r="CJ25" s="552"/>
      <c r="CK25" s="674" t="str">
        <f>HYPERLINK("https://docs.google.com/spreadsheets/d/19PhHuxlhjJABQuX3LDyWwQDXlKIcTlVsOMycLjrm5d8/edit#gid=706695572","Ballots By Size and More")</f>
        <v>Ballots By Size and More</v>
      </c>
      <c r="CL25" s="675"/>
      <c r="CM25" s="676"/>
    </row>
    <row r="26" spans="1:91" ht="12.75" customHeight="1">
      <c r="A26" s="426" t="s">
        <v>81</v>
      </c>
      <c r="B26" s="531">
        <f t="shared" ref="B26:AH26" si="24">(COUNTA(B347:B350)/(COUNTA($A$347:$A$350)))</f>
        <v>0.5</v>
      </c>
      <c r="C26" s="531">
        <f t="shared" si="24"/>
        <v>0.5</v>
      </c>
      <c r="D26" s="524">
        <f t="shared" si="24"/>
        <v>0</v>
      </c>
      <c r="E26" s="531">
        <f t="shared" si="24"/>
        <v>1</v>
      </c>
      <c r="F26" s="531">
        <f t="shared" si="24"/>
        <v>1</v>
      </c>
      <c r="G26" s="531">
        <f t="shared" si="24"/>
        <v>0.25</v>
      </c>
      <c r="H26" s="531">
        <f t="shared" si="24"/>
        <v>1</v>
      </c>
      <c r="I26" s="531">
        <f t="shared" si="24"/>
        <v>0</v>
      </c>
      <c r="J26" s="531">
        <f t="shared" si="24"/>
        <v>0.5</v>
      </c>
      <c r="K26" s="531">
        <f t="shared" si="24"/>
        <v>0</v>
      </c>
      <c r="L26" s="531">
        <f t="shared" si="24"/>
        <v>0.25</v>
      </c>
      <c r="M26" s="531">
        <f t="shared" si="24"/>
        <v>0.5</v>
      </c>
      <c r="N26" s="531">
        <f t="shared" si="24"/>
        <v>0</v>
      </c>
      <c r="O26" s="531">
        <f t="shared" si="24"/>
        <v>0</v>
      </c>
      <c r="P26" s="531">
        <f t="shared" si="24"/>
        <v>0.5</v>
      </c>
      <c r="Q26" s="531">
        <f t="shared" si="24"/>
        <v>0.25</v>
      </c>
      <c r="R26" s="531">
        <f t="shared" si="24"/>
        <v>0</v>
      </c>
      <c r="S26" s="531">
        <f t="shared" si="24"/>
        <v>1</v>
      </c>
      <c r="T26" s="531">
        <f t="shared" si="24"/>
        <v>0.25</v>
      </c>
      <c r="U26" s="531">
        <f t="shared" si="24"/>
        <v>0</v>
      </c>
      <c r="V26" s="531">
        <f t="shared" si="24"/>
        <v>0.25</v>
      </c>
      <c r="W26" s="524">
        <f t="shared" si="24"/>
        <v>0</v>
      </c>
      <c r="X26" s="524">
        <f t="shared" si="24"/>
        <v>0</v>
      </c>
      <c r="Y26" s="524">
        <f t="shared" si="24"/>
        <v>0</v>
      </c>
      <c r="Z26" s="524">
        <f t="shared" si="24"/>
        <v>0</v>
      </c>
      <c r="AA26" s="524">
        <f t="shared" si="24"/>
        <v>0</v>
      </c>
      <c r="AB26" s="524">
        <f t="shared" si="24"/>
        <v>0</v>
      </c>
      <c r="AC26" s="524">
        <f t="shared" si="24"/>
        <v>0</v>
      </c>
      <c r="AD26" s="524">
        <f t="shared" si="24"/>
        <v>0</v>
      </c>
      <c r="AE26" s="524">
        <f t="shared" si="24"/>
        <v>0</v>
      </c>
      <c r="AF26" s="524">
        <f t="shared" si="24"/>
        <v>0</v>
      </c>
      <c r="AG26" s="524">
        <f t="shared" si="24"/>
        <v>0</v>
      </c>
      <c r="AH26" s="524">
        <f t="shared" si="24"/>
        <v>0</v>
      </c>
      <c r="AI26" s="430"/>
      <c r="AJ26" s="440" t="s">
        <v>82</v>
      </c>
      <c r="AK26" s="441">
        <f>COUNTIF($AI$32:$AI$350,1)</f>
        <v>0</v>
      </c>
      <c r="AL26" s="551"/>
      <c r="AM26" s="552"/>
      <c r="AN26" s="552"/>
      <c r="AO26" s="552"/>
      <c r="AP26" s="552"/>
      <c r="AQ26" s="552"/>
      <c r="AR26" s="552"/>
      <c r="AS26" s="552"/>
      <c r="AT26" s="552"/>
      <c r="AU26" s="552"/>
      <c r="AV26" s="552"/>
      <c r="AW26" s="552"/>
      <c r="AX26" s="552"/>
      <c r="AY26" s="552"/>
      <c r="AZ26" s="552"/>
      <c r="BA26" s="552"/>
      <c r="BB26" s="552"/>
      <c r="BC26" s="552"/>
      <c r="BD26" s="552"/>
      <c r="BE26" s="552"/>
      <c r="BF26" s="552"/>
      <c r="BG26" s="552"/>
      <c r="BH26" s="552"/>
      <c r="BI26" s="552"/>
      <c r="BJ26" s="552"/>
      <c r="BK26" s="552"/>
      <c r="BL26" s="313"/>
      <c r="BM26" s="657"/>
      <c r="BN26" s="552"/>
      <c r="BO26" s="552"/>
      <c r="BP26" s="552"/>
      <c r="BQ26" s="552"/>
      <c r="BR26" s="552"/>
      <c r="BS26" s="552"/>
      <c r="BT26" s="552"/>
      <c r="BU26" s="552"/>
      <c r="BV26" s="552"/>
      <c r="BW26" s="552"/>
      <c r="BX26" s="552"/>
      <c r="BY26" s="552"/>
      <c r="BZ26" s="552"/>
      <c r="CA26" s="552"/>
      <c r="CB26" s="552"/>
      <c r="CC26" s="552"/>
      <c r="CD26" s="552"/>
      <c r="CE26" s="552"/>
      <c r="CF26" s="552"/>
      <c r="CG26" s="552"/>
      <c r="CH26" s="552"/>
      <c r="CI26" s="552"/>
      <c r="CJ26" s="552"/>
      <c r="CK26" s="677"/>
      <c r="CL26" s="678"/>
      <c r="CM26" s="679"/>
    </row>
    <row r="27" spans="1:91" ht="12.75" customHeight="1" thickBot="1">
      <c r="A27" s="427" t="s">
        <v>83</v>
      </c>
      <c r="B27" s="528">
        <f>11/$AI$27</f>
        <v>0.84615384615384615</v>
      </c>
      <c r="C27" s="528">
        <f>12/$AI$27</f>
        <v>0.92307692307692313</v>
      </c>
      <c r="D27" s="525">
        <f t="shared" ref="D27" si="25">6/$AI$27</f>
        <v>0.46153846153846156</v>
      </c>
      <c r="E27" s="528">
        <f>13/$AI$27</f>
        <v>1</v>
      </c>
      <c r="F27" s="528">
        <f>12/$AI$27</f>
        <v>0.92307692307692313</v>
      </c>
      <c r="G27" s="528">
        <f>1/$AI$27</f>
        <v>7.6923076923076927E-2</v>
      </c>
      <c r="H27" s="528">
        <f>13/$AI$27</f>
        <v>1</v>
      </c>
      <c r="I27" s="528">
        <f>0/$AI$27</f>
        <v>0</v>
      </c>
      <c r="J27" s="528">
        <f>11/$AI$27</f>
        <v>0.84615384615384615</v>
      </c>
      <c r="K27" s="528">
        <f>3/$AI$27</f>
        <v>0.23076923076923078</v>
      </c>
      <c r="L27" s="528">
        <f>11/$AI$27</f>
        <v>0.84615384615384615</v>
      </c>
      <c r="M27" s="528">
        <f>4/$AI$27</f>
        <v>0.30769230769230771</v>
      </c>
      <c r="N27" s="528">
        <f>2/$AI$27</f>
        <v>0.15384615384615385</v>
      </c>
      <c r="O27" s="528">
        <f>1/$AI$27</f>
        <v>7.6923076923076927E-2</v>
      </c>
      <c r="P27" s="528">
        <f>9/$AI$27</f>
        <v>0.69230769230769229</v>
      </c>
      <c r="Q27" s="528">
        <f>1/$AI$27</f>
        <v>7.6923076923076927E-2</v>
      </c>
      <c r="R27" s="528">
        <f>4/$AI$27</f>
        <v>0.30769230769230771</v>
      </c>
      <c r="S27" s="528">
        <f>13/$AI$27</f>
        <v>1</v>
      </c>
      <c r="T27" s="528">
        <f>4/$AI$27</f>
        <v>0.30769230769230771</v>
      </c>
      <c r="U27" s="528">
        <f>1/$AI$27</f>
        <v>7.6923076923076927E-2</v>
      </c>
      <c r="V27" s="528">
        <f>2/$AI$27</f>
        <v>0.15384615384615385</v>
      </c>
      <c r="W27" s="525">
        <f t="shared" ref="W27:AH27" si="26">6/$AI$27</f>
        <v>0.46153846153846156</v>
      </c>
      <c r="X27" s="525">
        <f t="shared" si="26"/>
        <v>0.46153846153846156</v>
      </c>
      <c r="Y27" s="525">
        <f t="shared" si="26"/>
        <v>0.46153846153846156</v>
      </c>
      <c r="Z27" s="525">
        <f t="shared" si="26"/>
        <v>0.46153846153846156</v>
      </c>
      <c r="AA27" s="525">
        <f t="shared" si="26"/>
        <v>0.46153846153846156</v>
      </c>
      <c r="AB27" s="525">
        <f t="shared" si="26"/>
        <v>0.46153846153846156</v>
      </c>
      <c r="AC27" s="525">
        <f t="shared" si="26"/>
        <v>0.46153846153846156</v>
      </c>
      <c r="AD27" s="525">
        <f t="shared" si="26"/>
        <v>0.46153846153846156</v>
      </c>
      <c r="AE27" s="525">
        <f t="shared" si="26"/>
        <v>0.46153846153846156</v>
      </c>
      <c r="AF27" s="525">
        <f t="shared" si="26"/>
        <v>0.46153846153846156</v>
      </c>
      <c r="AG27" s="525">
        <f t="shared" si="26"/>
        <v>0.46153846153846156</v>
      </c>
      <c r="AH27" s="525">
        <f t="shared" si="26"/>
        <v>0.46153846153846156</v>
      </c>
      <c r="AI27" s="431">
        <v>13</v>
      </c>
      <c r="AJ27" s="554" t="s">
        <v>84</v>
      </c>
      <c r="AK27" s="555">
        <f>COUNTIF($AI$32:$AI$350,0)</f>
        <v>1</v>
      </c>
      <c r="AL27" s="551"/>
      <c r="AM27" s="552"/>
      <c r="AN27" s="552"/>
      <c r="AO27" s="552"/>
      <c r="AP27" s="552"/>
      <c r="AQ27" s="552"/>
      <c r="AR27" s="552"/>
      <c r="AS27" s="552"/>
      <c r="AT27" s="552"/>
      <c r="AU27" s="552"/>
      <c r="AV27" s="552"/>
      <c r="AW27" s="552"/>
      <c r="AX27" s="552"/>
      <c r="AY27" s="552"/>
      <c r="AZ27" s="552"/>
      <c r="BA27" s="552"/>
      <c r="BB27" s="552"/>
      <c r="BC27" s="552"/>
      <c r="BD27" s="552"/>
      <c r="BE27" s="552"/>
      <c r="BF27" s="552"/>
      <c r="BG27" s="552"/>
      <c r="BH27" s="552"/>
      <c r="BI27" s="552"/>
      <c r="BJ27" s="552"/>
      <c r="BK27" s="552"/>
      <c r="BL27" s="313"/>
      <c r="BM27" s="657"/>
      <c r="BN27" s="552"/>
      <c r="BO27" s="552"/>
      <c r="BP27" s="552"/>
      <c r="BQ27" s="552"/>
      <c r="BR27" s="552"/>
      <c r="BS27" s="552"/>
      <c r="BT27" s="552"/>
      <c r="BU27" s="552"/>
      <c r="BV27" s="552"/>
      <c r="BW27" s="552"/>
      <c r="BX27" s="552"/>
      <c r="BY27" s="552"/>
      <c r="BZ27" s="552"/>
      <c r="CA27" s="552"/>
      <c r="CB27" s="552"/>
      <c r="CC27" s="552"/>
      <c r="CD27" s="552"/>
      <c r="CE27" s="552"/>
      <c r="CF27" s="552"/>
      <c r="CG27" s="552"/>
      <c r="CH27" s="552"/>
      <c r="CI27" s="552"/>
      <c r="CJ27" s="552"/>
      <c r="CK27" s="556"/>
      <c r="CL27" s="552"/>
      <c r="CM27" s="552"/>
    </row>
    <row r="28" spans="1:91" ht="22.5" hidden="1" customHeight="1">
      <c r="A28" s="405" t="s">
        <v>85</v>
      </c>
      <c r="B28" s="406" t="s">
        <v>86</v>
      </c>
      <c r="C28" s="406" t="s">
        <v>87</v>
      </c>
      <c r="D28" s="406"/>
      <c r="E28" s="406"/>
      <c r="F28" s="406"/>
      <c r="G28" s="406"/>
      <c r="H28" s="406"/>
      <c r="I28" s="406"/>
      <c r="J28" s="406"/>
      <c r="K28" s="406"/>
      <c r="L28" s="406"/>
      <c r="M28" s="406"/>
      <c r="N28" s="406"/>
      <c r="O28" s="406"/>
      <c r="P28" s="406"/>
      <c r="Q28" s="406"/>
      <c r="R28" s="406"/>
      <c r="S28" s="406"/>
      <c r="T28" s="406"/>
      <c r="U28" s="406"/>
      <c r="V28" s="406"/>
      <c r="W28" s="406"/>
      <c r="X28" s="406"/>
      <c r="Y28" s="406" t="s">
        <v>88</v>
      </c>
      <c r="Z28" s="406"/>
      <c r="AA28" s="406"/>
      <c r="AB28" s="406" t="s">
        <v>89</v>
      </c>
      <c r="AC28" s="406"/>
      <c r="AD28" s="406" t="s">
        <v>86</v>
      </c>
      <c r="AE28" s="406"/>
      <c r="AF28" s="406"/>
      <c r="AG28" s="406"/>
      <c r="AH28" s="406"/>
      <c r="AI28" s="641"/>
      <c r="AJ28" s="557"/>
      <c r="AK28" s="558"/>
      <c r="AL28" s="552"/>
      <c r="AM28" s="552"/>
      <c r="AN28" s="552"/>
      <c r="AO28" s="552"/>
      <c r="AP28" s="552"/>
      <c r="AQ28" s="552"/>
      <c r="AR28" s="552"/>
      <c r="AS28" s="552"/>
      <c r="AT28" s="552"/>
      <c r="AU28" s="552"/>
      <c r="AV28" s="552"/>
      <c r="AW28" s="552"/>
      <c r="AX28" s="552"/>
      <c r="AY28" s="552"/>
      <c r="AZ28" s="552"/>
      <c r="BA28" s="552"/>
      <c r="BB28" s="552"/>
      <c r="BC28" s="552"/>
      <c r="BD28" s="552"/>
      <c r="BE28" s="552"/>
      <c r="BF28" s="552"/>
      <c r="BG28" s="552"/>
      <c r="BH28" s="552"/>
      <c r="BI28" s="552"/>
      <c r="BJ28" s="552"/>
      <c r="BK28" s="552"/>
      <c r="BL28" s="313"/>
      <c r="BM28" s="657"/>
      <c r="BN28" s="552"/>
      <c r="BO28" s="552"/>
      <c r="BP28" s="552"/>
      <c r="BQ28" s="552"/>
      <c r="BR28" s="552"/>
      <c r="BS28" s="552"/>
      <c r="BT28" s="552"/>
      <c r="BU28" s="552"/>
      <c r="BV28" s="552"/>
      <c r="BW28" s="552"/>
      <c r="BX28" s="552"/>
      <c r="BY28" s="552"/>
      <c r="BZ28" s="552"/>
      <c r="CA28" s="552"/>
      <c r="CB28" s="552"/>
      <c r="CC28" s="552"/>
      <c r="CD28" s="552"/>
      <c r="CE28" s="552"/>
      <c r="CF28" s="552"/>
      <c r="CG28" s="552"/>
      <c r="CH28" s="552"/>
      <c r="CI28" s="552"/>
      <c r="CJ28" s="552"/>
      <c r="CK28" s="552"/>
      <c r="CL28" s="552"/>
      <c r="CM28" s="552"/>
    </row>
    <row r="29" spans="1:91" ht="12.75" hidden="1" customHeight="1">
      <c r="A29" s="175" t="s">
        <v>90</v>
      </c>
      <c r="B29" s="173">
        <f>2/4</f>
        <v>0.5</v>
      </c>
      <c r="C29" s="176">
        <f>4/4</f>
        <v>1</v>
      </c>
      <c r="D29" s="173"/>
      <c r="E29" s="173"/>
      <c r="F29" s="173"/>
      <c r="G29" s="173">
        <f>3/4</f>
        <v>0.75</v>
      </c>
      <c r="H29" s="173"/>
      <c r="I29" s="173"/>
      <c r="J29" s="173"/>
      <c r="K29" s="173"/>
      <c r="L29" s="173"/>
      <c r="M29" s="173"/>
      <c r="N29" s="173"/>
      <c r="O29" s="173"/>
      <c r="P29" s="173"/>
      <c r="Q29" s="173"/>
      <c r="R29" s="173"/>
      <c r="S29" s="173"/>
      <c r="T29" s="173"/>
      <c r="U29" s="173"/>
      <c r="V29" s="173"/>
      <c r="W29" s="173"/>
      <c r="X29" s="173"/>
      <c r="Y29" s="173">
        <f>2/4</f>
        <v>0.5</v>
      </c>
      <c r="Z29" s="173"/>
      <c r="AA29" s="173"/>
      <c r="AB29" s="173">
        <f>3/4</f>
        <v>0.75</v>
      </c>
      <c r="AC29" s="173"/>
      <c r="AD29" s="173">
        <f>1/4</f>
        <v>0.25</v>
      </c>
      <c r="AE29" s="173"/>
      <c r="AF29" s="177"/>
      <c r="AG29" s="177"/>
      <c r="AH29" s="177"/>
      <c r="AI29" s="641"/>
      <c r="AJ29" s="187"/>
      <c r="AK29" s="552"/>
      <c r="AL29" s="552"/>
      <c r="AM29" s="552"/>
      <c r="AN29" s="552"/>
      <c r="AO29" s="552"/>
      <c r="AP29" s="552"/>
      <c r="AQ29" s="552"/>
      <c r="AR29" s="552"/>
      <c r="AS29" s="552"/>
      <c r="AT29" s="552"/>
      <c r="AU29" s="552"/>
      <c r="AV29" s="552"/>
      <c r="AW29" s="552"/>
      <c r="AX29" s="552"/>
      <c r="AY29" s="552"/>
      <c r="AZ29" s="552"/>
      <c r="BA29" s="552"/>
      <c r="BB29" s="552"/>
      <c r="BC29" s="552"/>
      <c r="BD29" s="552"/>
      <c r="BE29" s="552"/>
      <c r="BF29" s="552"/>
      <c r="BG29" s="552"/>
      <c r="BH29" s="552"/>
      <c r="BI29" s="552"/>
      <c r="BJ29" s="552"/>
      <c r="BK29" s="552"/>
      <c r="BL29" s="313"/>
      <c r="BM29" s="657"/>
      <c r="BN29" s="552"/>
      <c r="BO29" s="552"/>
      <c r="BP29" s="552"/>
      <c r="BQ29" s="552"/>
      <c r="BR29" s="552"/>
      <c r="BS29" s="552"/>
      <c r="BT29" s="552"/>
      <c r="BU29" s="552"/>
      <c r="BV29" s="552"/>
      <c r="BW29" s="552"/>
      <c r="BX29" s="552"/>
      <c r="BY29" s="552"/>
      <c r="BZ29" s="552"/>
      <c r="CA29" s="552"/>
      <c r="CB29" s="552"/>
      <c r="CC29" s="552"/>
      <c r="CD29" s="552"/>
      <c r="CE29" s="552"/>
      <c r="CF29" s="552"/>
      <c r="CG29" s="552"/>
      <c r="CH29" s="552"/>
      <c r="CI29" s="552"/>
      <c r="CJ29" s="552"/>
      <c r="CK29" s="552"/>
      <c r="CL29" s="552"/>
      <c r="CM29" s="552"/>
    </row>
    <row r="30" spans="1:91" ht="22.5" hidden="1" customHeight="1">
      <c r="A30" s="175" t="s">
        <v>91</v>
      </c>
      <c r="B30" s="563">
        <f>14/25</f>
        <v>0.56000000000000005</v>
      </c>
      <c r="C30" s="563">
        <f>19/25</f>
        <v>0.76</v>
      </c>
      <c r="D30" s="563"/>
      <c r="E30" s="563"/>
      <c r="F30" s="563"/>
      <c r="G30" s="563"/>
      <c r="H30" s="563"/>
      <c r="I30" s="563"/>
      <c r="J30" s="563"/>
      <c r="K30" s="563"/>
      <c r="L30" s="563"/>
      <c r="M30" s="563"/>
      <c r="N30" s="563"/>
      <c r="O30" s="563"/>
      <c r="P30" s="563"/>
      <c r="Q30" s="563"/>
      <c r="R30" s="563"/>
      <c r="S30" s="563"/>
      <c r="T30" s="563"/>
      <c r="U30" s="563"/>
      <c r="V30" s="563"/>
      <c r="W30" s="173"/>
      <c r="X30" s="173"/>
      <c r="Y30" s="173">
        <f>9/25</f>
        <v>0.36</v>
      </c>
      <c r="Z30" s="173"/>
      <c r="AA30" s="173"/>
      <c r="AB30" s="173">
        <f>14/24</f>
        <v>0.58333333333333337</v>
      </c>
      <c r="AC30" s="173"/>
      <c r="AD30" s="173">
        <f>9/25</f>
        <v>0.36</v>
      </c>
      <c r="AE30" s="173"/>
      <c r="AF30" s="177"/>
      <c r="AG30" s="177"/>
      <c r="AH30" s="177"/>
      <c r="AI30" s="641"/>
      <c r="AJ30" s="187"/>
      <c r="AK30" s="187"/>
      <c r="AL30" s="552"/>
      <c r="AM30" s="552"/>
      <c r="AN30" s="552"/>
      <c r="AO30" s="552"/>
      <c r="AP30" s="552"/>
      <c r="AQ30" s="552"/>
      <c r="AR30" s="552"/>
      <c r="AS30" s="552"/>
      <c r="AT30" s="552"/>
      <c r="AU30" s="552"/>
      <c r="AV30" s="552"/>
      <c r="AW30" s="552"/>
      <c r="AX30" s="552"/>
      <c r="AY30" s="552"/>
      <c r="AZ30" s="552"/>
      <c r="BA30" s="552"/>
      <c r="BB30" s="552"/>
      <c r="BC30" s="552"/>
      <c r="BD30" s="552"/>
      <c r="BE30" s="552"/>
      <c r="BF30" s="552"/>
      <c r="BG30" s="552"/>
      <c r="BH30" s="552"/>
      <c r="BI30" s="552"/>
      <c r="BJ30" s="552"/>
      <c r="BK30" s="552"/>
      <c r="BL30" s="313"/>
      <c r="BM30" s="657"/>
      <c r="BN30" s="552"/>
      <c r="BO30" s="552"/>
      <c r="BP30" s="552"/>
      <c r="BQ30" s="552"/>
      <c r="BR30" s="552"/>
      <c r="BS30" s="552"/>
      <c r="BT30" s="552"/>
      <c r="BU30" s="552"/>
      <c r="BV30" s="552"/>
      <c r="BW30" s="552"/>
      <c r="BX30" s="552"/>
      <c r="BY30" s="552"/>
      <c r="BZ30" s="552"/>
      <c r="CA30" s="552"/>
      <c r="CB30" s="552"/>
      <c r="CC30" s="552"/>
      <c r="CD30" s="552"/>
      <c r="CE30" s="552"/>
      <c r="CF30" s="552"/>
      <c r="CG30" s="552"/>
      <c r="CH30" s="552"/>
      <c r="CI30" s="552"/>
      <c r="CJ30" s="552"/>
      <c r="CK30" s="552"/>
      <c r="CL30" s="552"/>
      <c r="CM30" s="552"/>
    </row>
    <row r="31" spans="1:91" ht="30" customHeight="1" thickBot="1">
      <c r="A31" s="562"/>
      <c r="B31" s="752" t="s">
        <v>92</v>
      </c>
      <c r="C31" s="753"/>
      <c r="D31" s="753"/>
      <c r="E31" s="566">
        <f>COUNTA(A31:A275)</f>
        <v>243</v>
      </c>
      <c r="F31" s="757" t="s">
        <v>93</v>
      </c>
      <c r="G31" s="758"/>
      <c r="H31" s="758"/>
      <c r="I31" s="565">
        <f>AVERAGE(AI32:AI274)</f>
        <v>8.8353909465020575</v>
      </c>
      <c r="J31" s="757" t="s">
        <v>94</v>
      </c>
      <c r="K31" s="758"/>
      <c r="L31" s="758"/>
      <c r="M31" s="758"/>
      <c r="N31" s="758"/>
      <c r="O31" s="758"/>
      <c r="P31" s="758"/>
      <c r="Q31" s="758"/>
      <c r="R31" s="758"/>
      <c r="S31" s="758"/>
      <c r="T31" s="758"/>
      <c r="U31" s="758"/>
      <c r="V31" s="759"/>
      <c r="W31" s="560"/>
      <c r="X31" s="560"/>
      <c r="Y31" s="560"/>
      <c r="Z31" s="560"/>
      <c r="AA31" s="560"/>
      <c r="AB31" s="560"/>
      <c r="AC31" s="560"/>
      <c r="AD31" s="560"/>
      <c r="AE31" s="560"/>
      <c r="AF31" s="560"/>
      <c r="AG31" s="560"/>
      <c r="AH31" s="561"/>
      <c r="AI31" s="167" t="s">
        <v>95</v>
      </c>
      <c r="AJ31" s="167" t="s">
        <v>96</v>
      </c>
      <c r="AK31" s="167" t="s">
        <v>97</v>
      </c>
      <c r="AL31" s="187"/>
      <c r="AM31" s="187"/>
      <c r="AN31" s="187"/>
      <c r="AO31" s="187"/>
      <c r="AP31" s="187"/>
      <c r="AQ31" s="187"/>
      <c r="AR31" s="187"/>
      <c r="AS31" s="187"/>
      <c r="AT31" s="187"/>
      <c r="AU31" s="187"/>
      <c r="AV31" s="187"/>
      <c r="AW31" s="187"/>
      <c r="AX31" s="187"/>
      <c r="AY31" s="187"/>
      <c r="AZ31" s="187"/>
      <c r="BA31" s="187"/>
      <c r="BB31" s="187"/>
      <c r="BC31" s="187"/>
      <c r="BD31" s="187"/>
      <c r="BE31" s="187"/>
      <c r="BF31" s="187"/>
      <c r="BG31" s="187"/>
      <c r="BH31" s="187"/>
      <c r="BI31" s="187"/>
      <c r="BJ31" s="187"/>
      <c r="BK31" s="187"/>
      <c r="BL31" s="318" t="str">
        <f>HYPERLINK("http://tangotiger.com/index.php/site/article/initial-scoring-system-for-hof-ballots-2016", "Tango Score 
(0 to 100)")</f>
        <v>Tango Score 
(0 to 100)</v>
      </c>
      <c r="BM31" s="658"/>
      <c r="BN31" s="179"/>
      <c r="BO31" s="179"/>
      <c r="BP31" s="179"/>
      <c r="BQ31" s="179"/>
      <c r="BR31" s="179"/>
      <c r="BS31" s="179"/>
      <c r="BT31" s="179"/>
      <c r="BU31" s="179"/>
      <c r="BV31" s="179"/>
      <c r="BW31" s="179"/>
      <c r="BX31" s="179"/>
      <c r="BY31" s="179"/>
      <c r="BZ31" s="179"/>
      <c r="CA31" s="179"/>
      <c r="CB31" s="179"/>
      <c r="CC31" s="179"/>
      <c r="CD31" s="179"/>
      <c r="CE31" s="179"/>
      <c r="CF31" s="179"/>
      <c r="CG31" s="179"/>
      <c r="CH31" s="179"/>
      <c r="CI31" s="179"/>
      <c r="CJ31" s="179"/>
      <c r="CK31" s="659" t="s">
        <v>98</v>
      </c>
      <c r="CL31" s="660"/>
      <c r="CM31" s="661"/>
    </row>
    <row r="32" spans="1:91" s="344" customFormat="1">
      <c r="A32" s="335" t="s">
        <v>99</v>
      </c>
      <c r="B32" s="564" t="s">
        <v>100</v>
      </c>
      <c r="C32" s="564" t="s">
        <v>100</v>
      </c>
      <c r="D32" s="564"/>
      <c r="E32" s="564" t="s">
        <v>100</v>
      </c>
      <c r="F32" s="564"/>
      <c r="G32" s="564"/>
      <c r="H32" s="564" t="s">
        <v>100</v>
      </c>
      <c r="I32" s="564"/>
      <c r="J32" s="564" t="s">
        <v>100</v>
      </c>
      <c r="K32" s="564"/>
      <c r="L32" s="564" t="s">
        <v>100</v>
      </c>
      <c r="M32" s="564"/>
      <c r="N32" s="564" t="s">
        <v>100</v>
      </c>
      <c r="O32" s="564"/>
      <c r="P32" s="564" t="s">
        <v>100</v>
      </c>
      <c r="Q32" s="564"/>
      <c r="R32" s="564"/>
      <c r="S32" s="564" t="s">
        <v>100</v>
      </c>
      <c r="T32" s="564"/>
      <c r="U32" s="564"/>
      <c r="V32" s="564"/>
      <c r="AI32" s="167">
        <f t="shared" ref="AI32" si="27">COUNTIF(B32:AH32,"x")</f>
        <v>9</v>
      </c>
      <c r="AJ32" s="340" t="str">
        <f>HYPERLINK("http://apps.bostonglobe.com/sports/graphics/2018/01/baseball-hof-2018/","Boston Globe")</f>
        <v>Boston Globe</v>
      </c>
      <c r="AK32" s="471">
        <v>43108</v>
      </c>
      <c r="AL32" s="352"/>
      <c r="AM32" s="352"/>
      <c r="AN32" s="352"/>
      <c r="AO32" s="352"/>
      <c r="AP32" s="352"/>
      <c r="AQ32" s="352"/>
      <c r="AR32" s="352"/>
      <c r="AS32" s="352"/>
      <c r="AT32" s="352"/>
      <c r="AU32" s="352"/>
      <c r="AV32" s="352"/>
      <c r="AW32" s="352"/>
      <c r="AX32" s="352"/>
      <c r="AY32" s="352"/>
      <c r="AZ32" s="352"/>
      <c r="BA32" s="352"/>
      <c r="BB32" s="352"/>
      <c r="BC32" s="352"/>
      <c r="BD32" s="352"/>
      <c r="BE32" s="352"/>
      <c r="BF32" s="352"/>
      <c r="BG32" s="352"/>
      <c r="BH32" s="352"/>
      <c r="BI32" s="352"/>
      <c r="BJ32" s="352"/>
      <c r="BK32" s="470"/>
      <c r="BL32" s="339"/>
      <c r="BM32" s="339"/>
      <c r="BN32" s="182"/>
      <c r="BO32" s="182"/>
      <c r="BP32" s="182"/>
      <c r="BQ32" s="182"/>
      <c r="BR32" s="182"/>
      <c r="BS32" s="182"/>
      <c r="BT32" s="182"/>
      <c r="BU32" s="182"/>
      <c r="BV32" s="182"/>
      <c r="BW32" s="182"/>
      <c r="BX32" s="182"/>
      <c r="BY32" s="182"/>
      <c r="BZ32" s="182"/>
      <c r="CA32" s="182"/>
      <c r="CB32" s="182"/>
      <c r="CC32" s="182"/>
      <c r="CD32" s="182"/>
      <c r="CE32" s="182"/>
      <c r="CF32" s="182"/>
      <c r="CG32" s="182"/>
      <c r="CH32" s="182"/>
      <c r="CI32" s="182"/>
      <c r="CJ32" s="182"/>
      <c r="CK32" s="647"/>
      <c r="CL32" s="648"/>
      <c r="CM32" s="649"/>
    </row>
    <row r="33" spans="1:91" s="344" customFormat="1">
      <c r="A33" s="335" t="s">
        <v>101</v>
      </c>
      <c r="B33" s="519"/>
      <c r="C33" s="519"/>
      <c r="D33" s="182"/>
      <c r="E33" s="522" t="s">
        <v>100</v>
      </c>
      <c r="F33" s="519" t="s">
        <v>100</v>
      </c>
      <c r="G33" s="519"/>
      <c r="H33" s="519" t="s">
        <v>100</v>
      </c>
      <c r="I33" s="519" t="s">
        <v>100</v>
      </c>
      <c r="J33" s="519" t="s">
        <v>100</v>
      </c>
      <c r="K33" s="519"/>
      <c r="L33" s="522" t="s">
        <v>100</v>
      </c>
      <c r="M33" s="519"/>
      <c r="N33" s="519"/>
      <c r="O33" s="519"/>
      <c r="P33" s="522" t="s">
        <v>100</v>
      </c>
      <c r="Q33" s="519"/>
      <c r="R33" s="519"/>
      <c r="S33" s="519" t="s">
        <v>100</v>
      </c>
      <c r="T33" s="519"/>
      <c r="U33" s="519"/>
      <c r="V33" s="519"/>
      <c r="W33" s="182"/>
      <c r="X33" s="182"/>
      <c r="Y33" s="182"/>
      <c r="Z33" s="182"/>
      <c r="AA33" s="182"/>
      <c r="AB33" s="182"/>
      <c r="AC33" s="182"/>
      <c r="AD33" s="182"/>
      <c r="AE33" s="182"/>
      <c r="AF33" s="182"/>
      <c r="AG33" s="182"/>
      <c r="AH33" s="182"/>
      <c r="AI33" s="167">
        <f t="shared" ref="AI33:AI34" si="28">COUNTIF(B33:AH33,"x")</f>
        <v>8</v>
      </c>
      <c r="AJ33" s="340" t="str">
        <f>HYPERLINK("http://blog.davealbee.com/2017/12/this-years-baseball-hall-of-fame-voting.html?m=0","The Daily Lowdown")</f>
        <v>The Daily Lowdown</v>
      </c>
      <c r="AK33" s="341">
        <v>43096</v>
      </c>
      <c r="AL33" s="352"/>
      <c r="AM33" s="352"/>
      <c r="AN33" s="352"/>
      <c r="AO33" s="352"/>
      <c r="AP33" s="352"/>
      <c r="AQ33" s="352"/>
      <c r="AR33" s="352"/>
      <c r="AS33" s="352"/>
      <c r="AT33" s="352"/>
      <c r="AU33" s="352"/>
      <c r="AV33" s="352"/>
      <c r="AW33" s="352"/>
      <c r="AX33" s="352"/>
      <c r="AY33" s="352"/>
      <c r="AZ33" s="352"/>
      <c r="BA33" s="352"/>
      <c r="BB33" s="352"/>
      <c r="BC33" s="352"/>
      <c r="BD33" s="352"/>
      <c r="BE33" s="352"/>
      <c r="BF33" s="352"/>
      <c r="BG33" s="352"/>
      <c r="BH33" s="352"/>
      <c r="BI33" s="352"/>
      <c r="BJ33" s="352"/>
      <c r="BK33" s="470"/>
      <c r="BL33" s="339"/>
      <c r="BM33" s="339"/>
      <c r="BN33" s="182"/>
      <c r="BO33" s="182"/>
      <c r="BP33" s="182"/>
      <c r="BQ33" s="182"/>
      <c r="BR33" s="182"/>
      <c r="BS33" s="182"/>
      <c r="BT33" s="182"/>
      <c r="BU33" s="182"/>
      <c r="BV33" s="182"/>
      <c r="BW33" s="182"/>
      <c r="BX33" s="182"/>
      <c r="BY33" s="182"/>
      <c r="BZ33" s="182"/>
      <c r="CA33" s="182"/>
      <c r="CB33" s="182"/>
      <c r="CC33" s="182"/>
      <c r="CD33" s="182"/>
      <c r="CE33" s="182"/>
      <c r="CF33" s="182"/>
      <c r="CG33" s="182"/>
      <c r="CH33" s="182"/>
      <c r="CI33" s="182"/>
      <c r="CJ33" s="182"/>
      <c r="CK33" s="647"/>
      <c r="CL33" s="648"/>
      <c r="CM33" s="649"/>
    </row>
    <row r="34" spans="1:91" s="344" customFormat="1">
      <c r="A34" s="335" t="s">
        <v>102</v>
      </c>
      <c r="B34" s="519" t="s">
        <v>100</v>
      </c>
      <c r="C34" s="519" t="s">
        <v>100</v>
      </c>
      <c r="D34" s="182"/>
      <c r="E34" s="519" t="s">
        <v>100</v>
      </c>
      <c r="F34" s="519" t="s">
        <v>100</v>
      </c>
      <c r="G34" s="519"/>
      <c r="H34" s="519" t="s">
        <v>100</v>
      </c>
      <c r="I34" s="519"/>
      <c r="J34" s="519" t="s">
        <v>100</v>
      </c>
      <c r="K34" s="519"/>
      <c r="L34" s="522" t="s">
        <v>100</v>
      </c>
      <c r="M34" s="519"/>
      <c r="N34" s="519"/>
      <c r="O34" s="519"/>
      <c r="P34" s="522" t="s">
        <v>100</v>
      </c>
      <c r="Q34" s="519"/>
      <c r="R34" s="519"/>
      <c r="S34" s="519" t="s">
        <v>100</v>
      </c>
      <c r="T34" s="519" t="s">
        <v>100</v>
      </c>
      <c r="U34" s="519"/>
      <c r="V34" s="519"/>
      <c r="W34" s="182"/>
      <c r="X34" s="182"/>
      <c r="Y34" s="182"/>
      <c r="Z34" s="182"/>
      <c r="AA34" s="182"/>
      <c r="AB34" s="182"/>
      <c r="AC34" s="182"/>
      <c r="AD34" s="182"/>
      <c r="AE34" s="182"/>
      <c r="AF34" s="182"/>
      <c r="AG34" s="182"/>
      <c r="AH34" s="182"/>
      <c r="AI34" s="167">
        <f t="shared" si="28"/>
        <v>10</v>
      </c>
      <c r="AJ34" s="340" t="str">
        <f>HYPERLINK("https://twitter.com/Jim_Alexander/status/956218081226797056","Twitter")</f>
        <v>Twitter</v>
      </c>
      <c r="AK34" s="341">
        <v>43124</v>
      </c>
      <c r="AL34" s="352"/>
      <c r="AM34" s="352"/>
      <c r="AN34" s="352"/>
      <c r="AO34" s="352"/>
      <c r="AP34" s="352"/>
      <c r="AQ34" s="352"/>
      <c r="AR34" s="352"/>
      <c r="AS34" s="352"/>
      <c r="AT34" s="352"/>
      <c r="AU34" s="352"/>
      <c r="AV34" s="352"/>
      <c r="AW34" s="352"/>
      <c r="AX34" s="352"/>
      <c r="AY34" s="352"/>
      <c r="AZ34" s="352"/>
      <c r="BA34" s="352"/>
      <c r="BB34" s="352"/>
      <c r="BC34" s="352"/>
      <c r="BD34" s="352"/>
      <c r="BE34" s="352"/>
      <c r="BF34" s="352"/>
      <c r="BG34" s="352"/>
      <c r="BH34" s="352"/>
      <c r="BI34" s="352"/>
      <c r="BJ34" s="352"/>
      <c r="BK34" s="470"/>
      <c r="BL34" s="339"/>
      <c r="BM34" s="339"/>
      <c r="BN34" s="182"/>
      <c r="BO34" s="182"/>
      <c r="BP34" s="182"/>
      <c r="BQ34" s="182"/>
      <c r="BR34" s="182"/>
      <c r="BS34" s="182"/>
      <c r="BT34" s="182"/>
      <c r="BU34" s="182"/>
      <c r="BV34" s="182"/>
      <c r="BW34" s="182"/>
      <c r="BX34" s="182"/>
      <c r="BY34" s="182"/>
      <c r="BZ34" s="182"/>
      <c r="CA34" s="182"/>
      <c r="CB34" s="182"/>
      <c r="CC34" s="182"/>
      <c r="CD34" s="182"/>
      <c r="CE34" s="182"/>
      <c r="CF34" s="182"/>
      <c r="CG34" s="182"/>
      <c r="CH34" s="182"/>
      <c r="CI34" s="182"/>
      <c r="CJ34" s="182"/>
      <c r="CK34" s="662" t="s">
        <v>103</v>
      </c>
      <c r="CL34" s="663"/>
      <c r="CM34" s="664"/>
    </row>
    <row r="35" spans="1:91" s="344" customFormat="1">
      <c r="A35" s="335" t="s">
        <v>104</v>
      </c>
      <c r="B35" s="519" t="s">
        <v>100</v>
      </c>
      <c r="C35" s="519" t="s">
        <v>100</v>
      </c>
      <c r="D35" s="182"/>
      <c r="E35" s="519" t="s">
        <v>100</v>
      </c>
      <c r="F35" s="519" t="s">
        <v>100</v>
      </c>
      <c r="G35" s="519"/>
      <c r="H35" s="519" t="s">
        <v>100</v>
      </c>
      <c r="I35" s="519"/>
      <c r="J35" s="519" t="s">
        <v>100</v>
      </c>
      <c r="K35" s="519"/>
      <c r="L35" s="519" t="s">
        <v>100</v>
      </c>
      <c r="M35" s="519"/>
      <c r="N35" s="519"/>
      <c r="O35" s="519"/>
      <c r="P35" s="522" t="s">
        <v>100</v>
      </c>
      <c r="Q35" s="519"/>
      <c r="R35" s="519"/>
      <c r="S35" s="519" t="s">
        <v>100</v>
      </c>
      <c r="T35" s="519"/>
      <c r="U35" s="519"/>
      <c r="V35" s="522" t="s">
        <v>100</v>
      </c>
      <c r="W35" s="182"/>
      <c r="X35" s="182"/>
      <c r="Y35" s="182"/>
      <c r="Z35" s="182"/>
      <c r="AA35" s="182"/>
      <c r="AB35" s="182"/>
      <c r="AC35" s="182"/>
      <c r="AD35" s="182"/>
      <c r="AE35" s="182"/>
      <c r="AF35" s="182"/>
      <c r="AG35" s="182"/>
      <c r="AH35" s="182"/>
      <c r="AI35" s="167">
        <f t="shared" ref="AI35:AI36" si="29">COUNTIF(B35:AH35,"x")</f>
        <v>10</v>
      </c>
      <c r="AJ35" s="340" t="str">
        <f>HYPERLINK("https://twitter.com/NashSportsEd/status/943523449326194691","Twitter")</f>
        <v>Twitter</v>
      </c>
      <c r="AK35" s="341">
        <v>43089</v>
      </c>
      <c r="AL35" s="352"/>
      <c r="AM35" s="352"/>
      <c r="AN35" s="352"/>
      <c r="AO35" s="352"/>
      <c r="AP35" s="352"/>
      <c r="AQ35" s="352"/>
      <c r="AR35" s="352"/>
      <c r="AS35" s="352"/>
      <c r="AT35" s="352"/>
      <c r="AU35" s="352"/>
      <c r="AV35" s="352"/>
      <c r="AW35" s="352"/>
      <c r="AX35" s="352"/>
      <c r="AY35" s="352"/>
      <c r="AZ35" s="352"/>
      <c r="BA35" s="352"/>
      <c r="BB35" s="352"/>
      <c r="BC35" s="352"/>
      <c r="BD35" s="352"/>
      <c r="BE35" s="352"/>
      <c r="BF35" s="352"/>
      <c r="BG35" s="352"/>
      <c r="BH35" s="352"/>
      <c r="BI35" s="352"/>
      <c r="BJ35" s="352"/>
      <c r="BK35" s="470"/>
      <c r="BL35" s="339"/>
      <c r="BM35" s="339"/>
      <c r="BN35" s="182"/>
      <c r="BO35" s="182"/>
      <c r="BP35" s="182"/>
      <c r="BQ35" s="182"/>
      <c r="BR35" s="182"/>
      <c r="BS35" s="182"/>
      <c r="BT35" s="182"/>
      <c r="BU35" s="182"/>
      <c r="BV35" s="182"/>
      <c r="BW35" s="182"/>
      <c r="BX35" s="182"/>
      <c r="BY35" s="182"/>
      <c r="BZ35" s="182"/>
      <c r="CA35" s="182"/>
      <c r="CB35" s="182"/>
      <c r="CC35" s="182"/>
      <c r="CD35" s="182"/>
      <c r="CE35" s="182"/>
      <c r="CF35" s="182"/>
      <c r="CG35" s="182"/>
      <c r="CH35" s="182"/>
      <c r="CI35" s="182"/>
      <c r="CJ35" s="182"/>
      <c r="CK35" s="647" t="s">
        <v>105</v>
      </c>
      <c r="CL35" s="648"/>
      <c r="CM35" s="649"/>
    </row>
    <row r="36" spans="1:91" s="344" customFormat="1">
      <c r="A36" s="335" t="s">
        <v>106</v>
      </c>
      <c r="B36" s="519" t="s">
        <v>100</v>
      </c>
      <c r="C36" s="519" t="s">
        <v>100</v>
      </c>
      <c r="D36" s="182"/>
      <c r="E36" s="519" t="s">
        <v>100</v>
      </c>
      <c r="F36" s="519" t="s">
        <v>100</v>
      </c>
      <c r="G36" s="519"/>
      <c r="H36" s="519" t="s">
        <v>100</v>
      </c>
      <c r="I36" s="519"/>
      <c r="J36" s="519" t="s">
        <v>100</v>
      </c>
      <c r="K36" s="519"/>
      <c r="L36" s="519" t="s">
        <v>100</v>
      </c>
      <c r="M36" s="519"/>
      <c r="N36" s="519"/>
      <c r="O36" s="519"/>
      <c r="P36" s="519" t="s">
        <v>100</v>
      </c>
      <c r="Q36" s="519"/>
      <c r="R36" s="519"/>
      <c r="S36" s="519" t="s">
        <v>100</v>
      </c>
      <c r="T36" s="519"/>
      <c r="U36" s="519"/>
      <c r="V36" s="522" t="s">
        <v>100</v>
      </c>
      <c r="W36" s="182"/>
      <c r="X36" s="182"/>
      <c r="Y36" s="182"/>
      <c r="Z36" s="182"/>
      <c r="AA36" s="182"/>
      <c r="AB36" s="182"/>
      <c r="AC36" s="182"/>
      <c r="AD36" s="182"/>
      <c r="AE36" s="182"/>
      <c r="AF36" s="182"/>
      <c r="AG36" s="182"/>
      <c r="AH36" s="182"/>
      <c r="AI36" s="167">
        <f t="shared" si="29"/>
        <v>10</v>
      </c>
      <c r="AJ36" s="340" t="str">
        <f>HYPERLINK("http://www.courant.com/sports/uconn-mens-basketball/hc-sp-uconn-men-pod-big-east-20180109-story.html","Courant Podcast")</f>
        <v>Courant Podcast</v>
      </c>
      <c r="AK36" s="341">
        <v>43109</v>
      </c>
      <c r="AL36" s="352"/>
      <c r="AM36" s="352"/>
      <c r="AN36" s="352"/>
      <c r="AO36" s="352"/>
      <c r="AP36" s="352"/>
      <c r="AQ36" s="352"/>
      <c r="AR36" s="352"/>
      <c r="AS36" s="352"/>
      <c r="AT36" s="352"/>
      <c r="AU36" s="352"/>
      <c r="AV36" s="352"/>
      <c r="AW36" s="352"/>
      <c r="AX36" s="352"/>
      <c r="AY36" s="352"/>
      <c r="AZ36" s="352"/>
      <c r="BA36" s="352"/>
      <c r="BB36" s="352"/>
      <c r="BC36" s="352"/>
      <c r="BD36" s="352"/>
      <c r="BE36" s="352"/>
      <c r="BF36" s="352"/>
      <c r="BG36" s="352"/>
      <c r="BH36" s="352"/>
      <c r="BI36" s="352"/>
      <c r="BJ36" s="352"/>
      <c r="BK36" s="470"/>
      <c r="BL36" s="339"/>
      <c r="BM36" s="339"/>
      <c r="BN36" s="182"/>
      <c r="BO36" s="182"/>
      <c r="BP36" s="182"/>
      <c r="BQ36" s="182"/>
      <c r="BR36" s="182"/>
      <c r="BS36" s="182"/>
      <c r="BT36" s="182"/>
      <c r="BU36" s="182"/>
      <c r="BV36" s="182"/>
      <c r="BW36" s="182"/>
      <c r="BX36" s="182"/>
      <c r="BY36" s="182"/>
      <c r="BZ36" s="182"/>
      <c r="CA36" s="182"/>
      <c r="CB36" s="182"/>
      <c r="CC36" s="182"/>
      <c r="CD36" s="182"/>
      <c r="CE36" s="182"/>
      <c r="CF36" s="182"/>
      <c r="CG36" s="182"/>
      <c r="CH36" s="182"/>
      <c r="CI36" s="182"/>
      <c r="CJ36" s="182"/>
      <c r="CK36" s="647" t="s">
        <v>107</v>
      </c>
      <c r="CL36" s="648"/>
      <c r="CM36" s="649"/>
    </row>
    <row r="37" spans="1:91" s="344" customFormat="1">
      <c r="A37" s="331" t="s">
        <v>108</v>
      </c>
      <c r="B37" s="519" t="s">
        <v>100</v>
      </c>
      <c r="C37" s="519" t="s">
        <v>100</v>
      </c>
      <c r="D37" s="182"/>
      <c r="E37" s="519" t="s">
        <v>100</v>
      </c>
      <c r="F37" s="519" t="s">
        <v>100</v>
      </c>
      <c r="G37" s="519"/>
      <c r="H37" s="519" t="s">
        <v>100</v>
      </c>
      <c r="I37" s="519"/>
      <c r="J37" s="519" t="s">
        <v>100</v>
      </c>
      <c r="K37" s="519"/>
      <c r="L37" s="519" t="s">
        <v>100</v>
      </c>
      <c r="M37" s="519"/>
      <c r="N37" s="519"/>
      <c r="O37" s="519"/>
      <c r="P37" s="519" t="s">
        <v>100</v>
      </c>
      <c r="Q37" s="519"/>
      <c r="R37" s="519"/>
      <c r="S37" s="519" t="s">
        <v>100</v>
      </c>
      <c r="T37" s="519"/>
      <c r="U37" s="519"/>
      <c r="V37" s="519" t="s">
        <v>100</v>
      </c>
      <c r="W37" s="182"/>
      <c r="X37" s="182"/>
      <c r="Y37" s="182"/>
      <c r="Z37" s="182"/>
      <c r="AA37" s="182"/>
      <c r="AB37" s="182"/>
      <c r="AC37" s="182"/>
      <c r="AD37" s="182"/>
      <c r="AE37" s="182"/>
      <c r="AF37" s="182"/>
      <c r="AG37" s="182"/>
      <c r="AH37" s="182"/>
      <c r="AI37" s="167">
        <f t="shared" ref="AI37:AI118" si="30">COUNTIF(B37:AH37,"x")</f>
        <v>10</v>
      </c>
      <c r="AJ37" s="340" t="str">
        <f>HYPERLINK("https://twitter.com/aandro/status/940768992578494466","Twitter")</f>
        <v>Twitter</v>
      </c>
      <c r="AK37" s="341">
        <v>43081</v>
      </c>
      <c r="AL37" s="352"/>
      <c r="AM37" s="352">
        <f>IF(B37=1,0,0)</f>
        <v>0</v>
      </c>
      <c r="AN37" s="352" t="e">
        <f>IF(#REF!=1,13,0)</f>
        <v>#REF!</v>
      </c>
      <c r="AO37" s="352">
        <f>IF(E37=1,8,0)</f>
        <v>0</v>
      </c>
      <c r="AP37" s="352">
        <f>IF(G37=1,8,0)</f>
        <v>0</v>
      </c>
      <c r="AQ37" s="352">
        <f>IF(I37=1,0,0)</f>
        <v>0</v>
      </c>
      <c r="AR37" s="352">
        <f>IF(J37=1,0,0)</f>
        <v>0</v>
      </c>
      <c r="AS37" s="352" t="e">
        <f>IF(#REF!=1,0,0)</f>
        <v>#REF!</v>
      </c>
      <c r="AT37" s="352">
        <f>IF(K37=1,19,0)</f>
        <v>0</v>
      </c>
      <c r="AU37" s="352">
        <f>IF(N37=1,13,0)</f>
        <v>0</v>
      </c>
      <c r="AV37" s="352">
        <f>IF(O37=1,0,0)</f>
        <v>0</v>
      </c>
      <c r="AW37" s="352">
        <f>IF(P37=1,3,0)</f>
        <v>0</v>
      </c>
      <c r="AX37" s="352">
        <f>IF(S37=1,8,0)</f>
        <v>0</v>
      </c>
      <c r="AY37" s="352">
        <f>IF(T37=1,4,0)</f>
        <v>0</v>
      </c>
      <c r="AZ37" s="352">
        <f>IF(U37=1,2,0)</f>
        <v>0</v>
      </c>
      <c r="BA37" s="352" t="e">
        <f>IF(#REF!=1,8,0)</f>
        <v>#REF!</v>
      </c>
      <c r="BB37" s="352">
        <f>IF(X37=1,16,0)</f>
        <v>0</v>
      </c>
      <c r="BC37" s="352">
        <f>IF(Y37=1,13,0)</f>
        <v>0</v>
      </c>
      <c r="BD37" s="352">
        <f>IF(Z37=1,10,0)</f>
        <v>0</v>
      </c>
      <c r="BE37" s="352" t="e">
        <f>IF(#REF!=1,2,0)</f>
        <v>#REF!</v>
      </c>
      <c r="BF37" s="352">
        <f>IF(AB37=1,6,0)</f>
        <v>0</v>
      </c>
      <c r="BG37" s="352">
        <f>IF(AD37=1,1,0)</f>
        <v>0</v>
      </c>
      <c r="BH37" s="352" t="e">
        <f>IF(#REF!=1,8,0)</f>
        <v>#REF!</v>
      </c>
      <c r="BI37" s="352">
        <f t="shared" ref="BI37" si="31">IF(AG37=1,2,0)</f>
        <v>0</v>
      </c>
      <c r="BJ37" s="352">
        <f t="shared" ref="BJ37" si="32">IF(AH37=1,3,0)</f>
        <v>0</v>
      </c>
      <c r="BK37" s="470" t="e">
        <f>LARGE(AM37:BJ37,1)+LARGE(AM37:BJ37,2)+LARGE(AM37:BJ37,3)+LARGE(AM37:BJ37,4)+LARGE(AM37:BJ37,5)+LARGE(AM37:BJ37,6)+LARGE(AM37:BJ37,7)+LARGE(AM37:BJ37,8)</f>
        <v>#REF!</v>
      </c>
      <c r="BL37" s="339" t="e">
        <f t="shared" ref="BL37" si="33">BK37</f>
        <v>#REF!</v>
      </c>
      <c r="BM37" s="339"/>
      <c r="BN37" s="182"/>
      <c r="BO37" s="182"/>
      <c r="BP37" s="182"/>
      <c r="BQ37" s="182"/>
      <c r="BR37" s="182"/>
      <c r="BS37" s="182"/>
      <c r="BT37" s="182"/>
      <c r="BU37" s="182"/>
      <c r="BV37" s="182"/>
      <c r="BW37" s="182"/>
      <c r="BX37" s="182"/>
      <c r="BY37" s="182"/>
      <c r="BZ37" s="182"/>
      <c r="CA37" s="182"/>
      <c r="CB37" s="182"/>
      <c r="CC37" s="182"/>
      <c r="CD37" s="182"/>
      <c r="CE37" s="182"/>
      <c r="CF37" s="182"/>
      <c r="CG37" s="182"/>
      <c r="CH37" s="182"/>
      <c r="CI37" s="182"/>
      <c r="CJ37" s="182"/>
      <c r="CK37" s="647" t="s">
        <v>109</v>
      </c>
      <c r="CL37" s="648"/>
      <c r="CM37" s="649"/>
    </row>
    <row r="38" spans="1:91" s="344" customFormat="1">
      <c r="A38" s="335" t="s">
        <v>110</v>
      </c>
      <c r="B38" s="519"/>
      <c r="C38" s="519"/>
      <c r="D38" s="519" t="s">
        <v>100</v>
      </c>
      <c r="E38" s="519" t="s">
        <v>100</v>
      </c>
      <c r="F38" s="519" t="s">
        <v>100</v>
      </c>
      <c r="G38" s="519"/>
      <c r="H38" s="519" t="s">
        <v>100</v>
      </c>
      <c r="I38" s="519"/>
      <c r="J38" s="519" t="s">
        <v>100</v>
      </c>
      <c r="K38" s="522" t="s">
        <v>100</v>
      </c>
      <c r="L38" s="519" t="s">
        <v>100</v>
      </c>
      <c r="M38" s="519"/>
      <c r="N38" s="519"/>
      <c r="O38" s="519"/>
      <c r="P38" s="519"/>
      <c r="Q38" s="519"/>
      <c r="R38" s="519"/>
      <c r="S38" s="519" t="s">
        <v>100</v>
      </c>
      <c r="T38" s="519" t="s">
        <v>100</v>
      </c>
      <c r="U38" s="523"/>
      <c r="V38" s="519"/>
      <c r="W38" s="182"/>
      <c r="X38" s="182"/>
      <c r="Y38" s="182"/>
      <c r="Z38" s="182"/>
      <c r="AA38" s="182"/>
      <c r="AB38" s="182"/>
      <c r="AC38" s="182"/>
      <c r="AD38" s="182"/>
      <c r="AE38" s="182"/>
      <c r="AF38" s="182"/>
      <c r="AG38" s="182"/>
      <c r="AH38" s="182"/>
      <c r="AI38" s="167">
        <f t="shared" si="30"/>
        <v>9</v>
      </c>
      <c r="AJ38" s="340" t="str">
        <f>HYPERLINK("http://www.masnsports.com/mel-antonen/2018/01/answering-hall-of-fame-questions-and-revealing-this-years-ballot.html","MASN")</f>
        <v>MASN</v>
      </c>
      <c r="AK38" s="341">
        <v>43103</v>
      </c>
      <c r="AL38" s="352"/>
      <c r="AM38" s="352"/>
      <c r="AN38" s="352"/>
      <c r="AO38" s="352"/>
      <c r="AP38" s="352"/>
      <c r="AQ38" s="352"/>
      <c r="AR38" s="352"/>
      <c r="AS38" s="352"/>
      <c r="AT38" s="352"/>
      <c r="AU38" s="352"/>
      <c r="AV38" s="352"/>
      <c r="AW38" s="352"/>
      <c r="AX38" s="352"/>
      <c r="AY38" s="352"/>
      <c r="AZ38" s="352"/>
      <c r="BA38" s="352"/>
      <c r="BB38" s="352"/>
      <c r="BC38" s="352"/>
      <c r="BD38" s="352"/>
      <c r="BE38" s="352"/>
      <c r="BF38" s="352"/>
      <c r="BG38" s="352"/>
      <c r="BH38" s="352"/>
      <c r="BI38" s="352"/>
      <c r="BJ38" s="352"/>
      <c r="BK38" s="470"/>
      <c r="BL38" s="339"/>
      <c r="BM38" s="339"/>
      <c r="BN38" s="182"/>
      <c r="BO38" s="182"/>
      <c r="BP38" s="182"/>
      <c r="BQ38" s="182"/>
      <c r="BR38" s="182"/>
      <c r="BS38" s="182"/>
      <c r="BT38" s="182"/>
      <c r="BU38" s="182"/>
      <c r="BV38" s="182"/>
      <c r="BW38" s="182"/>
      <c r="BX38" s="182"/>
      <c r="BY38" s="182"/>
      <c r="BZ38" s="182"/>
      <c r="CA38" s="182"/>
      <c r="CB38" s="182"/>
      <c r="CC38" s="182"/>
      <c r="CD38" s="182"/>
      <c r="CE38" s="182"/>
      <c r="CF38" s="182"/>
      <c r="CG38" s="182"/>
      <c r="CH38" s="182"/>
      <c r="CI38" s="182"/>
      <c r="CJ38" s="182"/>
      <c r="CK38" s="621"/>
      <c r="CL38" s="622"/>
      <c r="CM38" s="623"/>
    </row>
    <row r="39" spans="1:91" s="344" customFormat="1">
      <c r="A39" s="335" t="s">
        <v>111</v>
      </c>
      <c r="B39" s="519"/>
      <c r="C39" s="519"/>
      <c r="D39" s="182"/>
      <c r="E39" s="519" t="s">
        <v>100</v>
      </c>
      <c r="F39" s="519" t="s">
        <v>100</v>
      </c>
      <c r="G39" s="519"/>
      <c r="H39" s="519" t="s">
        <v>100</v>
      </c>
      <c r="I39" s="519"/>
      <c r="J39" s="519" t="s">
        <v>100</v>
      </c>
      <c r="K39" s="519"/>
      <c r="L39" s="519" t="s">
        <v>100</v>
      </c>
      <c r="M39" s="519"/>
      <c r="N39" s="519" t="s">
        <v>100</v>
      </c>
      <c r="O39" s="519"/>
      <c r="P39" s="522" t="s">
        <v>100</v>
      </c>
      <c r="Q39" s="519"/>
      <c r="R39" s="519"/>
      <c r="S39" s="519" t="s">
        <v>100</v>
      </c>
      <c r="T39" s="519" t="s">
        <v>100</v>
      </c>
      <c r="U39" s="519"/>
      <c r="V39" s="519" t="s">
        <v>100</v>
      </c>
      <c r="W39" s="182"/>
      <c r="X39" s="182"/>
      <c r="Y39" s="182"/>
      <c r="Z39" s="182"/>
      <c r="AA39" s="182"/>
      <c r="AB39" s="182"/>
      <c r="AC39" s="182"/>
      <c r="AD39" s="182"/>
      <c r="AE39" s="182"/>
      <c r="AF39" s="182"/>
      <c r="AG39" s="182"/>
      <c r="AH39" s="182"/>
      <c r="AI39" s="167">
        <f t="shared" si="30"/>
        <v>10</v>
      </c>
      <c r="AJ39" s="340" t="str">
        <f>HYPERLINK("http://www.golferswest.com/all-sports-opinions/steroid-users-cheated-spirit-of-the-game/","DM then Golfers West")</f>
        <v>DM then Golfers West</v>
      </c>
      <c r="AK39" s="341">
        <v>43083</v>
      </c>
      <c r="AL39" s="352"/>
      <c r="AM39" s="352"/>
      <c r="AN39" s="352"/>
      <c r="AO39" s="352"/>
      <c r="AP39" s="352"/>
      <c r="AQ39" s="352"/>
      <c r="AR39" s="352"/>
      <c r="AS39" s="352"/>
      <c r="AT39" s="352"/>
      <c r="AU39" s="352"/>
      <c r="AV39" s="352"/>
      <c r="AW39" s="352"/>
      <c r="AX39" s="352"/>
      <c r="AY39" s="352"/>
      <c r="AZ39" s="352"/>
      <c r="BA39" s="352"/>
      <c r="BB39" s="352"/>
      <c r="BC39" s="352"/>
      <c r="BD39" s="352"/>
      <c r="BE39" s="352"/>
      <c r="BF39" s="352"/>
      <c r="BG39" s="352"/>
      <c r="BH39" s="352"/>
      <c r="BI39" s="352"/>
      <c r="BJ39" s="352"/>
      <c r="BK39" s="470"/>
      <c r="BL39" s="339"/>
      <c r="BM39" s="339"/>
      <c r="BN39" s="182"/>
      <c r="BO39" s="182"/>
      <c r="BP39" s="182"/>
      <c r="BQ39" s="182"/>
      <c r="BR39" s="182"/>
      <c r="BS39" s="182"/>
      <c r="BT39" s="182"/>
      <c r="BU39" s="182"/>
      <c r="BV39" s="182"/>
      <c r="BW39" s="182"/>
      <c r="BX39" s="182"/>
      <c r="BY39" s="182"/>
      <c r="BZ39" s="182"/>
      <c r="CA39" s="182"/>
      <c r="CB39" s="182"/>
      <c r="CC39" s="182"/>
      <c r="CD39" s="182"/>
      <c r="CE39" s="182"/>
      <c r="CF39" s="182"/>
      <c r="CG39" s="182"/>
      <c r="CH39" s="182"/>
      <c r="CI39" s="182"/>
      <c r="CJ39" s="182"/>
      <c r="CK39" s="647"/>
      <c r="CL39" s="648"/>
      <c r="CM39" s="649"/>
    </row>
    <row r="40" spans="1:91" s="344" customFormat="1">
      <c r="A40" s="335" t="s">
        <v>112</v>
      </c>
      <c r="B40" s="519"/>
      <c r="C40" s="519"/>
      <c r="D40" s="182"/>
      <c r="E40" s="522" t="s">
        <v>100</v>
      </c>
      <c r="F40" s="519" t="s">
        <v>100</v>
      </c>
      <c r="G40" s="519"/>
      <c r="H40" s="519" t="s">
        <v>100</v>
      </c>
      <c r="I40" s="519"/>
      <c r="J40" s="519" t="s">
        <v>100</v>
      </c>
      <c r="K40" s="519"/>
      <c r="L40" s="519" t="s">
        <v>100</v>
      </c>
      <c r="M40" s="519"/>
      <c r="N40" s="519"/>
      <c r="O40" s="519"/>
      <c r="P40" s="519" t="s">
        <v>100</v>
      </c>
      <c r="Q40" s="519"/>
      <c r="R40" s="519"/>
      <c r="S40" s="519" t="s">
        <v>100</v>
      </c>
      <c r="T40" s="519"/>
      <c r="U40" s="519"/>
      <c r="V40" s="522" t="s">
        <v>100</v>
      </c>
      <c r="W40" s="182"/>
      <c r="X40" s="182"/>
      <c r="Y40" s="182"/>
      <c r="Z40" s="182"/>
      <c r="AA40" s="182"/>
      <c r="AB40" s="182"/>
      <c r="AC40" s="182"/>
      <c r="AD40" s="182"/>
      <c r="AE40" s="182"/>
      <c r="AF40" s="182"/>
      <c r="AG40" s="182"/>
      <c r="AH40" s="182"/>
      <c r="AI40" s="167">
        <f t="shared" si="30"/>
        <v>8</v>
      </c>
      <c r="AJ40" s="530" t="s">
        <v>113</v>
      </c>
      <c r="AK40" s="341">
        <v>43098</v>
      </c>
      <c r="AL40" s="352"/>
      <c r="AM40" s="352"/>
      <c r="AN40" s="352"/>
      <c r="AO40" s="352"/>
      <c r="AP40" s="352"/>
      <c r="AQ40" s="352"/>
      <c r="AR40" s="352"/>
      <c r="AS40" s="352"/>
      <c r="AT40" s="352"/>
      <c r="AU40" s="352"/>
      <c r="AV40" s="352"/>
      <c r="AW40" s="352"/>
      <c r="AX40" s="352"/>
      <c r="AY40" s="352"/>
      <c r="AZ40" s="352"/>
      <c r="BA40" s="352"/>
      <c r="BB40" s="352"/>
      <c r="BC40" s="352"/>
      <c r="BD40" s="352"/>
      <c r="BE40" s="352"/>
      <c r="BF40" s="352"/>
      <c r="BG40" s="352"/>
      <c r="BH40" s="352"/>
      <c r="BI40" s="352"/>
      <c r="BJ40" s="352"/>
      <c r="BK40" s="470"/>
      <c r="BL40" s="339"/>
      <c r="BM40" s="339"/>
      <c r="BN40" s="182"/>
      <c r="BO40" s="182"/>
      <c r="BP40" s="182"/>
      <c r="BQ40" s="182"/>
      <c r="BR40" s="182"/>
      <c r="BS40" s="182"/>
      <c r="BT40" s="182"/>
      <c r="BU40" s="182"/>
      <c r="BV40" s="182"/>
      <c r="BW40" s="182"/>
      <c r="BX40" s="182"/>
      <c r="BY40" s="182"/>
      <c r="BZ40" s="182"/>
      <c r="CA40" s="182"/>
      <c r="CB40" s="182"/>
      <c r="CC40" s="182"/>
      <c r="CD40" s="182"/>
      <c r="CE40" s="182"/>
      <c r="CF40" s="182"/>
      <c r="CG40" s="182"/>
      <c r="CH40" s="182"/>
      <c r="CI40" s="182"/>
      <c r="CJ40" s="182"/>
      <c r="CK40" s="621"/>
      <c r="CL40" s="622"/>
      <c r="CM40" s="623"/>
    </row>
    <row r="41" spans="1:91" s="344" customFormat="1">
      <c r="A41" s="335" t="s">
        <v>114</v>
      </c>
      <c r="B41" s="519"/>
      <c r="C41" s="519"/>
      <c r="D41" s="182"/>
      <c r="E41" s="519" t="s">
        <v>100</v>
      </c>
      <c r="F41" s="519" t="s">
        <v>100</v>
      </c>
      <c r="G41" s="519"/>
      <c r="H41" s="519" t="s">
        <v>100</v>
      </c>
      <c r="I41" s="519"/>
      <c r="J41" s="519" t="s">
        <v>100</v>
      </c>
      <c r="K41" s="519"/>
      <c r="L41" s="519"/>
      <c r="M41" s="519"/>
      <c r="N41" s="519"/>
      <c r="O41" s="519"/>
      <c r="P41" s="519"/>
      <c r="Q41" s="519"/>
      <c r="R41" s="519"/>
      <c r="S41" s="519" t="s">
        <v>100</v>
      </c>
      <c r="T41" s="519" t="s">
        <v>100</v>
      </c>
      <c r="U41" s="519"/>
      <c r="V41" s="519"/>
      <c r="W41" s="182"/>
      <c r="X41" s="182"/>
      <c r="Y41" s="182"/>
      <c r="Z41" s="182"/>
      <c r="AA41" s="182"/>
      <c r="AB41" s="182"/>
      <c r="AC41" s="182"/>
      <c r="AD41" s="182"/>
      <c r="AE41" s="182"/>
      <c r="AF41" s="182"/>
      <c r="AG41" s="182"/>
      <c r="AH41" s="182"/>
      <c r="AI41" s="167">
        <f t="shared" si="30"/>
        <v>6</v>
      </c>
      <c r="AJ41" s="530" t="s">
        <v>115</v>
      </c>
      <c r="AK41" s="341">
        <v>43074</v>
      </c>
      <c r="AL41" s="352"/>
      <c r="AM41" s="352">
        <f>IF(B41=1,0,0)</f>
        <v>0</v>
      </c>
      <c r="AN41" s="352" t="e">
        <f>IF(#REF!=1,13,0)</f>
        <v>#REF!</v>
      </c>
      <c r="AO41" s="352">
        <f>IF(E41=1,8,0)</f>
        <v>0</v>
      </c>
      <c r="AP41" s="352">
        <f>IF(G41=1,8,0)</f>
        <v>0</v>
      </c>
      <c r="AQ41" s="352">
        <f>IF(I41=1,0,0)</f>
        <v>0</v>
      </c>
      <c r="AR41" s="352">
        <f>IF(J41=1,0,0)</f>
        <v>0</v>
      </c>
      <c r="AS41" s="352" t="e">
        <f>IF(#REF!=1,0,0)</f>
        <v>#REF!</v>
      </c>
      <c r="AT41" s="352">
        <f>IF(K41=1,19,0)</f>
        <v>0</v>
      </c>
      <c r="AU41" s="352">
        <f>IF(N41=1,13,0)</f>
        <v>0</v>
      </c>
      <c r="AV41" s="352">
        <f>IF(O41=1,0,0)</f>
        <v>0</v>
      </c>
      <c r="AW41" s="352">
        <f>IF(P41=1,3,0)</f>
        <v>0</v>
      </c>
      <c r="AX41" s="352">
        <f>IF(S41=1,8,0)</f>
        <v>0</v>
      </c>
      <c r="AY41" s="352">
        <f>IF(T41=1,4,0)</f>
        <v>0</v>
      </c>
      <c r="AZ41" s="352">
        <f>IF(U41=1,2,0)</f>
        <v>0</v>
      </c>
      <c r="BA41" s="352" t="e">
        <f>IF(#REF!=1,8,0)</f>
        <v>#REF!</v>
      </c>
      <c r="BB41" s="352">
        <f>IF(X41=1,16,0)</f>
        <v>0</v>
      </c>
      <c r="BC41" s="352">
        <f>IF(Y41=1,13,0)</f>
        <v>0</v>
      </c>
      <c r="BD41" s="352">
        <f>IF(Z41=1,10,0)</f>
        <v>0</v>
      </c>
      <c r="BE41" s="352" t="e">
        <f>IF(#REF!=1,2,0)</f>
        <v>#REF!</v>
      </c>
      <c r="BF41" s="352">
        <f>IF(AB41=1,6,0)</f>
        <v>0</v>
      </c>
      <c r="BG41" s="352">
        <f>IF(AD41=1,1,0)</f>
        <v>0</v>
      </c>
      <c r="BH41" s="352" t="e">
        <f>IF(#REF!=1,8,0)</f>
        <v>#REF!</v>
      </c>
      <c r="BI41" s="352">
        <f t="shared" ref="BI41" si="34">IF(AG41=1,2,0)</f>
        <v>0</v>
      </c>
      <c r="BJ41" s="352">
        <f t="shared" ref="BJ41" si="35">IF(AH41=1,3,0)</f>
        <v>0</v>
      </c>
      <c r="BK41" s="470" t="e">
        <f>LARGE(AM41:BJ41,1)+LARGE(AM41:BJ41,2)+LARGE(AM41:BJ41,3)+LARGE(AM41:BJ41,4)+LARGE(AM41:BJ41,5)+LARGE(AM41:BJ41,6)+LARGE(AM41:BJ41,7)+LARGE(AM41:BJ41,8)</f>
        <v>#REF!</v>
      </c>
      <c r="BL41" s="339" t="e">
        <f t="shared" ref="BL41" si="36">BK41</f>
        <v>#REF!</v>
      </c>
      <c r="BM41" s="339"/>
      <c r="BN41" s="182"/>
      <c r="BO41" s="182"/>
      <c r="BP41" s="182"/>
      <c r="BQ41" s="182"/>
      <c r="BR41" s="182"/>
      <c r="BS41" s="182"/>
      <c r="BT41" s="182"/>
      <c r="BU41" s="182"/>
      <c r="BV41" s="182"/>
      <c r="BW41" s="182"/>
      <c r="BX41" s="182"/>
      <c r="BY41" s="182"/>
      <c r="BZ41" s="182"/>
      <c r="CA41" s="182"/>
      <c r="CB41" s="182"/>
      <c r="CC41" s="182"/>
      <c r="CD41" s="182"/>
      <c r="CE41" s="182"/>
      <c r="CF41" s="182"/>
      <c r="CG41" s="182"/>
      <c r="CH41" s="182"/>
      <c r="CI41" s="182"/>
      <c r="CJ41" s="182"/>
      <c r="CK41" s="618"/>
      <c r="CL41" s="619"/>
      <c r="CM41" s="620"/>
    </row>
    <row r="42" spans="1:91" s="344" customFormat="1">
      <c r="A42" s="335" t="s">
        <v>116</v>
      </c>
      <c r="B42" s="519" t="s">
        <v>100</v>
      </c>
      <c r="C42" s="519" t="s">
        <v>100</v>
      </c>
      <c r="D42" s="182"/>
      <c r="E42" s="519" t="s">
        <v>100</v>
      </c>
      <c r="F42" s="519"/>
      <c r="G42" s="519"/>
      <c r="H42" s="519" t="s">
        <v>100</v>
      </c>
      <c r="I42" s="519"/>
      <c r="J42" s="519" t="s">
        <v>100</v>
      </c>
      <c r="K42" s="519"/>
      <c r="L42" s="519"/>
      <c r="M42" s="519"/>
      <c r="N42" s="519"/>
      <c r="O42" s="519"/>
      <c r="P42" s="519"/>
      <c r="Q42" s="519"/>
      <c r="R42" s="519"/>
      <c r="S42" s="519" t="s">
        <v>100</v>
      </c>
      <c r="T42" s="519" t="s">
        <v>100</v>
      </c>
      <c r="U42" s="519"/>
      <c r="V42" s="519"/>
      <c r="W42" s="182"/>
      <c r="X42" s="182"/>
      <c r="Y42" s="182"/>
      <c r="Z42" s="182"/>
      <c r="AA42" s="182"/>
      <c r="AB42" s="182"/>
      <c r="AC42" s="182"/>
      <c r="AD42" s="182"/>
      <c r="AE42" s="182"/>
      <c r="AF42" s="182"/>
      <c r="AG42" s="182"/>
      <c r="AH42" s="182"/>
      <c r="AI42" s="167">
        <f t="shared" si="30"/>
        <v>7</v>
      </c>
      <c r="AJ42" s="340" t="str">
        <f>HYPERLINK("https://twitter.com/extrabaggs/status/942994645985902592","Twitter")</f>
        <v>Twitter</v>
      </c>
      <c r="AK42" s="341">
        <v>43087</v>
      </c>
      <c r="AL42" s="352"/>
      <c r="AM42" s="352"/>
      <c r="AN42" s="352"/>
      <c r="AO42" s="352"/>
      <c r="AP42" s="352"/>
      <c r="AQ42" s="352"/>
      <c r="AR42" s="352"/>
      <c r="AS42" s="352"/>
      <c r="AT42" s="352"/>
      <c r="AU42" s="352"/>
      <c r="AV42" s="352"/>
      <c r="AW42" s="352"/>
      <c r="AX42" s="352"/>
      <c r="AY42" s="352"/>
      <c r="AZ42" s="352"/>
      <c r="BA42" s="352"/>
      <c r="BB42" s="352"/>
      <c r="BC42" s="352"/>
      <c r="BD42" s="352"/>
      <c r="BE42" s="352"/>
      <c r="BF42" s="352"/>
      <c r="BG42" s="352"/>
      <c r="BH42" s="352"/>
      <c r="BI42" s="352"/>
      <c r="BJ42" s="352"/>
      <c r="BK42" s="470"/>
      <c r="BL42" s="339"/>
      <c r="BM42" s="339"/>
      <c r="BN42" s="182"/>
      <c r="BO42" s="182"/>
      <c r="BP42" s="182"/>
      <c r="BQ42" s="182"/>
      <c r="BR42" s="182"/>
      <c r="BS42" s="182"/>
      <c r="BT42" s="182"/>
      <c r="BU42" s="182"/>
      <c r="BV42" s="182"/>
      <c r="BW42" s="182"/>
      <c r="BX42" s="182"/>
      <c r="BY42" s="182"/>
      <c r="BZ42" s="182"/>
      <c r="CA42" s="182"/>
      <c r="CB42" s="182"/>
      <c r="CC42" s="182"/>
      <c r="CD42" s="182"/>
      <c r="CE42" s="182"/>
      <c r="CF42" s="182"/>
      <c r="CG42" s="182"/>
      <c r="CH42" s="182"/>
      <c r="CI42" s="182"/>
      <c r="CJ42" s="182"/>
      <c r="CK42" s="618"/>
      <c r="CL42" s="619"/>
      <c r="CM42" s="620"/>
    </row>
    <row r="43" spans="1:91" s="344" customFormat="1">
      <c r="A43" s="335" t="s">
        <v>117</v>
      </c>
      <c r="B43" s="519" t="s">
        <v>100</v>
      </c>
      <c r="C43" s="519" t="s">
        <v>100</v>
      </c>
      <c r="D43" s="182"/>
      <c r="E43" s="519" t="s">
        <v>100</v>
      </c>
      <c r="F43" s="519" t="s">
        <v>100</v>
      </c>
      <c r="G43" s="519"/>
      <c r="H43" s="519" t="s">
        <v>100</v>
      </c>
      <c r="I43" s="519"/>
      <c r="J43" s="519" t="s">
        <v>100</v>
      </c>
      <c r="K43" s="519"/>
      <c r="L43" s="519" t="s">
        <v>100</v>
      </c>
      <c r="M43" s="519"/>
      <c r="N43" s="519"/>
      <c r="O43" s="519"/>
      <c r="P43" s="519" t="s">
        <v>100</v>
      </c>
      <c r="Q43" s="519"/>
      <c r="R43" s="519"/>
      <c r="S43" s="519" t="s">
        <v>100</v>
      </c>
      <c r="T43" s="519"/>
      <c r="U43" s="519"/>
      <c r="V43" s="522" t="s">
        <v>100</v>
      </c>
      <c r="W43" s="182"/>
      <c r="X43" s="182"/>
      <c r="Y43" s="182"/>
      <c r="Z43" s="182"/>
      <c r="AA43" s="182"/>
      <c r="AB43" s="182"/>
      <c r="AC43" s="182"/>
      <c r="AD43" s="182"/>
      <c r="AE43" s="182"/>
      <c r="AF43" s="182"/>
      <c r="AG43" s="182"/>
      <c r="AH43" s="182"/>
      <c r="AI43" s="167">
        <f t="shared" si="30"/>
        <v>10</v>
      </c>
      <c r="AJ43" s="340" t="str">
        <f>HYPERLINK("https://twitter.com/ChrisBahr_Edit/status/940675205806075904","Twitter")</f>
        <v>Twitter</v>
      </c>
      <c r="AK43" s="341">
        <v>43081</v>
      </c>
      <c r="AL43" s="352"/>
      <c r="AM43" s="352"/>
      <c r="AN43" s="352"/>
      <c r="AO43" s="352"/>
      <c r="AP43" s="352"/>
      <c r="AQ43" s="352"/>
      <c r="AR43" s="352"/>
      <c r="AS43" s="352"/>
      <c r="AT43" s="352"/>
      <c r="AU43" s="352"/>
      <c r="AV43" s="352"/>
      <c r="AW43" s="352"/>
      <c r="AX43" s="352"/>
      <c r="AY43" s="352"/>
      <c r="AZ43" s="352"/>
      <c r="BA43" s="352"/>
      <c r="BB43" s="352"/>
      <c r="BC43" s="352"/>
      <c r="BD43" s="352"/>
      <c r="BE43" s="352"/>
      <c r="BF43" s="352"/>
      <c r="BG43" s="352"/>
      <c r="BH43" s="352"/>
      <c r="BI43" s="352"/>
      <c r="BJ43" s="352"/>
      <c r="BK43" s="470"/>
      <c r="BL43" s="339"/>
      <c r="BM43" s="339"/>
      <c r="BN43" s="182"/>
      <c r="BO43" s="182"/>
      <c r="BP43" s="182"/>
      <c r="BQ43" s="182"/>
      <c r="BR43" s="182"/>
      <c r="BS43" s="182"/>
      <c r="BT43" s="182"/>
      <c r="BU43" s="182"/>
      <c r="BV43" s="182"/>
      <c r="BW43" s="182"/>
      <c r="BX43" s="182"/>
      <c r="BY43" s="182"/>
      <c r="BZ43" s="182"/>
      <c r="CA43" s="182"/>
      <c r="CB43" s="182"/>
      <c r="CC43" s="182"/>
      <c r="CD43" s="182"/>
      <c r="CE43" s="182"/>
      <c r="CF43" s="182"/>
      <c r="CG43" s="182"/>
      <c r="CH43" s="182"/>
      <c r="CI43" s="182"/>
      <c r="CJ43" s="182"/>
      <c r="CK43" s="647" t="s">
        <v>105</v>
      </c>
      <c r="CL43" s="648"/>
      <c r="CM43" s="649"/>
    </row>
    <row r="44" spans="1:91" s="344" customFormat="1">
      <c r="A44" s="335" t="s">
        <v>118</v>
      </c>
      <c r="B44" s="519" t="s">
        <v>100</v>
      </c>
      <c r="C44" s="519" t="s">
        <v>100</v>
      </c>
      <c r="D44" s="182"/>
      <c r="E44" s="519" t="s">
        <v>100</v>
      </c>
      <c r="F44" s="519"/>
      <c r="G44" s="519"/>
      <c r="H44" s="519" t="s">
        <v>100</v>
      </c>
      <c r="I44" s="519"/>
      <c r="J44" s="519"/>
      <c r="K44" s="519"/>
      <c r="L44" s="519"/>
      <c r="M44" s="519" t="s">
        <v>100</v>
      </c>
      <c r="N44" s="519"/>
      <c r="O44" s="519"/>
      <c r="P44" s="519"/>
      <c r="Q44" s="519"/>
      <c r="R44" s="519"/>
      <c r="S44" s="519"/>
      <c r="T44" s="519"/>
      <c r="U44" s="519"/>
      <c r="V44" s="519"/>
      <c r="W44" s="182"/>
      <c r="X44" s="182"/>
      <c r="Y44" s="182"/>
      <c r="Z44" s="182"/>
      <c r="AA44" s="182"/>
      <c r="AB44" s="182"/>
      <c r="AC44" s="182"/>
      <c r="AD44" s="182"/>
      <c r="AE44" s="182"/>
      <c r="AF44" s="182"/>
      <c r="AG44" s="182"/>
      <c r="AH44" s="182"/>
      <c r="AI44" s="167">
        <f t="shared" si="30"/>
        <v>5</v>
      </c>
      <c r="AJ44" s="340" t="str">
        <f>HYPERLINK("http://www.telegram.com/news/20171223/bill-ballou-barry-bonds-roger-clemens-vladimir-guerrero-chipper-jones-and-manny-ramirez-have-my-vote-for-hall-of-fame","Nashua Telegram")</f>
        <v>Nashua Telegram</v>
      </c>
      <c r="AK44" s="341">
        <v>43092</v>
      </c>
      <c r="AL44" s="352"/>
      <c r="AM44" s="352"/>
      <c r="AN44" s="352"/>
      <c r="AO44" s="352"/>
      <c r="AP44" s="352"/>
      <c r="AQ44" s="352"/>
      <c r="AR44" s="352"/>
      <c r="AS44" s="352"/>
      <c r="AT44" s="352"/>
      <c r="AU44" s="352"/>
      <c r="AV44" s="352"/>
      <c r="AW44" s="352"/>
      <c r="AX44" s="352"/>
      <c r="AY44" s="352"/>
      <c r="AZ44" s="352"/>
      <c r="BA44" s="352"/>
      <c r="BB44" s="352"/>
      <c r="BC44" s="352"/>
      <c r="BD44" s="352"/>
      <c r="BE44" s="352"/>
      <c r="BF44" s="352"/>
      <c r="BG44" s="352"/>
      <c r="BH44" s="352"/>
      <c r="BI44" s="352"/>
      <c r="BJ44" s="352"/>
      <c r="BK44" s="470"/>
      <c r="BL44" s="339"/>
      <c r="BM44" s="339"/>
      <c r="BN44" s="182"/>
      <c r="BO44" s="182"/>
      <c r="BP44" s="182"/>
      <c r="BQ44" s="182"/>
      <c r="BR44" s="182"/>
      <c r="BS44" s="182"/>
      <c r="BT44" s="182"/>
      <c r="BU44" s="182"/>
      <c r="BV44" s="182"/>
      <c r="BW44" s="182"/>
      <c r="BX44" s="182"/>
      <c r="BY44" s="182"/>
      <c r="BZ44" s="182"/>
      <c r="CA44" s="182"/>
      <c r="CB44" s="182"/>
      <c r="CC44" s="182"/>
      <c r="CD44" s="182"/>
      <c r="CE44" s="182"/>
      <c r="CF44" s="182"/>
      <c r="CG44" s="182"/>
      <c r="CH44" s="182"/>
      <c r="CI44" s="182"/>
      <c r="CJ44" s="182"/>
      <c r="CK44" s="618"/>
      <c r="CL44" s="619"/>
      <c r="CM44" s="620"/>
    </row>
    <row r="45" spans="1:91" s="344" customFormat="1">
      <c r="A45" s="335" t="s">
        <v>119</v>
      </c>
      <c r="B45" s="519" t="s">
        <v>100</v>
      </c>
      <c r="C45" s="519" t="s">
        <v>100</v>
      </c>
      <c r="D45" s="182"/>
      <c r="E45" s="519" t="s">
        <v>100</v>
      </c>
      <c r="F45" s="519"/>
      <c r="G45" s="519"/>
      <c r="H45" s="519" t="s">
        <v>100</v>
      </c>
      <c r="I45" s="519"/>
      <c r="J45" s="519" t="s">
        <v>100</v>
      </c>
      <c r="K45" s="519"/>
      <c r="L45" s="519" t="s">
        <v>100</v>
      </c>
      <c r="M45" s="519"/>
      <c r="N45" s="519" t="s">
        <v>100</v>
      </c>
      <c r="O45" s="519"/>
      <c r="P45" s="519" t="s">
        <v>100</v>
      </c>
      <c r="Q45" s="519"/>
      <c r="R45" s="519"/>
      <c r="S45" s="519" t="s">
        <v>100</v>
      </c>
      <c r="T45" s="519"/>
      <c r="U45" s="519"/>
      <c r="V45" s="519" t="s">
        <v>100</v>
      </c>
      <c r="W45" s="182"/>
      <c r="X45" s="182"/>
      <c r="Y45" s="182"/>
      <c r="Z45" s="182"/>
      <c r="AA45" s="182"/>
      <c r="AB45" s="182"/>
      <c r="AC45" s="182"/>
      <c r="AD45" s="182"/>
      <c r="AE45" s="182"/>
      <c r="AF45" s="182"/>
      <c r="AG45" s="182"/>
      <c r="AH45" s="182"/>
      <c r="AI45" s="167">
        <f t="shared" si="30"/>
        <v>10</v>
      </c>
      <c r="AJ45" s="340" t="str">
        <f>HYPERLINK("https://twitter.com/ByPeterBarzilai/status/947868570553339904","Twitter")</f>
        <v>Twitter</v>
      </c>
      <c r="AK45" s="341">
        <v>43101</v>
      </c>
      <c r="AL45" s="352"/>
      <c r="AM45" s="352"/>
      <c r="AN45" s="352"/>
      <c r="AO45" s="352"/>
      <c r="AP45" s="352"/>
      <c r="AQ45" s="352"/>
      <c r="AR45" s="352"/>
      <c r="AS45" s="352"/>
      <c r="AT45" s="352"/>
      <c r="AU45" s="352"/>
      <c r="AV45" s="352"/>
      <c r="AW45" s="352"/>
      <c r="AX45" s="352"/>
      <c r="AY45" s="352"/>
      <c r="AZ45" s="352"/>
      <c r="BA45" s="352"/>
      <c r="BB45" s="352"/>
      <c r="BC45" s="352"/>
      <c r="BD45" s="352"/>
      <c r="BE45" s="352"/>
      <c r="BF45" s="352"/>
      <c r="BG45" s="352"/>
      <c r="BH45" s="352"/>
      <c r="BI45" s="352"/>
      <c r="BJ45" s="352"/>
      <c r="BK45" s="470"/>
      <c r="BL45" s="339"/>
      <c r="BM45" s="339"/>
      <c r="BN45" s="182"/>
      <c r="BO45" s="182"/>
      <c r="BP45" s="182"/>
      <c r="BQ45" s="182"/>
      <c r="BR45" s="182"/>
      <c r="BS45" s="182"/>
      <c r="BT45" s="182"/>
      <c r="BU45" s="182"/>
      <c r="BV45" s="182"/>
      <c r="BW45" s="182"/>
      <c r="BX45" s="182"/>
      <c r="BY45" s="182"/>
      <c r="BZ45" s="182"/>
      <c r="CA45" s="182"/>
      <c r="CB45" s="182"/>
      <c r="CC45" s="182"/>
      <c r="CD45" s="182"/>
      <c r="CE45" s="182"/>
      <c r="CF45" s="182"/>
      <c r="CG45" s="182"/>
      <c r="CH45" s="182"/>
      <c r="CI45" s="182"/>
      <c r="CJ45" s="182"/>
      <c r="CK45" s="618"/>
      <c r="CL45" s="619"/>
      <c r="CM45" s="620"/>
    </row>
    <row r="46" spans="1:91" s="344" customFormat="1">
      <c r="A46" s="335" t="s">
        <v>120</v>
      </c>
      <c r="B46" s="522" t="s">
        <v>100</v>
      </c>
      <c r="C46" s="522" t="s">
        <v>100</v>
      </c>
      <c r="D46" s="182"/>
      <c r="E46" s="519" t="s">
        <v>100</v>
      </c>
      <c r="F46" s="519" t="s">
        <v>100</v>
      </c>
      <c r="G46" s="519"/>
      <c r="H46" s="519" t="s">
        <v>100</v>
      </c>
      <c r="I46" s="519" t="s">
        <v>100</v>
      </c>
      <c r="J46" s="519" t="s">
        <v>100</v>
      </c>
      <c r="K46" s="519"/>
      <c r="L46" s="519" t="s">
        <v>100</v>
      </c>
      <c r="M46" s="519"/>
      <c r="N46" s="519"/>
      <c r="O46" s="519"/>
      <c r="P46" s="519" t="s">
        <v>100</v>
      </c>
      <c r="Q46" s="519"/>
      <c r="R46" s="519"/>
      <c r="S46" s="519" t="s">
        <v>100</v>
      </c>
      <c r="T46" s="519"/>
      <c r="U46" s="519"/>
      <c r="V46" s="519"/>
      <c r="W46" s="182"/>
      <c r="X46" s="182"/>
      <c r="Y46" s="182"/>
      <c r="Z46" s="182"/>
      <c r="AA46" s="182"/>
      <c r="AB46" s="182"/>
      <c r="AC46" s="182"/>
      <c r="AD46" s="182"/>
      <c r="AE46" s="182"/>
      <c r="AF46" s="182"/>
      <c r="AG46" s="182"/>
      <c r="AH46" s="182"/>
      <c r="AI46" s="167">
        <f t="shared" si="30"/>
        <v>10</v>
      </c>
      <c r="AJ46" s="340" t="str">
        <f>HYPERLINK("https://www.facebook.com/mike.bass.946/posts/10210677862649536","Facebook")</f>
        <v>Facebook</v>
      </c>
      <c r="AK46" s="341">
        <v>43113</v>
      </c>
      <c r="AL46" s="352"/>
      <c r="AM46" s="352"/>
      <c r="AN46" s="352"/>
      <c r="AO46" s="352"/>
      <c r="AP46" s="352"/>
      <c r="AQ46" s="352"/>
      <c r="AR46" s="352"/>
      <c r="AS46" s="352"/>
      <c r="AT46" s="352"/>
      <c r="AU46" s="352"/>
      <c r="AV46" s="352"/>
      <c r="AW46" s="352"/>
      <c r="AX46" s="352"/>
      <c r="AY46" s="352"/>
      <c r="AZ46" s="352"/>
      <c r="BA46" s="352"/>
      <c r="BB46" s="352"/>
      <c r="BC46" s="352"/>
      <c r="BD46" s="352"/>
      <c r="BE46" s="352"/>
      <c r="BF46" s="352"/>
      <c r="BG46" s="352"/>
      <c r="BH46" s="352"/>
      <c r="BI46" s="352"/>
      <c r="BJ46" s="352"/>
      <c r="BK46" s="470"/>
      <c r="BL46" s="339"/>
      <c r="BM46" s="339"/>
      <c r="BN46" s="182"/>
      <c r="BO46" s="182"/>
      <c r="BP46" s="182"/>
      <c r="BQ46" s="182"/>
      <c r="BR46" s="182"/>
      <c r="BS46" s="182"/>
      <c r="BT46" s="182"/>
      <c r="BU46" s="182"/>
      <c r="BV46" s="182"/>
      <c r="BW46" s="182"/>
      <c r="BX46" s="182"/>
      <c r="BY46" s="182"/>
      <c r="BZ46" s="182"/>
      <c r="CA46" s="182"/>
      <c r="CB46" s="182"/>
      <c r="CC46" s="182"/>
      <c r="CD46" s="182"/>
      <c r="CE46" s="182"/>
      <c r="CF46" s="182"/>
      <c r="CG46" s="182"/>
      <c r="CH46" s="182"/>
      <c r="CI46" s="182"/>
      <c r="CJ46" s="182"/>
      <c r="CK46" s="618"/>
      <c r="CL46" s="619"/>
      <c r="CM46" s="620"/>
    </row>
    <row r="47" spans="1:91" s="344" customFormat="1">
      <c r="A47" s="335" t="s">
        <v>121</v>
      </c>
      <c r="B47" s="519"/>
      <c r="C47" s="519"/>
      <c r="D47" s="182"/>
      <c r="E47" s="519" t="s">
        <v>100</v>
      </c>
      <c r="F47" s="519" t="s">
        <v>100</v>
      </c>
      <c r="G47" s="519"/>
      <c r="H47" s="519" t="s">
        <v>100</v>
      </c>
      <c r="I47" s="519"/>
      <c r="J47" s="519" t="s">
        <v>100</v>
      </c>
      <c r="K47" s="519"/>
      <c r="L47" s="519" t="s">
        <v>100</v>
      </c>
      <c r="M47" s="519"/>
      <c r="N47" s="519" t="s">
        <v>100</v>
      </c>
      <c r="O47" s="519"/>
      <c r="P47" s="519" t="s">
        <v>100</v>
      </c>
      <c r="Q47" s="519"/>
      <c r="R47" s="519"/>
      <c r="S47" s="519" t="s">
        <v>100</v>
      </c>
      <c r="T47" s="519"/>
      <c r="U47" s="519" t="s">
        <v>100</v>
      </c>
      <c r="V47" s="519" t="s">
        <v>100</v>
      </c>
      <c r="W47" s="182"/>
      <c r="X47" s="182"/>
      <c r="Y47" s="182"/>
      <c r="Z47" s="182"/>
      <c r="AA47" s="182"/>
      <c r="AB47" s="182"/>
      <c r="AC47" s="182"/>
      <c r="AD47" s="182"/>
      <c r="AE47" s="182"/>
      <c r="AF47" s="182"/>
      <c r="AG47" s="182"/>
      <c r="AH47" s="182"/>
      <c r="AI47" s="167">
        <f t="shared" si="30"/>
        <v>10</v>
      </c>
      <c r="AJ47" s="340" t="str">
        <f>HYPERLINK("https://twitter.com/AmalieBenjamin/status/939547801922473986","Twitter")</f>
        <v>Twitter</v>
      </c>
      <c r="AK47" s="341">
        <v>43078</v>
      </c>
      <c r="AL47" s="352"/>
      <c r="AM47" s="352"/>
      <c r="AN47" s="352"/>
      <c r="AO47" s="352"/>
      <c r="AP47" s="352"/>
      <c r="AQ47" s="352"/>
      <c r="AR47" s="352"/>
      <c r="AS47" s="352"/>
      <c r="AT47" s="352"/>
      <c r="AU47" s="352"/>
      <c r="AV47" s="352"/>
      <c r="AW47" s="352"/>
      <c r="AX47" s="352"/>
      <c r="AY47" s="352"/>
      <c r="AZ47" s="352"/>
      <c r="BA47" s="352"/>
      <c r="BB47" s="352"/>
      <c r="BC47" s="352"/>
      <c r="BD47" s="352"/>
      <c r="BE47" s="352"/>
      <c r="BF47" s="352"/>
      <c r="BG47" s="352"/>
      <c r="BH47" s="352"/>
      <c r="BI47" s="352"/>
      <c r="BJ47" s="352"/>
      <c r="BK47" s="470"/>
      <c r="BL47" s="339"/>
      <c r="BM47" s="339"/>
      <c r="BN47" s="182"/>
      <c r="BO47" s="182"/>
      <c r="BP47" s="182"/>
      <c r="BQ47" s="182"/>
      <c r="BR47" s="182"/>
      <c r="BS47" s="182"/>
      <c r="BT47" s="182"/>
      <c r="BU47" s="182"/>
      <c r="BV47" s="182"/>
      <c r="BW47" s="182"/>
      <c r="BX47" s="182"/>
      <c r="BY47" s="182"/>
      <c r="BZ47" s="182"/>
      <c r="CA47" s="182"/>
      <c r="CB47" s="182"/>
      <c r="CC47" s="182"/>
      <c r="CD47" s="182"/>
      <c r="CE47" s="182"/>
      <c r="CF47" s="182"/>
      <c r="CG47" s="182"/>
      <c r="CH47" s="182"/>
      <c r="CI47" s="182"/>
      <c r="CJ47" s="182"/>
      <c r="CK47" s="647" t="s">
        <v>122</v>
      </c>
      <c r="CL47" s="648"/>
      <c r="CM47" s="649"/>
    </row>
    <row r="48" spans="1:91" s="344" customFormat="1">
      <c r="A48" s="335" t="s">
        <v>123</v>
      </c>
      <c r="B48" s="519"/>
      <c r="C48" s="519"/>
      <c r="D48" s="182"/>
      <c r="E48" s="522" t="s">
        <v>100</v>
      </c>
      <c r="F48" s="519"/>
      <c r="G48" s="519" t="s">
        <v>100</v>
      </c>
      <c r="H48" s="519" t="s">
        <v>100</v>
      </c>
      <c r="I48" s="519"/>
      <c r="J48" s="519" t="s">
        <v>100</v>
      </c>
      <c r="K48" s="519"/>
      <c r="L48" s="519" t="s">
        <v>100</v>
      </c>
      <c r="M48" s="519"/>
      <c r="N48" s="519" t="s">
        <v>100</v>
      </c>
      <c r="O48" s="519"/>
      <c r="P48" s="519" t="s">
        <v>100</v>
      </c>
      <c r="Q48" s="519"/>
      <c r="R48" s="519"/>
      <c r="S48" s="519" t="s">
        <v>100</v>
      </c>
      <c r="T48" s="519"/>
      <c r="U48" s="522" t="s">
        <v>100</v>
      </c>
      <c r="V48" s="519" t="s">
        <v>100</v>
      </c>
      <c r="W48" s="182"/>
      <c r="X48" s="182"/>
      <c r="Y48" s="182"/>
      <c r="Z48" s="182"/>
      <c r="AA48" s="182"/>
      <c r="AB48" s="182"/>
      <c r="AC48" s="182"/>
      <c r="AD48" s="182"/>
      <c r="AE48" s="182"/>
      <c r="AF48" s="182"/>
      <c r="AG48" s="182"/>
      <c r="AH48" s="182"/>
      <c r="AI48" s="167">
        <f t="shared" si="30"/>
        <v>10</v>
      </c>
      <c r="AJ48" s="340" t="str">
        <f>HYPERLINK("https://zonecoverage.com/2018/twins/mws-mike-berardino-reveals-his-hall-of-fame-ballot-2/","Midwest Swing Pod")</f>
        <v>Midwest Swing Pod</v>
      </c>
      <c r="AK48" s="341">
        <v>43117</v>
      </c>
      <c r="AL48" s="352"/>
      <c r="AM48" s="352"/>
      <c r="AN48" s="352"/>
      <c r="AO48" s="352"/>
      <c r="AP48" s="352"/>
      <c r="AQ48" s="352"/>
      <c r="AR48" s="352"/>
      <c r="AS48" s="352"/>
      <c r="AT48" s="352"/>
      <c r="AU48" s="352"/>
      <c r="AV48" s="352"/>
      <c r="AW48" s="352"/>
      <c r="AX48" s="352"/>
      <c r="AY48" s="352"/>
      <c r="AZ48" s="352"/>
      <c r="BA48" s="352"/>
      <c r="BB48" s="352"/>
      <c r="BC48" s="352"/>
      <c r="BD48" s="352"/>
      <c r="BE48" s="352"/>
      <c r="BF48" s="352"/>
      <c r="BG48" s="352"/>
      <c r="BH48" s="352"/>
      <c r="BI48" s="352"/>
      <c r="BJ48" s="352"/>
      <c r="BK48" s="470"/>
      <c r="BL48" s="339"/>
      <c r="BM48" s="339"/>
      <c r="BN48" s="182"/>
      <c r="BO48" s="182"/>
      <c r="BP48" s="182"/>
      <c r="BQ48" s="182"/>
      <c r="BR48" s="182"/>
      <c r="BS48" s="182"/>
      <c r="BT48" s="182"/>
      <c r="BU48" s="182"/>
      <c r="BV48" s="182"/>
      <c r="BW48" s="182"/>
      <c r="BX48" s="182"/>
      <c r="BY48" s="182"/>
      <c r="BZ48" s="182"/>
      <c r="CA48" s="182"/>
      <c r="CB48" s="182"/>
      <c r="CC48" s="182"/>
      <c r="CD48" s="182"/>
      <c r="CE48" s="182"/>
      <c r="CF48" s="182"/>
      <c r="CG48" s="182"/>
      <c r="CH48" s="182"/>
      <c r="CI48" s="182"/>
      <c r="CJ48" s="182"/>
      <c r="CK48" s="621"/>
      <c r="CL48" s="622"/>
      <c r="CM48" s="623"/>
    </row>
    <row r="49" spans="1:91" s="344" customFormat="1">
      <c r="A49" s="335" t="s">
        <v>124</v>
      </c>
      <c r="B49" s="519"/>
      <c r="C49" s="519"/>
      <c r="D49" s="182"/>
      <c r="E49" s="522" t="s">
        <v>100</v>
      </c>
      <c r="F49" s="519" t="s">
        <v>100</v>
      </c>
      <c r="G49" s="519"/>
      <c r="H49" s="519" t="s">
        <v>100</v>
      </c>
      <c r="I49" s="519"/>
      <c r="J49" s="519"/>
      <c r="K49" s="519"/>
      <c r="L49" s="519" t="s">
        <v>100</v>
      </c>
      <c r="M49" s="519"/>
      <c r="N49" s="519"/>
      <c r="O49" s="519"/>
      <c r="P49" s="519" t="s">
        <v>100</v>
      </c>
      <c r="Q49" s="519"/>
      <c r="R49" s="519"/>
      <c r="S49" s="519" t="s">
        <v>100</v>
      </c>
      <c r="T49" s="519"/>
      <c r="U49" s="519"/>
      <c r="V49" s="519"/>
      <c r="W49" s="182"/>
      <c r="X49" s="182"/>
      <c r="Y49" s="182"/>
      <c r="Z49" s="182"/>
      <c r="AA49" s="182"/>
      <c r="AB49" s="182"/>
      <c r="AC49" s="182"/>
      <c r="AD49" s="182"/>
      <c r="AE49" s="182"/>
      <c r="AF49" s="182"/>
      <c r="AG49" s="182"/>
      <c r="AH49" s="182"/>
      <c r="AI49" s="167">
        <f t="shared" si="30"/>
        <v>6</v>
      </c>
      <c r="AJ49" s="340" t="str">
        <f>HYPERLINK("https://twitter.com/BiertempfelTrib/status/947879379991920641","Twitter")</f>
        <v>Twitter</v>
      </c>
      <c r="AK49" s="341">
        <v>43101</v>
      </c>
      <c r="AL49" s="352"/>
      <c r="AM49" s="352"/>
      <c r="AN49" s="352"/>
      <c r="AO49" s="352"/>
      <c r="AP49" s="352"/>
      <c r="AQ49" s="352"/>
      <c r="AR49" s="352"/>
      <c r="AS49" s="352"/>
      <c r="AT49" s="352"/>
      <c r="AU49" s="352"/>
      <c r="AV49" s="352"/>
      <c r="AW49" s="352"/>
      <c r="AX49" s="352"/>
      <c r="AY49" s="352"/>
      <c r="AZ49" s="352"/>
      <c r="BA49" s="352"/>
      <c r="BB49" s="352"/>
      <c r="BC49" s="352"/>
      <c r="BD49" s="352"/>
      <c r="BE49" s="352"/>
      <c r="BF49" s="352"/>
      <c r="BG49" s="352"/>
      <c r="BH49" s="352"/>
      <c r="BI49" s="352"/>
      <c r="BJ49" s="352"/>
      <c r="BK49" s="470"/>
      <c r="BL49" s="339"/>
      <c r="BM49" s="339"/>
      <c r="BN49" s="182"/>
      <c r="BO49" s="182"/>
      <c r="BP49" s="182"/>
      <c r="BQ49" s="182"/>
      <c r="BR49" s="182"/>
      <c r="BS49" s="182"/>
      <c r="BT49" s="182"/>
      <c r="BU49" s="182"/>
      <c r="BV49" s="182"/>
      <c r="BW49" s="182"/>
      <c r="BX49" s="182"/>
      <c r="BY49" s="182"/>
      <c r="BZ49" s="182"/>
      <c r="CA49" s="182"/>
      <c r="CB49" s="182"/>
      <c r="CC49" s="182"/>
      <c r="CD49" s="182"/>
      <c r="CE49" s="182"/>
      <c r="CF49" s="182"/>
      <c r="CG49" s="182"/>
      <c r="CH49" s="182"/>
      <c r="CI49" s="182"/>
      <c r="CJ49" s="182"/>
      <c r="CK49" s="621"/>
      <c r="CL49" s="622"/>
      <c r="CM49" s="623"/>
    </row>
    <row r="50" spans="1:91" s="344" customFormat="1">
      <c r="A50" s="335" t="s">
        <v>125</v>
      </c>
      <c r="B50" s="519" t="s">
        <v>100</v>
      </c>
      <c r="C50" s="519" t="s">
        <v>100</v>
      </c>
      <c r="D50" s="182"/>
      <c r="E50" s="519" t="s">
        <v>100</v>
      </c>
      <c r="F50" s="519"/>
      <c r="G50" s="519"/>
      <c r="H50" s="519" t="s">
        <v>100</v>
      </c>
      <c r="I50" s="519"/>
      <c r="J50" s="519"/>
      <c r="K50" s="519"/>
      <c r="L50" s="519"/>
      <c r="M50" s="519" t="s">
        <v>100</v>
      </c>
      <c r="N50" s="519"/>
      <c r="O50" s="519"/>
      <c r="P50" s="519"/>
      <c r="Q50" s="519"/>
      <c r="R50" s="519"/>
      <c r="S50" s="519"/>
      <c r="T50" s="519"/>
      <c r="U50" s="519"/>
      <c r="V50" s="522" t="s">
        <v>100</v>
      </c>
      <c r="W50" s="182"/>
      <c r="X50" s="182"/>
      <c r="Y50" s="182"/>
      <c r="Z50" s="182"/>
      <c r="AA50" s="182"/>
      <c r="AB50" s="182"/>
      <c r="AC50" s="182"/>
      <c r="AD50" s="182"/>
      <c r="AE50" s="182"/>
      <c r="AF50" s="182"/>
      <c r="AG50" s="182"/>
      <c r="AH50" s="182"/>
      <c r="AI50" s="167">
        <f t="shared" si="30"/>
        <v>6</v>
      </c>
      <c r="AJ50" s="530" t="s">
        <v>126</v>
      </c>
      <c r="AK50" s="341">
        <v>43116</v>
      </c>
      <c r="AL50" s="352"/>
      <c r="AM50" s="352"/>
      <c r="AN50" s="352"/>
      <c r="AO50" s="352"/>
      <c r="AP50" s="352"/>
      <c r="AQ50" s="352"/>
      <c r="AR50" s="352"/>
      <c r="AS50" s="352"/>
      <c r="AT50" s="352"/>
      <c r="AU50" s="352"/>
      <c r="AV50" s="352"/>
      <c r="AW50" s="352"/>
      <c r="AX50" s="352"/>
      <c r="AY50" s="352"/>
      <c r="AZ50" s="352"/>
      <c r="BA50" s="352"/>
      <c r="BB50" s="352"/>
      <c r="BC50" s="352"/>
      <c r="BD50" s="352"/>
      <c r="BE50" s="352"/>
      <c r="BF50" s="352"/>
      <c r="BG50" s="352"/>
      <c r="BH50" s="352"/>
      <c r="BI50" s="352"/>
      <c r="BJ50" s="352"/>
      <c r="BK50" s="470"/>
      <c r="BL50" s="339"/>
      <c r="BM50" s="339"/>
      <c r="BN50" s="182"/>
      <c r="BO50" s="182"/>
      <c r="BP50" s="182"/>
      <c r="BQ50" s="182"/>
      <c r="BR50" s="182"/>
      <c r="BS50" s="182"/>
      <c r="BT50" s="182"/>
      <c r="BU50" s="182"/>
      <c r="BV50" s="182"/>
      <c r="BW50" s="182"/>
      <c r="BX50" s="182"/>
      <c r="BY50" s="182"/>
      <c r="BZ50" s="182"/>
      <c r="CA50" s="182"/>
      <c r="CB50" s="182"/>
      <c r="CC50" s="182"/>
      <c r="CD50" s="182"/>
      <c r="CE50" s="182"/>
      <c r="CF50" s="182"/>
      <c r="CG50" s="182"/>
      <c r="CH50" s="182"/>
      <c r="CI50" s="182"/>
      <c r="CJ50" s="182"/>
      <c r="CK50" s="621"/>
      <c r="CL50" s="622"/>
      <c r="CM50" s="623"/>
    </row>
    <row r="51" spans="1:91" s="344" customFormat="1">
      <c r="A51" s="335" t="s">
        <v>127</v>
      </c>
      <c r="B51" s="519" t="s">
        <v>100</v>
      </c>
      <c r="C51" s="519" t="s">
        <v>100</v>
      </c>
      <c r="D51" s="182"/>
      <c r="E51" s="519" t="s">
        <v>100</v>
      </c>
      <c r="F51" s="519" t="s">
        <v>100</v>
      </c>
      <c r="G51" s="519"/>
      <c r="H51" s="519" t="s">
        <v>100</v>
      </c>
      <c r="I51" s="519"/>
      <c r="J51" s="522" t="s">
        <v>100</v>
      </c>
      <c r="K51" s="519"/>
      <c r="L51" s="519" t="s">
        <v>100</v>
      </c>
      <c r="M51" s="519"/>
      <c r="N51" s="519"/>
      <c r="O51" s="519"/>
      <c r="P51" s="519"/>
      <c r="Q51" s="519"/>
      <c r="R51" s="519"/>
      <c r="S51" s="519" t="s">
        <v>100</v>
      </c>
      <c r="T51" s="519" t="s">
        <v>100</v>
      </c>
      <c r="U51" s="519"/>
      <c r="V51" s="522" t="s">
        <v>100</v>
      </c>
      <c r="W51" s="182"/>
      <c r="X51" s="182"/>
      <c r="Y51" s="182"/>
      <c r="Z51" s="182"/>
      <c r="AA51" s="182"/>
      <c r="AB51" s="182"/>
      <c r="AC51" s="182"/>
      <c r="AD51" s="182"/>
      <c r="AE51" s="182"/>
      <c r="AF51" s="182"/>
      <c r="AG51" s="182"/>
      <c r="AH51" s="182"/>
      <c r="AI51" s="167">
        <f t="shared" si="30"/>
        <v>10</v>
      </c>
      <c r="AJ51" s="340" t="str">
        <f>HYPERLINK("https://twitter.com/Boomskie/status/891882806141374464","Twitter")</f>
        <v>Twitter</v>
      </c>
      <c r="AK51" s="341">
        <v>42947</v>
      </c>
      <c r="AL51" s="352"/>
      <c r="AM51" s="352">
        <f>IF(B51=1,0,0)</f>
        <v>0</v>
      </c>
      <c r="AN51" s="352" t="e">
        <f>IF(#REF!=1,13,0)</f>
        <v>#REF!</v>
      </c>
      <c r="AO51" s="352">
        <f>IF(E51=1,8,0)</f>
        <v>0</v>
      </c>
      <c r="AP51" s="352">
        <f>IF(G51=1,8,0)</f>
        <v>0</v>
      </c>
      <c r="AQ51" s="352">
        <f>IF(I51=1,0,0)</f>
        <v>0</v>
      </c>
      <c r="AR51" s="352">
        <f>IF(J51=1,0,0)</f>
        <v>0</v>
      </c>
      <c r="AS51" s="352" t="e">
        <f>IF(#REF!=1,0,0)</f>
        <v>#REF!</v>
      </c>
      <c r="AT51" s="352">
        <f>IF(K51=1,19,0)</f>
        <v>0</v>
      </c>
      <c r="AU51" s="352">
        <f>IF(N51=1,13,0)</f>
        <v>0</v>
      </c>
      <c r="AV51" s="352">
        <f>IF(O51=1,0,0)</f>
        <v>0</v>
      </c>
      <c r="AW51" s="352">
        <f>IF(P51=1,3,0)</f>
        <v>0</v>
      </c>
      <c r="AX51" s="352">
        <f>IF(S51=1,8,0)</f>
        <v>0</v>
      </c>
      <c r="AY51" s="352">
        <f>IF(T51=1,4,0)</f>
        <v>0</v>
      </c>
      <c r="AZ51" s="352">
        <f>IF(U51=1,2,0)</f>
        <v>0</v>
      </c>
      <c r="BA51" s="352" t="e">
        <f>IF(#REF!=1,8,0)</f>
        <v>#REF!</v>
      </c>
      <c r="BB51" s="352">
        <f>IF(X51=1,16,0)</f>
        <v>0</v>
      </c>
      <c r="BC51" s="352">
        <f>IF(Y51=1,13,0)</f>
        <v>0</v>
      </c>
      <c r="BD51" s="352">
        <f>IF(Z51=1,10,0)</f>
        <v>0</v>
      </c>
      <c r="BE51" s="352" t="e">
        <f>IF(#REF!=1,2,0)</f>
        <v>#REF!</v>
      </c>
      <c r="BF51" s="352">
        <f>IF(AB51=1,6,0)</f>
        <v>0</v>
      </c>
      <c r="BG51" s="352">
        <f>IF(AD51=1,1,0)</f>
        <v>0</v>
      </c>
      <c r="BH51" s="352" t="e">
        <f>IF(#REF!=1,8,0)</f>
        <v>#REF!</v>
      </c>
      <c r="BI51" s="352">
        <f t="shared" ref="BI51" si="37">IF(AG51=1,2,0)</f>
        <v>0</v>
      </c>
      <c r="BJ51" s="352">
        <f t="shared" ref="BJ51" si="38">IF(AH51=1,3,0)</f>
        <v>0</v>
      </c>
      <c r="BK51" s="470" t="e">
        <f>LARGE(AM51:BJ51,1)+LARGE(AM51:BJ51,2)+LARGE(AM51:BJ51,3)+LARGE(AM51:BJ51,4)+LARGE(AM51:BJ51,5)+LARGE(AM51:BJ51,6)+LARGE(AM51:BJ51,7)+LARGE(AM51:BJ51,8)</f>
        <v>#REF!</v>
      </c>
      <c r="BL51" s="339" t="e">
        <f t="shared" ref="BL51" si="39">BK51</f>
        <v>#REF!</v>
      </c>
      <c r="BM51" s="339"/>
      <c r="BN51" s="182"/>
      <c r="BO51" s="182"/>
      <c r="BP51" s="182"/>
      <c r="BQ51" s="182"/>
      <c r="BR51" s="182"/>
      <c r="BS51" s="182"/>
      <c r="BT51" s="182"/>
      <c r="BU51" s="182"/>
      <c r="BV51" s="182"/>
      <c r="BW51" s="182"/>
      <c r="BX51" s="182"/>
      <c r="BY51" s="182"/>
      <c r="BZ51" s="182"/>
      <c r="CA51" s="182"/>
      <c r="CB51" s="182"/>
      <c r="CC51" s="182"/>
      <c r="CD51" s="182"/>
      <c r="CE51" s="182"/>
      <c r="CF51" s="182"/>
      <c r="CG51" s="182"/>
      <c r="CH51" s="182"/>
      <c r="CI51" s="182"/>
      <c r="CJ51" s="182"/>
      <c r="CK51" s="618"/>
      <c r="CL51" s="619"/>
      <c r="CM51" s="620"/>
    </row>
    <row r="52" spans="1:91" s="344" customFormat="1">
      <c r="A52" s="335" t="s">
        <v>128</v>
      </c>
      <c r="B52" s="519"/>
      <c r="C52" s="519"/>
      <c r="D52" s="182"/>
      <c r="E52" s="519" t="s">
        <v>100</v>
      </c>
      <c r="F52" s="519" t="s">
        <v>100</v>
      </c>
      <c r="G52" s="519" t="s">
        <v>100</v>
      </c>
      <c r="H52" s="519" t="s">
        <v>100</v>
      </c>
      <c r="I52" s="519"/>
      <c r="J52" s="519" t="s">
        <v>100</v>
      </c>
      <c r="K52" s="519" t="s">
        <v>100</v>
      </c>
      <c r="L52" s="522" t="s">
        <v>100</v>
      </c>
      <c r="M52" s="523"/>
      <c r="N52" s="519"/>
      <c r="O52" s="519"/>
      <c r="P52" s="519"/>
      <c r="Q52" s="519"/>
      <c r="R52" s="519"/>
      <c r="S52" s="519" t="s">
        <v>100</v>
      </c>
      <c r="T52" s="519" t="s">
        <v>100</v>
      </c>
      <c r="U52" s="519"/>
      <c r="V52" s="519" t="s">
        <v>100</v>
      </c>
      <c r="W52" s="182"/>
      <c r="X52" s="182"/>
      <c r="Y52" s="182"/>
      <c r="Z52" s="182"/>
      <c r="AA52" s="182"/>
      <c r="AB52" s="182"/>
      <c r="AC52" s="182"/>
      <c r="AD52" s="182"/>
      <c r="AE52" s="182"/>
      <c r="AF52" s="182"/>
      <c r="AG52" s="182"/>
      <c r="AH52" s="182"/>
      <c r="AI52" s="167">
        <f t="shared" si="30"/>
        <v>10</v>
      </c>
      <c r="AJ52" s="530" t="s">
        <v>113</v>
      </c>
      <c r="AK52" s="341">
        <v>43117</v>
      </c>
      <c r="AL52" s="352"/>
      <c r="AM52" s="352"/>
      <c r="AN52" s="352"/>
      <c r="AO52" s="352"/>
      <c r="AP52" s="352"/>
      <c r="AQ52" s="352"/>
      <c r="AR52" s="352"/>
      <c r="AS52" s="352"/>
      <c r="AT52" s="352"/>
      <c r="AU52" s="352"/>
      <c r="AV52" s="352"/>
      <c r="AW52" s="352"/>
      <c r="AX52" s="352"/>
      <c r="AY52" s="352"/>
      <c r="AZ52" s="352"/>
      <c r="BA52" s="352"/>
      <c r="BB52" s="352"/>
      <c r="BC52" s="352"/>
      <c r="BD52" s="352"/>
      <c r="BE52" s="352"/>
      <c r="BF52" s="352"/>
      <c r="BG52" s="352"/>
      <c r="BH52" s="352"/>
      <c r="BI52" s="352"/>
      <c r="BJ52" s="352"/>
      <c r="BK52" s="470"/>
      <c r="BL52" s="339"/>
      <c r="BM52" s="339"/>
      <c r="BN52" s="182"/>
      <c r="BO52" s="182"/>
      <c r="BP52" s="182"/>
      <c r="BQ52" s="182"/>
      <c r="BR52" s="182"/>
      <c r="BS52" s="182"/>
      <c r="BT52" s="182"/>
      <c r="BU52" s="182"/>
      <c r="BV52" s="182"/>
      <c r="BW52" s="182"/>
      <c r="BX52" s="182"/>
      <c r="BY52" s="182"/>
      <c r="BZ52" s="182"/>
      <c r="CA52" s="182"/>
      <c r="CB52" s="182"/>
      <c r="CC52" s="182"/>
      <c r="CD52" s="182"/>
      <c r="CE52" s="182"/>
      <c r="CF52" s="182"/>
      <c r="CG52" s="182"/>
      <c r="CH52" s="182"/>
      <c r="CI52" s="182"/>
      <c r="CJ52" s="182"/>
      <c r="CK52" s="618"/>
      <c r="CL52" s="619"/>
      <c r="CM52" s="620"/>
    </row>
    <row r="53" spans="1:91" s="344" customFormat="1">
      <c r="A53" s="331" t="s">
        <v>129</v>
      </c>
      <c r="B53" s="519" t="s">
        <v>100</v>
      </c>
      <c r="C53" s="519" t="s">
        <v>100</v>
      </c>
      <c r="D53" s="182"/>
      <c r="E53" s="519" t="s">
        <v>100</v>
      </c>
      <c r="F53" s="519"/>
      <c r="G53" s="519"/>
      <c r="H53" s="519" t="s">
        <v>100</v>
      </c>
      <c r="I53" s="519"/>
      <c r="J53" s="519" t="s">
        <v>100</v>
      </c>
      <c r="K53" s="519"/>
      <c r="L53" s="519" t="s">
        <v>100</v>
      </c>
      <c r="M53" s="519"/>
      <c r="N53" s="519"/>
      <c r="O53" s="519"/>
      <c r="P53" s="519" t="s">
        <v>100</v>
      </c>
      <c r="Q53" s="519"/>
      <c r="R53" s="519" t="s">
        <v>100</v>
      </c>
      <c r="S53" s="519" t="s">
        <v>100</v>
      </c>
      <c r="T53" s="519"/>
      <c r="U53" s="519" t="s">
        <v>100</v>
      </c>
      <c r="V53" s="519"/>
      <c r="W53" s="182"/>
      <c r="X53" s="182"/>
      <c r="Y53" s="182"/>
      <c r="Z53" s="182"/>
      <c r="AA53" s="182"/>
      <c r="AB53" s="182"/>
      <c r="AC53" s="182"/>
      <c r="AD53" s="182"/>
      <c r="AE53" s="182"/>
      <c r="AF53" s="182"/>
      <c r="AG53" s="182"/>
      <c r="AH53" s="182"/>
      <c r="AI53" s="167">
        <f t="shared" si="30"/>
        <v>10</v>
      </c>
      <c r="AJ53" s="340" t="str">
        <f>HYPERLINK("https://twitter.com/eboland11/status/943889459166302210","Twitter")</f>
        <v>Twitter</v>
      </c>
      <c r="AK53" s="341">
        <v>43090</v>
      </c>
      <c r="AL53" s="352"/>
      <c r="AM53" s="352"/>
      <c r="AN53" s="352"/>
      <c r="AO53" s="352"/>
      <c r="AP53" s="352"/>
      <c r="AQ53" s="352"/>
      <c r="AR53" s="352"/>
      <c r="AS53" s="352"/>
      <c r="AT53" s="352"/>
      <c r="AU53" s="352"/>
      <c r="AV53" s="352"/>
      <c r="AW53" s="352"/>
      <c r="AX53" s="352"/>
      <c r="AY53" s="352"/>
      <c r="AZ53" s="352"/>
      <c r="BA53" s="352"/>
      <c r="BB53" s="352"/>
      <c r="BC53" s="352"/>
      <c r="BD53" s="352"/>
      <c r="BE53" s="352"/>
      <c r="BF53" s="352"/>
      <c r="BG53" s="352"/>
      <c r="BH53" s="352"/>
      <c r="BI53" s="352"/>
      <c r="BJ53" s="352"/>
      <c r="BK53" s="470"/>
      <c r="BL53" s="339"/>
      <c r="BM53" s="339"/>
      <c r="BN53" s="182"/>
      <c r="BO53" s="182"/>
      <c r="BP53" s="182"/>
      <c r="BQ53" s="182"/>
      <c r="BR53" s="182"/>
      <c r="BS53" s="182"/>
      <c r="BT53" s="182"/>
      <c r="BU53" s="182"/>
      <c r="BV53" s="182"/>
      <c r="BW53" s="182"/>
      <c r="BX53" s="182"/>
      <c r="BY53" s="182"/>
      <c r="BZ53" s="182"/>
      <c r="CA53" s="182"/>
      <c r="CB53" s="182"/>
      <c r="CC53" s="182"/>
      <c r="CD53" s="182"/>
      <c r="CE53" s="182"/>
      <c r="CF53" s="182"/>
      <c r="CG53" s="182"/>
      <c r="CH53" s="182"/>
      <c r="CI53" s="182"/>
      <c r="CJ53" s="182"/>
      <c r="CK53" s="618"/>
      <c r="CL53" s="619"/>
      <c r="CM53" s="620"/>
    </row>
    <row r="54" spans="1:91" s="344" customFormat="1">
      <c r="A54" s="335" t="s">
        <v>130</v>
      </c>
      <c r="B54" s="519" t="s">
        <v>100</v>
      </c>
      <c r="C54" s="519" t="s">
        <v>100</v>
      </c>
      <c r="D54" s="182"/>
      <c r="E54" s="519" t="s">
        <v>100</v>
      </c>
      <c r="F54" s="519" t="s">
        <v>100</v>
      </c>
      <c r="G54" s="519"/>
      <c r="H54" s="519" t="s">
        <v>100</v>
      </c>
      <c r="I54" s="519"/>
      <c r="J54" s="523"/>
      <c r="K54" s="519"/>
      <c r="L54" s="522" t="s">
        <v>100</v>
      </c>
      <c r="M54" s="519" t="s">
        <v>100</v>
      </c>
      <c r="N54" s="519"/>
      <c r="O54" s="519"/>
      <c r="P54" s="519"/>
      <c r="Q54" s="519"/>
      <c r="R54" s="522" t="s">
        <v>100</v>
      </c>
      <c r="S54" s="519" t="s">
        <v>100</v>
      </c>
      <c r="T54" s="519" t="s">
        <v>100</v>
      </c>
      <c r="U54" s="519"/>
      <c r="V54" s="519"/>
      <c r="W54" s="182"/>
      <c r="X54" s="182"/>
      <c r="Y54" s="182"/>
      <c r="Z54" s="182"/>
      <c r="AA54" s="182"/>
      <c r="AB54" s="182"/>
      <c r="AC54" s="182"/>
      <c r="AD54" s="182"/>
      <c r="AE54" s="182"/>
      <c r="AF54" s="182"/>
      <c r="AG54" s="182"/>
      <c r="AH54" s="182"/>
      <c r="AI54" s="167">
        <f t="shared" si="30"/>
        <v>10</v>
      </c>
      <c r="AJ54" s="530" t="s">
        <v>113</v>
      </c>
      <c r="AK54" s="341">
        <v>43073</v>
      </c>
      <c r="AL54" s="352"/>
      <c r="AM54" s="352"/>
      <c r="AN54" s="352"/>
      <c r="AO54" s="352"/>
      <c r="AP54" s="352"/>
      <c r="AQ54" s="352"/>
      <c r="AR54" s="352"/>
      <c r="AS54" s="352"/>
      <c r="AT54" s="352"/>
      <c r="AU54" s="352"/>
      <c r="AV54" s="352"/>
      <c r="AW54" s="352"/>
      <c r="AX54" s="352"/>
      <c r="AY54" s="352"/>
      <c r="AZ54" s="352"/>
      <c r="BA54" s="352"/>
      <c r="BB54" s="352"/>
      <c r="BC54" s="352"/>
      <c r="BD54" s="352"/>
      <c r="BE54" s="352"/>
      <c r="BF54" s="352"/>
      <c r="BG54" s="352"/>
      <c r="BH54" s="352"/>
      <c r="BI54" s="352"/>
      <c r="BJ54" s="352"/>
      <c r="BK54" s="470"/>
      <c r="BL54" s="339"/>
      <c r="BM54" s="339"/>
      <c r="BN54" s="182"/>
      <c r="BO54" s="182"/>
      <c r="BP54" s="182"/>
      <c r="BQ54" s="182"/>
      <c r="BR54" s="182"/>
      <c r="BS54" s="182"/>
      <c r="BT54" s="182"/>
      <c r="BU54" s="182"/>
      <c r="BV54" s="182"/>
      <c r="BW54" s="182"/>
      <c r="BX54" s="182"/>
      <c r="BY54" s="182"/>
      <c r="BZ54" s="182"/>
      <c r="CA54" s="182"/>
      <c r="CB54" s="182"/>
      <c r="CC54" s="182"/>
      <c r="CD54" s="182"/>
      <c r="CE54" s="182"/>
      <c r="CF54" s="182"/>
      <c r="CG54" s="182"/>
      <c r="CH54" s="182"/>
      <c r="CI54" s="182"/>
      <c r="CJ54" s="182"/>
      <c r="CK54" s="618"/>
      <c r="CL54" s="619"/>
      <c r="CM54" s="620"/>
    </row>
    <row r="55" spans="1:91" s="344" customFormat="1">
      <c r="A55" s="335" t="s">
        <v>131</v>
      </c>
      <c r="B55" s="519" t="s">
        <v>100</v>
      </c>
      <c r="C55" s="519" t="s">
        <v>100</v>
      </c>
      <c r="D55" s="182"/>
      <c r="E55" s="519" t="s">
        <v>100</v>
      </c>
      <c r="F55" s="519" t="s">
        <v>100</v>
      </c>
      <c r="G55" s="519"/>
      <c r="H55" s="519" t="s">
        <v>100</v>
      </c>
      <c r="I55" s="519"/>
      <c r="J55" s="519" t="s">
        <v>100</v>
      </c>
      <c r="K55" s="519"/>
      <c r="L55" s="519" t="s">
        <v>100</v>
      </c>
      <c r="M55" s="519"/>
      <c r="N55" s="519"/>
      <c r="O55" s="519"/>
      <c r="P55" s="519" t="s">
        <v>100</v>
      </c>
      <c r="Q55" s="519"/>
      <c r="R55" s="519"/>
      <c r="S55" s="519" t="s">
        <v>100</v>
      </c>
      <c r="T55" s="519"/>
      <c r="U55" s="519"/>
      <c r="V55" s="522" t="s">
        <v>100</v>
      </c>
      <c r="W55" s="182"/>
      <c r="X55" s="182"/>
      <c r="Y55" s="182"/>
      <c r="Z55" s="182"/>
      <c r="AA55" s="182"/>
      <c r="AB55" s="182"/>
      <c r="AC55" s="182"/>
      <c r="AD55" s="182"/>
      <c r="AE55" s="182"/>
      <c r="AF55" s="182"/>
      <c r="AG55" s="182"/>
      <c r="AH55" s="182"/>
      <c r="AI55" s="167">
        <f t="shared" si="30"/>
        <v>10</v>
      </c>
      <c r="AJ55" s="340" t="str">
        <f>HYPERLINK("https://twitter.com/ByTimBooth/status/940646906098679808","Twitter/Facebook")</f>
        <v>Twitter/Facebook</v>
      </c>
      <c r="AK55" s="341">
        <v>43081</v>
      </c>
      <c r="AL55" s="352"/>
      <c r="AM55" s="352"/>
      <c r="AN55" s="352"/>
      <c r="AO55" s="352"/>
      <c r="AP55" s="352"/>
      <c r="AQ55" s="352"/>
      <c r="AR55" s="352"/>
      <c r="AS55" s="352"/>
      <c r="AT55" s="352"/>
      <c r="AU55" s="352"/>
      <c r="AV55" s="352"/>
      <c r="AW55" s="352"/>
      <c r="AX55" s="352"/>
      <c r="AY55" s="352"/>
      <c r="AZ55" s="352"/>
      <c r="BA55" s="352"/>
      <c r="BB55" s="352"/>
      <c r="BC55" s="352"/>
      <c r="BD55" s="352"/>
      <c r="BE55" s="352"/>
      <c r="BF55" s="352"/>
      <c r="BG55" s="352"/>
      <c r="BH55" s="352"/>
      <c r="BI55" s="352"/>
      <c r="BJ55" s="352"/>
      <c r="BK55" s="470"/>
      <c r="BL55" s="339"/>
      <c r="BM55" s="339"/>
      <c r="BN55" s="182"/>
      <c r="BO55" s="182"/>
      <c r="BP55" s="182"/>
      <c r="BQ55" s="182"/>
      <c r="BR55" s="182"/>
      <c r="BS55" s="182"/>
      <c r="BT55" s="182"/>
      <c r="BU55" s="182"/>
      <c r="BV55" s="182"/>
      <c r="BW55" s="182"/>
      <c r="BX55" s="182"/>
      <c r="BY55" s="182"/>
      <c r="BZ55" s="182"/>
      <c r="CA55" s="182"/>
      <c r="CB55" s="182"/>
      <c r="CC55" s="182"/>
      <c r="CD55" s="182"/>
      <c r="CE55" s="182"/>
      <c r="CF55" s="182"/>
      <c r="CG55" s="182"/>
      <c r="CH55" s="182"/>
      <c r="CI55" s="182"/>
      <c r="CJ55" s="182"/>
      <c r="CK55" s="618"/>
      <c r="CL55" s="619"/>
      <c r="CM55" s="620"/>
    </row>
    <row r="56" spans="1:91" s="344" customFormat="1">
      <c r="A56" s="335" t="s">
        <v>132</v>
      </c>
      <c r="B56" s="519" t="s">
        <v>100</v>
      </c>
      <c r="C56" s="519" t="s">
        <v>100</v>
      </c>
      <c r="D56" s="182"/>
      <c r="E56" s="519" t="s">
        <v>100</v>
      </c>
      <c r="F56" s="519"/>
      <c r="G56" s="519"/>
      <c r="H56" s="519" t="s">
        <v>100</v>
      </c>
      <c r="I56" s="519"/>
      <c r="J56" s="519"/>
      <c r="K56" s="519"/>
      <c r="L56" s="519"/>
      <c r="M56" s="519" t="s">
        <v>100</v>
      </c>
      <c r="N56" s="519"/>
      <c r="O56" s="519"/>
      <c r="P56" s="519" t="s">
        <v>100</v>
      </c>
      <c r="Q56" s="519"/>
      <c r="R56" s="523"/>
      <c r="S56" s="519"/>
      <c r="T56" s="519"/>
      <c r="U56" s="519"/>
      <c r="V56" s="519"/>
      <c r="W56" s="182"/>
      <c r="X56" s="182"/>
      <c r="Y56" s="182"/>
      <c r="Z56" s="182"/>
      <c r="AA56" s="182"/>
      <c r="AB56" s="182"/>
      <c r="AC56" s="182"/>
      <c r="AD56" s="182"/>
      <c r="AE56" s="182"/>
      <c r="AF56" s="182"/>
      <c r="AG56" s="182"/>
      <c r="AH56" s="182"/>
      <c r="AI56" s="167">
        <f t="shared" si="30"/>
        <v>6</v>
      </c>
      <c r="AJ56" s="340" t="str">
        <f>HYPERLINK("http://www.ctpost.com/sports/article/David-Borges-Hall-of-Fame-ballot-comes-with-12439764.php","CT Post")</f>
        <v>CT Post</v>
      </c>
      <c r="AK56" s="341">
        <v>43087</v>
      </c>
      <c r="AL56" s="352"/>
      <c r="AM56" s="352"/>
      <c r="AN56" s="352"/>
      <c r="AO56" s="352"/>
      <c r="AP56" s="352"/>
      <c r="AQ56" s="352"/>
      <c r="AR56" s="352"/>
      <c r="AS56" s="352"/>
      <c r="AT56" s="352"/>
      <c r="AU56" s="352"/>
      <c r="AV56" s="352"/>
      <c r="AW56" s="352"/>
      <c r="AX56" s="352"/>
      <c r="AY56" s="352"/>
      <c r="AZ56" s="352"/>
      <c r="BA56" s="352"/>
      <c r="BB56" s="352"/>
      <c r="BC56" s="352"/>
      <c r="BD56" s="352"/>
      <c r="BE56" s="352"/>
      <c r="BF56" s="352"/>
      <c r="BG56" s="352"/>
      <c r="BH56" s="352"/>
      <c r="BI56" s="352"/>
      <c r="BJ56" s="352"/>
      <c r="BK56" s="470"/>
      <c r="BL56" s="339"/>
      <c r="BM56" s="339"/>
      <c r="BN56" s="182"/>
      <c r="BO56" s="182"/>
      <c r="BP56" s="182"/>
      <c r="BQ56" s="182"/>
      <c r="BR56" s="182"/>
      <c r="BS56" s="182"/>
      <c r="BT56" s="182"/>
      <c r="BU56" s="182"/>
      <c r="BV56" s="182"/>
      <c r="BW56" s="182"/>
      <c r="BX56" s="182"/>
      <c r="BY56" s="182"/>
      <c r="BZ56" s="182"/>
      <c r="CA56" s="182"/>
      <c r="CB56" s="182"/>
      <c r="CC56" s="182"/>
      <c r="CD56" s="182"/>
      <c r="CE56" s="182"/>
      <c r="CF56" s="182"/>
      <c r="CG56" s="182"/>
      <c r="CH56" s="182"/>
      <c r="CI56" s="182"/>
      <c r="CJ56" s="182"/>
      <c r="CK56" s="618"/>
      <c r="CL56" s="619"/>
      <c r="CM56" s="620"/>
    </row>
    <row r="57" spans="1:91" s="344" customFormat="1">
      <c r="A57" s="335" t="s">
        <v>133</v>
      </c>
      <c r="B57" s="519" t="s">
        <v>100</v>
      </c>
      <c r="C57" s="519" t="s">
        <v>100</v>
      </c>
      <c r="D57" s="182"/>
      <c r="E57" s="519" t="s">
        <v>100</v>
      </c>
      <c r="F57" s="519"/>
      <c r="G57" s="519"/>
      <c r="H57" s="519" t="s">
        <v>100</v>
      </c>
      <c r="I57" s="519" t="s">
        <v>100</v>
      </c>
      <c r="J57" s="519" t="s">
        <v>100</v>
      </c>
      <c r="K57" s="519" t="s">
        <v>100</v>
      </c>
      <c r="L57" s="519"/>
      <c r="M57" s="519"/>
      <c r="N57" s="519"/>
      <c r="O57" s="519"/>
      <c r="P57" s="519" t="s">
        <v>100</v>
      </c>
      <c r="Q57" s="519"/>
      <c r="R57" s="519"/>
      <c r="S57" s="519" t="s">
        <v>100</v>
      </c>
      <c r="T57" s="519"/>
      <c r="U57" s="519"/>
      <c r="V57" s="522" t="s">
        <v>100</v>
      </c>
      <c r="W57" s="182"/>
      <c r="X57" s="182"/>
      <c r="Y57" s="182"/>
      <c r="Z57" s="182"/>
      <c r="AA57" s="182"/>
      <c r="AB57" s="182"/>
      <c r="AC57" s="182"/>
      <c r="AD57" s="182"/>
      <c r="AE57" s="182"/>
      <c r="AF57" s="182"/>
      <c r="AG57" s="182"/>
      <c r="AH57" s="182"/>
      <c r="AI57" s="167">
        <f t="shared" si="30"/>
        <v>10</v>
      </c>
      <c r="AJ57" s="340" t="str">
        <f>HYPERLINK("http://www.nydailynews.com/sports/daily-news-soothsayer-back-build-hopes-smash-dreams-article-1.3727862","New York Daily News")</f>
        <v>New York Daily News</v>
      </c>
      <c r="AK57" s="341">
        <v>43099</v>
      </c>
      <c r="AL57" s="352"/>
      <c r="AM57" s="352"/>
      <c r="AN57" s="352"/>
      <c r="AO57" s="352"/>
      <c r="AP57" s="352"/>
      <c r="AQ57" s="352"/>
      <c r="AR57" s="352"/>
      <c r="AS57" s="352"/>
      <c r="AT57" s="352"/>
      <c r="AU57" s="352"/>
      <c r="AV57" s="352"/>
      <c r="AW57" s="352"/>
      <c r="AX57" s="352"/>
      <c r="AY57" s="352"/>
      <c r="AZ57" s="352"/>
      <c r="BA57" s="352"/>
      <c r="BB57" s="352"/>
      <c r="BC57" s="352"/>
      <c r="BD57" s="352"/>
      <c r="BE57" s="352"/>
      <c r="BF57" s="352"/>
      <c r="BG57" s="352"/>
      <c r="BH57" s="352"/>
      <c r="BI57" s="352"/>
      <c r="BJ57" s="352"/>
      <c r="BK57" s="470"/>
      <c r="BL57" s="339"/>
      <c r="BM57" s="339"/>
      <c r="BN57" s="182"/>
      <c r="BO57" s="182"/>
      <c r="BP57" s="182"/>
      <c r="BQ57" s="182"/>
      <c r="BR57" s="182"/>
      <c r="BS57" s="182"/>
      <c r="BT57" s="182"/>
      <c r="BU57" s="182"/>
      <c r="BV57" s="182"/>
      <c r="BW57" s="182"/>
      <c r="BX57" s="182"/>
      <c r="BY57" s="182"/>
      <c r="BZ57" s="182"/>
      <c r="CA57" s="182"/>
      <c r="CB57" s="182"/>
      <c r="CC57" s="182"/>
      <c r="CD57" s="182"/>
      <c r="CE57" s="182"/>
      <c r="CF57" s="182"/>
      <c r="CG57" s="182"/>
      <c r="CH57" s="182"/>
      <c r="CI57" s="182"/>
      <c r="CJ57" s="182"/>
      <c r="CK57" s="647" t="s">
        <v>134</v>
      </c>
      <c r="CL57" s="648"/>
      <c r="CM57" s="649"/>
    </row>
    <row r="58" spans="1:91" s="344" customFormat="1">
      <c r="A58" s="335" t="s">
        <v>135</v>
      </c>
      <c r="B58" s="519" t="s">
        <v>100</v>
      </c>
      <c r="C58" s="519" t="s">
        <v>100</v>
      </c>
      <c r="D58" s="182"/>
      <c r="E58" s="519"/>
      <c r="F58" s="519"/>
      <c r="G58" s="519" t="s">
        <v>100</v>
      </c>
      <c r="H58" s="519" t="s">
        <v>100</v>
      </c>
      <c r="I58" s="519"/>
      <c r="J58" s="519" t="s">
        <v>100</v>
      </c>
      <c r="K58" s="519"/>
      <c r="L58" s="519" t="s">
        <v>100</v>
      </c>
      <c r="M58" s="519" t="s">
        <v>100</v>
      </c>
      <c r="N58" s="519"/>
      <c r="O58" s="519"/>
      <c r="P58" s="519" t="s">
        <v>100</v>
      </c>
      <c r="Q58" s="519"/>
      <c r="R58" s="519"/>
      <c r="S58" s="519" t="s">
        <v>100</v>
      </c>
      <c r="T58" s="519"/>
      <c r="U58" s="519"/>
      <c r="V58" s="519" t="s">
        <v>100</v>
      </c>
      <c r="W58" s="182"/>
      <c r="X58" s="182"/>
      <c r="Y58" s="182"/>
      <c r="Z58" s="182"/>
      <c r="AA58" s="182"/>
      <c r="AB58" s="182"/>
      <c r="AC58" s="182"/>
      <c r="AD58" s="182"/>
      <c r="AE58" s="182"/>
      <c r="AF58" s="182"/>
      <c r="AG58" s="182"/>
      <c r="AH58" s="182"/>
      <c r="AI58" s="167">
        <f t="shared" si="30"/>
        <v>10</v>
      </c>
      <c r="AJ58" s="340" t="str">
        <f>HYPERLINK("https://twitter.com/MarkBradleyAJC/status/938192213737123846","Twitter")</f>
        <v>Twitter</v>
      </c>
      <c r="AK58" s="341">
        <v>43074</v>
      </c>
      <c r="AL58" s="352"/>
      <c r="AM58" s="352"/>
      <c r="AN58" s="352"/>
      <c r="AO58" s="352"/>
      <c r="AP58" s="352"/>
      <c r="AQ58" s="352"/>
      <c r="AR58" s="352"/>
      <c r="AS58" s="352"/>
      <c r="AT58" s="352"/>
      <c r="AU58" s="352"/>
      <c r="AV58" s="352"/>
      <c r="AW58" s="352"/>
      <c r="AX58" s="352"/>
      <c r="AY58" s="352"/>
      <c r="AZ58" s="352"/>
      <c r="BA58" s="352"/>
      <c r="BB58" s="352"/>
      <c r="BC58" s="352"/>
      <c r="BD58" s="352"/>
      <c r="BE58" s="352"/>
      <c r="BF58" s="352"/>
      <c r="BG58" s="352"/>
      <c r="BH58" s="352"/>
      <c r="BI58" s="352"/>
      <c r="BJ58" s="352"/>
      <c r="BK58" s="470"/>
      <c r="BL58" s="339"/>
      <c r="BM58" s="339"/>
      <c r="BN58" s="182"/>
      <c r="BO58" s="182"/>
      <c r="BP58" s="182"/>
      <c r="BQ58" s="182"/>
      <c r="BR58" s="182"/>
      <c r="BS58" s="182"/>
      <c r="BT58" s="182"/>
      <c r="BU58" s="182"/>
      <c r="BV58" s="182"/>
      <c r="BW58" s="182"/>
      <c r="BX58" s="182"/>
      <c r="BY58" s="182"/>
      <c r="BZ58" s="182"/>
      <c r="CA58" s="182"/>
      <c r="CB58" s="182"/>
      <c r="CC58" s="182"/>
      <c r="CD58" s="182"/>
      <c r="CE58" s="182"/>
      <c r="CF58" s="182"/>
      <c r="CG58" s="182"/>
      <c r="CH58" s="182"/>
      <c r="CI58" s="182"/>
      <c r="CJ58" s="182"/>
      <c r="CK58" s="621" t="s">
        <v>136</v>
      </c>
      <c r="CL58" s="619"/>
      <c r="CM58" s="620"/>
    </row>
    <row r="59" spans="1:91" s="344" customFormat="1">
      <c r="A59" s="335" t="s">
        <v>137</v>
      </c>
      <c r="B59" s="519" t="s">
        <v>100</v>
      </c>
      <c r="C59" s="519" t="s">
        <v>100</v>
      </c>
      <c r="D59" s="182"/>
      <c r="E59" s="522" t="s">
        <v>100</v>
      </c>
      <c r="F59" s="519" t="s">
        <v>100</v>
      </c>
      <c r="G59" s="519"/>
      <c r="H59" s="519" t="s">
        <v>100</v>
      </c>
      <c r="I59" s="519"/>
      <c r="J59" s="519" t="s">
        <v>100</v>
      </c>
      <c r="K59" s="519"/>
      <c r="L59" s="519" t="s">
        <v>100</v>
      </c>
      <c r="M59" s="519" t="s">
        <v>100</v>
      </c>
      <c r="N59" s="519"/>
      <c r="O59" s="519"/>
      <c r="P59" s="519"/>
      <c r="Q59" s="519"/>
      <c r="R59" s="523"/>
      <c r="S59" s="519" t="s">
        <v>100</v>
      </c>
      <c r="T59" s="519" t="s">
        <v>100</v>
      </c>
      <c r="U59" s="519"/>
      <c r="V59" s="519"/>
      <c r="W59" s="182"/>
      <c r="X59" s="182"/>
      <c r="Y59" s="182"/>
      <c r="Z59" s="182"/>
      <c r="AA59" s="182"/>
      <c r="AB59" s="182"/>
      <c r="AC59" s="182"/>
      <c r="AD59" s="182"/>
      <c r="AE59" s="182"/>
      <c r="AF59" s="182"/>
      <c r="AG59" s="182"/>
      <c r="AH59" s="182"/>
      <c r="AI59" s="167">
        <f t="shared" si="30"/>
        <v>10</v>
      </c>
      <c r="AJ59" s="530" t="s">
        <v>138</v>
      </c>
      <c r="AK59" s="471">
        <v>43122</v>
      </c>
      <c r="AL59" s="352"/>
      <c r="AM59" s="352"/>
      <c r="AN59" s="352"/>
      <c r="AO59" s="352"/>
      <c r="AP59" s="352"/>
      <c r="AQ59" s="352"/>
      <c r="AR59" s="352"/>
      <c r="AS59" s="352"/>
      <c r="AT59" s="352"/>
      <c r="AU59" s="352"/>
      <c r="AV59" s="352"/>
      <c r="AW59" s="352"/>
      <c r="AX59" s="352"/>
      <c r="AY59" s="352"/>
      <c r="AZ59" s="352"/>
      <c r="BA59" s="352"/>
      <c r="BB59" s="352"/>
      <c r="BC59" s="352"/>
      <c r="BD59" s="352"/>
      <c r="BE59" s="352"/>
      <c r="BF59" s="352"/>
      <c r="BG59" s="352"/>
      <c r="BH59" s="352"/>
      <c r="BI59" s="352"/>
      <c r="BJ59" s="352"/>
      <c r="BK59" s="470"/>
      <c r="BL59" s="339"/>
      <c r="BM59" s="339"/>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621"/>
      <c r="CL59" s="619"/>
      <c r="CM59" s="620"/>
    </row>
    <row r="60" spans="1:91" s="344" customFormat="1">
      <c r="A60" s="335" t="s">
        <v>139</v>
      </c>
      <c r="B60" s="519" t="s">
        <v>100</v>
      </c>
      <c r="C60" s="519" t="s">
        <v>100</v>
      </c>
      <c r="D60" s="182"/>
      <c r="E60" s="522" t="s">
        <v>100</v>
      </c>
      <c r="F60" s="519"/>
      <c r="G60" s="519"/>
      <c r="H60" s="519" t="s">
        <v>100</v>
      </c>
      <c r="I60" s="519"/>
      <c r="J60" s="519" t="s">
        <v>100</v>
      </c>
      <c r="K60" s="519"/>
      <c r="L60" s="519" t="s">
        <v>100</v>
      </c>
      <c r="M60" s="519"/>
      <c r="N60" s="519"/>
      <c r="O60" s="519"/>
      <c r="P60" s="519"/>
      <c r="Q60" s="519" t="s">
        <v>100</v>
      </c>
      <c r="R60" s="519"/>
      <c r="S60" s="519" t="s">
        <v>100</v>
      </c>
      <c r="T60" s="519"/>
      <c r="U60" s="519"/>
      <c r="V60" s="519" t="s">
        <v>100</v>
      </c>
      <c r="W60" s="182"/>
      <c r="X60" s="182"/>
      <c r="Y60" s="182"/>
      <c r="Z60" s="182"/>
      <c r="AA60" s="182"/>
      <c r="AB60" s="182"/>
      <c r="AC60" s="182"/>
      <c r="AD60" s="182"/>
      <c r="AE60" s="182"/>
      <c r="AF60" s="182"/>
      <c r="AG60" s="182"/>
      <c r="AH60" s="182"/>
      <c r="AI60" s="167">
        <f t="shared" si="30"/>
        <v>9</v>
      </c>
      <c r="AJ60" s="340" t="str">
        <f>HYPERLINK("https://twitter.com/NYP_Brooksie/status/946109661878595584","Twitter")</f>
        <v>Twitter</v>
      </c>
      <c r="AK60" s="341">
        <v>43096</v>
      </c>
      <c r="AL60" s="352"/>
      <c r="AM60" s="352"/>
      <c r="AN60" s="352"/>
      <c r="AO60" s="352"/>
      <c r="AP60" s="352"/>
      <c r="AQ60" s="352"/>
      <c r="AR60" s="352"/>
      <c r="AS60" s="352"/>
      <c r="AT60" s="352"/>
      <c r="AU60" s="352"/>
      <c r="AV60" s="352"/>
      <c r="AW60" s="352"/>
      <c r="AX60" s="352"/>
      <c r="AY60" s="352"/>
      <c r="AZ60" s="352"/>
      <c r="BA60" s="352"/>
      <c r="BB60" s="352"/>
      <c r="BC60" s="352"/>
      <c r="BD60" s="352"/>
      <c r="BE60" s="352"/>
      <c r="BF60" s="352"/>
      <c r="BG60" s="352"/>
      <c r="BH60" s="352"/>
      <c r="BI60" s="352"/>
      <c r="BJ60" s="352"/>
      <c r="BK60" s="470"/>
      <c r="BL60" s="339"/>
      <c r="BM60" s="339"/>
      <c r="BN60" s="182"/>
      <c r="BO60" s="182"/>
      <c r="BP60" s="182"/>
      <c r="BQ60" s="182"/>
      <c r="BR60" s="182"/>
      <c r="BS60" s="182"/>
      <c r="BT60" s="182"/>
      <c r="BU60" s="182"/>
      <c r="BV60" s="182"/>
      <c r="BW60" s="182"/>
      <c r="BX60" s="182"/>
      <c r="BY60" s="182"/>
      <c r="BZ60" s="182"/>
      <c r="CA60" s="182"/>
      <c r="CB60" s="182"/>
      <c r="CC60" s="182"/>
      <c r="CD60" s="182"/>
      <c r="CE60" s="182"/>
      <c r="CF60" s="182"/>
      <c r="CG60" s="182"/>
      <c r="CH60" s="182"/>
      <c r="CI60" s="182"/>
      <c r="CJ60" s="182"/>
      <c r="CK60" s="621"/>
      <c r="CL60" s="619"/>
      <c r="CM60" s="620"/>
    </row>
    <row r="61" spans="1:91" s="344" customFormat="1">
      <c r="A61" s="335" t="s">
        <v>140</v>
      </c>
      <c r="B61" s="519" t="s">
        <v>100</v>
      </c>
      <c r="C61" s="519" t="s">
        <v>100</v>
      </c>
      <c r="D61" s="182"/>
      <c r="E61" s="519"/>
      <c r="F61" s="519" t="s">
        <v>100</v>
      </c>
      <c r="G61" s="519"/>
      <c r="H61" s="519" t="s">
        <v>100</v>
      </c>
      <c r="I61" s="519"/>
      <c r="J61" s="519" t="s">
        <v>100</v>
      </c>
      <c r="K61" s="519" t="s">
        <v>100</v>
      </c>
      <c r="L61" s="519" t="s">
        <v>100</v>
      </c>
      <c r="M61" s="519" t="s">
        <v>100</v>
      </c>
      <c r="N61" s="519"/>
      <c r="O61" s="519"/>
      <c r="P61" s="519" t="s">
        <v>100</v>
      </c>
      <c r="Q61" s="519"/>
      <c r="R61" s="519"/>
      <c r="S61" s="519" t="s">
        <v>100</v>
      </c>
      <c r="T61" s="519"/>
      <c r="U61" s="519"/>
      <c r="V61" s="519"/>
      <c r="W61" s="182"/>
      <c r="X61" s="182"/>
      <c r="Y61" s="182"/>
      <c r="Z61" s="182"/>
      <c r="AA61" s="182"/>
      <c r="AB61" s="182"/>
      <c r="AC61" s="182"/>
      <c r="AD61" s="182"/>
      <c r="AE61" s="182"/>
      <c r="AF61" s="182"/>
      <c r="AG61" s="182"/>
      <c r="AH61" s="182"/>
      <c r="AI61" s="167">
        <f t="shared" si="30"/>
        <v>10</v>
      </c>
      <c r="AJ61" s="530" t="s">
        <v>113</v>
      </c>
      <c r="AK61" s="341">
        <v>43070</v>
      </c>
      <c r="AL61" s="352"/>
      <c r="AM61" s="352"/>
      <c r="AN61" s="352"/>
      <c r="AO61" s="352"/>
      <c r="AP61" s="352"/>
      <c r="AQ61" s="352"/>
      <c r="AR61" s="352"/>
      <c r="AS61" s="352"/>
      <c r="AT61" s="352"/>
      <c r="AU61" s="352"/>
      <c r="AV61" s="352"/>
      <c r="AW61" s="352"/>
      <c r="AX61" s="352"/>
      <c r="AY61" s="352"/>
      <c r="AZ61" s="352"/>
      <c r="BA61" s="352"/>
      <c r="BB61" s="352"/>
      <c r="BC61" s="352"/>
      <c r="BD61" s="352"/>
      <c r="BE61" s="352"/>
      <c r="BF61" s="352"/>
      <c r="BG61" s="352"/>
      <c r="BH61" s="352"/>
      <c r="BI61" s="352"/>
      <c r="BJ61" s="352"/>
      <c r="BK61" s="470"/>
      <c r="BL61" s="339"/>
      <c r="BM61" s="339"/>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647" t="s">
        <v>141</v>
      </c>
      <c r="CL61" s="648"/>
      <c r="CM61" s="649"/>
    </row>
    <row r="62" spans="1:91" s="344" customFormat="1">
      <c r="A62" s="335" t="s">
        <v>142</v>
      </c>
      <c r="B62" s="519" t="s">
        <v>100</v>
      </c>
      <c r="C62" s="519" t="s">
        <v>100</v>
      </c>
      <c r="D62" s="182"/>
      <c r="E62" s="519" t="s">
        <v>100</v>
      </c>
      <c r="F62" s="519" t="s">
        <v>100</v>
      </c>
      <c r="G62" s="519"/>
      <c r="H62" s="519" t="s">
        <v>100</v>
      </c>
      <c r="I62" s="519"/>
      <c r="J62" s="519" t="s">
        <v>100</v>
      </c>
      <c r="K62" s="519"/>
      <c r="L62" s="519" t="s">
        <v>100</v>
      </c>
      <c r="M62" s="519"/>
      <c r="N62" s="519"/>
      <c r="O62" s="519"/>
      <c r="P62" s="519" t="s">
        <v>100</v>
      </c>
      <c r="Q62" s="519"/>
      <c r="R62" s="519"/>
      <c r="S62" s="519" t="s">
        <v>100</v>
      </c>
      <c r="T62" s="519" t="s">
        <v>100</v>
      </c>
      <c r="U62" s="519"/>
      <c r="V62" s="519"/>
      <c r="W62" s="182"/>
      <c r="X62" s="182"/>
      <c r="Y62" s="182"/>
      <c r="Z62" s="182"/>
      <c r="AA62" s="182"/>
      <c r="AB62" s="182"/>
      <c r="AC62" s="182"/>
      <c r="AD62" s="182"/>
      <c r="AE62" s="182"/>
      <c r="AF62" s="182"/>
      <c r="AG62" s="182"/>
      <c r="AH62" s="182"/>
      <c r="AI62" s="167">
        <f t="shared" si="30"/>
        <v>10</v>
      </c>
      <c r="AJ62" s="340" t="str">
        <f>HYPERLINK("https://twitter.com/BuckinBoston/status/946510884574199809","Twitter")</f>
        <v>Twitter</v>
      </c>
      <c r="AK62" s="341">
        <v>43097</v>
      </c>
      <c r="AL62" s="352"/>
      <c r="AM62" s="352"/>
      <c r="AN62" s="352"/>
      <c r="AO62" s="352"/>
      <c r="AP62" s="352"/>
      <c r="AQ62" s="352"/>
      <c r="AR62" s="352"/>
      <c r="AS62" s="352"/>
      <c r="AT62" s="352"/>
      <c r="AU62" s="352"/>
      <c r="AV62" s="352"/>
      <c r="AW62" s="352"/>
      <c r="AX62" s="352"/>
      <c r="AY62" s="352"/>
      <c r="AZ62" s="352"/>
      <c r="BA62" s="352"/>
      <c r="BB62" s="352"/>
      <c r="BC62" s="352"/>
      <c r="BD62" s="352"/>
      <c r="BE62" s="352"/>
      <c r="BF62" s="352"/>
      <c r="BG62" s="352"/>
      <c r="BH62" s="352"/>
      <c r="BI62" s="352"/>
      <c r="BJ62" s="352"/>
      <c r="BK62" s="470"/>
      <c r="BL62" s="339"/>
      <c r="BM62" s="339"/>
      <c r="BN62" s="182"/>
      <c r="BO62" s="182"/>
      <c r="BP62" s="182"/>
      <c r="BQ62" s="182"/>
      <c r="BR62" s="182"/>
      <c r="BS62" s="182"/>
      <c r="BT62" s="182"/>
      <c r="BU62" s="182"/>
      <c r="BV62" s="182"/>
      <c r="BW62" s="182"/>
      <c r="BX62" s="182"/>
      <c r="BY62" s="182"/>
      <c r="BZ62" s="182"/>
      <c r="CA62" s="182"/>
      <c r="CB62" s="182"/>
      <c r="CC62" s="182"/>
      <c r="CD62" s="182"/>
      <c r="CE62" s="182"/>
      <c r="CF62" s="182"/>
      <c r="CG62" s="182"/>
      <c r="CH62" s="182"/>
      <c r="CI62" s="182"/>
      <c r="CJ62" s="182"/>
      <c r="CK62" s="621"/>
      <c r="CL62" s="622"/>
      <c r="CM62" s="623"/>
    </row>
    <row r="63" spans="1:91" s="344" customFormat="1">
      <c r="A63" s="335" t="s">
        <v>143</v>
      </c>
      <c r="B63" s="519"/>
      <c r="C63" s="519"/>
      <c r="D63" s="182"/>
      <c r="E63" s="519" t="s">
        <v>100</v>
      </c>
      <c r="F63" s="519" t="s">
        <v>100</v>
      </c>
      <c r="G63" s="519"/>
      <c r="H63" s="519" t="s">
        <v>100</v>
      </c>
      <c r="I63" s="519" t="s">
        <v>100</v>
      </c>
      <c r="J63" s="519" t="s">
        <v>100</v>
      </c>
      <c r="K63" s="519"/>
      <c r="L63" s="522" t="s">
        <v>100</v>
      </c>
      <c r="M63" s="519"/>
      <c r="N63" s="519"/>
      <c r="O63" s="519"/>
      <c r="P63" s="519"/>
      <c r="Q63" s="519"/>
      <c r="R63" s="519"/>
      <c r="S63" s="519" t="s">
        <v>100</v>
      </c>
      <c r="T63" s="519" t="s">
        <v>100</v>
      </c>
      <c r="U63" s="519" t="s">
        <v>100</v>
      </c>
      <c r="V63" s="519"/>
      <c r="W63" s="182"/>
      <c r="X63" s="182"/>
      <c r="Y63" s="182"/>
      <c r="Z63" s="182"/>
      <c r="AA63" s="182"/>
      <c r="AB63" s="182"/>
      <c r="AC63" s="182"/>
      <c r="AD63" s="182"/>
      <c r="AE63" s="182"/>
      <c r="AF63" s="182"/>
      <c r="AG63" s="182"/>
      <c r="AH63" s="182"/>
      <c r="AI63" s="167">
        <f t="shared" si="30"/>
        <v>9</v>
      </c>
      <c r="AJ63" s="340" t="str">
        <f>HYPERLINK("https://twitter.com/burkedon/status/947568250233245696","Twitter")</f>
        <v>Twitter</v>
      </c>
      <c r="AK63" s="341">
        <v>43100</v>
      </c>
      <c r="AL63" s="352"/>
      <c r="AM63" s="352"/>
      <c r="AN63" s="352"/>
      <c r="AO63" s="352"/>
      <c r="AP63" s="352"/>
      <c r="AQ63" s="352"/>
      <c r="AR63" s="352"/>
      <c r="AS63" s="352"/>
      <c r="AT63" s="352"/>
      <c r="AU63" s="352"/>
      <c r="AV63" s="352"/>
      <c r="AW63" s="352"/>
      <c r="AX63" s="352"/>
      <c r="AY63" s="352"/>
      <c r="AZ63" s="352"/>
      <c r="BA63" s="352"/>
      <c r="BB63" s="352"/>
      <c r="BC63" s="352"/>
      <c r="BD63" s="352"/>
      <c r="BE63" s="352"/>
      <c r="BF63" s="352"/>
      <c r="BG63" s="352"/>
      <c r="BH63" s="352"/>
      <c r="BI63" s="352"/>
      <c r="BJ63" s="352"/>
      <c r="BK63" s="470"/>
      <c r="BL63" s="339"/>
      <c r="BM63" s="339"/>
      <c r="BN63" s="182"/>
      <c r="BO63" s="182"/>
      <c r="BP63" s="182"/>
      <c r="BQ63" s="182"/>
      <c r="BR63" s="182"/>
      <c r="BS63" s="182"/>
      <c r="BT63" s="182"/>
      <c r="BU63" s="182"/>
      <c r="BV63" s="182"/>
      <c r="BW63" s="182"/>
      <c r="BX63" s="182"/>
      <c r="BY63" s="182"/>
      <c r="BZ63" s="182"/>
      <c r="CA63" s="182"/>
      <c r="CB63" s="182"/>
      <c r="CC63" s="182"/>
      <c r="CD63" s="182"/>
      <c r="CE63" s="182"/>
      <c r="CF63" s="182"/>
      <c r="CG63" s="182"/>
      <c r="CH63" s="182"/>
      <c r="CI63" s="182"/>
      <c r="CJ63" s="182"/>
      <c r="CK63" s="621"/>
      <c r="CL63" s="622"/>
      <c r="CM63" s="623"/>
    </row>
    <row r="64" spans="1:91" s="344" customFormat="1">
      <c r="A64" s="335" t="s">
        <v>144</v>
      </c>
      <c r="B64" s="538" t="s">
        <v>100</v>
      </c>
      <c r="C64" s="538" t="s">
        <v>100</v>
      </c>
      <c r="D64" s="539"/>
      <c r="E64" s="540" t="s">
        <v>100</v>
      </c>
      <c r="F64" s="538" t="s">
        <v>100</v>
      </c>
      <c r="G64" s="539"/>
      <c r="H64" s="538" t="s">
        <v>100</v>
      </c>
      <c r="I64" s="541"/>
      <c r="J64" s="539"/>
      <c r="K64" s="539"/>
      <c r="L64" s="538" t="s">
        <v>100</v>
      </c>
      <c r="M64" s="539"/>
      <c r="N64" s="539"/>
      <c r="O64" s="539"/>
      <c r="P64" s="538" t="s">
        <v>100</v>
      </c>
      <c r="Q64" s="538" t="s">
        <v>100</v>
      </c>
      <c r="R64" s="539"/>
      <c r="S64" s="538" t="s">
        <v>100</v>
      </c>
      <c r="T64" s="538" t="s">
        <v>100</v>
      </c>
      <c r="U64" s="539"/>
      <c r="V64" s="539"/>
      <c r="W64" s="137"/>
      <c r="X64" s="137"/>
      <c r="Y64" s="137"/>
      <c r="Z64" s="137"/>
      <c r="AA64" s="137"/>
      <c r="AB64" s="137"/>
      <c r="AC64" s="137"/>
      <c r="AD64" s="137"/>
      <c r="AE64" s="137"/>
      <c r="AF64" s="137"/>
      <c r="AG64" s="137"/>
      <c r="AH64" s="137"/>
      <c r="AI64" s="167">
        <f t="shared" si="30"/>
        <v>10</v>
      </c>
      <c r="AJ64" s="340" t="str">
        <f t="shared" ref="AJ64" si="40">HYPERLINK("http://apps.bostonglobe.com/sports/graphics/2018/01/baseball-hof-2018/","Boston Globe")</f>
        <v>Boston Globe</v>
      </c>
      <c r="AK64" s="471">
        <v>43108</v>
      </c>
      <c r="AL64" s="352"/>
      <c r="AM64" s="352"/>
      <c r="AN64" s="352"/>
      <c r="AO64" s="352"/>
      <c r="AP64" s="352"/>
      <c r="AQ64" s="352"/>
      <c r="AR64" s="352"/>
      <c r="AS64" s="352"/>
      <c r="AT64" s="352"/>
      <c r="AU64" s="352"/>
      <c r="AV64" s="352"/>
      <c r="AW64" s="352"/>
      <c r="AX64" s="352"/>
      <c r="AY64" s="352"/>
      <c r="AZ64" s="352"/>
      <c r="BA64" s="352"/>
      <c r="BB64" s="352"/>
      <c r="BC64" s="352"/>
      <c r="BD64" s="352"/>
      <c r="BE64" s="352"/>
      <c r="BF64" s="352"/>
      <c r="BG64" s="352"/>
      <c r="BH64" s="352"/>
      <c r="BI64" s="352"/>
      <c r="BJ64" s="352"/>
      <c r="BK64" s="470"/>
      <c r="BL64" s="339"/>
      <c r="BM64" s="339"/>
      <c r="BN64" s="182"/>
      <c r="BO64" s="182"/>
      <c r="BP64" s="182"/>
      <c r="BQ64" s="182"/>
      <c r="BR64" s="182"/>
      <c r="BS64" s="182"/>
      <c r="BT64" s="182"/>
      <c r="BU64" s="182"/>
      <c r="BV64" s="182"/>
      <c r="BW64" s="182"/>
      <c r="BX64" s="182"/>
      <c r="BY64" s="182"/>
      <c r="BZ64" s="182"/>
      <c r="CA64" s="182"/>
      <c r="CB64" s="182"/>
      <c r="CC64" s="182"/>
      <c r="CD64" s="182"/>
      <c r="CE64" s="182"/>
      <c r="CF64" s="182"/>
      <c r="CG64" s="182"/>
      <c r="CH64" s="182"/>
      <c r="CI64" s="182"/>
      <c r="CJ64" s="182"/>
      <c r="CK64" s="647" t="s">
        <v>145</v>
      </c>
      <c r="CL64" s="648"/>
      <c r="CM64" s="649"/>
    </row>
    <row r="65" spans="1:91" s="344" customFormat="1">
      <c r="A65" s="335" t="s">
        <v>146</v>
      </c>
      <c r="B65" s="519" t="s">
        <v>100</v>
      </c>
      <c r="C65" s="519" t="s">
        <v>100</v>
      </c>
      <c r="D65" s="182"/>
      <c r="E65" s="519" t="s">
        <v>100</v>
      </c>
      <c r="F65" s="519"/>
      <c r="G65" s="519"/>
      <c r="H65" s="519" t="s">
        <v>100</v>
      </c>
      <c r="I65" s="519"/>
      <c r="J65" s="519"/>
      <c r="K65" s="519"/>
      <c r="L65" s="519"/>
      <c r="M65" s="519" t="s">
        <v>100</v>
      </c>
      <c r="N65" s="519"/>
      <c r="O65" s="519"/>
      <c r="P65" s="519" t="s">
        <v>100</v>
      </c>
      <c r="Q65" s="519" t="s">
        <v>100</v>
      </c>
      <c r="R65" s="519"/>
      <c r="S65" s="519" t="s">
        <v>100</v>
      </c>
      <c r="T65" s="519" t="s">
        <v>100</v>
      </c>
      <c r="U65" s="519"/>
      <c r="V65" s="519"/>
      <c r="W65" s="182"/>
      <c r="X65" s="182"/>
      <c r="Y65" s="182"/>
      <c r="Z65" s="182"/>
      <c r="AA65" s="182"/>
      <c r="AB65" s="182"/>
      <c r="AC65" s="182"/>
      <c r="AD65" s="182"/>
      <c r="AE65" s="182"/>
      <c r="AF65" s="182"/>
      <c r="AG65" s="182"/>
      <c r="AH65" s="182"/>
      <c r="AI65" s="167">
        <f t="shared" si="30"/>
        <v>9</v>
      </c>
      <c r="AJ65" s="340" t="str">
        <f>HYPERLINK("https://www.northjersey.com/story/sports/mlb/yankees/2018/01/22/mlb-baseball-hall-fame-2018-voting-barry-bonds-roger-clemens-curt-schilling/1044746001/","NorthJersey.com")</f>
        <v>NorthJersey.com</v>
      </c>
      <c r="AK65" s="471">
        <v>43122</v>
      </c>
      <c r="AL65" s="352"/>
      <c r="AM65" s="352"/>
      <c r="AN65" s="352"/>
      <c r="AO65" s="352"/>
      <c r="AP65" s="352"/>
      <c r="AQ65" s="352"/>
      <c r="AR65" s="352"/>
      <c r="AS65" s="352"/>
      <c r="AT65" s="352"/>
      <c r="AU65" s="352"/>
      <c r="AV65" s="352"/>
      <c r="AW65" s="352"/>
      <c r="AX65" s="352"/>
      <c r="AY65" s="352"/>
      <c r="AZ65" s="352"/>
      <c r="BA65" s="352"/>
      <c r="BB65" s="352"/>
      <c r="BC65" s="352"/>
      <c r="BD65" s="352"/>
      <c r="BE65" s="352"/>
      <c r="BF65" s="352"/>
      <c r="BG65" s="352"/>
      <c r="BH65" s="352"/>
      <c r="BI65" s="352"/>
      <c r="BJ65" s="352"/>
      <c r="BK65" s="470"/>
      <c r="BL65" s="339"/>
      <c r="BM65" s="339"/>
      <c r="BN65" s="182"/>
      <c r="BO65" s="182"/>
      <c r="BP65" s="182"/>
      <c r="BQ65" s="182"/>
      <c r="BR65" s="182"/>
      <c r="BS65" s="182"/>
      <c r="BT65" s="182"/>
      <c r="BU65" s="182"/>
      <c r="BV65" s="182"/>
      <c r="BW65" s="182"/>
      <c r="BX65" s="182"/>
      <c r="BY65" s="182"/>
      <c r="BZ65" s="182"/>
      <c r="CA65" s="182"/>
      <c r="CB65" s="182"/>
      <c r="CC65" s="182"/>
      <c r="CD65" s="182"/>
      <c r="CE65" s="182"/>
      <c r="CF65" s="182"/>
      <c r="CG65" s="182"/>
      <c r="CH65" s="182"/>
      <c r="CI65" s="182"/>
      <c r="CJ65" s="182"/>
      <c r="CK65" s="621"/>
      <c r="CL65" s="622"/>
      <c r="CM65" s="623"/>
    </row>
    <row r="66" spans="1:91" s="344" customFormat="1">
      <c r="A66" s="335" t="s">
        <v>147</v>
      </c>
      <c r="B66" s="519"/>
      <c r="C66" s="519"/>
      <c r="D66" s="182"/>
      <c r="E66" s="519" t="s">
        <v>100</v>
      </c>
      <c r="F66" s="519" t="s">
        <v>100</v>
      </c>
      <c r="G66" s="519"/>
      <c r="H66" s="519" t="s">
        <v>100</v>
      </c>
      <c r="I66" s="519"/>
      <c r="J66" s="519" t="s">
        <v>100</v>
      </c>
      <c r="K66" s="519"/>
      <c r="L66" s="519" t="s">
        <v>100</v>
      </c>
      <c r="M66" s="519"/>
      <c r="N66" s="519"/>
      <c r="O66" s="519"/>
      <c r="P66" s="519" t="s">
        <v>100</v>
      </c>
      <c r="Q66" s="519"/>
      <c r="R66" s="519"/>
      <c r="S66" s="519" t="s">
        <v>100</v>
      </c>
      <c r="T66" s="519" t="s">
        <v>100</v>
      </c>
      <c r="U66" s="519"/>
      <c r="V66" s="519"/>
      <c r="W66" s="182"/>
      <c r="X66" s="182"/>
      <c r="Y66" s="182"/>
      <c r="Z66" s="182"/>
      <c r="AA66" s="182"/>
      <c r="AB66" s="182"/>
      <c r="AC66" s="182"/>
      <c r="AD66" s="182"/>
      <c r="AE66" s="182"/>
      <c r="AF66" s="182"/>
      <c r="AG66" s="182"/>
      <c r="AH66" s="182"/>
      <c r="AI66" s="167">
        <f t="shared" si="30"/>
        <v>8</v>
      </c>
      <c r="AJ66" s="530" t="s">
        <v>113</v>
      </c>
      <c r="AK66" s="341">
        <v>43074</v>
      </c>
      <c r="AL66" s="352"/>
      <c r="AM66" s="352"/>
      <c r="AN66" s="352"/>
      <c r="AO66" s="352"/>
      <c r="AP66" s="352"/>
      <c r="AQ66" s="352"/>
      <c r="AR66" s="352"/>
      <c r="AS66" s="352"/>
      <c r="AT66" s="352"/>
      <c r="AU66" s="352"/>
      <c r="AV66" s="352"/>
      <c r="AW66" s="352"/>
      <c r="AX66" s="352"/>
      <c r="AY66" s="352"/>
      <c r="AZ66" s="352"/>
      <c r="BA66" s="352"/>
      <c r="BB66" s="352"/>
      <c r="BC66" s="352"/>
      <c r="BD66" s="352"/>
      <c r="BE66" s="352"/>
      <c r="BF66" s="352"/>
      <c r="BG66" s="352"/>
      <c r="BH66" s="352"/>
      <c r="BI66" s="352"/>
      <c r="BJ66" s="352"/>
      <c r="BK66" s="470"/>
      <c r="BL66" s="339"/>
      <c r="BM66" s="339"/>
      <c r="BN66" s="182"/>
      <c r="BO66" s="182"/>
      <c r="BP66" s="182"/>
      <c r="BQ66" s="182"/>
      <c r="BR66" s="182"/>
      <c r="BS66" s="182"/>
      <c r="BT66" s="182"/>
      <c r="BU66" s="182"/>
      <c r="BV66" s="182"/>
      <c r="BW66" s="182"/>
      <c r="BX66" s="182"/>
      <c r="BY66" s="182"/>
      <c r="BZ66" s="182"/>
      <c r="CA66" s="182"/>
      <c r="CB66" s="182"/>
      <c r="CC66" s="182"/>
      <c r="CD66" s="182"/>
      <c r="CE66" s="182"/>
      <c r="CF66" s="182"/>
      <c r="CG66" s="182"/>
      <c r="CH66" s="182"/>
      <c r="CI66" s="182"/>
      <c r="CJ66" s="182"/>
      <c r="CK66" s="621"/>
      <c r="CL66" s="622"/>
      <c r="CM66" s="623"/>
    </row>
    <row r="67" spans="1:91" s="344" customFormat="1">
      <c r="A67" s="335" t="s">
        <v>148</v>
      </c>
      <c r="B67" s="519" t="s">
        <v>100</v>
      </c>
      <c r="C67" s="519" t="s">
        <v>100</v>
      </c>
      <c r="D67" s="182"/>
      <c r="E67" s="519" t="s">
        <v>100</v>
      </c>
      <c r="F67" s="519" t="s">
        <v>100</v>
      </c>
      <c r="G67" s="519"/>
      <c r="H67" s="519" t="s">
        <v>100</v>
      </c>
      <c r="I67" s="519"/>
      <c r="J67" s="522" t="s">
        <v>100</v>
      </c>
      <c r="K67" s="519"/>
      <c r="L67" s="519" t="s">
        <v>100</v>
      </c>
      <c r="M67" s="519"/>
      <c r="N67" s="519"/>
      <c r="O67" s="519"/>
      <c r="P67" s="522" t="s">
        <v>100</v>
      </c>
      <c r="Q67" s="519"/>
      <c r="R67" s="519"/>
      <c r="S67" s="519" t="s">
        <v>100</v>
      </c>
      <c r="T67" s="519"/>
      <c r="U67" s="519"/>
      <c r="V67" s="519" t="s">
        <v>100</v>
      </c>
      <c r="W67" s="182"/>
      <c r="X67" s="182"/>
      <c r="Y67" s="182"/>
      <c r="Z67" s="182"/>
      <c r="AA67" s="182"/>
      <c r="AB67" s="182"/>
      <c r="AC67" s="182"/>
      <c r="AD67" s="182"/>
      <c r="AE67" s="182"/>
      <c r="AF67" s="182"/>
      <c r="AG67" s="182"/>
      <c r="AH67" s="182"/>
      <c r="AI67" s="167">
        <f t="shared" si="30"/>
        <v>10</v>
      </c>
      <c r="AJ67" s="530" t="s">
        <v>113</v>
      </c>
      <c r="AK67" s="341">
        <v>43081</v>
      </c>
      <c r="AL67" s="352"/>
      <c r="AM67" s="352"/>
      <c r="AN67" s="352"/>
      <c r="AO67" s="352"/>
      <c r="AP67" s="352"/>
      <c r="AQ67" s="352"/>
      <c r="AR67" s="352"/>
      <c r="AS67" s="352"/>
      <c r="AT67" s="352"/>
      <c r="AU67" s="352"/>
      <c r="AV67" s="352"/>
      <c r="AW67" s="352"/>
      <c r="AX67" s="352"/>
      <c r="AY67" s="352"/>
      <c r="AZ67" s="352"/>
      <c r="BA67" s="352"/>
      <c r="BB67" s="352"/>
      <c r="BC67" s="352"/>
      <c r="BD67" s="352"/>
      <c r="BE67" s="352"/>
      <c r="BF67" s="352"/>
      <c r="BG67" s="352"/>
      <c r="BH67" s="352"/>
      <c r="BI67" s="352"/>
      <c r="BJ67" s="352"/>
      <c r="BK67" s="470"/>
      <c r="BL67" s="339"/>
      <c r="BM67" s="339"/>
      <c r="BN67" s="182"/>
      <c r="BO67" s="182"/>
      <c r="BP67" s="182"/>
      <c r="BQ67" s="182"/>
      <c r="BR67" s="182"/>
      <c r="BS67" s="182"/>
      <c r="BT67" s="182"/>
      <c r="BU67" s="182"/>
      <c r="BV67" s="182"/>
      <c r="BW67" s="182"/>
      <c r="BX67" s="182"/>
      <c r="BY67" s="182"/>
      <c r="BZ67" s="182"/>
      <c r="CA67" s="182"/>
      <c r="CB67" s="182"/>
      <c r="CC67" s="182"/>
      <c r="CD67" s="182"/>
      <c r="CE67" s="182"/>
      <c r="CF67" s="182"/>
      <c r="CG67" s="182"/>
      <c r="CH67" s="182"/>
      <c r="CI67" s="182"/>
      <c r="CJ67" s="182"/>
      <c r="CK67" s="621"/>
      <c r="CL67" s="622"/>
      <c r="CM67" s="623"/>
    </row>
    <row r="68" spans="1:91" s="344" customFormat="1">
      <c r="A68" s="335" t="s">
        <v>149</v>
      </c>
      <c r="B68" s="519" t="s">
        <v>100</v>
      </c>
      <c r="C68" s="519" t="s">
        <v>100</v>
      </c>
      <c r="D68" s="182"/>
      <c r="E68" s="519" t="s">
        <v>100</v>
      </c>
      <c r="F68" s="519"/>
      <c r="G68" s="519"/>
      <c r="H68" s="519" t="s">
        <v>100</v>
      </c>
      <c r="I68" s="519"/>
      <c r="J68" s="519" t="s">
        <v>100</v>
      </c>
      <c r="K68" s="519" t="s">
        <v>100</v>
      </c>
      <c r="L68" s="523"/>
      <c r="M68" s="519"/>
      <c r="N68" s="519"/>
      <c r="O68" s="519"/>
      <c r="P68" s="519" t="s">
        <v>100</v>
      </c>
      <c r="Q68" s="519"/>
      <c r="R68" s="519"/>
      <c r="S68" s="519" t="s">
        <v>100</v>
      </c>
      <c r="T68" s="519" t="s">
        <v>100</v>
      </c>
      <c r="U68" s="519"/>
      <c r="V68" s="522" t="s">
        <v>100</v>
      </c>
      <c r="W68" s="182"/>
      <c r="X68" s="182"/>
      <c r="Y68" s="182"/>
      <c r="Z68" s="182"/>
      <c r="AA68" s="182"/>
      <c r="AB68" s="182"/>
      <c r="AC68" s="182"/>
      <c r="AD68" s="182"/>
      <c r="AE68" s="182"/>
      <c r="AF68" s="182"/>
      <c r="AG68" s="182"/>
      <c r="AH68" s="182"/>
      <c r="AI68" s="167">
        <f t="shared" si="30"/>
        <v>10</v>
      </c>
      <c r="AJ68" s="530" t="s">
        <v>115</v>
      </c>
      <c r="AK68" s="341">
        <v>43124</v>
      </c>
      <c r="AL68" s="352"/>
      <c r="AM68" s="352"/>
      <c r="AN68" s="352"/>
      <c r="AO68" s="352"/>
      <c r="AP68" s="352"/>
      <c r="AQ68" s="352"/>
      <c r="AR68" s="352"/>
      <c r="AS68" s="352"/>
      <c r="AT68" s="352"/>
      <c r="AU68" s="352"/>
      <c r="AV68" s="352"/>
      <c r="AW68" s="352"/>
      <c r="AX68" s="352"/>
      <c r="AY68" s="352"/>
      <c r="AZ68" s="352"/>
      <c r="BA68" s="352"/>
      <c r="BB68" s="352"/>
      <c r="BC68" s="352"/>
      <c r="BD68" s="352"/>
      <c r="BE68" s="352"/>
      <c r="BF68" s="352"/>
      <c r="BG68" s="352"/>
      <c r="BH68" s="352"/>
      <c r="BI68" s="352"/>
      <c r="BJ68" s="352"/>
      <c r="BK68" s="470"/>
      <c r="BL68" s="339"/>
      <c r="BM68" s="339"/>
      <c r="BN68" s="182"/>
      <c r="BO68" s="182"/>
      <c r="BP68" s="182"/>
      <c r="BQ68" s="182"/>
      <c r="BR68" s="182"/>
      <c r="BS68" s="182"/>
      <c r="BT68" s="182"/>
      <c r="BU68" s="182"/>
      <c r="BV68" s="182"/>
      <c r="BW68" s="182"/>
      <c r="BX68" s="182"/>
      <c r="BY68" s="182"/>
      <c r="BZ68" s="182"/>
      <c r="CA68" s="182"/>
      <c r="CB68" s="182"/>
      <c r="CC68" s="182"/>
      <c r="CD68" s="182"/>
      <c r="CE68" s="182"/>
      <c r="CF68" s="182"/>
      <c r="CG68" s="182"/>
      <c r="CH68" s="182"/>
      <c r="CI68" s="182"/>
      <c r="CJ68" s="182"/>
      <c r="CK68" s="621"/>
      <c r="CL68" s="622"/>
      <c r="CM68" s="623"/>
    </row>
    <row r="69" spans="1:91" s="344" customFormat="1">
      <c r="A69" s="335" t="s">
        <v>150</v>
      </c>
      <c r="B69" s="519" t="s">
        <v>100</v>
      </c>
      <c r="C69" s="519" t="s">
        <v>100</v>
      </c>
      <c r="D69" s="182"/>
      <c r="E69" s="522" t="s">
        <v>100</v>
      </c>
      <c r="F69" s="522" t="s">
        <v>100</v>
      </c>
      <c r="G69" s="519"/>
      <c r="H69" s="519" t="s">
        <v>100</v>
      </c>
      <c r="I69" s="523"/>
      <c r="J69" s="519"/>
      <c r="K69" s="519"/>
      <c r="L69" s="519" t="s">
        <v>100</v>
      </c>
      <c r="M69" s="519"/>
      <c r="N69" s="519" t="s">
        <v>100</v>
      </c>
      <c r="O69" s="519"/>
      <c r="P69" s="519" t="s">
        <v>100</v>
      </c>
      <c r="Q69" s="519"/>
      <c r="R69" s="519"/>
      <c r="S69" s="519" t="s">
        <v>100</v>
      </c>
      <c r="T69" s="519"/>
      <c r="U69" s="519"/>
      <c r="V69" s="519" t="s">
        <v>100</v>
      </c>
      <c r="W69" s="182"/>
      <c r="X69" s="182"/>
      <c r="Y69" s="182"/>
      <c r="Z69" s="182"/>
      <c r="AA69" s="182"/>
      <c r="AB69" s="182"/>
      <c r="AC69" s="182"/>
      <c r="AD69" s="182"/>
      <c r="AE69" s="182"/>
      <c r="AF69" s="182"/>
      <c r="AG69" s="182"/>
      <c r="AH69" s="182"/>
      <c r="AI69" s="167">
        <f t="shared" si="30"/>
        <v>10</v>
      </c>
      <c r="AJ69" s="340" t="str">
        <f>HYPERLINK("http://www.dailytribune.com/sports/20171223/pat-caputo-my-baseball-hall-of-fame-ballot-for-class-of-2018","Daily Tribune")</f>
        <v>Daily Tribune</v>
      </c>
      <c r="AK69" s="341">
        <v>43092</v>
      </c>
      <c r="AL69" s="352"/>
      <c r="AM69" s="352"/>
      <c r="AN69" s="352"/>
      <c r="AO69" s="352"/>
      <c r="AP69" s="352"/>
      <c r="AQ69" s="352"/>
      <c r="AR69" s="352"/>
      <c r="AS69" s="352"/>
      <c r="AT69" s="352"/>
      <c r="AU69" s="352"/>
      <c r="AV69" s="352"/>
      <c r="AW69" s="352"/>
      <c r="AX69" s="352"/>
      <c r="AY69" s="352"/>
      <c r="AZ69" s="352"/>
      <c r="BA69" s="352"/>
      <c r="BB69" s="352"/>
      <c r="BC69" s="352"/>
      <c r="BD69" s="352"/>
      <c r="BE69" s="352"/>
      <c r="BF69" s="352"/>
      <c r="BG69" s="352"/>
      <c r="BH69" s="352"/>
      <c r="BI69" s="352"/>
      <c r="BJ69" s="352"/>
      <c r="BK69" s="470"/>
      <c r="BL69" s="339"/>
      <c r="BM69" s="339"/>
      <c r="BN69" s="182"/>
      <c r="BO69" s="182"/>
      <c r="BP69" s="182"/>
      <c r="BQ69" s="182"/>
      <c r="BR69" s="182"/>
      <c r="BS69" s="182"/>
      <c r="BT69" s="182"/>
      <c r="BU69" s="182"/>
      <c r="BV69" s="182"/>
      <c r="BW69" s="182"/>
      <c r="BX69" s="182"/>
      <c r="BY69" s="182"/>
      <c r="BZ69" s="182"/>
      <c r="CA69" s="182"/>
      <c r="CB69" s="182"/>
      <c r="CC69" s="182"/>
      <c r="CD69" s="182"/>
      <c r="CE69" s="182"/>
      <c r="CF69" s="182"/>
      <c r="CG69" s="182"/>
      <c r="CH69" s="182"/>
      <c r="CI69" s="182"/>
      <c r="CJ69" s="182"/>
      <c r="CK69" s="621"/>
      <c r="CL69" s="622"/>
      <c r="CM69" s="623"/>
    </row>
    <row r="70" spans="1:91" s="344" customFormat="1">
      <c r="A70" s="335" t="s">
        <v>151</v>
      </c>
      <c r="B70" s="519"/>
      <c r="C70" s="519"/>
      <c r="D70" s="182"/>
      <c r="E70" s="519" t="s">
        <v>100</v>
      </c>
      <c r="F70" s="519" t="s">
        <v>100</v>
      </c>
      <c r="G70" s="519"/>
      <c r="H70" s="519" t="s">
        <v>100</v>
      </c>
      <c r="I70" s="519"/>
      <c r="J70" s="519"/>
      <c r="K70" s="519" t="s">
        <v>100</v>
      </c>
      <c r="L70" s="519" t="s">
        <v>100</v>
      </c>
      <c r="M70" s="519"/>
      <c r="N70" s="519"/>
      <c r="O70" s="519"/>
      <c r="P70" s="519" t="s">
        <v>100</v>
      </c>
      <c r="Q70" s="519"/>
      <c r="R70" s="519"/>
      <c r="S70" s="519" t="s">
        <v>100</v>
      </c>
      <c r="T70" s="519" t="s">
        <v>100</v>
      </c>
      <c r="U70" s="519"/>
      <c r="V70" s="519"/>
      <c r="W70" s="182"/>
      <c r="X70" s="182"/>
      <c r="Y70" s="182"/>
      <c r="Z70" s="182"/>
      <c r="AA70" s="182"/>
      <c r="AB70" s="182"/>
      <c r="AC70" s="182"/>
      <c r="AD70" s="182"/>
      <c r="AE70" s="182"/>
      <c r="AF70" s="182"/>
      <c r="AG70" s="182"/>
      <c r="AH70" s="182"/>
      <c r="AI70" s="167">
        <f t="shared" si="30"/>
        <v>8</v>
      </c>
      <c r="AJ70" s="340" t="str">
        <f>HYPERLINK("https://twitter.com/BroadStBull/status/947326086383394817","Twitter")</f>
        <v>Twitter</v>
      </c>
      <c r="AK70" s="341">
        <v>43099</v>
      </c>
      <c r="AL70" s="352"/>
      <c r="AM70" s="352"/>
      <c r="AN70" s="352"/>
      <c r="AO70" s="352"/>
      <c r="AP70" s="352"/>
      <c r="AQ70" s="352"/>
      <c r="AR70" s="352"/>
      <c r="AS70" s="352"/>
      <c r="AT70" s="352"/>
      <c r="AU70" s="352"/>
      <c r="AV70" s="352"/>
      <c r="AW70" s="352"/>
      <c r="AX70" s="352"/>
      <c r="AY70" s="352"/>
      <c r="AZ70" s="352"/>
      <c r="BA70" s="352"/>
      <c r="BB70" s="352"/>
      <c r="BC70" s="352"/>
      <c r="BD70" s="352"/>
      <c r="BE70" s="352"/>
      <c r="BF70" s="352"/>
      <c r="BG70" s="352"/>
      <c r="BH70" s="352"/>
      <c r="BI70" s="352"/>
      <c r="BJ70" s="352"/>
      <c r="BK70" s="470"/>
      <c r="BL70" s="339"/>
      <c r="BM70" s="339"/>
      <c r="BN70" s="182"/>
      <c r="BO70" s="182"/>
      <c r="BP70" s="182"/>
      <c r="BQ70" s="182"/>
      <c r="BR70" s="182"/>
      <c r="BS70" s="182"/>
      <c r="BT70" s="182"/>
      <c r="BU70" s="182"/>
      <c r="BV70" s="182"/>
      <c r="BW70" s="182"/>
      <c r="BX70" s="182"/>
      <c r="BY70" s="182"/>
      <c r="BZ70" s="182"/>
      <c r="CA70" s="182"/>
      <c r="CB70" s="182"/>
      <c r="CC70" s="182"/>
      <c r="CD70" s="182"/>
      <c r="CE70" s="182"/>
      <c r="CF70" s="182"/>
      <c r="CG70" s="182"/>
      <c r="CH70" s="182"/>
      <c r="CI70" s="182"/>
      <c r="CJ70" s="182"/>
      <c r="CK70" s="621"/>
      <c r="CL70" s="622"/>
      <c r="CM70" s="623"/>
    </row>
    <row r="71" spans="1:91" s="344" customFormat="1">
      <c r="A71" s="331" t="s">
        <v>152</v>
      </c>
      <c r="B71" s="519" t="s">
        <v>100</v>
      </c>
      <c r="C71" s="519" t="s">
        <v>100</v>
      </c>
      <c r="D71" s="182"/>
      <c r="E71" s="519" t="s">
        <v>100</v>
      </c>
      <c r="F71" s="519" t="s">
        <v>100</v>
      </c>
      <c r="G71" s="519"/>
      <c r="H71" s="519" t="s">
        <v>100</v>
      </c>
      <c r="I71" s="519"/>
      <c r="J71" s="519" t="s">
        <v>100</v>
      </c>
      <c r="K71" s="519"/>
      <c r="L71" s="519" t="s">
        <v>100</v>
      </c>
      <c r="M71" s="519"/>
      <c r="N71" s="519"/>
      <c r="O71" s="519"/>
      <c r="P71" s="519" t="s">
        <v>100</v>
      </c>
      <c r="Q71" s="519"/>
      <c r="R71" s="519" t="s">
        <v>100</v>
      </c>
      <c r="S71" s="519" t="s">
        <v>100</v>
      </c>
      <c r="T71" s="519"/>
      <c r="U71" s="519"/>
      <c r="V71" s="519"/>
      <c r="W71" s="182"/>
      <c r="X71" s="182"/>
      <c r="Y71" s="182"/>
      <c r="Z71" s="182"/>
      <c r="AA71" s="182"/>
      <c r="AB71" s="182"/>
      <c r="AC71" s="182"/>
      <c r="AD71" s="182"/>
      <c r="AE71" s="182"/>
      <c r="AF71" s="182"/>
      <c r="AG71" s="182"/>
      <c r="AH71" s="182"/>
      <c r="AI71" s="167">
        <f t="shared" si="30"/>
        <v>10</v>
      </c>
      <c r="AJ71" s="340" t="str">
        <f>HYPERLINK("https://twitter.com/MarcCarig/status/945714808984399872","Cripes.")</f>
        <v>Cripes.</v>
      </c>
      <c r="AK71" s="341">
        <v>43095</v>
      </c>
      <c r="AL71" s="352"/>
      <c r="AM71" s="352"/>
      <c r="AN71" s="352"/>
      <c r="AO71" s="352"/>
      <c r="AP71" s="352"/>
      <c r="AQ71" s="352"/>
      <c r="AR71" s="352"/>
      <c r="AS71" s="352"/>
      <c r="AT71" s="352"/>
      <c r="AU71" s="352"/>
      <c r="AV71" s="352"/>
      <c r="AW71" s="352"/>
      <c r="AX71" s="352"/>
      <c r="AY71" s="352"/>
      <c r="AZ71" s="352"/>
      <c r="BA71" s="352"/>
      <c r="BB71" s="352"/>
      <c r="BC71" s="352"/>
      <c r="BD71" s="352"/>
      <c r="BE71" s="352"/>
      <c r="BF71" s="352"/>
      <c r="BG71" s="352"/>
      <c r="BH71" s="352"/>
      <c r="BI71" s="352"/>
      <c r="BJ71" s="352"/>
      <c r="BK71" s="470"/>
      <c r="BL71" s="339"/>
      <c r="BM71" s="339"/>
      <c r="BN71" s="182"/>
      <c r="BO71" s="182"/>
      <c r="BP71" s="182"/>
      <c r="BQ71" s="182"/>
      <c r="BR71" s="182"/>
      <c r="BS71" s="182"/>
      <c r="BT71" s="182"/>
      <c r="BU71" s="182"/>
      <c r="BV71" s="182"/>
      <c r="BW71" s="182"/>
      <c r="BX71" s="182"/>
      <c r="BY71" s="182"/>
      <c r="BZ71" s="182"/>
      <c r="CA71" s="182"/>
      <c r="CB71" s="182"/>
      <c r="CC71" s="182"/>
      <c r="CD71" s="182"/>
      <c r="CE71" s="182"/>
      <c r="CF71" s="182"/>
      <c r="CG71" s="182"/>
      <c r="CH71" s="182"/>
      <c r="CI71" s="182"/>
      <c r="CJ71" s="182"/>
      <c r="CK71" s="621"/>
      <c r="CL71" s="622"/>
      <c r="CM71" s="623"/>
    </row>
    <row r="72" spans="1:91" s="344" customFormat="1">
      <c r="A72" s="335" t="s">
        <v>153</v>
      </c>
      <c r="B72" s="519"/>
      <c r="C72" s="519"/>
      <c r="D72" s="182"/>
      <c r="E72" s="519" t="s">
        <v>100</v>
      </c>
      <c r="F72" s="519" t="s">
        <v>100</v>
      </c>
      <c r="G72" s="519"/>
      <c r="H72" s="519" t="s">
        <v>100</v>
      </c>
      <c r="I72" s="519"/>
      <c r="J72" s="519" t="s">
        <v>100</v>
      </c>
      <c r="K72" s="519"/>
      <c r="L72" s="519"/>
      <c r="M72" s="519"/>
      <c r="N72" s="519"/>
      <c r="O72" s="519"/>
      <c r="P72" s="519"/>
      <c r="Q72" s="519"/>
      <c r="R72" s="519"/>
      <c r="S72" s="519" t="s">
        <v>100</v>
      </c>
      <c r="T72" s="519" t="s">
        <v>100</v>
      </c>
      <c r="U72" s="519"/>
      <c r="V72" s="519" t="s">
        <v>100</v>
      </c>
      <c r="W72" s="182"/>
      <c r="X72" s="182"/>
      <c r="Y72" s="182"/>
      <c r="Z72" s="182"/>
      <c r="AA72" s="182"/>
      <c r="AB72" s="182"/>
      <c r="AC72" s="182"/>
      <c r="AD72" s="182"/>
      <c r="AE72" s="182"/>
      <c r="AF72" s="182"/>
      <c r="AG72" s="182"/>
      <c r="AH72" s="182"/>
      <c r="AI72" s="167">
        <f t="shared" si="30"/>
        <v>7</v>
      </c>
      <c r="AJ72" s="530" t="s">
        <v>115</v>
      </c>
      <c r="AK72" s="341">
        <v>43123</v>
      </c>
      <c r="AL72" s="352"/>
      <c r="AM72" s="352"/>
      <c r="AN72" s="352"/>
      <c r="AO72" s="352"/>
      <c r="AP72" s="352"/>
      <c r="AQ72" s="352"/>
      <c r="AR72" s="352"/>
      <c r="AS72" s="352"/>
      <c r="AT72" s="352"/>
      <c r="AU72" s="352"/>
      <c r="AV72" s="352"/>
      <c r="AW72" s="352"/>
      <c r="AX72" s="352"/>
      <c r="AY72" s="352"/>
      <c r="AZ72" s="352"/>
      <c r="BA72" s="352"/>
      <c r="BB72" s="352"/>
      <c r="BC72" s="352"/>
      <c r="BD72" s="352"/>
      <c r="BE72" s="352"/>
      <c r="BF72" s="352"/>
      <c r="BG72" s="352"/>
      <c r="BH72" s="352"/>
      <c r="BI72" s="352"/>
      <c r="BJ72" s="352"/>
      <c r="BK72" s="470"/>
      <c r="BL72" s="339"/>
      <c r="BM72" s="339"/>
      <c r="BN72" s="182"/>
      <c r="BO72" s="182"/>
      <c r="BP72" s="182"/>
      <c r="BQ72" s="182"/>
      <c r="BR72" s="182"/>
      <c r="BS72" s="182"/>
      <c r="BT72" s="182"/>
      <c r="BU72" s="182"/>
      <c r="BV72" s="182"/>
      <c r="BW72" s="182"/>
      <c r="BX72" s="182"/>
      <c r="BY72" s="182"/>
      <c r="BZ72" s="182"/>
      <c r="CA72" s="182"/>
      <c r="CB72" s="182"/>
      <c r="CC72" s="182"/>
      <c r="CD72" s="182"/>
      <c r="CE72" s="182"/>
      <c r="CF72" s="182"/>
      <c r="CG72" s="182"/>
      <c r="CH72" s="182"/>
      <c r="CI72" s="182"/>
      <c r="CJ72" s="182"/>
      <c r="CK72" s="621"/>
      <c r="CL72" s="622"/>
      <c r="CM72" s="623"/>
    </row>
    <row r="73" spans="1:91" s="344" customFormat="1" ht="12.75" customHeight="1">
      <c r="A73" s="335" t="s">
        <v>154</v>
      </c>
      <c r="B73" s="519"/>
      <c r="C73" s="519"/>
      <c r="D73" s="182"/>
      <c r="E73" s="522" t="s">
        <v>100</v>
      </c>
      <c r="F73" s="519"/>
      <c r="G73" s="519"/>
      <c r="H73" s="519" t="s">
        <v>100</v>
      </c>
      <c r="I73" s="519"/>
      <c r="J73" s="522" t="s">
        <v>100</v>
      </c>
      <c r="K73" s="519"/>
      <c r="L73" s="519"/>
      <c r="M73" s="519"/>
      <c r="N73" s="519"/>
      <c r="O73" s="519"/>
      <c r="P73" s="519"/>
      <c r="Q73" s="519"/>
      <c r="R73" s="519"/>
      <c r="S73" s="519" t="s">
        <v>100</v>
      </c>
      <c r="T73" s="519"/>
      <c r="U73" s="519"/>
      <c r="V73" s="519"/>
      <c r="W73" s="182"/>
      <c r="X73" s="182"/>
      <c r="Y73" s="182"/>
      <c r="Z73" s="182"/>
      <c r="AA73" s="182"/>
      <c r="AB73" s="182"/>
      <c r="AC73" s="182"/>
      <c r="AD73" s="182"/>
      <c r="AE73" s="182"/>
      <c r="AF73" s="182"/>
      <c r="AG73" s="182"/>
      <c r="AH73" s="182"/>
      <c r="AI73" s="167">
        <f t="shared" si="30"/>
        <v>4</v>
      </c>
      <c r="AJ73" s="340" t="str">
        <f>HYPERLINK("http://www.murraychass.com/?p=11216","MurrayChass.com")</f>
        <v>MurrayChass.com</v>
      </c>
      <c r="AK73" s="341">
        <v>43100</v>
      </c>
      <c r="AL73" s="352"/>
      <c r="AM73" s="352"/>
      <c r="AN73" s="352"/>
      <c r="AO73" s="352"/>
      <c r="AP73" s="352"/>
      <c r="AQ73" s="352"/>
      <c r="AR73" s="352"/>
      <c r="AS73" s="352"/>
      <c r="AT73" s="352"/>
      <c r="AU73" s="352"/>
      <c r="AV73" s="352"/>
      <c r="AW73" s="352"/>
      <c r="AX73" s="352"/>
      <c r="AY73" s="352"/>
      <c r="AZ73" s="352"/>
      <c r="BA73" s="352"/>
      <c r="BB73" s="352"/>
      <c r="BC73" s="352"/>
      <c r="BD73" s="352"/>
      <c r="BE73" s="352"/>
      <c r="BF73" s="352"/>
      <c r="BG73" s="352"/>
      <c r="BH73" s="352"/>
      <c r="BI73" s="352"/>
      <c r="BJ73" s="352"/>
      <c r="BK73" s="470"/>
      <c r="BL73" s="339"/>
      <c r="BM73" s="339"/>
      <c r="BN73" s="182"/>
      <c r="BO73" s="182"/>
      <c r="BP73" s="182"/>
      <c r="BQ73" s="182"/>
      <c r="BR73" s="182"/>
      <c r="BS73" s="182"/>
      <c r="BT73" s="182"/>
      <c r="BU73" s="182"/>
      <c r="BV73" s="182"/>
      <c r="BW73" s="182"/>
      <c r="BX73" s="182"/>
      <c r="BY73" s="182"/>
      <c r="BZ73" s="182"/>
      <c r="CA73" s="182"/>
      <c r="CB73" s="182"/>
      <c r="CC73" s="182"/>
      <c r="CD73" s="182"/>
      <c r="CE73" s="182"/>
      <c r="CF73" s="182"/>
      <c r="CG73" s="182"/>
      <c r="CH73" s="182"/>
      <c r="CI73" s="182"/>
      <c r="CJ73" s="182"/>
      <c r="CK73" s="621"/>
      <c r="CL73" s="622"/>
      <c r="CM73" s="623"/>
    </row>
    <row r="74" spans="1:91" s="344" customFormat="1">
      <c r="A74" s="331" t="s">
        <v>155</v>
      </c>
      <c r="B74" s="519" t="s">
        <v>100</v>
      </c>
      <c r="C74" s="519" t="s">
        <v>100</v>
      </c>
      <c r="D74" s="182"/>
      <c r="E74" s="519" t="s">
        <v>100</v>
      </c>
      <c r="F74" s="519" t="s">
        <v>100</v>
      </c>
      <c r="G74" s="519"/>
      <c r="H74" s="519" t="s">
        <v>100</v>
      </c>
      <c r="I74" s="519"/>
      <c r="J74" s="519" t="s">
        <v>100</v>
      </c>
      <c r="K74" s="519"/>
      <c r="L74" s="519" t="s">
        <v>100</v>
      </c>
      <c r="M74" s="519"/>
      <c r="N74" s="519" t="s">
        <v>100</v>
      </c>
      <c r="O74" s="519"/>
      <c r="P74" s="519" t="s">
        <v>100</v>
      </c>
      <c r="Q74" s="519"/>
      <c r="R74" s="519"/>
      <c r="S74" s="519" t="s">
        <v>100</v>
      </c>
      <c r="T74" s="519"/>
      <c r="U74" s="519"/>
      <c r="V74" s="519"/>
      <c r="W74" s="182"/>
      <c r="X74" s="182"/>
      <c r="Y74" s="182"/>
      <c r="Z74" s="182"/>
      <c r="AA74" s="182"/>
      <c r="AB74" s="182"/>
      <c r="AC74" s="182"/>
      <c r="AD74" s="182"/>
      <c r="AE74" s="182"/>
      <c r="AF74" s="182"/>
      <c r="AG74" s="182"/>
      <c r="AH74" s="182"/>
      <c r="AI74" s="167">
        <f t="shared" si="30"/>
        <v>10</v>
      </c>
      <c r="AJ74" s="340" t="str">
        <f>HYPERLINK("https://twitter.com/jcohenap/status/941769757493202944","Twitter")</f>
        <v>Twitter</v>
      </c>
      <c r="AK74" s="341">
        <v>43084</v>
      </c>
      <c r="AL74" s="352"/>
      <c r="AM74" s="352"/>
      <c r="AN74" s="352"/>
      <c r="AO74" s="352"/>
      <c r="AP74" s="352"/>
      <c r="AQ74" s="352"/>
      <c r="AR74" s="352"/>
      <c r="AS74" s="352"/>
      <c r="AT74" s="352"/>
      <c r="AU74" s="352"/>
      <c r="AV74" s="352"/>
      <c r="AW74" s="352"/>
      <c r="AX74" s="352"/>
      <c r="AY74" s="352"/>
      <c r="AZ74" s="352"/>
      <c r="BA74" s="352"/>
      <c r="BB74" s="352"/>
      <c r="BC74" s="352"/>
      <c r="BD74" s="352"/>
      <c r="BE74" s="352"/>
      <c r="BF74" s="352"/>
      <c r="BG74" s="352"/>
      <c r="BH74" s="352"/>
      <c r="BI74" s="352"/>
      <c r="BJ74" s="352"/>
      <c r="BK74" s="470"/>
      <c r="BL74" s="339"/>
      <c r="BM74" s="339"/>
      <c r="BN74" s="182"/>
      <c r="BO74" s="182"/>
      <c r="BP74" s="182"/>
      <c r="BQ74" s="182"/>
      <c r="BR74" s="182"/>
      <c r="BS74" s="182"/>
      <c r="BT74" s="182"/>
      <c r="BU74" s="182"/>
      <c r="BV74" s="182"/>
      <c r="BW74" s="182"/>
      <c r="BX74" s="182"/>
      <c r="BY74" s="182"/>
      <c r="BZ74" s="182"/>
      <c r="CA74" s="182"/>
      <c r="CB74" s="182"/>
      <c r="CC74" s="182"/>
      <c r="CD74" s="182"/>
      <c r="CE74" s="182"/>
      <c r="CF74" s="182"/>
      <c r="CG74" s="182"/>
      <c r="CH74" s="182"/>
      <c r="CI74" s="182"/>
      <c r="CJ74" s="182"/>
      <c r="CK74" s="621"/>
      <c r="CL74" s="622"/>
      <c r="CM74" s="623"/>
    </row>
    <row r="75" spans="1:91" s="344" customFormat="1">
      <c r="A75" s="335" t="s">
        <v>156</v>
      </c>
      <c r="B75" s="519" t="s">
        <v>100</v>
      </c>
      <c r="C75" s="519" t="s">
        <v>100</v>
      </c>
      <c r="D75" s="182"/>
      <c r="E75" s="519" t="s">
        <v>100</v>
      </c>
      <c r="F75" s="519" t="s">
        <v>100</v>
      </c>
      <c r="G75" s="519"/>
      <c r="H75" s="519" t="s">
        <v>100</v>
      </c>
      <c r="I75" s="519"/>
      <c r="J75" s="519" t="s">
        <v>100</v>
      </c>
      <c r="K75" s="519"/>
      <c r="L75" s="519" t="s">
        <v>100</v>
      </c>
      <c r="M75" s="519"/>
      <c r="N75" s="519"/>
      <c r="O75" s="519"/>
      <c r="P75" s="519"/>
      <c r="Q75" s="519"/>
      <c r="R75" s="519" t="s">
        <v>100</v>
      </c>
      <c r="S75" s="519" t="s">
        <v>100</v>
      </c>
      <c r="T75" s="519" t="s">
        <v>100</v>
      </c>
      <c r="U75" s="519"/>
      <c r="V75" s="519"/>
      <c r="W75" s="182"/>
      <c r="X75" s="182"/>
      <c r="Y75" s="182"/>
      <c r="Z75" s="182"/>
      <c r="AA75" s="182"/>
      <c r="AB75" s="182"/>
      <c r="AC75" s="182"/>
      <c r="AD75" s="182"/>
      <c r="AE75" s="182"/>
      <c r="AF75" s="182"/>
      <c r="AG75" s="182"/>
      <c r="AH75" s="182"/>
      <c r="AI75" s="167">
        <f t="shared" si="30"/>
        <v>10</v>
      </c>
      <c r="AJ75" s="340" t="str">
        <f>HYPERLINK("https://twitter.com/elrocoman/status/940712214792757248","Twitter")</f>
        <v>Twitter</v>
      </c>
      <c r="AK75" s="341">
        <v>43081</v>
      </c>
      <c r="AL75" s="352"/>
      <c r="AM75" s="352"/>
      <c r="AN75" s="352"/>
      <c r="AO75" s="352"/>
      <c r="AP75" s="352"/>
      <c r="AQ75" s="352"/>
      <c r="AR75" s="352"/>
      <c r="AS75" s="352"/>
      <c r="AT75" s="352"/>
      <c r="AU75" s="352"/>
      <c r="AV75" s="352"/>
      <c r="AW75" s="352"/>
      <c r="AX75" s="352"/>
      <c r="AY75" s="352"/>
      <c r="AZ75" s="352"/>
      <c r="BA75" s="352"/>
      <c r="BB75" s="352"/>
      <c r="BC75" s="352"/>
      <c r="BD75" s="352"/>
      <c r="BE75" s="352"/>
      <c r="BF75" s="352"/>
      <c r="BG75" s="352"/>
      <c r="BH75" s="352"/>
      <c r="BI75" s="352"/>
      <c r="BJ75" s="352"/>
      <c r="BK75" s="470"/>
      <c r="BL75" s="339"/>
      <c r="BM75" s="339"/>
      <c r="BN75" s="182"/>
      <c r="BO75" s="182"/>
      <c r="BP75" s="182"/>
      <c r="BQ75" s="182"/>
      <c r="BR75" s="182"/>
      <c r="BS75" s="182"/>
      <c r="BT75" s="182"/>
      <c r="BU75" s="182"/>
      <c r="BV75" s="182"/>
      <c r="BW75" s="182"/>
      <c r="BX75" s="182"/>
      <c r="BY75" s="182"/>
      <c r="BZ75" s="182"/>
      <c r="CA75" s="182"/>
      <c r="CB75" s="182"/>
      <c r="CC75" s="182"/>
      <c r="CD75" s="182"/>
      <c r="CE75" s="182"/>
      <c r="CF75" s="182"/>
      <c r="CG75" s="182"/>
      <c r="CH75" s="182"/>
      <c r="CI75" s="182"/>
      <c r="CJ75" s="182"/>
      <c r="CK75" s="621"/>
      <c r="CL75" s="622"/>
      <c r="CM75" s="623"/>
    </row>
    <row r="76" spans="1:91" s="344" customFormat="1">
      <c r="A76" s="469" t="s">
        <v>157</v>
      </c>
      <c r="B76" s="519" t="s">
        <v>100</v>
      </c>
      <c r="C76" s="519" t="s">
        <v>100</v>
      </c>
      <c r="D76" s="639"/>
      <c r="E76" s="519" t="s">
        <v>100</v>
      </c>
      <c r="F76" s="519" t="s">
        <v>100</v>
      </c>
      <c r="G76" s="520"/>
      <c r="H76" s="519" t="s">
        <v>100</v>
      </c>
      <c r="I76" s="520"/>
      <c r="J76" s="519" t="s">
        <v>100</v>
      </c>
      <c r="K76" s="520"/>
      <c r="L76" s="519" t="s">
        <v>100</v>
      </c>
      <c r="M76" s="520"/>
      <c r="N76" s="519"/>
      <c r="O76" s="520"/>
      <c r="P76" s="546"/>
      <c r="Q76" s="520"/>
      <c r="R76" s="520"/>
      <c r="S76" s="519" t="s">
        <v>100</v>
      </c>
      <c r="T76" s="520" t="s">
        <v>100</v>
      </c>
      <c r="U76" s="521"/>
      <c r="V76" s="519" t="s">
        <v>100</v>
      </c>
      <c r="W76" s="639"/>
      <c r="X76" s="639"/>
      <c r="Y76" s="639"/>
      <c r="Z76" s="639"/>
      <c r="AA76" s="639"/>
      <c r="AB76" s="639"/>
      <c r="AC76" s="639"/>
      <c r="AD76" s="639"/>
      <c r="AE76" s="639"/>
      <c r="AF76" s="639"/>
      <c r="AG76" s="639"/>
      <c r="AH76" s="639"/>
      <c r="AI76" s="339">
        <f t="shared" ref="AI76" si="41">COUNTIF(B76:AH76,"x")</f>
        <v>10</v>
      </c>
      <c r="AJ76" s="545" t="str">
        <f>HYPERLINK("http://www.baltimorebaseball.com/2018/01/24/10-man-hall-fame-ballot-revealed-wishing-spots-available/?utm_source=dlvr.it&amp;utm_medium=twitter","Baltimore Baseball.com")</f>
        <v>Baltimore Baseball.com</v>
      </c>
      <c r="AK76" s="471">
        <v>43092</v>
      </c>
      <c r="AL76" s="352"/>
      <c r="AM76" s="352"/>
      <c r="AN76" s="352"/>
      <c r="AO76" s="352"/>
      <c r="AP76" s="352"/>
      <c r="AQ76" s="352"/>
      <c r="AR76" s="352"/>
      <c r="AS76" s="352"/>
      <c r="AT76" s="352"/>
      <c r="AU76" s="352"/>
      <c r="AV76" s="352"/>
      <c r="AW76" s="352"/>
      <c r="AX76" s="352"/>
      <c r="AY76" s="352"/>
      <c r="AZ76" s="352"/>
      <c r="BA76" s="352"/>
      <c r="BB76" s="352"/>
      <c r="BC76" s="352"/>
      <c r="BD76" s="352"/>
      <c r="BE76" s="352"/>
      <c r="BF76" s="352"/>
      <c r="BG76" s="352"/>
      <c r="BH76" s="352"/>
      <c r="BI76" s="352"/>
      <c r="BJ76" s="352"/>
      <c r="BK76" s="470"/>
      <c r="BL76" s="339"/>
      <c r="BM76" s="339"/>
      <c r="BN76" s="182"/>
      <c r="BO76" s="182"/>
      <c r="BP76" s="182"/>
      <c r="BQ76" s="182"/>
      <c r="BR76" s="182"/>
      <c r="BS76" s="182"/>
      <c r="BT76" s="182"/>
      <c r="BU76" s="182"/>
      <c r="BV76" s="182"/>
      <c r="BW76" s="182"/>
      <c r="BX76" s="182"/>
      <c r="BY76" s="182"/>
      <c r="BZ76" s="182"/>
      <c r="CA76" s="182"/>
      <c r="CB76" s="182"/>
      <c r="CC76" s="182"/>
      <c r="CD76" s="182"/>
      <c r="CE76" s="182"/>
      <c r="CF76" s="182"/>
      <c r="CG76" s="182"/>
      <c r="CH76" s="182"/>
      <c r="CI76" s="182"/>
      <c r="CJ76" s="182"/>
      <c r="CK76" s="647" t="s">
        <v>158</v>
      </c>
      <c r="CL76" s="648"/>
      <c r="CM76" s="649"/>
    </row>
    <row r="77" spans="1:91" s="344" customFormat="1">
      <c r="A77" s="335" t="s">
        <v>159</v>
      </c>
      <c r="B77" s="519" t="s">
        <v>100</v>
      </c>
      <c r="C77" s="519" t="s">
        <v>100</v>
      </c>
      <c r="D77" s="182"/>
      <c r="E77" s="519" t="s">
        <v>100</v>
      </c>
      <c r="F77" s="519" t="s">
        <v>100</v>
      </c>
      <c r="G77" s="519"/>
      <c r="H77" s="519" t="s">
        <v>100</v>
      </c>
      <c r="I77" s="519"/>
      <c r="J77" s="522" t="s">
        <v>100</v>
      </c>
      <c r="K77" s="519"/>
      <c r="L77" s="519" t="s">
        <v>100</v>
      </c>
      <c r="M77" s="519"/>
      <c r="N77" s="519"/>
      <c r="O77" s="519"/>
      <c r="P77" s="519" t="s">
        <v>100</v>
      </c>
      <c r="Q77" s="519"/>
      <c r="R77" s="519"/>
      <c r="S77" s="519" t="s">
        <v>100</v>
      </c>
      <c r="T77" s="519" t="s">
        <v>100</v>
      </c>
      <c r="U77" s="523"/>
      <c r="V77" s="519"/>
      <c r="W77" s="182"/>
      <c r="X77" s="182"/>
      <c r="Y77" s="182"/>
      <c r="Z77" s="182"/>
      <c r="AA77" s="182"/>
      <c r="AB77" s="182"/>
      <c r="AC77" s="182"/>
      <c r="AD77" s="182"/>
      <c r="AE77" s="182"/>
      <c r="AF77" s="182"/>
      <c r="AG77" s="182"/>
      <c r="AH77" s="182"/>
      <c r="AI77" s="167">
        <f t="shared" si="30"/>
        <v>10</v>
      </c>
      <c r="AJ77" s="340" t="str">
        <f>HYPERLINK("https://twitter.com/KevinCooney/status/938848898113826816","Twitter")</f>
        <v>Twitter</v>
      </c>
      <c r="AK77" s="341">
        <v>43076</v>
      </c>
      <c r="AL77" s="352"/>
      <c r="AM77" s="352"/>
      <c r="AN77" s="352"/>
      <c r="AO77" s="352"/>
      <c r="AP77" s="352"/>
      <c r="AQ77" s="352"/>
      <c r="AR77" s="352"/>
      <c r="AS77" s="352"/>
      <c r="AT77" s="352"/>
      <c r="AU77" s="352"/>
      <c r="AV77" s="352"/>
      <c r="AW77" s="352"/>
      <c r="AX77" s="352"/>
      <c r="AY77" s="352"/>
      <c r="AZ77" s="352"/>
      <c r="BA77" s="352"/>
      <c r="BB77" s="352"/>
      <c r="BC77" s="352"/>
      <c r="BD77" s="352"/>
      <c r="BE77" s="352"/>
      <c r="BF77" s="352"/>
      <c r="BG77" s="352"/>
      <c r="BH77" s="352"/>
      <c r="BI77" s="352"/>
      <c r="BJ77" s="352"/>
      <c r="BK77" s="470"/>
      <c r="BL77" s="339"/>
      <c r="BM77" s="339"/>
      <c r="BN77" s="182"/>
      <c r="BO77" s="182"/>
      <c r="BP77" s="182"/>
      <c r="BQ77" s="182"/>
      <c r="BR77" s="182"/>
      <c r="BS77" s="182"/>
      <c r="BT77" s="182"/>
      <c r="BU77" s="182"/>
      <c r="BV77" s="182"/>
      <c r="BW77" s="182"/>
      <c r="BX77" s="182"/>
      <c r="BY77" s="182"/>
      <c r="BZ77" s="182"/>
      <c r="CA77" s="182"/>
      <c r="CB77" s="182"/>
      <c r="CC77" s="182"/>
      <c r="CD77" s="182"/>
      <c r="CE77" s="182"/>
      <c r="CF77" s="182"/>
      <c r="CG77" s="182"/>
      <c r="CH77" s="182"/>
      <c r="CI77" s="182"/>
      <c r="CJ77" s="182"/>
      <c r="CK77" s="647" t="s">
        <v>109</v>
      </c>
      <c r="CL77" s="648"/>
      <c r="CM77" s="649"/>
    </row>
    <row r="78" spans="1:91" s="344" customFormat="1">
      <c r="A78" s="335" t="s">
        <v>160</v>
      </c>
      <c r="B78" s="519" t="s">
        <v>100</v>
      </c>
      <c r="C78" s="519" t="s">
        <v>100</v>
      </c>
      <c r="D78" s="182"/>
      <c r="E78" s="519" t="s">
        <v>100</v>
      </c>
      <c r="F78" s="519" t="s">
        <v>100</v>
      </c>
      <c r="G78" s="519"/>
      <c r="H78" s="519" t="s">
        <v>100</v>
      </c>
      <c r="I78" s="519"/>
      <c r="J78" s="519"/>
      <c r="K78" s="519"/>
      <c r="L78" s="519"/>
      <c r="M78" s="519" t="s">
        <v>100</v>
      </c>
      <c r="N78" s="519"/>
      <c r="O78" s="519"/>
      <c r="P78" s="519" t="s">
        <v>100</v>
      </c>
      <c r="Q78" s="519" t="s">
        <v>100</v>
      </c>
      <c r="R78" s="519" t="s">
        <v>100</v>
      </c>
      <c r="S78" s="519" t="s">
        <v>100</v>
      </c>
      <c r="T78" s="519"/>
      <c r="U78" s="519"/>
      <c r="V78" s="519"/>
      <c r="W78" s="182"/>
      <c r="X78" s="182"/>
      <c r="Y78" s="182"/>
      <c r="Z78" s="182"/>
      <c r="AA78" s="182"/>
      <c r="AB78" s="182"/>
      <c r="AC78" s="182"/>
      <c r="AD78" s="182"/>
      <c r="AE78" s="182"/>
      <c r="AF78" s="182"/>
      <c r="AG78" s="182"/>
      <c r="AH78" s="182"/>
      <c r="AI78" s="167">
        <f t="shared" si="30"/>
        <v>10</v>
      </c>
      <c r="AJ78" s="530" t="s">
        <v>113</v>
      </c>
      <c r="AK78" s="341">
        <v>43096</v>
      </c>
      <c r="AL78" s="352"/>
      <c r="AM78" s="352"/>
      <c r="AN78" s="352"/>
      <c r="AO78" s="352"/>
      <c r="AP78" s="352"/>
      <c r="AQ78" s="352"/>
      <c r="AR78" s="352"/>
      <c r="AS78" s="352"/>
      <c r="AT78" s="352"/>
      <c r="AU78" s="352"/>
      <c r="AV78" s="352"/>
      <c r="AW78" s="352"/>
      <c r="AX78" s="352"/>
      <c r="AY78" s="352"/>
      <c r="AZ78" s="352"/>
      <c r="BA78" s="352"/>
      <c r="BB78" s="352"/>
      <c r="BC78" s="352"/>
      <c r="BD78" s="352"/>
      <c r="BE78" s="352"/>
      <c r="BF78" s="352"/>
      <c r="BG78" s="352"/>
      <c r="BH78" s="352"/>
      <c r="BI78" s="352"/>
      <c r="BJ78" s="352"/>
      <c r="BK78" s="470"/>
      <c r="BL78" s="339"/>
      <c r="BM78" s="339"/>
      <c r="BN78" s="182"/>
      <c r="BO78" s="182"/>
      <c r="BP78" s="182"/>
      <c r="BQ78" s="182"/>
      <c r="BR78" s="182"/>
      <c r="BS78" s="182"/>
      <c r="BT78" s="182"/>
      <c r="BU78" s="182"/>
      <c r="BV78" s="182"/>
      <c r="BW78" s="182"/>
      <c r="BX78" s="182"/>
      <c r="BY78" s="182"/>
      <c r="BZ78" s="182"/>
      <c r="CA78" s="182"/>
      <c r="CB78" s="182"/>
      <c r="CC78" s="182"/>
      <c r="CD78" s="182"/>
      <c r="CE78" s="182"/>
      <c r="CF78" s="182"/>
      <c r="CG78" s="182"/>
      <c r="CH78" s="182"/>
      <c r="CI78" s="182"/>
      <c r="CJ78" s="182"/>
      <c r="CK78" s="647" t="s">
        <v>161</v>
      </c>
      <c r="CL78" s="648"/>
      <c r="CM78" s="649"/>
    </row>
    <row r="79" spans="1:91" s="344" customFormat="1">
      <c r="A79" s="335" t="s">
        <v>162</v>
      </c>
      <c r="B79" s="519" t="s">
        <v>100</v>
      </c>
      <c r="C79" s="519" t="s">
        <v>100</v>
      </c>
      <c r="D79" s="182"/>
      <c r="E79" s="519" t="s">
        <v>100</v>
      </c>
      <c r="F79" s="519" t="s">
        <v>100</v>
      </c>
      <c r="G79" s="519"/>
      <c r="H79" s="519" t="s">
        <v>100</v>
      </c>
      <c r="I79" s="519"/>
      <c r="J79" s="519" t="s">
        <v>100</v>
      </c>
      <c r="K79" s="519"/>
      <c r="L79" s="519"/>
      <c r="M79" s="519" t="s">
        <v>100</v>
      </c>
      <c r="N79" s="519"/>
      <c r="O79" s="519"/>
      <c r="P79" s="519"/>
      <c r="Q79" s="519" t="s">
        <v>100</v>
      </c>
      <c r="R79" s="519"/>
      <c r="S79" s="519" t="s">
        <v>100</v>
      </c>
      <c r="T79" s="519"/>
      <c r="U79" s="519"/>
      <c r="V79" s="519"/>
      <c r="W79" s="182"/>
      <c r="X79" s="182"/>
      <c r="Y79" s="182"/>
      <c r="Z79" s="182"/>
      <c r="AA79" s="182"/>
      <c r="AB79" s="182"/>
      <c r="AC79" s="182"/>
      <c r="AD79" s="182"/>
      <c r="AE79" s="182"/>
      <c r="AF79" s="182"/>
      <c r="AG79" s="182"/>
      <c r="AH79" s="182"/>
      <c r="AI79" s="167">
        <f t="shared" si="30"/>
        <v>9</v>
      </c>
      <c r="AJ79" s="340" t="str">
        <f>HYPERLINK("http://blogs.herald.com/random_evidence/2017/12/xxx-xxx-xxx-natl-local-yr-end-biggest-story-polls-bbhof-ballot-xxx-xxx-xxx.html","Miami Herald")</f>
        <v>Miami Herald</v>
      </c>
      <c r="AK79" s="341">
        <v>43095</v>
      </c>
      <c r="AL79" s="352"/>
      <c r="AM79" s="352"/>
      <c r="AN79" s="352"/>
      <c r="AO79" s="352"/>
      <c r="AP79" s="352"/>
      <c r="AQ79" s="352"/>
      <c r="AR79" s="352"/>
      <c r="AS79" s="352"/>
      <c r="AT79" s="352"/>
      <c r="AU79" s="352"/>
      <c r="AV79" s="352"/>
      <c r="AW79" s="352"/>
      <c r="AX79" s="352"/>
      <c r="AY79" s="352"/>
      <c r="AZ79" s="352"/>
      <c r="BA79" s="352"/>
      <c r="BB79" s="352"/>
      <c r="BC79" s="352"/>
      <c r="BD79" s="352"/>
      <c r="BE79" s="352"/>
      <c r="BF79" s="352"/>
      <c r="BG79" s="352"/>
      <c r="BH79" s="352"/>
      <c r="BI79" s="352"/>
      <c r="BJ79" s="352"/>
      <c r="BK79" s="470"/>
      <c r="BL79" s="339"/>
      <c r="BM79" s="339"/>
      <c r="BN79" s="182"/>
      <c r="BO79" s="182"/>
      <c r="BP79" s="182"/>
      <c r="BQ79" s="182"/>
      <c r="BR79" s="182"/>
      <c r="BS79" s="182"/>
      <c r="BT79" s="182"/>
      <c r="BU79" s="182"/>
      <c r="BV79" s="182"/>
      <c r="BW79" s="182"/>
      <c r="BX79" s="182"/>
      <c r="BY79" s="182"/>
      <c r="BZ79" s="182"/>
      <c r="CA79" s="182"/>
      <c r="CB79" s="182"/>
      <c r="CC79" s="182"/>
      <c r="CD79" s="182"/>
      <c r="CE79" s="182"/>
      <c r="CF79" s="182"/>
      <c r="CG79" s="182"/>
      <c r="CH79" s="182"/>
      <c r="CI79" s="182"/>
      <c r="CJ79" s="182"/>
      <c r="CK79" s="621"/>
      <c r="CL79" s="622"/>
      <c r="CM79" s="623"/>
    </row>
    <row r="80" spans="1:91" s="344" customFormat="1">
      <c r="A80" s="335" t="s">
        <v>163</v>
      </c>
      <c r="B80" s="519" t="s">
        <v>100</v>
      </c>
      <c r="C80" s="519" t="s">
        <v>100</v>
      </c>
      <c r="D80" s="182"/>
      <c r="E80" s="519" t="s">
        <v>100</v>
      </c>
      <c r="F80" s="522" t="s">
        <v>100</v>
      </c>
      <c r="G80" s="519"/>
      <c r="H80" s="519" t="s">
        <v>100</v>
      </c>
      <c r="I80" s="519" t="s">
        <v>100</v>
      </c>
      <c r="J80" s="519" t="s">
        <v>100</v>
      </c>
      <c r="K80" s="519"/>
      <c r="L80" s="519"/>
      <c r="M80" s="519"/>
      <c r="N80" s="519"/>
      <c r="O80" s="519"/>
      <c r="P80" s="519" t="s">
        <v>100</v>
      </c>
      <c r="Q80" s="519"/>
      <c r="R80" s="519"/>
      <c r="S80" s="519" t="s">
        <v>100</v>
      </c>
      <c r="T80" s="519"/>
      <c r="U80" s="519"/>
      <c r="V80" s="519" t="s">
        <v>100</v>
      </c>
      <c r="W80" s="182"/>
      <c r="X80" s="182"/>
      <c r="Y80" s="182"/>
      <c r="Z80" s="182"/>
      <c r="AA80" s="182"/>
      <c r="AB80" s="182"/>
      <c r="AC80" s="182"/>
      <c r="AD80" s="182"/>
      <c r="AE80" s="182"/>
      <c r="AF80" s="182"/>
      <c r="AG80" s="182"/>
      <c r="AH80" s="182"/>
      <c r="AI80" s="167">
        <f t="shared" si="30"/>
        <v>10</v>
      </c>
      <c r="AJ80" s="530" t="s">
        <v>164</v>
      </c>
      <c r="AK80" s="341">
        <v>43096</v>
      </c>
      <c r="AL80" s="352"/>
      <c r="AM80" s="352"/>
      <c r="AN80" s="352"/>
      <c r="AO80" s="352"/>
      <c r="AP80" s="352"/>
      <c r="AQ80" s="352"/>
      <c r="AR80" s="352"/>
      <c r="AS80" s="352"/>
      <c r="AT80" s="352"/>
      <c r="AU80" s="352"/>
      <c r="AV80" s="352"/>
      <c r="AW80" s="352"/>
      <c r="AX80" s="352"/>
      <c r="AY80" s="352"/>
      <c r="AZ80" s="352"/>
      <c r="BA80" s="352"/>
      <c r="BB80" s="352"/>
      <c r="BC80" s="352"/>
      <c r="BD80" s="352"/>
      <c r="BE80" s="352"/>
      <c r="BF80" s="352"/>
      <c r="BG80" s="352"/>
      <c r="BH80" s="352"/>
      <c r="BI80" s="352"/>
      <c r="BJ80" s="352"/>
      <c r="BK80" s="470"/>
      <c r="BL80" s="339"/>
      <c r="BM80" s="339"/>
      <c r="BN80" s="182"/>
      <c r="BO80" s="182"/>
      <c r="BP80" s="182"/>
      <c r="BQ80" s="182"/>
      <c r="BR80" s="182"/>
      <c r="BS80" s="182"/>
      <c r="BT80" s="182"/>
      <c r="BU80" s="182"/>
      <c r="BV80" s="182"/>
      <c r="BW80" s="182"/>
      <c r="BX80" s="182"/>
      <c r="BY80" s="182"/>
      <c r="BZ80" s="182"/>
      <c r="CA80" s="182"/>
      <c r="CB80" s="182"/>
      <c r="CC80" s="182"/>
      <c r="CD80" s="182"/>
      <c r="CE80" s="182"/>
      <c r="CF80" s="182"/>
      <c r="CG80" s="182"/>
      <c r="CH80" s="182"/>
      <c r="CI80" s="182"/>
      <c r="CJ80" s="182"/>
      <c r="CK80" s="621"/>
      <c r="CL80" s="622"/>
      <c r="CM80" s="623"/>
    </row>
    <row r="81" spans="1:91" s="344" customFormat="1">
      <c r="A81" s="335" t="s">
        <v>165</v>
      </c>
      <c r="B81" s="519" t="s">
        <v>100</v>
      </c>
      <c r="C81" s="519" t="s">
        <v>100</v>
      </c>
      <c r="D81" s="182"/>
      <c r="E81" s="519" t="s">
        <v>100</v>
      </c>
      <c r="F81" s="519" t="s">
        <v>100</v>
      </c>
      <c r="G81" s="519"/>
      <c r="H81" s="519" t="s">
        <v>100</v>
      </c>
      <c r="I81" s="522" t="s">
        <v>100</v>
      </c>
      <c r="J81" s="519" t="s">
        <v>100</v>
      </c>
      <c r="K81" s="519"/>
      <c r="L81" s="519" t="s">
        <v>100</v>
      </c>
      <c r="M81" s="519"/>
      <c r="N81" s="519"/>
      <c r="O81" s="519"/>
      <c r="P81" s="519" t="s">
        <v>100</v>
      </c>
      <c r="Q81" s="519"/>
      <c r="R81" s="519"/>
      <c r="S81" s="519" t="s">
        <v>100</v>
      </c>
      <c r="T81" s="519"/>
      <c r="U81" s="519"/>
      <c r="V81" s="519"/>
      <c r="W81" s="182"/>
      <c r="X81" s="182"/>
      <c r="Y81" s="182"/>
      <c r="Z81" s="182"/>
      <c r="AA81" s="182"/>
      <c r="AB81" s="182"/>
      <c r="AC81" s="182"/>
      <c r="AD81" s="182"/>
      <c r="AE81" s="182"/>
      <c r="AF81" s="182"/>
      <c r="AG81" s="182"/>
      <c r="AH81" s="182"/>
      <c r="AI81" s="167">
        <f t="shared" si="30"/>
        <v>10</v>
      </c>
      <c r="AJ81" s="340" t="str">
        <f>HYPERLINK("http://www.espn.com/mlb/story/_/id/22119468/espn-2018-hall-fame-ballot-did-our-voters-pick","ESPN group reveal")</f>
        <v>ESPN group reveal</v>
      </c>
      <c r="AK81" s="341">
        <v>43123</v>
      </c>
      <c r="AL81" s="352"/>
      <c r="AM81" s="352"/>
      <c r="AN81" s="352"/>
      <c r="AO81" s="352"/>
      <c r="AP81" s="352"/>
      <c r="AQ81" s="352"/>
      <c r="AR81" s="352"/>
      <c r="AS81" s="352"/>
      <c r="AT81" s="352"/>
      <c r="AU81" s="352"/>
      <c r="AV81" s="352"/>
      <c r="AW81" s="352"/>
      <c r="AX81" s="352"/>
      <c r="AY81" s="352"/>
      <c r="AZ81" s="352"/>
      <c r="BA81" s="352"/>
      <c r="BB81" s="352"/>
      <c r="BC81" s="352"/>
      <c r="BD81" s="352"/>
      <c r="BE81" s="352"/>
      <c r="BF81" s="352"/>
      <c r="BG81" s="352"/>
      <c r="BH81" s="352"/>
      <c r="BI81" s="352"/>
      <c r="BJ81" s="352"/>
      <c r="BK81" s="470"/>
      <c r="BL81" s="339"/>
      <c r="BM81" s="339"/>
      <c r="BN81" s="182"/>
      <c r="BO81" s="182"/>
      <c r="BP81" s="182"/>
      <c r="BQ81" s="182"/>
      <c r="BR81" s="182"/>
      <c r="BS81" s="182"/>
      <c r="BT81" s="182"/>
      <c r="BU81" s="182"/>
      <c r="BV81" s="182"/>
      <c r="BW81" s="182"/>
      <c r="BX81" s="182"/>
      <c r="BY81" s="182"/>
      <c r="BZ81" s="182"/>
      <c r="CA81" s="182"/>
      <c r="CB81" s="182"/>
      <c r="CC81" s="182"/>
      <c r="CD81" s="182"/>
      <c r="CE81" s="182"/>
      <c r="CF81" s="182"/>
      <c r="CG81" s="182"/>
      <c r="CH81" s="182"/>
      <c r="CI81" s="182"/>
      <c r="CJ81" s="182"/>
      <c r="CK81" s="647" t="s">
        <v>166</v>
      </c>
      <c r="CL81" s="648"/>
      <c r="CM81" s="649"/>
    </row>
    <row r="82" spans="1:91" s="344" customFormat="1">
      <c r="A82" s="335" t="s">
        <v>167</v>
      </c>
      <c r="B82" s="519"/>
      <c r="C82" s="519"/>
      <c r="D82" s="182"/>
      <c r="E82" s="519" t="s">
        <v>100</v>
      </c>
      <c r="F82" s="519" t="s">
        <v>100</v>
      </c>
      <c r="G82" s="519"/>
      <c r="H82" s="519" t="s">
        <v>100</v>
      </c>
      <c r="I82" s="522" t="s">
        <v>100</v>
      </c>
      <c r="J82" s="519" t="s">
        <v>100</v>
      </c>
      <c r="K82" s="519"/>
      <c r="L82" s="519" t="s">
        <v>100</v>
      </c>
      <c r="M82" s="519"/>
      <c r="N82" s="519"/>
      <c r="O82" s="519"/>
      <c r="P82" s="519" t="s">
        <v>100</v>
      </c>
      <c r="Q82" s="519"/>
      <c r="R82" s="519"/>
      <c r="S82" s="519" t="s">
        <v>100</v>
      </c>
      <c r="T82" s="519"/>
      <c r="U82" s="519" t="s">
        <v>100</v>
      </c>
      <c r="V82" s="519" t="s">
        <v>100</v>
      </c>
      <c r="W82" s="182"/>
      <c r="X82" s="182"/>
      <c r="Y82" s="182"/>
      <c r="Z82" s="182"/>
      <c r="AA82" s="182"/>
      <c r="AB82" s="182"/>
      <c r="AC82" s="182"/>
      <c r="AD82" s="182"/>
      <c r="AE82" s="182"/>
      <c r="AF82" s="182"/>
      <c r="AG82" s="182"/>
      <c r="AH82" s="182"/>
      <c r="AI82" s="167">
        <f t="shared" si="30"/>
        <v>10</v>
      </c>
      <c r="AJ82" s="340" t="str">
        <f>HYPERLINK("https://twitter.com/JackCurryYES/status/944649338365542400","Twitter")</f>
        <v>Twitter</v>
      </c>
      <c r="AK82" s="341">
        <v>43092</v>
      </c>
      <c r="AL82" s="352"/>
      <c r="AM82" s="352"/>
      <c r="AN82" s="352"/>
      <c r="AO82" s="352"/>
      <c r="AP82" s="352"/>
      <c r="AQ82" s="352"/>
      <c r="AR82" s="352"/>
      <c r="AS82" s="352"/>
      <c r="AT82" s="352"/>
      <c r="AU82" s="352"/>
      <c r="AV82" s="352"/>
      <c r="AW82" s="352"/>
      <c r="AX82" s="352"/>
      <c r="AY82" s="352"/>
      <c r="AZ82" s="352"/>
      <c r="BA82" s="352"/>
      <c r="BB82" s="352"/>
      <c r="BC82" s="352"/>
      <c r="BD82" s="352"/>
      <c r="BE82" s="352"/>
      <c r="BF82" s="352"/>
      <c r="BG82" s="352"/>
      <c r="BH82" s="352"/>
      <c r="BI82" s="352"/>
      <c r="BJ82" s="352"/>
      <c r="BK82" s="470"/>
      <c r="BL82" s="339"/>
      <c r="BM82" s="339"/>
      <c r="BN82" s="182"/>
      <c r="BO82" s="182"/>
      <c r="BP82" s="182"/>
      <c r="BQ82" s="182"/>
      <c r="BR82" s="182"/>
      <c r="BS82" s="182"/>
      <c r="BT82" s="182"/>
      <c r="BU82" s="182"/>
      <c r="BV82" s="182"/>
      <c r="BW82" s="182"/>
      <c r="BX82" s="182"/>
      <c r="BY82" s="182"/>
      <c r="BZ82" s="182"/>
      <c r="CA82" s="182"/>
      <c r="CB82" s="182"/>
      <c r="CC82" s="182"/>
      <c r="CD82" s="182"/>
      <c r="CE82" s="182"/>
      <c r="CF82" s="182"/>
      <c r="CG82" s="182"/>
      <c r="CH82" s="182"/>
      <c r="CI82" s="182"/>
      <c r="CJ82" s="182"/>
      <c r="CK82" s="621"/>
      <c r="CL82" s="622"/>
      <c r="CM82" s="623"/>
    </row>
    <row r="83" spans="1:91" s="344" customFormat="1">
      <c r="A83" s="335" t="s">
        <v>168</v>
      </c>
      <c r="B83" s="519" t="s">
        <v>100</v>
      </c>
      <c r="C83" s="519" t="s">
        <v>100</v>
      </c>
      <c r="D83" s="182"/>
      <c r="E83" s="519" t="s">
        <v>100</v>
      </c>
      <c r="F83" s="519" t="s">
        <v>100</v>
      </c>
      <c r="G83" s="519"/>
      <c r="H83" s="519" t="s">
        <v>100</v>
      </c>
      <c r="I83" s="519"/>
      <c r="J83" s="519"/>
      <c r="K83" s="519"/>
      <c r="L83" s="519" t="s">
        <v>100</v>
      </c>
      <c r="M83" s="519" t="s">
        <v>100</v>
      </c>
      <c r="N83" s="519"/>
      <c r="O83" s="519"/>
      <c r="P83" s="519" t="s">
        <v>100</v>
      </c>
      <c r="Q83" s="519"/>
      <c r="R83" s="519"/>
      <c r="S83" s="519" t="s">
        <v>100</v>
      </c>
      <c r="T83" s="519"/>
      <c r="U83" s="519"/>
      <c r="V83" s="522" t="s">
        <v>100</v>
      </c>
      <c r="W83" s="182"/>
      <c r="X83" s="182"/>
      <c r="Y83" s="182"/>
      <c r="Z83" s="182"/>
      <c r="AA83" s="182"/>
      <c r="AB83" s="182"/>
      <c r="AC83" s="182"/>
      <c r="AD83" s="182"/>
      <c r="AE83" s="182"/>
      <c r="AF83" s="182"/>
      <c r="AG83" s="182"/>
      <c r="AH83" s="182"/>
      <c r="AI83" s="167">
        <f t="shared" si="30"/>
        <v>10</v>
      </c>
      <c r="AJ83" s="340" t="str">
        <f>HYPERLINK("https://twitter.com/tomdangelo44/status/940966154373419008","Twitter")</f>
        <v>Twitter</v>
      </c>
      <c r="AK83" s="341">
        <v>43082</v>
      </c>
      <c r="AL83" s="352"/>
      <c r="AM83" s="352"/>
      <c r="AN83" s="352"/>
      <c r="AO83" s="352"/>
      <c r="AP83" s="352"/>
      <c r="AQ83" s="352"/>
      <c r="AR83" s="352"/>
      <c r="AS83" s="352"/>
      <c r="AT83" s="352"/>
      <c r="AU83" s="352"/>
      <c r="AV83" s="352"/>
      <c r="AW83" s="352"/>
      <c r="AX83" s="352"/>
      <c r="AY83" s="352"/>
      <c r="AZ83" s="352"/>
      <c r="BA83" s="352"/>
      <c r="BB83" s="352"/>
      <c r="BC83" s="352"/>
      <c r="BD83" s="352"/>
      <c r="BE83" s="352"/>
      <c r="BF83" s="352"/>
      <c r="BG83" s="352"/>
      <c r="BH83" s="352"/>
      <c r="BI83" s="352"/>
      <c r="BJ83" s="352"/>
      <c r="BK83" s="470"/>
      <c r="BL83" s="339"/>
      <c r="BM83" s="339"/>
      <c r="BN83" s="182"/>
      <c r="BO83" s="182"/>
      <c r="BP83" s="182"/>
      <c r="BQ83" s="182"/>
      <c r="BR83" s="182"/>
      <c r="BS83" s="182"/>
      <c r="BT83" s="182"/>
      <c r="BU83" s="182"/>
      <c r="BV83" s="182"/>
      <c r="BW83" s="182"/>
      <c r="BX83" s="182"/>
      <c r="BY83" s="182"/>
      <c r="BZ83" s="182"/>
      <c r="CA83" s="182"/>
      <c r="CB83" s="182"/>
      <c r="CC83" s="182"/>
      <c r="CD83" s="182"/>
      <c r="CE83" s="182"/>
      <c r="CF83" s="182"/>
      <c r="CG83" s="182"/>
      <c r="CH83" s="182"/>
      <c r="CI83" s="182"/>
      <c r="CJ83" s="182"/>
      <c r="CK83" s="647" t="s">
        <v>161</v>
      </c>
      <c r="CL83" s="648"/>
      <c r="CM83" s="649"/>
    </row>
    <row r="84" spans="1:91" s="344" customFormat="1">
      <c r="A84" s="335" t="s">
        <v>169</v>
      </c>
      <c r="B84" s="519"/>
      <c r="C84" s="519"/>
      <c r="D84" s="182"/>
      <c r="E84" s="522" t="s">
        <v>100</v>
      </c>
      <c r="F84" s="519"/>
      <c r="G84" s="519"/>
      <c r="H84" s="519" t="s">
        <v>100</v>
      </c>
      <c r="I84" s="519"/>
      <c r="J84" s="519"/>
      <c r="K84" s="519"/>
      <c r="L84" s="519"/>
      <c r="M84" s="519"/>
      <c r="N84" s="519"/>
      <c r="O84" s="519"/>
      <c r="P84" s="519"/>
      <c r="Q84" s="523"/>
      <c r="R84" s="519"/>
      <c r="S84" s="519" t="s">
        <v>100</v>
      </c>
      <c r="T84" s="519"/>
      <c r="U84" s="519"/>
      <c r="V84" s="519"/>
      <c r="W84" s="182"/>
      <c r="X84" s="182"/>
      <c r="Y84" s="182"/>
      <c r="Z84" s="182"/>
      <c r="AA84" s="182"/>
      <c r="AB84" s="182"/>
      <c r="AC84" s="182"/>
      <c r="AD84" s="182"/>
      <c r="AE84" s="182"/>
      <c r="AF84" s="182"/>
      <c r="AG84" s="182"/>
      <c r="AH84" s="182"/>
      <c r="AI84" s="167">
        <f t="shared" si="30"/>
        <v>3</v>
      </c>
      <c r="AJ84" s="530" t="s">
        <v>115</v>
      </c>
      <c r="AK84" s="341">
        <v>43123</v>
      </c>
      <c r="AL84" s="352"/>
      <c r="AM84" s="352"/>
      <c r="AN84" s="352"/>
      <c r="AO84" s="352"/>
      <c r="AP84" s="352"/>
      <c r="AQ84" s="352"/>
      <c r="AR84" s="352"/>
      <c r="AS84" s="352"/>
      <c r="AT84" s="352"/>
      <c r="AU84" s="352"/>
      <c r="AV84" s="352"/>
      <c r="AW84" s="352"/>
      <c r="AX84" s="352"/>
      <c r="AY84" s="352"/>
      <c r="AZ84" s="352"/>
      <c r="BA84" s="352"/>
      <c r="BB84" s="352"/>
      <c r="BC84" s="352"/>
      <c r="BD84" s="352"/>
      <c r="BE84" s="352"/>
      <c r="BF84" s="352"/>
      <c r="BG84" s="352"/>
      <c r="BH84" s="352"/>
      <c r="BI84" s="352"/>
      <c r="BJ84" s="352"/>
      <c r="BK84" s="470"/>
      <c r="BL84" s="339"/>
      <c r="BM84" s="339"/>
      <c r="BN84" s="182"/>
      <c r="BO84" s="182"/>
      <c r="BP84" s="182"/>
      <c r="BQ84" s="182"/>
      <c r="BR84" s="182"/>
      <c r="BS84" s="182"/>
      <c r="BT84" s="182"/>
      <c r="BU84" s="182"/>
      <c r="BV84" s="182"/>
      <c r="BW84" s="182"/>
      <c r="BX84" s="182"/>
      <c r="BY84" s="182"/>
      <c r="BZ84" s="182"/>
      <c r="CA84" s="182"/>
      <c r="CB84" s="182"/>
      <c r="CC84" s="182"/>
      <c r="CD84" s="182"/>
      <c r="CE84" s="182"/>
      <c r="CF84" s="182"/>
      <c r="CG84" s="182"/>
      <c r="CH84" s="182"/>
      <c r="CI84" s="182"/>
      <c r="CJ84" s="182"/>
      <c r="CK84" s="621"/>
      <c r="CL84" s="622"/>
      <c r="CM84" s="623"/>
    </row>
    <row r="85" spans="1:91" s="344" customFormat="1">
      <c r="A85" s="335" t="s">
        <v>170</v>
      </c>
      <c r="B85" s="519" t="s">
        <v>100</v>
      </c>
      <c r="C85" s="519" t="s">
        <v>100</v>
      </c>
      <c r="D85" s="182"/>
      <c r="E85" s="519" t="s">
        <v>100</v>
      </c>
      <c r="F85" s="519" t="s">
        <v>100</v>
      </c>
      <c r="G85" s="519"/>
      <c r="H85" s="519" t="s">
        <v>100</v>
      </c>
      <c r="I85" s="523"/>
      <c r="J85" s="522" t="s">
        <v>100</v>
      </c>
      <c r="K85" s="522" t="s">
        <v>100</v>
      </c>
      <c r="L85" s="519" t="s">
        <v>100</v>
      </c>
      <c r="M85" s="519"/>
      <c r="N85" s="519"/>
      <c r="O85" s="519"/>
      <c r="P85" s="523"/>
      <c r="Q85" s="519"/>
      <c r="R85" s="519"/>
      <c r="S85" s="519" t="s">
        <v>100</v>
      </c>
      <c r="T85" s="519"/>
      <c r="U85" s="519"/>
      <c r="V85" s="519" t="s">
        <v>100</v>
      </c>
      <c r="W85" s="182"/>
      <c r="X85" s="182"/>
      <c r="Y85" s="182"/>
      <c r="Z85" s="182"/>
      <c r="AA85" s="182"/>
      <c r="AB85" s="182"/>
      <c r="AC85" s="182"/>
      <c r="AD85" s="182"/>
      <c r="AE85" s="182"/>
      <c r="AF85" s="182"/>
      <c r="AG85" s="182"/>
      <c r="AH85" s="182"/>
      <c r="AI85" s="167">
        <f t="shared" si="30"/>
        <v>10</v>
      </c>
      <c r="AJ85" s="340" t="str">
        <f>HYPERLINK("http://www.sportsnet.ca/baseball/mlb/broke-baseball-hall-fame-voting-rule/","Sportsnet.ca")</f>
        <v>Sportsnet.ca</v>
      </c>
      <c r="AK85" s="341">
        <v>43116</v>
      </c>
      <c r="AL85" s="352"/>
      <c r="AM85" s="352"/>
      <c r="AN85" s="352"/>
      <c r="AO85" s="352"/>
      <c r="AP85" s="352"/>
      <c r="AQ85" s="352"/>
      <c r="AR85" s="352"/>
      <c r="AS85" s="352"/>
      <c r="AT85" s="352"/>
      <c r="AU85" s="352"/>
      <c r="AV85" s="352"/>
      <c r="AW85" s="352"/>
      <c r="AX85" s="352"/>
      <c r="AY85" s="352"/>
      <c r="AZ85" s="352"/>
      <c r="BA85" s="352"/>
      <c r="BB85" s="352"/>
      <c r="BC85" s="352"/>
      <c r="BD85" s="352"/>
      <c r="BE85" s="352"/>
      <c r="BF85" s="352"/>
      <c r="BG85" s="352"/>
      <c r="BH85" s="352"/>
      <c r="BI85" s="352"/>
      <c r="BJ85" s="352"/>
      <c r="BK85" s="470"/>
      <c r="BL85" s="339"/>
      <c r="BM85" s="339"/>
      <c r="BN85" s="182"/>
      <c r="BO85" s="182"/>
      <c r="BP85" s="182"/>
      <c r="BQ85" s="182"/>
      <c r="BR85" s="182"/>
      <c r="BS85" s="182"/>
      <c r="BT85" s="182"/>
      <c r="BU85" s="182"/>
      <c r="BV85" s="182"/>
      <c r="BW85" s="182"/>
      <c r="BX85" s="182"/>
      <c r="BY85" s="182"/>
      <c r="BZ85" s="182"/>
      <c r="CA85" s="182"/>
      <c r="CB85" s="182"/>
      <c r="CC85" s="182"/>
      <c r="CD85" s="182"/>
      <c r="CE85" s="182"/>
      <c r="CF85" s="182"/>
      <c r="CG85" s="182"/>
      <c r="CH85" s="182"/>
      <c r="CI85" s="182"/>
      <c r="CJ85" s="182"/>
      <c r="CK85" s="662" t="s">
        <v>171</v>
      </c>
      <c r="CL85" s="663"/>
      <c r="CM85" s="664"/>
    </row>
    <row r="86" spans="1:91" s="344" customFormat="1">
      <c r="A86" s="335" t="s">
        <v>172</v>
      </c>
      <c r="B86" s="519" t="s">
        <v>100</v>
      </c>
      <c r="C86" s="519" t="s">
        <v>100</v>
      </c>
      <c r="D86" s="182"/>
      <c r="E86" s="519"/>
      <c r="F86" s="519"/>
      <c r="G86" s="519" t="s">
        <v>100</v>
      </c>
      <c r="H86" s="519" t="s">
        <v>100</v>
      </c>
      <c r="I86" s="519"/>
      <c r="J86" s="519" t="s">
        <v>100</v>
      </c>
      <c r="K86" s="519"/>
      <c r="L86" s="519" t="s">
        <v>100</v>
      </c>
      <c r="M86" s="523"/>
      <c r="N86" s="519" t="s">
        <v>100</v>
      </c>
      <c r="O86" s="519"/>
      <c r="P86" s="519" t="s">
        <v>100</v>
      </c>
      <c r="Q86" s="519"/>
      <c r="R86" s="519"/>
      <c r="S86" s="519" t="s">
        <v>100</v>
      </c>
      <c r="T86" s="519"/>
      <c r="U86" s="519"/>
      <c r="V86" s="519" t="s">
        <v>100</v>
      </c>
      <c r="W86" s="182"/>
      <c r="X86" s="182"/>
      <c r="Y86" s="182"/>
      <c r="Z86" s="182"/>
      <c r="AA86" s="182"/>
      <c r="AB86" s="182"/>
      <c r="AC86" s="182"/>
      <c r="AD86" s="182"/>
      <c r="AE86" s="182"/>
      <c r="AF86" s="182"/>
      <c r="AG86" s="182"/>
      <c r="AH86" s="182"/>
      <c r="AI86" s="167">
        <f t="shared" si="30"/>
        <v>10</v>
      </c>
      <c r="AJ86" s="340" t="str">
        <f>HYPERLINK("https://nypost.com/2018/01/20/my-crowded-hall-of-fame-ballot-with-no-regard-for-the-sacred-place/","New York Post")</f>
        <v>New York Post</v>
      </c>
      <c r="AK86" s="341">
        <v>43120</v>
      </c>
      <c r="AL86" s="352"/>
      <c r="AM86" s="352"/>
      <c r="AN86" s="352"/>
      <c r="AO86" s="352"/>
      <c r="AP86" s="352"/>
      <c r="AQ86" s="352"/>
      <c r="AR86" s="352"/>
      <c r="AS86" s="352"/>
      <c r="AT86" s="352"/>
      <c r="AU86" s="352"/>
      <c r="AV86" s="352"/>
      <c r="AW86" s="352"/>
      <c r="AX86" s="352"/>
      <c r="AY86" s="352"/>
      <c r="AZ86" s="352"/>
      <c r="BA86" s="352"/>
      <c r="BB86" s="352"/>
      <c r="BC86" s="352"/>
      <c r="BD86" s="352"/>
      <c r="BE86" s="352"/>
      <c r="BF86" s="352"/>
      <c r="BG86" s="352"/>
      <c r="BH86" s="352"/>
      <c r="BI86" s="352"/>
      <c r="BJ86" s="352"/>
      <c r="BK86" s="470"/>
      <c r="BL86" s="339"/>
      <c r="BM86" s="339"/>
      <c r="BN86" s="182"/>
      <c r="BO86" s="182"/>
      <c r="BP86" s="182"/>
      <c r="BQ86" s="182"/>
      <c r="BR86" s="182"/>
      <c r="BS86" s="182"/>
      <c r="BT86" s="182"/>
      <c r="BU86" s="182"/>
      <c r="BV86" s="182"/>
      <c r="BW86" s="182"/>
      <c r="BX86" s="182"/>
      <c r="BY86" s="182"/>
      <c r="BZ86" s="182"/>
      <c r="CA86" s="182"/>
      <c r="CB86" s="182"/>
      <c r="CC86" s="182"/>
      <c r="CD86" s="182"/>
      <c r="CE86" s="182"/>
      <c r="CF86" s="182"/>
      <c r="CG86" s="182"/>
      <c r="CH86" s="182"/>
      <c r="CI86" s="182"/>
      <c r="CJ86" s="182"/>
      <c r="CK86" s="662" t="s">
        <v>173</v>
      </c>
      <c r="CL86" s="663"/>
      <c r="CM86" s="664"/>
    </row>
    <row r="87" spans="1:91" s="344" customFormat="1">
      <c r="A87" s="335" t="s">
        <v>174</v>
      </c>
      <c r="B87" s="519"/>
      <c r="C87" s="519"/>
      <c r="D87" s="182"/>
      <c r="E87" s="522" t="s">
        <v>100</v>
      </c>
      <c r="F87" s="519" t="s">
        <v>100</v>
      </c>
      <c r="G87" s="519" t="s">
        <v>100</v>
      </c>
      <c r="H87" s="519" t="s">
        <v>100</v>
      </c>
      <c r="I87" s="519"/>
      <c r="J87" s="519"/>
      <c r="K87" s="519"/>
      <c r="L87" s="519"/>
      <c r="M87" s="519"/>
      <c r="N87" s="519"/>
      <c r="O87" s="519"/>
      <c r="P87" s="519" t="s">
        <v>100</v>
      </c>
      <c r="Q87" s="519"/>
      <c r="R87" s="519"/>
      <c r="S87" s="519" t="s">
        <v>100</v>
      </c>
      <c r="T87" s="519" t="s">
        <v>100</v>
      </c>
      <c r="U87" s="519"/>
      <c r="V87" s="519"/>
      <c r="W87" s="182"/>
      <c r="X87" s="182"/>
      <c r="Y87" s="182"/>
      <c r="Z87" s="182"/>
      <c r="AA87" s="182"/>
      <c r="AB87" s="182"/>
      <c r="AC87" s="182"/>
      <c r="AD87" s="182"/>
      <c r="AE87" s="182"/>
      <c r="AF87" s="182"/>
      <c r="AG87" s="182"/>
      <c r="AH87" s="182"/>
      <c r="AI87" s="167">
        <f t="shared" si="30"/>
        <v>7</v>
      </c>
      <c r="AJ87" s="340" t="str">
        <f>HYPERLINK("https://twitter.com/Saders76/status/942434109984526336","Twitter")</f>
        <v>Twitter</v>
      </c>
      <c r="AK87" s="341">
        <v>43086</v>
      </c>
      <c r="AL87" s="352"/>
      <c r="AM87" s="352"/>
      <c r="AN87" s="352"/>
      <c r="AO87" s="352"/>
      <c r="AP87" s="352"/>
      <c r="AQ87" s="352"/>
      <c r="AR87" s="352"/>
      <c r="AS87" s="352"/>
      <c r="AT87" s="352"/>
      <c r="AU87" s="352"/>
      <c r="AV87" s="352"/>
      <c r="AW87" s="352"/>
      <c r="AX87" s="352"/>
      <c r="AY87" s="352"/>
      <c r="AZ87" s="352"/>
      <c r="BA87" s="352"/>
      <c r="BB87" s="352"/>
      <c r="BC87" s="352"/>
      <c r="BD87" s="352"/>
      <c r="BE87" s="352"/>
      <c r="BF87" s="352"/>
      <c r="BG87" s="352"/>
      <c r="BH87" s="352"/>
      <c r="BI87" s="352"/>
      <c r="BJ87" s="352"/>
      <c r="BK87" s="470"/>
      <c r="BL87" s="339"/>
      <c r="BM87" s="339"/>
      <c r="BN87" s="182"/>
      <c r="BO87" s="182"/>
      <c r="BP87" s="182"/>
      <c r="BQ87" s="182"/>
      <c r="BR87" s="182"/>
      <c r="BS87" s="182"/>
      <c r="BT87" s="182"/>
      <c r="BU87" s="182"/>
      <c r="BV87" s="182"/>
      <c r="BW87" s="182"/>
      <c r="BX87" s="182"/>
      <c r="BY87" s="182"/>
      <c r="BZ87" s="182"/>
      <c r="CA87" s="182"/>
      <c r="CB87" s="182"/>
      <c r="CC87" s="182"/>
      <c r="CD87" s="182"/>
      <c r="CE87" s="182"/>
      <c r="CF87" s="182"/>
      <c r="CG87" s="182"/>
      <c r="CH87" s="182"/>
      <c r="CI87" s="182"/>
      <c r="CJ87" s="182"/>
      <c r="CK87" s="621"/>
      <c r="CL87" s="622"/>
      <c r="CM87" s="623"/>
    </row>
    <row r="88" spans="1:91" s="344" customFormat="1">
      <c r="A88" s="335" t="s">
        <v>175</v>
      </c>
      <c r="B88" s="519"/>
      <c r="C88" s="519"/>
      <c r="D88" s="182"/>
      <c r="E88" s="522" t="s">
        <v>100</v>
      </c>
      <c r="F88" s="519" t="s">
        <v>100</v>
      </c>
      <c r="G88" s="519"/>
      <c r="H88" s="519" t="s">
        <v>100</v>
      </c>
      <c r="I88" s="519"/>
      <c r="J88" s="519" t="s">
        <v>100</v>
      </c>
      <c r="K88" s="519" t="s">
        <v>100</v>
      </c>
      <c r="L88" s="519" t="s">
        <v>100</v>
      </c>
      <c r="M88" s="519"/>
      <c r="N88" s="519"/>
      <c r="O88" s="519"/>
      <c r="P88" s="519"/>
      <c r="Q88" s="519"/>
      <c r="R88" s="519"/>
      <c r="S88" s="519" t="s">
        <v>100</v>
      </c>
      <c r="T88" s="519" t="s">
        <v>100</v>
      </c>
      <c r="U88" s="519"/>
      <c r="V88" s="519"/>
      <c r="W88" s="182"/>
      <c r="X88" s="182"/>
      <c r="Y88" s="182"/>
      <c r="Z88" s="182"/>
      <c r="AA88" s="182"/>
      <c r="AB88" s="182"/>
      <c r="AC88" s="182"/>
      <c r="AD88" s="182"/>
      <c r="AE88" s="182"/>
      <c r="AF88" s="182"/>
      <c r="AG88" s="182"/>
      <c r="AH88" s="182"/>
      <c r="AI88" s="167">
        <f t="shared" si="30"/>
        <v>8</v>
      </c>
      <c r="AJ88" s="340" t="str">
        <f>HYPERLINK("http://www.newyorkmetsreport.com/2018/01/01/my-hall-of-fame-ballot-3/","newyorkmetsreport.com")</f>
        <v>newyorkmetsreport.com</v>
      </c>
      <c r="AK88" s="341">
        <v>43101</v>
      </c>
      <c r="AL88" s="352"/>
      <c r="AM88" s="352"/>
      <c r="AN88" s="352"/>
      <c r="AO88" s="352"/>
      <c r="AP88" s="352"/>
      <c r="AQ88" s="352"/>
      <c r="AR88" s="352"/>
      <c r="AS88" s="352"/>
      <c r="AT88" s="352"/>
      <c r="AU88" s="352"/>
      <c r="AV88" s="352"/>
      <c r="AW88" s="352"/>
      <c r="AX88" s="352"/>
      <c r="AY88" s="352"/>
      <c r="AZ88" s="352"/>
      <c r="BA88" s="352"/>
      <c r="BB88" s="352"/>
      <c r="BC88" s="352"/>
      <c r="BD88" s="352"/>
      <c r="BE88" s="352"/>
      <c r="BF88" s="352"/>
      <c r="BG88" s="352"/>
      <c r="BH88" s="352"/>
      <c r="BI88" s="352"/>
      <c r="BJ88" s="352"/>
      <c r="BK88" s="470"/>
      <c r="BL88" s="339"/>
      <c r="BM88" s="339"/>
      <c r="BN88" s="182"/>
      <c r="BO88" s="182"/>
      <c r="BP88" s="182"/>
      <c r="BQ88" s="182"/>
      <c r="BR88" s="182"/>
      <c r="BS88" s="182"/>
      <c r="BT88" s="182"/>
      <c r="BU88" s="182"/>
      <c r="BV88" s="182"/>
      <c r="BW88" s="182"/>
      <c r="BX88" s="182"/>
      <c r="BY88" s="182"/>
      <c r="BZ88" s="182"/>
      <c r="CA88" s="182"/>
      <c r="CB88" s="182"/>
      <c r="CC88" s="182"/>
      <c r="CD88" s="182"/>
      <c r="CE88" s="182"/>
      <c r="CF88" s="182"/>
      <c r="CG88" s="182"/>
      <c r="CH88" s="182"/>
      <c r="CI88" s="182"/>
      <c r="CJ88" s="182"/>
      <c r="CK88" s="621"/>
      <c r="CL88" s="622"/>
      <c r="CM88" s="623"/>
    </row>
    <row r="89" spans="1:91" s="344" customFormat="1">
      <c r="A89" s="335" t="s">
        <v>176</v>
      </c>
      <c r="B89" s="519" t="s">
        <v>100</v>
      </c>
      <c r="C89" s="519" t="s">
        <v>100</v>
      </c>
      <c r="D89" s="182"/>
      <c r="E89" s="519" t="s">
        <v>100</v>
      </c>
      <c r="F89" s="519" t="s">
        <v>100</v>
      </c>
      <c r="G89" s="519"/>
      <c r="H89" s="519" t="s">
        <v>100</v>
      </c>
      <c r="I89" s="519"/>
      <c r="J89" s="519" t="s">
        <v>100</v>
      </c>
      <c r="K89" s="519"/>
      <c r="L89" s="522" t="s">
        <v>100</v>
      </c>
      <c r="M89" s="523"/>
      <c r="N89" s="519"/>
      <c r="O89" s="519"/>
      <c r="P89" s="522" t="s">
        <v>100</v>
      </c>
      <c r="Q89" s="519"/>
      <c r="R89" s="519" t="s">
        <v>100</v>
      </c>
      <c r="S89" s="519" t="s">
        <v>100</v>
      </c>
      <c r="T89" s="519"/>
      <c r="U89" s="519"/>
      <c r="V89" s="519"/>
      <c r="W89" s="182"/>
      <c r="X89" s="182"/>
      <c r="Y89" s="182"/>
      <c r="Z89" s="182"/>
      <c r="AA89" s="182"/>
      <c r="AB89" s="182"/>
      <c r="AC89" s="182"/>
      <c r="AD89" s="182"/>
      <c r="AE89" s="182"/>
      <c r="AF89" s="182"/>
      <c r="AG89" s="182"/>
      <c r="AH89" s="182"/>
      <c r="AI89" s="167">
        <f t="shared" si="30"/>
        <v>10</v>
      </c>
      <c r="AJ89" s="340" t="str">
        <f>HYPERLINK("https://twitter.com/ChrisDeLuca/status/946457994904076289","Twitter")</f>
        <v>Twitter</v>
      </c>
      <c r="AK89" s="341">
        <v>43097</v>
      </c>
      <c r="AL89" s="352"/>
      <c r="AM89" s="352"/>
      <c r="AN89" s="352"/>
      <c r="AO89" s="352"/>
      <c r="AP89" s="352"/>
      <c r="AQ89" s="352"/>
      <c r="AR89" s="352"/>
      <c r="AS89" s="352"/>
      <c r="AT89" s="352"/>
      <c r="AU89" s="352"/>
      <c r="AV89" s="352"/>
      <c r="AW89" s="352"/>
      <c r="AX89" s="352"/>
      <c r="AY89" s="352"/>
      <c r="AZ89" s="352"/>
      <c r="BA89" s="352"/>
      <c r="BB89" s="352"/>
      <c r="BC89" s="352"/>
      <c r="BD89" s="352"/>
      <c r="BE89" s="352"/>
      <c r="BF89" s="352"/>
      <c r="BG89" s="352"/>
      <c r="BH89" s="352"/>
      <c r="BI89" s="352"/>
      <c r="BJ89" s="352"/>
      <c r="BK89" s="470"/>
      <c r="BL89" s="339"/>
      <c r="BM89" s="339"/>
      <c r="BN89" s="182"/>
      <c r="BO89" s="182"/>
      <c r="BP89" s="182"/>
      <c r="BQ89" s="182"/>
      <c r="BR89" s="182"/>
      <c r="BS89" s="182"/>
      <c r="BT89" s="182"/>
      <c r="BU89" s="182"/>
      <c r="BV89" s="182"/>
      <c r="BW89" s="182"/>
      <c r="BX89" s="182"/>
      <c r="BY89" s="182"/>
      <c r="BZ89" s="182"/>
      <c r="CA89" s="182"/>
      <c r="CB89" s="182"/>
      <c r="CC89" s="182"/>
      <c r="CD89" s="182"/>
      <c r="CE89" s="182"/>
      <c r="CF89" s="182"/>
      <c r="CG89" s="182"/>
      <c r="CH89" s="182"/>
      <c r="CI89" s="182"/>
      <c r="CJ89" s="182"/>
      <c r="CK89" s="621"/>
      <c r="CL89" s="622"/>
      <c r="CM89" s="623"/>
    </row>
    <row r="90" spans="1:91" s="344" customFormat="1">
      <c r="A90" s="335" t="s">
        <v>177</v>
      </c>
      <c r="B90" s="519"/>
      <c r="C90" s="519"/>
      <c r="D90" s="182"/>
      <c r="E90" s="519" t="s">
        <v>100</v>
      </c>
      <c r="F90" s="519" t="s">
        <v>100</v>
      </c>
      <c r="G90" s="519"/>
      <c r="H90" s="519" t="s">
        <v>100</v>
      </c>
      <c r="I90" s="523"/>
      <c r="J90" s="519" t="s">
        <v>100</v>
      </c>
      <c r="K90" s="519" t="s">
        <v>100</v>
      </c>
      <c r="L90" s="519" t="s">
        <v>100</v>
      </c>
      <c r="M90" s="519"/>
      <c r="N90" s="519"/>
      <c r="O90" s="519"/>
      <c r="P90" s="519" t="s">
        <v>100</v>
      </c>
      <c r="Q90" s="519"/>
      <c r="R90" s="519"/>
      <c r="S90" s="519" t="s">
        <v>100</v>
      </c>
      <c r="T90" s="519" t="s">
        <v>100</v>
      </c>
      <c r="U90" s="519"/>
      <c r="V90" s="519" t="s">
        <v>100</v>
      </c>
      <c r="W90" s="182"/>
      <c r="X90" s="182"/>
      <c r="Y90" s="182"/>
      <c r="Z90" s="182"/>
      <c r="AA90" s="182"/>
      <c r="AB90" s="182"/>
      <c r="AC90" s="182"/>
      <c r="AD90" s="182"/>
      <c r="AE90" s="182"/>
      <c r="AF90" s="182"/>
      <c r="AG90" s="182"/>
      <c r="AH90" s="182"/>
      <c r="AI90" s="167">
        <f t="shared" si="30"/>
        <v>10</v>
      </c>
      <c r="AJ90" s="340" t="str">
        <f>HYPERLINK("https://twitter.com/DeMarcoball/status/947296273828167680","Twitter")</f>
        <v>Twitter</v>
      </c>
      <c r="AK90" s="341">
        <v>43099</v>
      </c>
      <c r="AL90" s="352"/>
      <c r="AM90" s="352"/>
      <c r="AN90" s="352"/>
      <c r="AO90" s="352"/>
      <c r="AP90" s="352"/>
      <c r="AQ90" s="352"/>
      <c r="AR90" s="352"/>
      <c r="AS90" s="352"/>
      <c r="AT90" s="352"/>
      <c r="AU90" s="352"/>
      <c r="AV90" s="352"/>
      <c r="AW90" s="352"/>
      <c r="AX90" s="352"/>
      <c r="AY90" s="352"/>
      <c r="AZ90" s="352"/>
      <c r="BA90" s="352"/>
      <c r="BB90" s="352"/>
      <c r="BC90" s="352"/>
      <c r="BD90" s="352"/>
      <c r="BE90" s="352"/>
      <c r="BF90" s="352"/>
      <c r="BG90" s="352"/>
      <c r="BH90" s="352"/>
      <c r="BI90" s="352"/>
      <c r="BJ90" s="352"/>
      <c r="BK90" s="470"/>
      <c r="BL90" s="339"/>
      <c r="BM90" s="339"/>
      <c r="BN90" s="182"/>
      <c r="BO90" s="182"/>
      <c r="BP90" s="182"/>
      <c r="BQ90" s="182"/>
      <c r="BR90" s="182"/>
      <c r="BS90" s="182"/>
      <c r="BT90" s="182"/>
      <c r="BU90" s="182"/>
      <c r="BV90" s="182"/>
      <c r="BW90" s="182"/>
      <c r="BX90" s="182"/>
      <c r="BY90" s="182"/>
      <c r="BZ90" s="182"/>
      <c r="CA90" s="182"/>
      <c r="CB90" s="182"/>
      <c r="CC90" s="182"/>
      <c r="CD90" s="182"/>
      <c r="CE90" s="182"/>
      <c r="CF90" s="182"/>
      <c r="CG90" s="182"/>
      <c r="CH90" s="182"/>
      <c r="CI90" s="182"/>
      <c r="CJ90" s="182"/>
      <c r="CK90" s="621"/>
      <c r="CL90" s="622"/>
      <c r="CM90" s="623"/>
    </row>
    <row r="91" spans="1:91" s="344" customFormat="1">
      <c r="A91" s="335" t="s">
        <v>178</v>
      </c>
      <c r="B91" s="519" t="s">
        <v>100</v>
      </c>
      <c r="C91" s="519" t="s">
        <v>100</v>
      </c>
      <c r="D91" s="182"/>
      <c r="E91" s="522" t="s">
        <v>100</v>
      </c>
      <c r="F91" s="519" t="s">
        <v>100</v>
      </c>
      <c r="G91" s="519"/>
      <c r="H91" s="519" t="s">
        <v>100</v>
      </c>
      <c r="I91" s="519"/>
      <c r="J91" s="519" t="s">
        <v>100</v>
      </c>
      <c r="K91" s="519"/>
      <c r="L91" s="522" t="s">
        <v>100</v>
      </c>
      <c r="M91" s="519" t="s">
        <v>100</v>
      </c>
      <c r="N91" s="519"/>
      <c r="O91" s="519"/>
      <c r="P91" s="523"/>
      <c r="Q91" s="519"/>
      <c r="R91" s="522" t="s">
        <v>100</v>
      </c>
      <c r="S91" s="519" t="s">
        <v>100</v>
      </c>
      <c r="T91" s="519"/>
      <c r="U91" s="519"/>
      <c r="V91" s="519"/>
      <c r="W91" s="182"/>
      <c r="X91" s="182"/>
      <c r="Y91" s="182"/>
      <c r="Z91" s="182"/>
      <c r="AA91" s="182"/>
      <c r="AB91" s="182"/>
      <c r="AC91" s="182"/>
      <c r="AD91" s="182"/>
      <c r="AE91" s="182"/>
      <c r="AF91" s="182"/>
      <c r="AG91" s="182"/>
      <c r="AH91" s="182"/>
      <c r="AI91" s="167">
        <f t="shared" si="30"/>
        <v>10</v>
      </c>
      <c r="AJ91" s="530" t="s">
        <v>113</v>
      </c>
      <c r="AK91" s="341">
        <v>43080</v>
      </c>
      <c r="AL91" s="352"/>
      <c r="AM91" s="352"/>
      <c r="AN91" s="352"/>
      <c r="AO91" s="352"/>
      <c r="AP91" s="352"/>
      <c r="AQ91" s="352"/>
      <c r="AR91" s="352"/>
      <c r="AS91" s="352"/>
      <c r="AT91" s="352"/>
      <c r="AU91" s="352"/>
      <c r="AV91" s="352"/>
      <c r="AW91" s="352"/>
      <c r="AX91" s="352"/>
      <c r="AY91" s="352"/>
      <c r="AZ91" s="352"/>
      <c r="BA91" s="352"/>
      <c r="BB91" s="352"/>
      <c r="BC91" s="352"/>
      <c r="BD91" s="352"/>
      <c r="BE91" s="352"/>
      <c r="BF91" s="352"/>
      <c r="BG91" s="352"/>
      <c r="BH91" s="352"/>
      <c r="BI91" s="352"/>
      <c r="BJ91" s="352"/>
      <c r="BK91" s="470"/>
      <c r="BL91" s="339"/>
      <c r="BM91" s="339"/>
      <c r="BN91" s="182"/>
      <c r="BO91" s="182"/>
      <c r="BP91" s="182"/>
      <c r="BQ91" s="182"/>
      <c r="BR91" s="182"/>
      <c r="BS91" s="182"/>
      <c r="BT91" s="182"/>
      <c r="BU91" s="182"/>
      <c r="BV91" s="182"/>
      <c r="BW91" s="182"/>
      <c r="BX91" s="182"/>
      <c r="BY91" s="182"/>
      <c r="BZ91" s="182"/>
      <c r="CA91" s="182"/>
      <c r="CB91" s="182"/>
      <c r="CC91" s="182"/>
      <c r="CD91" s="182"/>
      <c r="CE91" s="182"/>
      <c r="CF91" s="182"/>
      <c r="CG91" s="182"/>
      <c r="CH91" s="182"/>
      <c r="CI91" s="182"/>
      <c r="CJ91" s="182"/>
      <c r="CK91" s="621"/>
      <c r="CL91" s="622"/>
      <c r="CM91" s="623"/>
    </row>
    <row r="92" spans="1:91" s="344" customFormat="1">
      <c r="A92" s="331" t="s">
        <v>179</v>
      </c>
      <c r="B92" s="519" t="s">
        <v>100</v>
      </c>
      <c r="C92" s="519" t="s">
        <v>100</v>
      </c>
      <c r="D92" s="182"/>
      <c r="E92" s="519" t="s">
        <v>100</v>
      </c>
      <c r="F92" s="519" t="s">
        <v>100</v>
      </c>
      <c r="G92" s="519"/>
      <c r="H92" s="519" t="s">
        <v>100</v>
      </c>
      <c r="I92" s="519"/>
      <c r="J92" s="519" t="s">
        <v>100</v>
      </c>
      <c r="K92" s="519"/>
      <c r="L92" s="519" t="s">
        <v>100</v>
      </c>
      <c r="M92" s="519"/>
      <c r="N92" s="519"/>
      <c r="O92" s="519"/>
      <c r="P92" s="519" t="s">
        <v>100</v>
      </c>
      <c r="Q92" s="519"/>
      <c r="R92" s="519"/>
      <c r="S92" s="519" t="s">
        <v>100</v>
      </c>
      <c r="T92" s="519"/>
      <c r="U92" s="519"/>
      <c r="V92" s="519" t="s">
        <v>100</v>
      </c>
      <c r="W92" s="182"/>
      <c r="X92" s="182"/>
      <c r="Y92" s="182"/>
      <c r="Z92" s="182"/>
      <c r="AA92" s="182"/>
      <c r="AB92" s="182"/>
      <c r="AC92" s="182"/>
      <c r="AD92" s="182"/>
      <c r="AE92" s="182"/>
      <c r="AF92" s="182"/>
      <c r="AG92" s="182"/>
      <c r="AH92" s="182"/>
      <c r="AI92" s="167">
        <f t="shared" si="30"/>
        <v>10</v>
      </c>
      <c r="AJ92" s="340" t="str">
        <f>HYPERLINK("https://www.seattletimes.com/sports/mariners/ryan-divish-edgar-martinez-was-the-first-name-i-checked-on-my-first-baseball-hall-of-fame-ballot/?utm_content=buffer40760&amp;utm_medium=social&amp;utm_source=twitter.com&amp;utm_campaign=buffer","Seattle Times")</f>
        <v>Seattle Times</v>
      </c>
      <c r="AK92" s="341">
        <v>43091</v>
      </c>
      <c r="AL92" s="352"/>
      <c r="AM92" s="352"/>
      <c r="AN92" s="352"/>
      <c r="AO92" s="352"/>
      <c r="AP92" s="352"/>
      <c r="AQ92" s="352"/>
      <c r="AR92" s="352"/>
      <c r="AS92" s="352"/>
      <c r="AT92" s="352"/>
      <c r="AU92" s="352"/>
      <c r="AV92" s="352"/>
      <c r="AW92" s="352"/>
      <c r="AX92" s="352"/>
      <c r="AY92" s="352"/>
      <c r="AZ92" s="352"/>
      <c r="BA92" s="352"/>
      <c r="BB92" s="352"/>
      <c r="BC92" s="352"/>
      <c r="BD92" s="352"/>
      <c r="BE92" s="352"/>
      <c r="BF92" s="352"/>
      <c r="BG92" s="352"/>
      <c r="BH92" s="352"/>
      <c r="BI92" s="352"/>
      <c r="BJ92" s="352"/>
      <c r="BK92" s="470"/>
      <c r="BL92" s="339"/>
      <c r="BM92" s="339"/>
      <c r="BN92" s="182"/>
      <c r="BO92" s="182"/>
      <c r="BP92" s="182"/>
      <c r="BQ92" s="182"/>
      <c r="BR92" s="182"/>
      <c r="BS92" s="182"/>
      <c r="BT92" s="182"/>
      <c r="BU92" s="182"/>
      <c r="BV92" s="182"/>
      <c r="BW92" s="182"/>
      <c r="BX92" s="182"/>
      <c r="BY92" s="182"/>
      <c r="BZ92" s="182"/>
      <c r="CA92" s="182"/>
      <c r="CB92" s="182"/>
      <c r="CC92" s="182"/>
      <c r="CD92" s="182"/>
      <c r="CE92" s="182"/>
      <c r="CF92" s="182"/>
      <c r="CG92" s="182"/>
      <c r="CH92" s="182"/>
      <c r="CI92" s="182"/>
      <c r="CJ92" s="182"/>
      <c r="CK92" s="621"/>
      <c r="CL92" s="622"/>
      <c r="CM92" s="623"/>
    </row>
    <row r="93" spans="1:91" s="344" customFormat="1">
      <c r="A93" s="335" t="s">
        <v>180</v>
      </c>
      <c r="B93" s="519" t="s">
        <v>100</v>
      </c>
      <c r="C93" s="519" t="s">
        <v>100</v>
      </c>
      <c r="D93" s="182"/>
      <c r="E93" s="519" t="s">
        <v>100</v>
      </c>
      <c r="F93" s="519" t="s">
        <v>100</v>
      </c>
      <c r="G93" s="519"/>
      <c r="H93" s="519" t="s">
        <v>100</v>
      </c>
      <c r="I93" s="519"/>
      <c r="J93" s="519"/>
      <c r="K93" s="519"/>
      <c r="L93" s="519"/>
      <c r="M93" s="519"/>
      <c r="N93" s="519"/>
      <c r="O93" s="519"/>
      <c r="P93" s="519"/>
      <c r="Q93" s="519"/>
      <c r="R93" s="519"/>
      <c r="S93" s="519" t="s">
        <v>100</v>
      </c>
      <c r="T93" s="519" t="s">
        <v>100</v>
      </c>
      <c r="U93" s="519"/>
      <c r="V93" s="519"/>
      <c r="W93" s="182"/>
      <c r="X93" s="182"/>
      <c r="Y93" s="182"/>
      <c r="Z93" s="182"/>
      <c r="AA93" s="182"/>
      <c r="AB93" s="182"/>
      <c r="AC93" s="182"/>
      <c r="AD93" s="182"/>
      <c r="AE93" s="182"/>
      <c r="AF93" s="182"/>
      <c r="AG93" s="182"/>
      <c r="AH93" s="182"/>
      <c r="AI93" s="167">
        <f t="shared" si="30"/>
        <v>7</v>
      </c>
      <c r="AJ93" s="530" t="s">
        <v>138</v>
      </c>
      <c r="AK93" s="341">
        <v>43123</v>
      </c>
      <c r="AL93" s="352"/>
      <c r="AM93" s="352"/>
      <c r="AN93" s="352"/>
      <c r="AO93" s="352"/>
      <c r="AP93" s="352"/>
      <c r="AQ93" s="352"/>
      <c r="AR93" s="352"/>
      <c r="AS93" s="352"/>
      <c r="AT93" s="352"/>
      <c r="AU93" s="352"/>
      <c r="AV93" s="352"/>
      <c r="AW93" s="352"/>
      <c r="AX93" s="352"/>
      <c r="AY93" s="352"/>
      <c r="AZ93" s="352"/>
      <c r="BA93" s="352"/>
      <c r="BB93" s="352"/>
      <c r="BC93" s="352"/>
      <c r="BD93" s="352"/>
      <c r="BE93" s="352"/>
      <c r="BF93" s="352"/>
      <c r="BG93" s="352"/>
      <c r="BH93" s="352"/>
      <c r="BI93" s="352"/>
      <c r="BJ93" s="352"/>
      <c r="BK93" s="470"/>
      <c r="BL93" s="339"/>
      <c r="BM93" s="339"/>
      <c r="BN93" s="182"/>
      <c r="BO93" s="182"/>
      <c r="BP93" s="182"/>
      <c r="BQ93" s="182"/>
      <c r="BR93" s="182"/>
      <c r="BS93" s="182"/>
      <c r="BT93" s="182"/>
      <c r="BU93" s="182"/>
      <c r="BV93" s="182"/>
      <c r="BW93" s="182"/>
      <c r="BX93" s="182"/>
      <c r="BY93" s="182"/>
      <c r="BZ93" s="182"/>
      <c r="CA93" s="182"/>
      <c r="CB93" s="182"/>
      <c r="CC93" s="182"/>
      <c r="CD93" s="182"/>
      <c r="CE93" s="182"/>
      <c r="CF93" s="182"/>
      <c r="CG93" s="182"/>
      <c r="CH93" s="182"/>
      <c r="CI93" s="182"/>
      <c r="CJ93" s="182"/>
      <c r="CK93" s="621"/>
      <c r="CL93" s="622"/>
      <c r="CM93" s="623"/>
    </row>
    <row r="94" spans="1:91" s="344" customFormat="1">
      <c r="A94" s="335" t="s">
        <v>181</v>
      </c>
      <c r="B94" s="519" t="s">
        <v>100</v>
      </c>
      <c r="C94" s="519" t="s">
        <v>100</v>
      </c>
      <c r="D94" s="182"/>
      <c r="E94" s="519"/>
      <c r="F94" s="519"/>
      <c r="G94" s="519"/>
      <c r="H94" s="519" t="s">
        <v>100</v>
      </c>
      <c r="I94" s="519"/>
      <c r="J94" s="519" t="s">
        <v>100</v>
      </c>
      <c r="K94" s="519"/>
      <c r="L94" s="519" t="s">
        <v>100</v>
      </c>
      <c r="M94" s="519" t="s">
        <v>100</v>
      </c>
      <c r="N94" s="519" t="s">
        <v>100</v>
      </c>
      <c r="O94" s="519"/>
      <c r="P94" s="519" t="s">
        <v>100</v>
      </c>
      <c r="Q94" s="519"/>
      <c r="R94" s="523"/>
      <c r="S94" s="519" t="s">
        <v>100</v>
      </c>
      <c r="T94" s="519"/>
      <c r="U94" s="519"/>
      <c r="V94" s="522" t="s">
        <v>100</v>
      </c>
      <c r="W94" s="182"/>
      <c r="X94" s="182"/>
      <c r="Y94" s="182"/>
      <c r="Z94" s="182"/>
      <c r="AA94" s="182"/>
      <c r="AB94" s="182"/>
      <c r="AC94" s="182"/>
      <c r="AD94" s="182"/>
      <c r="AE94" s="182"/>
      <c r="AF94" s="182"/>
      <c r="AG94" s="182"/>
      <c r="AH94" s="182"/>
      <c r="AI94" s="167">
        <f t="shared" si="30"/>
        <v>10</v>
      </c>
      <c r="AJ94" s="340" t="str">
        <f>HYPERLINK("https://twitter.com/JoshDubowAP/status/939260484276051968","Twitter")</f>
        <v>Twitter</v>
      </c>
      <c r="AK94" s="341">
        <v>43077</v>
      </c>
      <c r="AL94" s="352"/>
      <c r="AM94" s="352"/>
      <c r="AN94" s="352"/>
      <c r="AO94" s="352"/>
      <c r="AP94" s="352"/>
      <c r="AQ94" s="352"/>
      <c r="AR94" s="352"/>
      <c r="AS94" s="352"/>
      <c r="AT94" s="352"/>
      <c r="AU94" s="352"/>
      <c r="AV94" s="352"/>
      <c r="AW94" s="352"/>
      <c r="AX94" s="352"/>
      <c r="AY94" s="352"/>
      <c r="AZ94" s="352"/>
      <c r="BA94" s="352"/>
      <c r="BB94" s="352"/>
      <c r="BC94" s="352"/>
      <c r="BD94" s="352"/>
      <c r="BE94" s="352"/>
      <c r="BF94" s="352"/>
      <c r="BG94" s="352"/>
      <c r="BH94" s="352"/>
      <c r="BI94" s="352"/>
      <c r="BJ94" s="352"/>
      <c r="BK94" s="470"/>
      <c r="BL94" s="339"/>
      <c r="BM94" s="339"/>
      <c r="BN94" s="182"/>
      <c r="BO94" s="182"/>
      <c r="BP94" s="182"/>
      <c r="BQ94" s="182"/>
      <c r="BR94" s="182"/>
      <c r="BS94" s="182"/>
      <c r="BT94" s="182"/>
      <c r="BU94" s="182"/>
      <c r="BV94" s="182"/>
      <c r="BW94" s="182"/>
      <c r="BX94" s="182"/>
      <c r="BY94" s="182"/>
      <c r="BZ94" s="182"/>
      <c r="CA94" s="182"/>
      <c r="CB94" s="182"/>
      <c r="CC94" s="182"/>
      <c r="CD94" s="182"/>
      <c r="CE94" s="182"/>
      <c r="CF94" s="182"/>
      <c r="CG94" s="182"/>
      <c r="CH94" s="182"/>
      <c r="CI94" s="182"/>
      <c r="CJ94" s="182"/>
      <c r="CK94" s="621"/>
      <c r="CL94" s="622"/>
      <c r="CM94" s="623"/>
    </row>
    <row r="95" spans="1:91" s="344" customFormat="1">
      <c r="A95" s="335" t="s">
        <v>182</v>
      </c>
      <c r="B95" s="519"/>
      <c r="C95" s="519"/>
      <c r="D95" s="182"/>
      <c r="E95" s="519" t="s">
        <v>100</v>
      </c>
      <c r="F95" s="519" t="s">
        <v>100</v>
      </c>
      <c r="G95" s="519" t="s">
        <v>100</v>
      </c>
      <c r="H95" s="519" t="s">
        <v>100</v>
      </c>
      <c r="I95" s="519"/>
      <c r="J95" s="522" t="s">
        <v>100</v>
      </c>
      <c r="K95" s="519" t="s">
        <v>100</v>
      </c>
      <c r="L95" s="519"/>
      <c r="M95" s="519"/>
      <c r="N95" s="519"/>
      <c r="O95" s="519"/>
      <c r="P95" s="519" t="s">
        <v>100</v>
      </c>
      <c r="Q95" s="519"/>
      <c r="R95" s="519"/>
      <c r="S95" s="519" t="s">
        <v>100</v>
      </c>
      <c r="T95" s="519" t="s">
        <v>100</v>
      </c>
      <c r="U95" s="519"/>
      <c r="V95" s="519"/>
      <c r="W95" s="182"/>
      <c r="X95" s="182"/>
      <c r="Y95" s="182"/>
      <c r="Z95" s="182"/>
      <c r="AA95" s="182"/>
      <c r="AB95" s="182"/>
      <c r="AC95" s="182"/>
      <c r="AD95" s="182"/>
      <c r="AE95" s="182"/>
      <c r="AF95" s="182"/>
      <c r="AG95" s="182"/>
      <c r="AH95" s="182"/>
      <c r="AI95" s="167">
        <f t="shared" si="30"/>
        <v>9</v>
      </c>
      <c r="AJ95" s="340" t="str">
        <f>HYPERLINK("http://www.trentonian.com/sports/20171206/jay-dunn-barry-bonds-and-roger-clemens-still-wont-get-my-hall-of-fame-vote","Trentonian")</f>
        <v>Trentonian</v>
      </c>
      <c r="AK95" s="341">
        <v>43075</v>
      </c>
      <c r="AL95" s="352"/>
      <c r="AM95" s="352"/>
      <c r="AN95" s="352"/>
      <c r="AO95" s="352"/>
      <c r="AP95" s="352"/>
      <c r="AQ95" s="352"/>
      <c r="AR95" s="352"/>
      <c r="AS95" s="352"/>
      <c r="AT95" s="352"/>
      <c r="AU95" s="352"/>
      <c r="AV95" s="352"/>
      <c r="AW95" s="352"/>
      <c r="AX95" s="352"/>
      <c r="AY95" s="352"/>
      <c r="AZ95" s="352"/>
      <c r="BA95" s="352"/>
      <c r="BB95" s="352"/>
      <c r="BC95" s="352"/>
      <c r="BD95" s="352"/>
      <c r="BE95" s="352"/>
      <c r="BF95" s="352"/>
      <c r="BG95" s="352"/>
      <c r="BH95" s="352"/>
      <c r="BI95" s="352"/>
      <c r="BJ95" s="352"/>
      <c r="BK95" s="470"/>
      <c r="BL95" s="339"/>
      <c r="BM95" s="339"/>
      <c r="BN95" s="182"/>
      <c r="BO95" s="182"/>
      <c r="BP95" s="182"/>
      <c r="BQ95" s="182"/>
      <c r="BR95" s="182"/>
      <c r="BS95" s="182"/>
      <c r="BT95" s="182"/>
      <c r="BU95" s="182"/>
      <c r="BV95" s="182"/>
      <c r="BW95" s="182"/>
      <c r="BX95" s="182"/>
      <c r="BY95" s="182"/>
      <c r="BZ95" s="182"/>
      <c r="CA95" s="182"/>
      <c r="CB95" s="182"/>
      <c r="CC95" s="182"/>
      <c r="CD95" s="182"/>
      <c r="CE95" s="182"/>
      <c r="CF95" s="182"/>
      <c r="CG95" s="182"/>
      <c r="CH95" s="182"/>
      <c r="CI95" s="182"/>
      <c r="CJ95" s="182"/>
      <c r="CK95" s="621"/>
      <c r="CL95" s="622"/>
      <c r="CM95" s="623"/>
    </row>
    <row r="96" spans="1:91" s="344" customFormat="1">
      <c r="A96" s="335" t="s">
        <v>183</v>
      </c>
      <c r="B96" s="519"/>
      <c r="C96" s="519"/>
      <c r="D96" s="182"/>
      <c r="E96" s="519" t="s">
        <v>100</v>
      </c>
      <c r="F96" s="519" t="s">
        <v>100</v>
      </c>
      <c r="G96" s="519" t="s">
        <v>100</v>
      </c>
      <c r="H96" s="519" t="s">
        <v>100</v>
      </c>
      <c r="I96" s="519"/>
      <c r="J96" s="522" t="s">
        <v>100</v>
      </c>
      <c r="K96" s="519"/>
      <c r="L96" s="519"/>
      <c r="M96" s="519"/>
      <c r="N96" s="519"/>
      <c r="O96" s="519"/>
      <c r="P96" s="519"/>
      <c r="Q96" s="519"/>
      <c r="R96" s="519"/>
      <c r="S96" s="519" t="s">
        <v>100</v>
      </c>
      <c r="T96" s="519" t="s">
        <v>100</v>
      </c>
      <c r="U96" s="519"/>
      <c r="V96" s="519"/>
      <c r="W96" s="182"/>
      <c r="X96" s="182"/>
      <c r="Y96" s="182"/>
      <c r="Z96" s="182"/>
      <c r="AA96" s="182"/>
      <c r="AB96" s="182"/>
      <c r="AC96" s="182"/>
      <c r="AD96" s="182"/>
      <c r="AE96" s="182"/>
      <c r="AF96" s="182"/>
      <c r="AG96" s="182"/>
      <c r="AH96" s="182"/>
      <c r="AI96" s="167">
        <f t="shared" si="30"/>
        <v>7</v>
      </c>
      <c r="AJ96" s="530" t="s">
        <v>113</v>
      </c>
      <c r="AK96" s="341">
        <v>43086</v>
      </c>
      <c r="AL96" s="352"/>
      <c r="AM96" s="352"/>
      <c r="AN96" s="352"/>
      <c r="AO96" s="352"/>
      <c r="AP96" s="352"/>
      <c r="AQ96" s="352"/>
      <c r="AR96" s="352"/>
      <c r="AS96" s="352"/>
      <c r="AT96" s="352"/>
      <c r="AU96" s="352"/>
      <c r="AV96" s="352"/>
      <c r="AW96" s="352"/>
      <c r="AX96" s="352"/>
      <c r="AY96" s="352"/>
      <c r="AZ96" s="352"/>
      <c r="BA96" s="352"/>
      <c r="BB96" s="352"/>
      <c r="BC96" s="352"/>
      <c r="BD96" s="352"/>
      <c r="BE96" s="352"/>
      <c r="BF96" s="352"/>
      <c r="BG96" s="352"/>
      <c r="BH96" s="352"/>
      <c r="BI96" s="352"/>
      <c r="BJ96" s="352"/>
      <c r="BK96" s="470"/>
      <c r="BL96" s="339"/>
      <c r="BM96" s="339"/>
      <c r="BN96" s="182"/>
      <c r="BO96" s="182"/>
      <c r="BP96" s="182"/>
      <c r="BQ96" s="182"/>
      <c r="BR96" s="182"/>
      <c r="BS96" s="182"/>
      <c r="BT96" s="182"/>
      <c r="BU96" s="182"/>
      <c r="BV96" s="182"/>
      <c r="BW96" s="182"/>
      <c r="BX96" s="182"/>
      <c r="BY96" s="182"/>
      <c r="BZ96" s="182"/>
      <c r="CA96" s="182"/>
      <c r="CB96" s="182"/>
      <c r="CC96" s="182"/>
      <c r="CD96" s="182"/>
      <c r="CE96" s="182"/>
      <c r="CF96" s="182"/>
      <c r="CG96" s="182"/>
      <c r="CH96" s="182"/>
      <c r="CI96" s="182"/>
      <c r="CJ96" s="182"/>
      <c r="CK96" s="621"/>
      <c r="CL96" s="622"/>
      <c r="CM96" s="623"/>
    </row>
    <row r="97" spans="1:91" s="344" customFormat="1">
      <c r="A97" s="335" t="s">
        <v>184</v>
      </c>
      <c r="B97" s="519"/>
      <c r="C97" s="519"/>
      <c r="D97" s="182"/>
      <c r="E97" s="519" t="s">
        <v>100</v>
      </c>
      <c r="F97" s="519"/>
      <c r="G97" s="519"/>
      <c r="H97" s="519" t="s">
        <v>100</v>
      </c>
      <c r="I97" s="519"/>
      <c r="J97" s="519" t="s">
        <v>100</v>
      </c>
      <c r="K97" s="519" t="s">
        <v>100</v>
      </c>
      <c r="L97" s="519" t="s">
        <v>100</v>
      </c>
      <c r="M97" s="519"/>
      <c r="N97" s="519" t="s">
        <v>100</v>
      </c>
      <c r="O97" s="519"/>
      <c r="P97" s="519" t="s">
        <v>100</v>
      </c>
      <c r="Q97" s="519"/>
      <c r="R97" s="519"/>
      <c r="S97" s="519" t="s">
        <v>100</v>
      </c>
      <c r="T97" s="519"/>
      <c r="U97" s="519"/>
      <c r="V97" s="519" t="s">
        <v>100</v>
      </c>
      <c r="W97" s="182"/>
      <c r="X97" s="182"/>
      <c r="Y97" s="182"/>
      <c r="Z97" s="182"/>
      <c r="AA97" s="182"/>
      <c r="AB97" s="182"/>
      <c r="AC97" s="182"/>
      <c r="AD97" s="182"/>
      <c r="AE97" s="182"/>
      <c r="AF97" s="182"/>
      <c r="AG97" s="182"/>
      <c r="AH97" s="182"/>
      <c r="AI97" s="167">
        <f t="shared" si="30"/>
        <v>9</v>
      </c>
      <c r="AJ97" s="340" t="str">
        <f>HYPERLINK("https://www.wcpo.com/news/insider/erardi-steroid-era-players-and-dave-concepcion-among-baseball-hall-of-fame-hot-topics","WCPO.com")</f>
        <v>WCPO.com</v>
      </c>
      <c r="AK97" s="341">
        <v>43087</v>
      </c>
      <c r="AL97" s="352"/>
      <c r="AM97" s="352"/>
      <c r="AN97" s="352"/>
      <c r="AO97" s="352"/>
      <c r="AP97" s="352"/>
      <c r="AQ97" s="352"/>
      <c r="AR97" s="352"/>
      <c r="AS97" s="352"/>
      <c r="AT97" s="352"/>
      <c r="AU97" s="352"/>
      <c r="AV97" s="352"/>
      <c r="AW97" s="352"/>
      <c r="AX97" s="352"/>
      <c r="AY97" s="352"/>
      <c r="AZ97" s="352"/>
      <c r="BA97" s="352"/>
      <c r="BB97" s="352"/>
      <c r="BC97" s="352"/>
      <c r="BD97" s="352"/>
      <c r="BE97" s="352"/>
      <c r="BF97" s="352"/>
      <c r="BG97" s="352"/>
      <c r="BH97" s="352"/>
      <c r="BI97" s="352"/>
      <c r="BJ97" s="352"/>
      <c r="BK97" s="470"/>
      <c r="BL97" s="339"/>
      <c r="BM97" s="339"/>
      <c r="BN97" s="182"/>
      <c r="BO97" s="182"/>
      <c r="BP97" s="182"/>
      <c r="BQ97" s="182"/>
      <c r="BR97" s="182"/>
      <c r="BS97" s="182"/>
      <c r="BT97" s="182"/>
      <c r="BU97" s="182"/>
      <c r="BV97" s="182"/>
      <c r="BW97" s="182"/>
      <c r="BX97" s="182"/>
      <c r="BY97" s="182"/>
      <c r="BZ97" s="182"/>
      <c r="CA97" s="182"/>
      <c r="CB97" s="182"/>
      <c r="CC97" s="182"/>
      <c r="CD97" s="182"/>
      <c r="CE97" s="182"/>
      <c r="CF97" s="182"/>
      <c r="CG97" s="182"/>
      <c r="CH97" s="182"/>
      <c r="CI97" s="182"/>
      <c r="CJ97" s="182"/>
      <c r="CK97" s="621"/>
      <c r="CL97" s="622"/>
      <c r="CM97" s="623"/>
    </row>
    <row r="98" spans="1:91" s="344" customFormat="1">
      <c r="A98" s="335" t="s">
        <v>185</v>
      </c>
      <c r="B98" s="519" t="s">
        <v>100</v>
      </c>
      <c r="C98" s="519" t="s">
        <v>100</v>
      </c>
      <c r="D98" s="182"/>
      <c r="E98" s="519" t="s">
        <v>100</v>
      </c>
      <c r="F98" s="519"/>
      <c r="G98" s="519"/>
      <c r="H98" s="519" t="s">
        <v>100</v>
      </c>
      <c r="I98" s="519"/>
      <c r="J98" s="519" t="s">
        <v>100</v>
      </c>
      <c r="K98" s="519"/>
      <c r="L98" s="519" t="s">
        <v>100</v>
      </c>
      <c r="M98" s="523"/>
      <c r="N98" s="519" t="s">
        <v>100</v>
      </c>
      <c r="O98" s="519" t="s">
        <v>100</v>
      </c>
      <c r="P98" s="523"/>
      <c r="Q98" s="519"/>
      <c r="R98" s="519"/>
      <c r="S98" s="519" t="s">
        <v>100</v>
      </c>
      <c r="T98" s="519"/>
      <c r="U98" s="519"/>
      <c r="V98" s="522" t="s">
        <v>100</v>
      </c>
      <c r="W98" s="182"/>
      <c r="X98" s="182"/>
      <c r="Y98" s="182"/>
      <c r="Z98" s="182"/>
      <c r="AA98" s="182"/>
      <c r="AB98" s="182"/>
      <c r="AC98" s="182"/>
      <c r="AD98" s="182"/>
      <c r="AE98" s="182"/>
      <c r="AF98" s="182"/>
      <c r="AG98" s="182"/>
      <c r="AH98" s="182"/>
      <c r="AI98" s="167">
        <f t="shared" si="30"/>
        <v>10</v>
      </c>
      <c r="AJ98" s="340" t="str">
        <f>HYPERLINK("http://www.sportingnews.com/amp/mlb/news/mlb-hall-of-fame-2018-ballot-vote-voting-bonds-clemens-chipper-thome-rolen-santana-edgar-martinez/1k239urmxm1my1lewws14tzyyg?__twitter_impression=true","Sporting News")</f>
        <v>Sporting News</v>
      </c>
      <c r="AK98" s="341">
        <v>43098</v>
      </c>
      <c r="AL98" s="352"/>
      <c r="AM98" s="352"/>
      <c r="AN98" s="352"/>
      <c r="AO98" s="352"/>
      <c r="AP98" s="352"/>
      <c r="AQ98" s="352"/>
      <c r="AR98" s="352"/>
      <c r="AS98" s="352"/>
      <c r="AT98" s="352"/>
      <c r="AU98" s="352"/>
      <c r="AV98" s="352"/>
      <c r="AW98" s="352"/>
      <c r="AX98" s="352"/>
      <c r="AY98" s="352"/>
      <c r="AZ98" s="352"/>
      <c r="BA98" s="352"/>
      <c r="BB98" s="352"/>
      <c r="BC98" s="352"/>
      <c r="BD98" s="352"/>
      <c r="BE98" s="352"/>
      <c r="BF98" s="352"/>
      <c r="BG98" s="352"/>
      <c r="BH98" s="352"/>
      <c r="BI98" s="352"/>
      <c r="BJ98" s="352"/>
      <c r="BK98" s="470"/>
      <c r="BL98" s="339"/>
      <c r="BM98" s="339"/>
      <c r="BN98" s="182"/>
      <c r="BO98" s="182"/>
      <c r="BP98" s="182"/>
      <c r="BQ98" s="182"/>
      <c r="BR98" s="182"/>
      <c r="BS98" s="182"/>
      <c r="BT98" s="182"/>
      <c r="BU98" s="182"/>
      <c r="BV98" s="182"/>
      <c r="BW98" s="182"/>
      <c r="BX98" s="182"/>
      <c r="BY98" s="182"/>
      <c r="BZ98" s="182"/>
      <c r="CA98" s="182"/>
      <c r="CB98" s="182"/>
      <c r="CC98" s="182"/>
      <c r="CD98" s="182"/>
      <c r="CE98" s="182"/>
      <c r="CF98" s="182"/>
      <c r="CG98" s="182"/>
      <c r="CH98" s="182"/>
      <c r="CI98" s="182"/>
      <c r="CJ98" s="182"/>
      <c r="CK98" s="662" t="s">
        <v>186</v>
      </c>
      <c r="CL98" s="663"/>
      <c r="CM98" s="664"/>
    </row>
    <row r="99" spans="1:91" s="344" customFormat="1">
      <c r="A99" s="335" t="s">
        <v>187</v>
      </c>
      <c r="B99" s="519"/>
      <c r="C99" s="519"/>
      <c r="D99" s="182"/>
      <c r="E99" s="519" t="s">
        <v>100</v>
      </c>
      <c r="F99" s="519" t="s">
        <v>100</v>
      </c>
      <c r="G99" s="519"/>
      <c r="H99" s="519" t="s">
        <v>100</v>
      </c>
      <c r="I99" s="519"/>
      <c r="J99" s="519" t="s">
        <v>100</v>
      </c>
      <c r="K99" s="522" t="s">
        <v>100</v>
      </c>
      <c r="L99" s="519" t="s">
        <v>100</v>
      </c>
      <c r="M99" s="519"/>
      <c r="N99" s="519" t="s">
        <v>100</v>
      </c>
      <c r="O99" s="519"/>
      <c r="P99" s="519"/>
      <c r="Q99" s="519"/>
      <c r="R99" s="519"/>
      <c r="S99" s="519" t="s">
        <v>100</v>
      </c>
      <c r="T99" s="519"/>
      <c r="U99" s="519"/>
      <c r="V99" s="522" t="s">
        <v>100</v>
      </c>
      <c r="W99" s="182"/>
      <c r="X99" s="182"/>
      <c r="Y99" s="182"/>
      <c r="Z99" s="182"/>
      <c r="AA99" s="182"/>
      <c r="AB99" s="182"/>
      <c r="AC99" s="182"/>
      <c r="AD99" s="182"/>
      <c r="AE99" s="182"/>
      <c r="AF99" s="182"/>
      <c r="AG99" s="182"/>
      <c r="AH99" s="182"/>
      <c r="AI99" s="167">
        <f t="shared" si="30"/>
        <v>9</v>
      </c>
      <c r="AJ99" s="530" t="s">
        <v>113</v>
      </c>
      <c r="AK99" s="341">
        <v>43110</v>
      </c>
      <c r="AL99" s="352"/>
      <c r="AM99" s="352"/>
      <c r="AN99" s="352"/>
      <c r="AO99" s="352"/>
      <c r="AP99" s="352"/>
      <c r="AQ99" s="352"/>
      <c r="AR99" s="352"/>
      <c r="AS99" s="352"/>
      <c r="AT99" s="352"/>
      <c r="AU99" s="352"/>
      <c r="AV99" s="352"/>
      <c r="AW99" s="352"/>
      <c r="AX99" s="352"/>
      <c r="AY99" s="352"/>
      <c r="AZ99" s="352"/>
      <c r="BA99" s="352"/>
      <c r="BB99" s="352"/>
      <c r="BC99" s="352"/>
      <c r="BD99" s="352"/>
      <c r="BE99" s="352"/>
      <c r="BF99" s="352"/>
      <c r="BG99" s="352"/>
      <c r="BH99" s="352"/>
      <c r="BI99" s="352"/>
      <c r="BJ99" s="352"/>
      <c r="BK99" s="470"/>
      <c r="BL99" s="339"/>
      <c r="BM99" s="339"/>
      <c r="BN99" s="182"/>
      <c r="BO99" s="182"/>
      <c r="BP99" s="182"/>
      <c r="BQ99" s="182"/>
      <c r="BR99" s="182"/>
      <c r="BS99" s="182"/>
      <c r="BT99" s="182"/>
      <c r="BU99" s="182"/>
      <c r="BV99" s="182"/>
      <c r="BW99" s="182"/>
      <c r="BX99" s="182"/>
      <c r="BY99" s="182"/>
      <c r="BZ99" s="182"/>
      <c r="CA99" s="182"/>
      <c r="CB99" s="182"/>
      <c r="CC99" s="182"/>
      <c r="CD99" s="182"/>
      <c r="CE99" s="182"/>
      <c r="CF99" s="182"/>
      <c r="CG99" s="182"/>
      <c r="CH99" s="182"/>
      <c r="CI99" s="182"/>
      <c r="CJ99" s="182"/>
      <c r="CK99" s="627"/>
      <c r="CL99" s="628"/>
      <c r="CM99" s="629"/>
    </row>
    <row r="100" spans="1:91" s="344" customFormat="1">
      <c r="A100" s="335" t="s">
        <v>188</v>
      </c>
      <c r="B100" s="519" t="s">
        <v>100</v>
      </c>
      <c r="C100" s="519" t="s">
        <v>100</v>
      </c>
      <c r="D100" s="182"/>
      <c r="E100" s="519" t="s">
        <v>100</v>
      </c>
      <c r="F100" s="519"/>
      <c r="G100" s="519"/>
      <c r="H100" s="519" t="s">
        <v>100</v>
      </c>
      <c r="I100" s="519"/>
      <c r="J100" s="522" t="s">
        <v>100</v>
      </c>
      <c r="K100" s="523"/>
      <c r="L100" s="519" t="s">
        <v>100</v>
      </c>
      <c r="M100" s="519" t="s">
        <v>100</v>
      </c>
      <c r="N100" s="519"/>
      <c r="O100" s="519"/>
      <c r="P100" s="522" t="s">
        <v>100</v>
      </c>
      <c r="Q100" s="519" t="s">
        <v>100</v>
      </c>
      <c r="R100" s="519"/>
      <c r="S100" s="519" t="s">
        <v>100</v>
      </c>
      <c r="T100" s="519"/>
      <c r="U100" s="519"/>
      <c r="V100" s="519"/>
      <c r="W100" s="182"/>
      <c r="X100" s="182"/>
      <c r="Y100" s="182"/>
      <c r="Z100" s="182"/>
      <c r="AA100" s="182"/>
      <c r="AB100" s="182"/>
      <c r="AC100" s="182"/>
      <c r="AD100" s="182"/>
      <c r="AE100" s="182"/>
      <c r="AF100" s="182"/>
      <c r="AG100" s="182"/>
      <c r="AH100" s="182"/>
      <c r="AI100" s="167">
        <f t="shared" si="30"/>
        <v>10</v>
      </c>
      <c r="AJ100" s="340" t="str">
        <f>HYPERLINK("https://www.mlb.com/news/no-easy-way-to-vote-on-hall-of-fame-ballot/c-263713458","Twitter then MLB.com")</f>
        <v>Twitter then MLB.com</v>
      </c>
      <c r="AK100" s="341">
        <v>43087</v>
      </c>
      <c r="AL100" s="352"/>
      <c r="AM100" s="352"/>
      <c r="AN100" s="352"/>
      <c r="AO100" s="352"/>
      <c r="AP100" s="352"/>
      <c r="AQ100" s="352"/>
      <c r="AR100" s="352"/>
      <c r="AS100" s="352"/>
      <c r="AT100" s="352"/>
      <c r="AU100" s="352"/>
      <c r="AV100" s="352"/>
      <c r="AW100" s="352"/>
      <c r="AX100" s="352"/>
      <c r="AY100" s="352"/>
      <c r="AZ100" s="352"/>
      <c r="BA100" s="352"/>
      <c r="BB100" s="352"/>
      <c r="BC100" s="352"/>
      <c r="BD100" s="352"/>
      <c r="BE100" s="352"/>
      <c r="BF100" s="352"/>
      <c r="BG100" s="352"/>
      <c r="BH100" s="352"/>
      <c r="BI100" s="352"/>
      <c r="BJ100" s="352"/>
      <c r="BK100" s="470"/>
      <c r="BL100" s="339"/>
      <c r="BM100" s="339"/>
      <c r="BN100" s="182"/>
      <c r="BO100" s="182"/>
      <c r="BP100" s="182"/>
      <c r="BQ100" s="182"/>
      <c r="BR100" s="182"/>
      <c r="BS100" s="182"/>
      <c r="BT100" s="182"/>
      <c r="BU100" s="182"/>
      <c r="BV100" s="182"/>
      <c r="BW100" s="182"/>
      <c r="BX100" s="182"/>
      <c r="BY100" s="182"/>
      <c r="BZ100" s="182"/>
      <c r="CA100" s="182"/>
      <c r="CB100" s="182"/>
      <c r="CC100" s="182"/>
      <c r="CD100" s="182"/>
      <c r="CE100" s="182"/>
      <c r="CF100" s="182"/>
      <c r="CG100" s="182"/>
      <c r="CH100" s="182"/>
      <c r="CI100" s="182"/>
      <c r="CJ100" s="182"/>
      <c r="CK100" s="662" t="s">
        <v>189</v>
      </c>
      <c r="CL100" s="663"/>
      <c r="CM100" s="664"/>
    </row>
    <row r="101" spans="1:91" s="344" customFormat="1">
      <c r="A101" s="335" t="s">
        <v>190</v>
      </c>
      <c r="B101" s="519"/>
      <c r="C101" s="519"/>
      <c r="D101" s="182"/>
      <c r="E101" s="522" t="s">
        <v>100</v>
      </c>
      <c r="F101" s="519" t="s">
        <v>100</v>
      </c>
      <c r="G101" s="519"/>
      <c r="H101" s="519" t="s">
        <v>100</v>
      </c>
      <c r="I101" s="519"/>
      <c r="J101" s="519" t="s">
        <v>100</v>
      </c>
      <c r="K101" s="522" t="s">
        <v>100</v>
      </c>
      <c r="L101" s="519" t="s">
        <v>100</v>
      </c>
      <c r="M101" s="519"/>
      <c r="N101" s="519"/>
      <c r="O101" s="519"/>
      <c r="P101" s="522" t="s">
        <v>100</v>
      </c>
      <c r="Q101" s="522" t="s">
        <v>100</v>
      </c>
      <c r="R101" s="519"/>
      <c r="S101" s="519" t="s">
        <v>100</v>
      </c>
      <c r="T101" s="519"/>
      <c r="U101" s="519"/>
      <c r="V101" s="519" t="s">
        <v>100</v>
      </c>
      <c r="W101" s="182"/>
      <c r="X101" s="182"/>
      <c r="Y101" s="182"/>
      <c r="Z101" s="182"/>
      <c r="AA101" s="182"/>
      <c r="AB101" s="182"/>
      <c r="AC101" s="182"/>
      <c r="AD101" s="182"/>
      <c r="AE101" s="182"/>
      <c r="AF101" s="182"/>
      <c r="AG101" s="182"/>
      <c r="AH101" s="182"/>
      <c r="AI101" s="167">
        <f t="shared" si="30"/>
        <v>10</v>
      </c>
      <c r="AJ101" s="340" t="str">
        <f>HYPERLINK("http://www.tampabay.com/blogs/rays/2018/01/23/getting-into-baseballs-hall-of-fame-is-hard-voting-isnt-easy-either/","Tampa Bay Times")</f>
        <v>Tampa Bay Times</v>
      </c>
      <c r="AK101" s="341">
        <v>43123</v>
      </c>
      <c r="AL101" s="352"/>
      <c r="AM101" s="352"/>
      <c r="AN101" s="352"/>
      <c r="AO101" s="352"/>
      <c r="AP101" s="352"/>
      <c r="AQ101" s="352"/>
      <c r="AR101" s="352"/>
      <c r="AS101" s="352"/>
      <c r="AT101" s="352"/>
      <c r="AU101" s="352"/>
      <c r="AV101" s="352"/>
      <c r="AW101" s="352"/>
      <c r="AX101" s="352"/>
      <c r="AY101" s="352"/>
      <c r="AZ101" s="352"/>
      <c r="BA101" s="352"/>
      <c r="BB101" s="352"/>
      <c r="BC101" s="352"/>
      <c r="BD101" s="352"/>
      <c r="BE101" s="352"/>
      <c r="BF101" s="352"/>
      <c r="BG101" s="352"/>
      <c r="BH101" s="352"/>
      <c r="BI101" s="352"/>
      <c r="BJ101" s="352"/>
      <c r="BK101" s="470"/>
      <c r="BL101" s="339"/>
      <c r="BM101" s="339"/>
      <c r="BN101" s="182"/>
      <c r="BO101" s="182"/>
      <c r="BP101" s="182"/>
      <c r="BQ101" s="182"/>
      <c r="BR101" s="182"/>
      <c r="BS101" s="182"/>
      <c r="BT101" s="182"/>
      <c r="BU101" s="182"/>
      <c r="BV101" s="182"/>
      <c r="BW101" s="182"/>
      <c r="BX101" s="182"/>
      <c r="BY101" s="182"/>
      <c r="BZ101" s="182"/>
      <c r="CA101" s="182"/>
      <c r="CB101" s="182"/>
      <c r="CC101" s="182"/>
      <c r="CD101" s="182"/>
      <c r="CE101" s="182"/>
      <c r="CF101" s="182"/>
      <c r="CG101" s="182"/>
      <c r="CH101" s="182"/>
      <c r="CI101" s="182"/>
      <c r="CJ101" s="182"/>
      <c r="CK101" s="627"/>
      <c r="CL101" s="628"/>
      <c r="CM101" s="629"/>
    </row>
    <row r="102" spans="1:91" s="344" customFormat="1">
      <c r="A102" s="335" t="s">
        <v>191</v>
      </c>
      <c r="B102" s="519" t="s">
        <v>100</v>
      </c>
      <c r="C102" s="519" t="s">
        <v>100</v>
      </c>
      <c r="D102" s="182"/>
      <c r="E102" s="519" t="s">
        <v>100</v>
      </c>
      <c r="F102" s="519" t="s">
        <v>100</v>
      </c>
      <c r="G102" s="519"/>
      <c r="H102" s="519" t="s">
        <v>100</v>
      </c>
      <c r="I102" s="519"/>
      <c r="J102" s="519" t="s">
        <v>100</v>
      </c>
      <c r="K102" s="519"/>
      <c r="L102" s="519"/>
      <c r="M102" s="519" t="s">
        <v>100</v>
      </c>
      <c r="N102" s="519"/>
      <c r="O102" s="519"/>
      <c r="P102" s="519"/>
      <c r="Q102" s="519"/>
      <c r="R102" s="519"/>
      <c r="S102" s="519" t="s">
        <v>100</v>
      </c>
      <c r="T102" s="519"/>
      <c r="U102" s="519"/>
      <c r="V102" s="522" t="s">
        <v>100</v>
      </c>
      <c r="W102" s="182"/>
      <c r="X102" s="182"/>
      <c r="Y102" s="182"/>
      <c r="Z102" s="182"/>
      <c r="AA102" s="182"/>
      <c r="AB102" s="182"/>
      <c r="AC102" s="182"/>
      <c r="AD102" s="182"/>
      <c r="AE102" s="182"/>
      <c r="AF102" s="182"/>
      <c r="AG102" s="182"/>
      <c r="AH102" s="182"/>
      <c r="AI102" s="167">
        <f t="shared" si="30"/>
        <v>9</v>
      </c>
      <c r="AJ102" s="340" t="str">
        <f>HYPERLINK("https://www.mlb.com/news/mlb-writers-reveal-ballots-for-hall-of-fame/c-265122964","MLB.com Group Reveal")</f>
        <v>MLB.com Group Reveal</v>
      </c>
      <c r="AK102" s="341">
        <v>43122</v>
      </c>
      <c r="AL102" s="352"/>
      <c r="AM102" s="352"/>
      <c r="AN102" s="352"/>
      <c r="AO102" s="352"/>
      <c r="AP102" s="352"/>
      <c r="AQ102" s="352"/>
      <c r="AR102" s="352"/>
      <c r="AS102" s="352"/>
      <c r="AT102" s="352"/>
      <c r="AU102" s="352"/>
      <c r="AV102" s="352"/>
      <c r="AW102" s="352"/>
      <c r="AX102" s="352"/>
      <c r="AY102" s="352"/>
      <c r="AZ102" s="352"/>
      <c r="BA102" s="352"/>
      <c r="BB102" s="352"/>
      <c r="BC102" s="352"/>
      <c r="BD102" s="352"/>
      <c r="BE102" s="352"/>
      <c r="BF102" s="352"/>
      <c r="BG102" s="352"/>
      <c r="BH102" s="352"/>
      <c r="BI102" s="352"/>
      <c r="BJ102" s="352"/>
      <c r="BK102" s="470"/>
      <c r="BL102" s="339"/>
      <c r="BM102" s="339"/>
      <c r="BN102" s="182"/>
      <c r="BO102" s="182"/>
      <c r="BP102" s="182"/>
      <c r="BQ102" s="182"/>
      <c r="BR102" s="182"/>
      <c r="BS102" s="182"/>
      <c r="BT102" s="182"/>
      <c r="BU102" s="182"/>
      <c r="BV102" s="182"/>
      <c r="BW102" s="182"/>
      <c r="BX102" s="182"/>
      <c r="BY102" s="182"/>
      <c r="BZ102" s="182"/>
      <c r="CA102" s="182"/>
      <c r="CB102" s="182"/>
      <c r="CC102" s="182"/>
      <c r="CD102" s="182"/>
      <c r="CE102" s="182"/>
      <c r="CF102" s="182"/>
      <c r="CG102" s="182"/>
      <c r="CH102" s="182"/>
      <c r="CI102" s="182"/>
      <c r="CJ102" s="182"/>
      <c r="CK102" s="627"/>
      <c r="CL102" s="628"/>
      <c r="CM102" s="629"/>
    </row>
    <row r="103" spans="1:91" s="344" customFormat="1">
      <c r="A103" s="335" t="s">
        <v>192</v>
      </c>
      <c r="B103" s="519" t="s">
        <v>100</v>
      </c>
      <c r="C103" s="519" t="s">
        <v>100</v>
      </c>
      <c r="D103" s="182"/>
      <c r="E103" s="519" t="s">
        <v>100</v>
      </c>
      <c r="F103" s="519"/>
      <c r="G103" s="519"/>
      <c r="H103" s="519" t="s">
        <v>100</v>
      </c>
      <c r="I103" s="519"/>
      <c r="J103" s="519" t="s">
        <v>100</v>
      </c>
      <c r="K103" s="519"/>
      <c r="L103" s="519" t="s">
        <v>100</v>
      </c>
      <c r="M103" s="519" t="s">
        <v>100</v>
      </c>
      <c r="N103" s="519"/>
      <c r="O103" s="519"/>
      <c r="P103" s="519" t="s">
        <v>100</v>
      </c>
      <c r="Q103" s="519"/>
      <c r="R103" s="519"/>
      <c r="S103" s="519" t="s">
        <v>100</v>
      </c>
      <c r="T103" s="519"/>
      <c r="U103" s="519"/>
      <c r="V103" s="522" t="s">
        <v>100</v>
      </c>
      <c r="W103" s="182"/>
      <c r="X103" s="182"/>
      <c r="Y103" s="182"/>
      <c r="Z103" s="182"/>
      <c r="AA103" s="182"/>
      <c r="AB103" s="182"/>
      <c r="AC103" s="182"/>
      <c r="AD103" s="182"/>
      <c r="AE103" s="182"/>
      <c r="AF103" s="182"/>
      <c r="AG103" s="182"/>
      <c r="AH103" s="182"/>
      <c r="AI103" s="167">
        <f t="shared" si="30"/>
        <v>10</v>
      </c>
      <c r="AJ103" s="340" t="str">
        <f>HYPERLINK("https://twitter.com/JeffFletcherOCR/status/942973177658949632","Twitter Puzzle")</f>
        <v>Twitter Puzzle</v>
      </c>
      <c r="AK103" s="341">
        <v>43088</v>
      </c>
      <c r="AL103" s="352"/>
      <c r="AM103" s="352"/>
      <c r="AN103" s="352"/>
      <c r="AO103" s="352"/>
      <c r="AP103" s="352"/>
      <c r="AQ103" s="352"/>
      <c r="AR103" s="352"/>
      <c r="AS103" s="352"/>
      <c r="AT103" s="352"/>
      <c r="AU103" s="352"/>
      <c r="AV103" s="352"/>
      <c r="AW103" s="352"/>
      <c r="AX103" s="352"/>
      <c r="AY103" s="352"/>
      <c r="AZ103" s="352"/>
      <c r="BA103" s="352"/>
      <c r="BB103" s="352"/>
      <c r="BC103" s="352"/>
      <c r="BD103" s="352"/>
      <c r="BE103" s="352"/>
      <c r="BF103" s="352"/>
      <c r="BG103" s="352"/>
      <c r="BH103" s="352"/>
      <c r="BI103" s="352"/>
      <c r="BJ103" s="352"/>
      <c r="BK103" s="470"/>
      <c r="BL103" s="339"/>
      <c r="BM103" s="339"/>
      <c r="BN103" s="182"/>
      <c r="BO103" s="182"/>
      <c r="BP103" s="182"/>
      <c r="BQ103" s="182"/>
      <c r="BR103" s="182"/>
      <c r="BS103" s="182"/>
      <c r="BT103" s="182"/>
      <c r="BU103" s="182"/>
      <c r="BV103" s="182"/>
      <c r="BW103" s="182"/>
      <c r="BX103" s="182"/>
      <c r="BY103" s="182"/>
      <c r="BZ103" s="182"/>
      <c r="CA103" s="182"/>
      <c r="CB103" s="182"/>
      <c r="CC103" s="182"/>
      <c r="CD103" s="182"/>
      <c r="CE103" s="182"/>
      <c r="CF103" s="182"/>
      <c r="CG103" s="182"/>
      <c r="CH103" s="182"/>
      <c r="CI103" s="182"/>
      <c r="CJ103" s="182"/>
      <c r="CK103" s="627"/>
      <c r="CL103" s="628"/>
      <c r="CM103" s="629"/>
    </row>
    <row r="104" spans="1:91" s="344" customFormat="1">
      <c r="A104" s="335" t="s">
        <v>193</v>
      </c>
      <c r="B104" s="519" t="s">
        <v>100</v>
      </c>
      <c r="C104" s="519" t="s">
        <v>100</v>
      </c>
      <c r="D104" s="182"/>
      <c r="E104" s="519" t="s">
        <v>100</v>
      </c>
      <c r="F104" s="519" t="s">
        <v>100</v>
      </c>
      <c r="G104" s="519"/>
      <c r="H104" s="519" t="s">
        <v>100</v>
      </c>
      <c r="I104" s="519"/>
      <c r="J104" s="522" t="s">
        <v>100</v>
      </c>
      <c r="K104" s="519"/>
      <c r="L104" s="523"/>
      <c r="M104" s="522" t="s">
        <v>100</v>
      </c>
      <c r="N104" s="519"/>
      <c r="O104" s="519"/>
      <c r="P104" s="519" t="s">
        <v>100</v>
      </c>
      <c r="Q104" s="519"/>
      <c r="R104" s="519" t="s">
        <v>100</v>
      </c>
      <c r="S104" s="519"/>
      <c r="T104" s="519" t="s">
        <v>100</v>
      </c>
      <c r="U104" s="519"/>
      <c r="V104" s="519"/>
      <c r="W104" s="182"/>
      <c r="X104" s="182"/>
      <c r="Y104" s="182"/>
      <c r="Z104" s="182"/>
      <c r="AA104" s="182"/>
      <c r="AB104" s="182"/>
      <c r="AC104" s="182"/>
      <c r="AD104" s="182"/>
      <c r="AE104" s="182"/>
      <c r="AF104" s="182"/>
      <c r="AG104" s="182"/>
      <c r="AH104" s="182"/>
      <c r="AI104" s="167">
        <f t="shared" si="30"/>
        <v>10</v>
      </c>
      <c r="AJ104" s="530" t="s">
        <v>115</v>
      </c>
      <c r="AK104" s="341">
        <v>43109</v>
      </c>
      <c r="AL104" s="352"/>
      <c r="AM104" s="352"/>
      <c r="AN104" s="352"/>
      <c r="AO104" s="352"/>
      <c r="AP104" s="352"/>
      <c r="AQ104" s="352"/>
      <c r="AR104" s="352"/>
      <c r="AS104" s="352"/>
      <c r="AT104" s="352"/>
      <c r="AU104" s="352"/>
      <c r="AV104" s="352"/>
      <c r="AW104" s="352"/>
      <c r="AX104" s="352"/>
      <c r="AY104" s="352"/>
      <c r="AZ104" s="352"/>
      <c r="BA104" s="352"/>
      <c r="BB104" s="352"/>
      <c r="BC104" s="352"/>
      <c r="BD104" s="352"/>
      <c r="BE104" s="352"/>
      <c r="BF104" s="352"/>
      <c r="BG104" s="352"/>
      <c r="BH104" s="352"/>
      <c r="BI104" s="352"/>
      <c r="BJ104" s="352"/>
      <c r="BK104" s="470"/>
      <c r="BL104" s="339"/>
      <c r="BM104" s="339"/>
      <c r="BN104" s="182"/>
      <c r="BO104" s="182"/>
      <c r="BP104" s="182"/>
      <c r="BQ104" s="182"/>
      <c r="BR104" s="182"/>
      <c r="BS104" s="182"/>
      <c r="BT104" s="182"/>
      <c r="BU104" s="182"/>
      <c r="BV104" s="182"/>
      <c r="BW104" s="182"/>
      <c r="BX104" s="182"/>
      <c r="BY104" s="182"/>
      <c r="BZ104" s="182"/>
      <c r="CA104" s="182"/>
      <c r="CB104" s="182"/>
      <c r="CC104" s="182"/>
      <c r="CD104" s="182"/>
      <c r="CE104" s="182"/>
      <c r="CF104" s="182"/>
      <c r="CG104" s="182"/>
      <c r="CH104" s="182"/>
      <c r="CI104" s="182"/>
      <c r="CJ104" s="182"/>
      <c r="CK104" s="647" t="s">
        <v>194</v>
      </c>
      <c r="CL104" s="648"/>
      <c r="CM104" s="649"/>
    </row>
    <row r="105" spans="1:91" s="344" customFormat="1">
      <c r="A105" s="335" t="s">
        <v>195</v>
      </c>
      <c r="B105" s="519"/>
      <c r="C105" s="519"/>
      <c r="D105" s="182"/>
      <c r="E105" s="519" t="s">
        <v>100</v>
      </c>
      <c r="F105" s="519" t="s">
        <v>100</v>
      </c>
      <c r="G105" s="519"/>
      <c r="H105" s="519" t="s">
        <v>100</v>
      </c>
      <c r="I105" s="519"/>
      <c r="J105" s="519" t="s">
        <v>100</v>
      </c>
      <c r="K105" s="519" t="s">
        <v>100</v>
      </c>
      <c r="L105" s="519" t="s">
        <v>100</v>
      </c>
      <c r="M105" s="519"/>
      <c r="N105" s="519"/>
      <c r="O105" s="519"/>
      <c r="P105" s="519"/>
      <c r="Q105" s="519"/>
      <c r="R105" s="519"/>
      <c r="S105" s="519" t="s">
        <v>100</v>
      </c>
      <c r="T105" s="519"/>
      <c r="U105" s="519"/>
      <c r="V105" s="519"/>
      <c r="W105" s="182"/>
      <c r="X105" s="182"/>
      <c r="Y105" s="182"/>
      <c r="Z105" s="182"/>
      <c r="AA105" s="182"/>
      <c r="AB105" s="182"/>
      <c r="AC105" s="182"/>
      <c r="AD105" s="182"/>
      <c r="AE105" s="182"/>
      <c r="AF105" s="182"/>
      <c r="AG105" s="182"/>
      <c r="AH105" s="182"/>
      <c r="AI105" s="167">
        <f t="shared" si="30"/>
        <v>7</v>
      </c>
      <c r="AJ105" s="530" t="s">
        <v>138</v>
      </c>
      <c r="AK105" s="341">
        <v>43098</v>
      </c>
      <c r="AL105" s="352"/>
      <c r="AM105" s="352"/>
      <c r="AN105" s="352"/>
      <c r="AO105" s="352"/>
      <c r="AP105" s="352"/>
      <c r="AQ105" s="352"/>
      <c r="AR105" s="352"/>
      <c r="AS105" s="352"/>
      <c r="AT105" s="352"/>
      <c r="AU105" s="352"/>
      <c r="AV105" s="352"/>
      <c r="AW105" s="352"/>
      <c r="AX105" s="352"/>
      <c r="AY105" s="352"/>
      <c r="AZ105" s="352"/>
      <c r="BA105" s="352"/>
      <c r="BB105" s="352"/>
      <c r="BC105" s="352"/>
      <c r="BD105" s="352"/>
      <c r="BE105" s="352"/>
      <c r="BF105" s="352"/>
      <c r="BG105" s="352"/>
      <c r="BH105" s="352"/>
      <c r="BI105" s="352"/>
      <c r="BJ105" s="352"/>
      <c r="BK105" s="470"/>
      <c r="BL105" s="339"/>
      <c r="BM105" s="339"/>
      <c r="BN105" s="182"/>
      <c r="BO105" s="182"/>
      <c r="BP105" s="182"/>
      <c r="BQ105" s="182"/>
      <c r="BR105" s="182"/>
      <c r="BS105" s="182"/>
      <c r="BT105" s="182"/>
      <c r="BU105" s="182"/>
      <c r="BV105" s="182"/>
      <c r="BW105" s="182"/>
      <c r="BX105" s="182"/>
      <c r="BY105" s="182"/>
      <c r="BZ105" s="182"/>
      <c r="CA105" s="182"/>
      <c r="CB105" s="182"/>
      <c r="CC105" s="182"/>
      <c r="CD105" s="182"/>
      <c r="CE105" s="182"/>
      <c r="CF105" s="182"/>
      <c r="CG105" s="182"/>
      <c r="CH105" s="182"/>
      <c r="CI105" s="182"/>
      <c r="CJ105" s="182"/>
      <c r="CK105" s="627"/>
      <c r="CL105" s="628"/>
      <c r="CM105" s="629"/>
    </row>
    <row r="106" spans="1:91" s="344" customFormat="1">
      <c r="A106" s="335" t="s">
        <v>196</v>
      </c>
      <c r="B106" s="519" t="s">
        <v>100</v>
      </c>
      <c r="C106" s="523"/>
      <c r="D106" s="182"/>
      <c r="E106" s="519" t="s">
        <v>100</v>
      </c>
      <c r="F106" s="519" t="s">
        <v>100</v>
      </c>
      <c r="G106" s="519"/>
      <c r="H106" s="519" t="s">
        <v>100</v>
      </c>
      <c r="I106" s="519"/>
      <c r="J106" s="519" t="s">
        <v>100</v>
      </c>
      <c r="K106" s="519"/>
      <c r="L106" s="519" t="s">
        <v>100</v>
      </c>
      <c r="M106" s="519"/>
      <c r="N106" s="519" t="s">
        <v>100</v>
      </c>
      <c r="O106" s="519"/>
      <c r="P106" s="519" t="s">
        <v>100</v>
      </c>
      <c r="Q106" s="519"/>
      <c r="R106" s="519"/>
      <c r="S106" s="519" t="s">
        <v>100</v>
      </c>
      <c r="T106" s="519"/>
      <c r="U106" s="519"/>
      <c r="V106" s="519"/>
      <c r="W106" s="182"/>
      <c r="X106" s="182"/>
      <c r="Y106" s="182"/>
      <c r="Z106" s="182"/>
      <c r="AA106" s="182"/>
      <c r="AB106" s="182"/>
      <c r="AC106" s="182"/>
      <c r="AD106" s="182"/>
      <c r="AE106" s="182"/>
      <c r="AF106" s="182"/>
      <c r="AG106" s="182"/>
      <c r="AH106" s="182"/>
      <c r="AI106" s="167">
        <f t="shared" si="30"/>
        <v>9</v>
      </c>
      <c r="AJ106" s="340" t="str">
        <f>HYPERLINK("https://theathletic.com/197951/2017/12/29/gammons-my-hall-of-fame-ballot-explained-and-yes-roger-clemens-and-barry-bonds-are-on-it/","The Athletic")</f>
        <v>The Athletic</v>
      </c>
      <c r="AK106" s="341">
        <v>43098</v>
      </c>
      <c r="AL106" s="352"/>
      <c r="AM106" s="352"/>
      <c r="AN106" s="352"/>
      <c r="AO106" s="352"/>
      <c r="AP106" s="352"/>
      <c r="AQ106" s="352"/>
      <c r="AR106" s="352"/>
      <c r="AS106" s="352"/>
      <c r="AT106" s="352"/>
      <c r="AU106" s="352"/>
      <c r="AV106" s="352"/>
      <c r="AW106" s="352"/>
      <c r="AX106" s="352"/>
      <c r="AY106" s="352"/>
      <c r="AZ106" s="352"/>
      <c r="BA106" s="352"/>
      <c r="BB106" s="352"/>
      <c r="BC106" s="352"/>
      <c r="BD106" s="352"/>
      <c r="BE106" s="352"/>
      <c r="BF106" s="352"/>
      <c r="BG106" s="352"/>
      <c r="BH106" s="352"/>
      <c r="BI106" s="352"/>
      <c r="BJ106" s="352"/>
      <c r="BK106" s="470"/>
      <c r="BL106" s="339"/>
      <c r="BM106" s="339"/>
      <c r="BN106" s="182"/>
      <c r="BO106" s="182"/>
      <c r="BP106" s="182"/>
      <c r="BQ106" s="182"/>
      <c r="BR106" s="182"/>
      <c r="BS106" s="182"/>
      <c r="BT106" s="182"/>
      <c r="BU106" s="182"/>
      <c r="BV106" s="182"/>
      <c r="BW106" s="182"/>
      <c r="BX106" s="182"/>
      <c r="BY106" s="182"/>
      <c r="BZ106" s="182"/>
      <c r="CA106" s="182"/>
      <c r="CB106" s="182"/>
      <c r="CC106" s="182"/>
      <c r="CD106" s="182"/>
      <c r="CE106" s="182"/>
      <c r="CF106" s="182"/>
      <c r="CG106" s="182"/>
      <c r="CH106" s="182"/>
      <c r="CI106" s="182"/>
      <c r="CJ106" s="182"/>
      <c r="CK106" s="627"/>
      <c r="CL106" s="628"/>
      <c r="CM106" s="629"/>
    </row>
    <row r="107" spans="1:91" s="344" customFormat="1">
      <c r="A107" s="335" t="s">
        <v>197</v>
      </c>
      <c r="B107" s="519" t="s">
        <v>100</v>
      </c>
      <c r="C107" s="519" t="s">
        <v>100</v>
      </c>
      <c r="D107" s="182"/>
      <c r="E107" s="519" t="s">
        <v>100</v>
      </c>
      <c r="F107" s="519" t="s">
        <v>100</v>
      </c>
      <c r="G107" s="519"/>
      <c r="H107" s="519" t="s">
        <v>100</v>
      </c>
      <c r="I107" s="519"/>
      <c r="J107" s="519"/>
      <c r="K107" s="519"/>
      <c r="L107" s="519"/>
      <c r="M107" s="519"/>
      <c r="N107" s="519"/>
      <c r="O107" s="519"/>
      <c r="P107" s="519" t="s">
        <v>100</v>
      </c>
      <c r="Q107" s="519"/>
      <c r="R107" s="519"/>
      <c r="S107" s="519" t="s">
        <v>100</v>
      </c>
      <c r="T107" s="519"/>
      <c r="U107" s="519"/>
      <c r="V107" s="519"/>
      <c r="W107" s="182"/>
      <c r="X107" s="182"/>
      <c r="Y107" s="182"/>
      <c r="Z107" s="182"/>
      <c r="AA107" s="182"/>
      <c r="AB107" s="182"/>
      <c r="AC107" s="182"/>
      <c r="AD107" s="182"/>
      <c r="AE107" s="182"/>
      <c r="AF107" s="182"/>
      <c r="AG107" s="182"/>
      <c r="AH107" s="182"/>
      <c r="AI107" s="167">
        <f t="shared" si="30"/>
        <v>7</v>
      </c>
      <c r="AJ107" s="340" t="str">
        <f>HYPERLINK("https://twitter.com/APgelston/status/946104761757118464","Twitter")</f>
        <v>Twitter</v>
      </c>
      <c r="AK107" s="341">
        <v>43096</v>
      </c>
      <c r="AL107" s="352"/>
      <c r="AM107" s="352"/>
      <c r="AN107" s="352"/>
      <c r="AO107" s="352"/>
      <c r="AP107" s="352"/>
      <c r="AQ107" s="352"/>
      <c r="AR107" s="352"/>
      <c r="AS107" s="352"/>
      <c r="AT107" s="352"/>
      <c r="AU107" s="352"/>
      <c r="AV107" s="352"/>
      <c r="AW107" s="352"/>
      <c r="AX107" s="352"/>
      <c r="AY107" s="352"/>
      <c r="AZ107" s="352"/>
      <c r="BA107" s="352"/>
      <c r="BB107" s="352"/>
      <c r="BC107" s="352"/>
      <c r="BD107" s="352"/>
      <c r="BE107" s="352"/>
      <c r="BF107" s="352"/>
      <c r="BG107" s="352"/>
      <c r="BH107" s="352"/>
      <c r="BI107" s="352"/>
      <c r="BJ107" s="352"/>
      <c r="BK107" s="470"/>
      <c r="BL107" s="339"/>
      <c r="BM107" s="339"/>
      <c r="BN107" s="182"/>
      <c r="BO107" s="182"/>
      <c r="BP107" s="182"/>
      <c r="BQ107" s="182"/>
      <c r="BR107" s="182"/>
      <c r="BS107" s="182"/>
      <c r="BT107" s="182"/>
      <c r="BU107" s="182"/>
      <c r="BV107" s="182"/>
      <c r="BW107" s="182"/>
      <c r="BX107" s="182"/>
      <c r="BY107" s="182"/>
      <c r="BZ107" s="182"/>
      <c r="CA107" s="182"/>
      <c r="CB107" s="182"/>
      <c r="CC107" s="182"/>
      <c r="CD107" s="182"/>
      <c r="CE107" s="182"/>
      <c r="CF107" s="182"/>
      <c r="CG107" s="182"/>
      <c r="CH107" s="182"/>
      <c r="CI107" s="182"/>
      <c r="CJ107" s="182"/>
      <c r="CK107" s="627"/>
      <c r="CL107" s="628"/>
      <c r="CM107" s="629"/>
    </row>
    <row r="108" spans="1:91" s="344" customFormat="1">
      <c r="A108" s="335" t="s">
        <v>198</v>
      </c>
      <c r="B108" s="519"/>
      <c r="C108" s="519"/>
      <c r="D108" s="182"/>
      <c r="E108" s="519" t="s">
        <v>100</v>
      </c>
      <c r="F108" s="519" t="s">
        <v>100</v>
      </c>
      <c r="G108" s="519"/>
      <c r="H108" s="519" t="s">
        <v>100</v>
      </c>
      <c r="I108" s="519" t="s">
        <v>100</v>
      </c>
      <c r="J108" s="519" t="s">
        <v>100</v>
      </c>
      <c r="K108" s="519" t="s">
        <v>100</v>
      </c>
      <c r="L108" s="519" t="s">
        <v>100</v>
      </c>
      <c r="M108" s="519"/>
      <c r="N108" s="519"/>
      <c r="O108" s="519"/>
      <c r="P108" s="519"/>
      <c r="Q108" s="519"/>
      <c r="R108" s="519"/>
      <c r="S108" s="519" t="s">
        <v>100</v>
      </c>
      <c r="T108" s="519"/>
      <c r="U108" s="519" t="s">
        <v>100</v>
      </c>
      <c r="V108" s="519"/>
      <c r="W108" s="182"/>
      <c r="X108" s="182"/>
      <c r="Y108" s="182"/>
      <c r="Z108" s="182"/>
      <c r="AA108" s="182"/>
      <c r="AB108" s="182"/>
      <c r="AC108" s="182"/>
      <c r="AD108" s="182"/>
      <c r="AE108" s="182"/>
      <c r="AF108" s="182"/>
      <c r="AG108" s="182"/>
      <c r="AH108" s="182"/>
      <c r="AI108" s="167">
        <f t="shared" si="30"/>
        <v>9</v>
      </c>
      <c r="AJ108" s="530" t="s">
        <v>115</v>
      </c>
      <c r="AK108" s="341">
        <v>43096</v>
      </c>
      <c r="AL108" s="352"/>
      <c r="AM108" s="352"/>
      <c r="AN108" s="352"/>
      <c r="AO108" s="352"/>
      <c r="AP108" s="352"/>
      <c r="AQ108" s="352"/>
      <c r="AR108" s="352"/>
      <c r="AS108" s="352"/>
      <c r="AT108" s="352"/>
      <c r="AU108" s="352"/>
      <c r="AV108" s="352"/>
      <c r="AW108" s="352"/>
      <c r="AX108" s="352"/>
      <c r="AY108" s="352"/>
      <c r="AZ108" s="352"/>
      <c r="BA108" s="352"/>
      <c r="BB108" s="352"/>
      <c r="BC108" s="352"/>
      <c r="BD108" s="352"/>
      <c r="BE108" s="352"/>
      <c r="BF108" s="352"/>
      <c r="BG108" s="352"/>
      <c r="BH108" s="352"/>
      <c r="BI108" s="352"/>
      <c r="BJ108" s="352"/>
      <c r="BK108" s="470"/>
      <c r="BL108" s="339"/>
      <c r="BM108" s="339"/>
      <c r="BN108" s="182"/>
      <c r="BO108" s="182"/>
      <c r="BP108" s="182"/>
      <c r="BQ108" s="182"/>
      <c r="BR108" s="182"/>
      <c r="BS108" s="182"/>
      <c r="BT108" s="182"/>
      <c r="BU108" s="182"/>
      <c r="BV108" s="182"/>
      <c r="BW108" s="182"/>
      <c r="BX108" s="182"/>
      <c r="BY108" s="182"/>
      <c r="BZ108" s="182"/>
      <c r="CA108" s="182"/>
      <c r="CB108" s="182"/>
      <c r="CC108" s="182"/>
      <c r="CD108" s="182"/>
      <c r="CE108" s="182"/>
      <c r="CF108" s="182"/>
      <c r="CG108" s="182"/>
      <c r="CH108" s="182"/>
      <c r="CI108" s="182"/>
      <c r="CJ108" s="182"/>
      <c r="CK108" s="627"/>
      <c r="CL108" s="628"/>
      <c r="CM108" s="629"/>
    </row>
    <row r="109" spans="1:91" s="344" customFormat="1">
      <c r="A109" s="335" t="s">
        <v>199</v>
      </c>
      <c r="B109" s="519"/>
      <c r="C109" s="519"/>
      <c r="D109" s="182"/>
      <c r="E109" s="519" t="s">
        <v>100</v>
      </c>
      <c r="F109" s="519"/>
      <c r="G109" s="519"/>
      <c r="H109" s="519" t="s">
        <v>100</v>
      </c>
      <c r="I109" s="519"/>
      <c r="J109" s="519"/>
      <c r="K109" s="519"/>
      <c r="L109" s="519"/>
      <c r="M109" s="519"/>
      <c r="N109" s="519"/>
      <c r="O109" s="519"/>
      <c r="P109" s="519"/>
      <c r="Q109" s="519"/>
      <c r="R109" s="519"/>
      <c r="S109" s="519" t="s">
        <v>100</v>
      </c>
      <c r="T109" s="519"/>
      <c r="U109" s="519"/>
      <c r="V109" s="519" t="s">
        <v>100</v>
      </c>
      <c r="W109" s="182"/>
      <c r="X109" s="182"/>
      <c r="Y109" s="182"/>
      <c r="Z109" s="182"/>
      <c r="AA109" s="182"/>
      <c r="AB109" s="182"/>
      <c r="AC109" s="182"/>
      <c r="AD109" s="182"/>
      <c r="AE109" s="182"/>
      <c r="AF109" s="182"/>
      <c r="AG109" s="182"/>
      <c r="AH109" s="182"/>
      <c r="AI109" s="167">
        <f t="shared" si="30"/>
        <v>4</v>
      </c>
      <c r="AJ109" s="340" t="str">
        <f>HYPERLINK("https://twitter.com/rgilliescanada/status/955147369326305280","Twitter")</f>
        <v>Twitter</v>
      </c>
      <c r="AK109" s="341">
        <v>43121</v>
      </c>
      <c r="AL109" s="352"/>
      <c r="AM109" s="352"/>
      <c r="AN109" s="352"/>
      <c r="AO109" s="352"/>
      <c r="AP109" s="352"/>
      <c r="AQ109" s="352"/>
      <c r="AR109" s="352"/>
      <c r="AS109" s="352"/>
      <c r="AT109" s="352"/>
      <c r="AU109" s="352"/>
      <c r="AV109" s="352"/>
      <c r="AW109" s="352"/>
      <c r="AX109" s="352"/>
      <c r="AY109" s="352"/>
      <c r="AZ109" s="352"/>
      <c r="BA109" s="352"/>
      <c r="BB109" s="352"/>
      <c r="BC109" s="352"/>
      <c r="BD109" s="352"/>
      <c r="BE109" s="352"/>
      <c r="BF109" s="352"/>
      <c r="BG109" s="352"/>
      <c r="BH109" s="352"/>
      <c r="BI109" s="352"/>
      <c r="BJ109" s="352"/>
      <c r="BK109" s="470"/>
      <c r="BL109" s="339"/>
      <c r="BM109" s="339"/>
      <c r="BN109" s="182"/>
      <c r="BO109" s="182"/>
      <c r="BP109" s="182"/>
      <c r="BQ109" s="182"/>
      <c r="BR109" s="182"/>
      <c r="BS109" s="182"/>
      <c r="BT109" s="182"/>
      <c r="BU109" s="182"/>
      <c r="BV109" s="182"/>
      <c r="BW109" s="182"/>
      <c r="BX109" s="182"/>
      <c r="BY109" s="182"/>
      <c r="BZ109" s="182"/>
      <c r="CA109" s="182"/>
      <c r="CB109" s="182"/>
      <c r="CC109" s="182"/>
      <c r="CD109" s="182"/>
      <c r="CE109" s="182"/>
      <c r="CF109" s="182"/>
      <c r="CG109" s="182"/>
      <c r="CH109" s="182"/>
      <c r="CI109" s="182"/>
      <c r="CJ109" s="182"/>
      <c r="CK109" s="627"/>
      <c r="CL109" s="628"/>
      <c r="CM109" s="629"/>
    </row>
    <row r="110" spans="1:91" s="344" customFormat="1">
      <c r="A110" s="335" t="s">
        <v>200</v>
      </c>
      <c r="B110" s="519" t="s">
        <v>100</v>
      </c>
      <c r="C110" s="519" t="s">
        <v>100</v>
      </c>
      <c r="D110" s="182"/>
      <c r="E110" s="522" t="s">
        <v>100</v>
      </c>
      <c r="F110" s="519"/>
      <c r="G110" s="519"/>
      <c r="H110" s="519"/>
      <c r="I110" s="519"/>
      <c r="J110" s="519"/>
      <c r="K110" s="519"/>
      <c r="L110" s="519"/>
      <c r="M110" s="523"/>
      <c r="N110" s="519"/>
      <c r="O110" s="519"/>
      <c r="P110" s="519"/>
      <c r="Q110" s="519"/>
      <c r="R110" s="519"/>
      <c r="S110" s="519" t="s">
        <v>100</v>
      </c>
      <c r="T110" s="519"/>
      <c r="U110" s="519"/>
      <c r="V110" s="519"/>
      <c r="W110" s="182"/>
      <c r="X110" s="182"/>
      <c r="Y110" s="182"/>
      <c r="Z110" s="182"/>
      <c r="AA110" s="182"/>
      <c r="AB110" s="182"/>
      <c r="AC110" s="182"/>
      <c r="AD110" s="182"/>
      <c r="AE110" s="182"/>
      <c r="AF110" s="182"/>
      <c r="AG110" s="182"/>
      <c r="AH110" s="182"/>
      <c r="AI110" s="167">
        <f t="shared" si="30"/>
        <v>4</v>
      </c>
      <c r="AJ110" s="340" t="str">
        <f>HYPERLINK("https://soundcloud.com/glennclarkradioclips/david-ginsburg-january-23-2018","Glenn Clark Radio")</f>
        <v>Glenn Clark Radio</v>
      </c>
      <c r="AK110" s="341">
        <v>43123</v>
      </c>
      <c r="AL110" s="352"/>
      <c r="AM110" s="352"/>
      <c r="AN110" s="352"/>
      <c r="AO110" s="352"/>
      <c r="AP110" s="352"/>
      <c r="AQ110" s="352"/>
      <c r="AR110" s="352"/>
      <c r="AS110" s="352"/>
      <c r="AT110" s="352"/>
      <c r="AU110" s="352"/>
      <c r="AV110" s="352"/>
      <c r="AW110" s="352"/>
      <c r="AX110" s="352"/>
      <c r="AY110" s="352"/>
      <c r="AZ110" s="352"/>
      <c r="BA110" s="352"/>
      <c r="BB110" s="352"/>
      <c r="BC110" s="352"/>
      <c r="BD110" s="352"/>
      <c r="BE110" s="352"/>
      <c r="BF110" s="352"/>
      <c r="BG110" s="352"/>
      <c r="BH110" s="352"/>
      <c r="BI110" s="352"/>
      <c r="BJ110" s="352"/>
      <c r="BK110" s="470"/>
      <c r="BL110" s="339"/>
      <c r="BM110" s="339"/>
      <c r="BN110" s="182"/>
      <c r="BO110" s="182"/>
      <c r="BP110" s="182"/>
      <c r="BQ110" s="182"/>
      <c r="BR110" s="182"/>
      <c r="BS110" s="182"/>
      <c r="BT110" s="182"/>
      <c r="BU110" s="182"/>
      <c r="BV110" s="182"/>
      <c r="BW110" s="182"/>
      <c r="BX110" s="182"/>
      <c r="BY110" s="182"/>
      <c r="BZ110" s="182"/>
      <c r="CA110" s="182"/>
      <c r="CB110" s="182"/>
      <c r="CC110" s="182"/>
      <c r="CD110" s="182"/>
      <c r="CE110" s="182"/>
      <c r="CF110" s="182"/>
      <c r="CG110" s="182"/>
      <c r="CH110" s="182"/>
      <c r="CI110" s="182"/>
      <c r="CJ110" s="182"/>
      <c r="CK110" s="627"/>
      <c r="CL110" s="628"/>
      <c r="CM110" s="629"/>
    </row>
    <row r="111" spans="1:91" s="344" customFormat="1" ht="12.75" customHeight="1">
      <c r="A111" s="335" t="s">
        <v>201</v>
      </c>
      <c r="B111" s="519"/>
      <c r="C111" s="519"/>
      <c r="D111" s="182"/>
      <c r="E111" s="519" t="s">
        <v>100</v>
      </c>
      <c r="F111" s="519" t="s">
        <v>100</v>
      </c>
      <c r="G111" s="519"/>
      <c r="H111" s="519" t="s">
        <v>100</v>
      </c>
      <c r="I111" s="519" t="s">
        <v>100</v>
      </c>
      <c r="J111" s="519"/>
      <c r="K111" s="519" t="s">
        <v>100</v>
      </c>
      <c r="L111" s="519" t="s">
        <v>100</v>
      </c>
      <c r="M111" s="519"/>
      <c r="N111" s="519"/>
      <c r="O111" s="519"/>
      <c r="P111" s="519" t="s">
        <v>100</v>
      </c>
      <c r="Q111" s="519"/>
      <c r="R111" s="519"/>
      <c r="S111" s="519" t="s">
        <v>100</v>
      </c>
      <c r="T111" s="519" t="s">
        <v>100</v>
      </c>
      <c r="U111" s="519" t="s">
        <v>100</v>
      </c>
      <c r="V111" s="519"/>
      <c r="W111" s="182"/>
      <c r="X111" s="182"/>
      <c r="Y111" s="182"/>
      <c r="Z111" s="182"/>
      <c r="AA111" s="182"/>
      <c r="AB111" s="182"/>
      <c r="AC111" s="182"/>
      <c r="AD111" s="182"/>
      <c r="AE111" s="182"/>
      <c r="AF111" s="182"/>
      <c r="AG111" s="182"/>
      <c r="AH111" s="182"/>
      <c r="AI111" s="167">
        <f t="shared" si="30"/>
        <v>10</v>
      </c>
      <c r="AJ111" s="530" t="s">
        <v>115</v>
      </c>
      <c r="AK111" s="341">
        <v>43098</v>
      </c>
      <c r="AL111" s="352"/>
      <c r="AM111" s="352"/>
      <c r="AN111" s="352"/>
      <c r="AO111" s="352"/>
      <c r="AP111" s="352"/>
      <c r="AQ111" s="352"/>
      <c r="AR111" s="352"/>
      <c r="AS111" s="352"/>
      <c r="AT111" s="352"/>
      <c r="AU111" s="352"/>
      <c r="AV111" s="352"/>
      <c r="AW111" s="352"/>
      <c r="AX111" s="352"/>
      <c r="AY111" s="352"/>
      <c r="AZ111" s="352"/>
      <c r="BA111" s="352"/>
      <c r="BB111" s="352"/>
      <c r="BC111" s="352"/>
      <c r="BD111" s="352"/>
      <c r="BE111" s="352"/>
      <c r="BF111" s="352"/>
      <c r="BG111" s="352"/>
      <c r="BH111" s="352"/>
      <c r="BI111" s="352"/>
      <c r="BJ111" s="352"/>
      <c r="BK111" s="470"/>
      <c r="BL111" s="339"/>
      <c r="BM111" s="339"/>
      <c r="BN111" s="182"/>
      <c r="BO111" s="182"/>
      <c r="BP111" s="182"/>
      <c r="BQ111" s="182"/>
      <c r="BR111" s="182"/>
      <c r="BS111" s="182"/>
      <c r="BT111" s="182"/>
      <c r="BU111" s="182"/>
      <c r="BV111" s="182"/>
      <c r="BW111" s="182"/>
      <c r="BX111" s="182"/>
      <c r="BY111" s="182"/>
      <c r="BZ111" s="182"/>
      <c r="CA111" s="182"/>
      <c r="CB111" s="182"/>
      <c r="CC111" s="182"/>
      <c r="CD111" s="182"/>
      <c r="CE111" s="182"/>
      <c r="CF111" s="182"/>
      <c r="CG111" s="182"/>
      <c r="CH111" s="182"/>
      <c r="CI111" s="182"/>
      <c r="CJ111" s="182"/>
      <c r="CK111" s="627"/>
      <c r="CL111" s="628"/>
      <c r="CM111" s="629"/>
    </row>
    <row r="112" spans="1:91" s="344" customFormat="1">
      <c r="A112" s="335" t="s">
        <v>202</v>
      </c>
      <c r="B112" s="519"/>
      <c r="C112" s="519"/>
      <c r="D112" s="182"/>
      <c r="E112" s="519"/>
      <c r="F112" s="519" t="s">
        <v>100</v>
      </c>
      <c r="G112" s="519"/>
      <c r="H112" s="519" t="s">
        <v>100</v>
      </c>
      <c r="I112" s="519"/>
      <c r="J112" s="519" t="s">
        <v>100</v>
      </c>
      <c r="K112" s="519"/>
      <c r="L112" s="519"/>
      <c r="M112" s="519"/>
      <c r="N112" s="519"/>
      <c r="O112" s="519"/>
      <c r="P112" s="519"/>
      <c r="Q112" s="519"/>
      <c r="R112" s="519"/>
      <c r="S112" s="519" t="s">
        <v>100</v>
      </c>
      <c r="T112" s="519" t="s">
        <v>100</v>
      </c>
      <c r="U112" s="519"/>
      <c r="V112" s="519"/>
      <c r="W112" s="182"/>
      <c r="X112" s="182"/>
      <c r="Y112" s="182"/>
      <c r="Z112" s="182"/>
      <c r="AA112" s="182"/>
      <c r="AB112" s="182"/>
      <c r="AC112" s="182"/>
      <c r="AD112" s="182"/>
      <c r="AE112" s="182"/>
      <c r="AF112" s="182"/>
      <c r="AG112" s="182"/>
      <c r="AH112" s="182"/>
      <c r="AI112" s="167">
        <f t="shared" si="30"/>
        <v>5</v>
      </c>
      <c r="AJ112" s="530" t="s">
        <v>115</v>
      </c>
      <c r="AK112" s="341">
        <v>43086</v>
      </c>
      <c r="AL112" s="352"/>
      <c r="AM112" s="352"/>
      <c r="AN112" s="352"/>
      <c r="AO112" s="352"/>
      <c r="AP112" s="352"/>
      <c r="AQ112" s="352"/>
      <c r="AR112" s="352"/>
      <c r="AS112" s="352"/>
      <c r="AT112" s="352"/>
      <c r="AU112" s="352"/>
      <c r="AV112" s="352"/>
      <c r="AW112" s="352"/>
      <c r="AX112" s="352"/>
      <c r="AY112" s="352"/>
      <c r="AZ112" s="352"/>
      <c r="BA112" s="352"/>
      <c r="BB112" s="352"/>
      <c r="BC112" s="352"/>
      <c r="BD112" s="352"/>
      <c r="BE112" s="352"/>
      <c r="BF112" s="352"/>
      <c r="BG112" s="352"/>
      <c r="BH112" s="352"/>
      <c r="BI112" s="352"/>
      <c r="BJ112" s="352"/>
      <c r="BK112" s="470"/>
      <c r="BL112" s="339"/>
      <c r="BM112" s="339"/>
      <c r="BN112" s="182"/>
      <c r="BO112" s="182"/>
      <c r="BP112" s="182"/>
      <c r="BQ112" s="182"/>
      <c r="BR112" s="182"/>
      <c r="BS112" s="182"/>
      <c r="BT112" s="182"/>
      <c r="BU112" s="182"/>
      <c r="BV112" s="182"/>
      <c r="BW112" s="182"/>
      <c r="BX112" s="182"/>
      <c r="BY112" s="182"/>
      <c r="BZ112" s="182"/>
      <c r="CA112" s="182"/>
      <c r="CB112" s="182"/>
      <c r="CC112" s="182"/>
      <c r="CD112" s="182"/>
      <c r="CE112" s="182"/>
      <c r="CF112" s="182"/>
      <c r="CG112" s="182"/>
      <c r="CH112" s="182"/>
      <c r="CI112" s="182"/>
      <c r="CJ112" s="182"/>
      <c r="CK112" s="621"/>
      <c r="CL112" s="622"/>
      <c r="CM112" s="623"/>
    </row>
    <row r="113" spans="1:91" s="344" customFormat="1">
      <c r="A113" s="335" t="s">
        <v>203</v>
      </c>
      <c r="B113" s="543"/>
      <c r="C113" s="543"/>
      <c r="D113" s="543"/>
      <c r="E113" s="538"/>
      <c r="F113" s="538" t="s">
        <v>100</v>
      </c>
      <c r="G113" s="538"/>
      <c r="H113" s="538" t="s">
        <v>100</v>
      </c>
      <c r="I113" s="543"/>
      <c r="J113" s="538"/>
      <c r="K113" s="538" t="s">
        <v>100</v>
      </c>
      <c r="L113" s="538" t="s">
        <v>100</v>
      </c>
      <c r="M113" s="543"/>
      <c r="N113" s="538"/>
      <c r="O113" s="543"/>
      <c r="P113" s="538"/>
      <c r="Q113" s="543"/>
      <c r="R113" s="543"/>
      <c r="S113" s="538" t="s">
        <v>100</v>
      </c>
      <c r="T113" s="538" t="s">
        <v>100</v>
      </c>
      <c r="U113" s="543"/>
      <c r="V113" s="538"/>
      <c r="AI113" s="339">
        <f t="shared" ref="AI113" si="42">COUNTIF(B113:AH113,"x")</f>
        <v>6</v>
      </c>
      <c r="AJ113" s="340" t="str">
        <f>HYPERLINK("http://www.espn.com/mlb/story/_/id/22119468/espn-2018-hall-fame-ballot-did-our-voters-pick","ESPN group reveal")</f>
        <v>ESPN group reveal</v>
      </c>
      <c r="AK113" s="341">
        <v>43123</v>
      </c>
      <c r="AL113" s="352"/>
      <c r="AM113" s="352"/>
      <c r="AN113" s="352"/>
      <c r="AO113" s="352"/>
      <c r="AP113" s="352"/>
      <c r="AQ113" s="352"/>
      <c r="AR113" s="352"/>
      <c r="AS113" s="352"/>
      <c r="AT113" s="352"/>
      <c r="AU113" s="352"/>
      <c r="AV113" s="352"/>
      <c r="AW113" s="352"/>
      <c r="AX113" s="352"/>
      <c r="AY113" s="352"/>
      <c r="AZ113" s="352"/>
      <c r="BA113" s="352"/>
      <c r="BB113" s="352"/>
      <c r="BC113" s="352"/>
      <c r="BD113" s="352"/>
      <c r="BE113" s="352"/>
      <c r="BF113" s="352"/>
      <c r="BG113" s="352"/>
      <c r="BH113" s="352"/>
      <c r="BI113" s="352"/>
      <c r="BJ113" s="352"/>
      <c r="BK113" s="470"/>
      <c r="BL113" s="339"/>
      <c r="BM113" s="339"/>
      <c r="BN113" s="182"/>
      <c r="BO113" s="182"/>
      <c r="BP113" s="182"/>
      <c r="BQ113" s="182"/>
      <c r="BR113" s="182"/>
      <c r="BS113" s="182"/>
      <c r="BT113" s="182"/>
      <c r="BU113" s="182"/>
      <c r="BV113" s="182"/>
      <c r="BW113" s="182"/>
      <c r="BX113" s="182"/>
      <c r="BY113" s="182"/>
      <c r="BZ113" s="182"/>
      <c r="CA113" s="182"/>
      <c r="CB113" s="182"/>
      <c r="CC113" s="182"/>
      <c r="CD113" s="182"/>
      <c r="CE113" s="182"/>
      <c r="CF113" s="182"/>
      <c r="CG113" s="182"/>
      <c r="CH113" s="182"/>
      <c r="CI113" s="182"/>
      <c r="CJ113" s="182"/>
      <c r="CK113" s="647"/>
      <c r="CL113" s="648"/>
      <c r="CM113" s="649"/>
    </row>
    <row r="114" spans="1:91" s="344" customFormat="1">
      <c r="A114" s="335" t="s">
        <v>204</v>
      </c>
      <c r="B114" s="543"/>
      <c r="C114" s="543"/>
      <c r="D114" s="543"/>
      <c r="E114" s="519" t="s">
        <v>100</v>
      </c>
      <c r="F114" s="519" t="s">
        <v>100</v>
      </c>
      <c r="G114" s="538"/>
      <c r="H114" s="519" t="s">
        <v>100</v>
      </c>
      <c r="I114" s="519" t="s">
        <v>100</v>
      </c>
      <c r="J114" s="519" t="s">
        <v>100</v>
      </c>
      <c r="K114" s="543"/>
      <c r="L114" s="538"/>
      <c r="M114" s="543"/>
      <c r="N114" s="538"/>
      <c r="O114" s="543"/>
      <c r="P114" s="538"/>
      <c r="Q114" s="543"/>
      <c r="R114" s="543"/>
      <c r="S114" s="519" t="s">
        <v>100</v>
      </c>
      <c r="T114" s="519" t="s">
        <v>100</v>
      </c>
      <c r="U114" s="519" t="s">
        <v>100</v>
      </c>
      <c r="V114" s="538"/>
      <c r="AI114" s="167">
        <f t="shared" si="30"/>
        <v>8</v>
      </c>
      <c r="AJ114" s="340" t="str">
        <f>HYPERLINK("http://www.chicagotribune.com/ct-mark-gonzales-2018-hall-of-fame-ballot-20180118-photogallery.html","Chicago Tribune")</f>
        <v>Chicago Tribune</v>
      </c>
      <c r="AK114" s="532">
        <v>43118</v>
      </c>
      <c r="AL114" s="352"/>
      <c r="AM114" s="352"/>
      <c r="AN114" s="352"/>
      <c r="AO114" s="352"/>
      <c r="AP114" s="352"/>
      <c r="AQ114" s="352"/>
      <c r="AR114" s="352"/>
      <c r="AS114" s="352"/>
      <c r="AT114" s="352"/>
      <c r="AU114" s="352"/>
      <c r="AV114" s="352"/>
      <c r="AW114" s="352"/>
      <c r="AX114" s="352"/>
      <c r="AY114" s="352"/>
      <c r="AZ114" s="352"/>
      <c r="BA114" s="352"/>
      <c r="BB114" s="352"/>
      <c r="BC114" s="352"/>
      <c r="BD114" s="352"/>
      <c r="BE114" s="352"/>
      <c r="BF114" s="352"/>
      <c r="BG114" s="352"/>
      <c r="BH114" s="352"/>
      <c r="BI114" s="352"/>
      <c r="BJ114" s="352"/>
      <c r="BK114" s="470"/>
      <c r="BL114" s="339"/>
      <c r="BM114" s="339"/>
      <c r="BN114" s="182"/>
      <c r="BO114" s="182"/>
      <c r="BP114" s="182"/>
      <c r="BQ114" s="182"/>
      <c r="BR114" s="182"/>
      <c r="BS114" s="182"/>
      <c r="BT114" s="182"/>
      <c r="BU114" s="182"/>
      <c r="BV114" s="182"/>
      <c r="BW114" s="182"/>
      <c r="BX114" s="182"/>
      <c r="BY114" s="182"/>
      <c r="BZ114" s="182"/>
      <c r="CA114" s="182"/>
      <c r="CB114" s="182"/>
      <c r="CC114" s="182"/>
      <c r="CD114" s="182"/>
      <c r="CE114" s="182"/>
      <c r="CF114" s="182"/>
      <c r="CG114" s="182"/>
      <c r="CH114" s="182"/>
      <c r="CI114" s="182"/>
      <c r="CJ114" s="182"/>
      <c r="CK114" s="621"/>
      <c r="CL114" s="622"/>
      <c r="CM114" s="623"/>
    </row>
    <row r="115" spans="1:91" s="344" customFormat="1">
      <c r="A115" s="335" t="s">
        <v>205</v>
      </c>
      <c r="B115" s="543"/>
      <c r="C115" s="543"/>
      <c r="D115" s="543"/>
      <c r="E115" s="538" t="s">
        <v>100</v>
      </c>
      <c r="F115" s="538" t="s">
        <v>100</v>
      </c>
      <c r="G115" s="538" t="s">
        <v>100</v>
      </c>
      <c r="H115" s="538" t="s">
        <v>100</v>
      </c>
      <c r="I115" s="543"/>
      <c r="J115" s="538" t="s">
        <v>100</v>
      </c>
      <c r="K115" s="543"/>
      <c r="L115" s="538" t="s">
        <v>100</v>
      </c>
      <c r="M115" s="543"/>
      <c r="N115" s="538" t="s">
        <v>100</v>
      </c>
      <c r="O115" s="543"/>
      <c r="P115" s="538" t="s">
        <v>100</v>
      </c>
      <c r="Q115" s="543"/>
      <c r="R115" s="543"/>
      <c r="S115" s="538" t="s">
        <v>100</v>
      </c>
      <c r="T115" s="543"/>
      <c r="U115" s="543"/>
      <c r="V115" s="538" t="s">
        <v>100</v>
      </c>
      <c r="AI115" s="339">
        <f t="shared" si="30"/>
        <v>10</v>
      </c>
      <c r="AJ115" s="340" t="str">
        <f>HYPERLINK("http://sports.live.stltoday.com/Event/Cardinals_chat_with_Derrick_Goold_e0299c0eeb6b?Page=0","Post Dispatch Chat")</f>
        <v>Post Dispatch Chat</v>
      </c>
      <c r="AK115" s="532">
        <v>43111</v>
      </c>
      <c r="AL115" s="352"/>
      <c r="AM115" s="352"/>
      <c r="AN115" s="352"/>
      <c r="AO115" s="352"/>
      <c r="AP115" s="352"/>
      <c r="AQ115" s="352"/>
      <c r="AR115" s="352"/>
      <c r="AS115" s="352"/>
      <c r="AT115" s="352"/>
      <c r="AU115" s="352"/>
      <c r="AV115" s="352"/>
      <c r="AW115" s="352"/>
      <c r="AX115" s="352"/>
      <c r="AY115" s="352"/>
      <c r="AZ115" s="352"/>
      <c r="BA115" s="352"/>
      <c r="BB115" s="352"/>
      <c r="BC115" s="352"/>
      <c r="BD115" s="352"/>
      <c r="BE115" s="352"/>
      <c r="BF115" s="352"/>
      <c r="BG115" s="352"/>
      <c r="BH115" s="352"/>
      <c r="BI115" s="352"/>
      <c r="BJ115" s="352"/>
      <c r="BK115" s="470"/>
      <c r="BL115" s="339"/>
      <c r="BM115" s="339"/>
      <c r="BN115" s="182"/>
      <c r="BO115" s="182"/>
      <c r="BP115" s="182"/>
      <c r="BQ115" s="182"/>
      <c r="BR115" s="182"/>
      <c r="BS115" s="182"/>
      <c r="BT115" s="182"/>
      <c r="BU115" s="182"/>
      <c r="BV115" s="182"/>
      <c r="BW115" s="182"/>
      <c r="BX115" s="182"/>
      <c r="BY115" s="182"/>
      <c r="BZ115" s="182"/>
      <c r="CA115" s="182"/>
      <c r="CB115" s="182"/>
      <c r="CC115" s="182"/>
      <c r="CD115" s="182"/>
      <c r="CE115" s="182"/>
      <c r="CF115" s="182"/>
      <c r="CG115" s="182"/>
      <c r="CH115" s="182"/>
      <c r="CI115" s="182"/>
      <c r="CJ115" s="182"/>
      <c r="CK115" s="647" t="s">
        <v>206</v>
      </c>
      <c r="CL115" s="648"/>
      <c r="CM115" s="649"/>
    </row>
    <row r="116" spans="1:91" s="344" customFormat="1">
      <c r="A116" s="335" t="s">
        <v>207</v>
      </c>
      <c r="B116" s="519" t="s">
        <v>100</v>
      </c>
      <c r="C116" s="519" t="s">
        <v>100</v>
      </c>
      <c r="D116" s="182"/>
      <c r="E116" s="519" t="s">
        <v>100</v>
      </c>
      <c r="F116" s="519" t="s">
        <v>100</v>
      </c>
      <c r="G116" s="519"/>
      <c r="H116" s="519" t="s">
        <v>100</v>
      </c>
      <c r="I116" s="519"/>
      <c r="J116" s="519" t="s">
        <v>100</v>
      </c>
      <c r="K116" s="519"/>
      <c r="L116" s="522" t="s">
        <v>100</v>
      </c>
      <c r="M116" s="519"/>
      <c r="N116" s="519"/>
      <c r="O116" s="519"/>
      <c r="P116" s="522" t="s">
        <v>100</v>
      </c>
      <c r="Q116" s="519"/>
      <c r="R116" s="519"/>
      <c r="S116" s="519" t="s">
        <v>100</v>
      </c>
      <c r="T116" s="519"/>
      <c r="U116" s="519"/>
      <c r="V116" s="519" t="s">
        <v>100</v>
      </c>
      <c r="W116" s="182"/>
      <c r="X116" s="182"/>
      <c r="Y116" s="182"/>
      <c r="Z116" s="182"/>
      <c r="AA116" s="182"/>
      <c r="AB116" s="182"/>
      <c r="AC116" s="182"/>
      <c r="AD116" s="182"/>
      <c r="AE116" s="182"/>
      <c r="AF116" s="182"/>
      <c r="AG116" s="182"/>
      <c r="AH116" s="182"/>
      <c r="AI116" s="167">
        <f t="shared" si="30"/>
        <v>10</v>
      </c>
      <c r="AJ116" s="340" t="str">
        <f>HYPERLINK("https://twitter.com/pgraham34/status/943532897863995393","Twitter")</f>
        <v>Twitter</v>
      </c>
      <c r="AK116" s="341">
        <v>43089</v>
      </c>
      <c r="AL116" s="352"/>
      <c r="AM116" s="352"/>
      <c r="AN116" s="352"/>
      <c r="AO116" s="352"/>
      <c r="AP116" s="352"/>
      <c r="AQ116" s="352"/>
      <c r="AR116" s="352"/>
      <c r="AS116" s="352"/>
      <c r="AT116" s="352"/>
      <c r="AU116" s="352"/>
      <c r="AV116" s="352"/>
      <c r="AW116" s="352"/>
      <c r="AX116" s="352"/>
      <c r="AY116" s="352"/>
      <c r="AZ116" s="352"/>
      <c r="BA116" s="352"/>
      <c r="BB116" s="352"/>
      <c r="BC116" s="352"/>
      <c r="BD116" s="352"/>
      <c r="BE116" s="352"/>
      <c r="BF116" s="352"/>
      <c r="BG116" s="352"/>
      <c r="BH116" s="352"/>
      <c r="BI116" s="352"/>
      <c r="BJ116" s="352"/>
      <c r="BK116" s="470"/>
      <c r="BL116" s="339"/>
      <c r="BM116" s="339"/>
      <c r="BN116" s="182"/>
      <c r="BO116" s="182"/>
      <c r="BP116" s="182"/>
      <c r="BQ116" s="182"/>
      <c r="BR116" s="182"/>
      <c r="BS116" s="182"/>
      <c r="BT116" s="182"/>
      <c r="BU116" s="182"/>
      <c r="BV116" s="182"/>
      <c r="BW116" s="182"/>
      <c r="BX116" s="182"/>
      <c r="BY116" s="182"/>
      <c r="BZ116" s="182"/>
      <c r="CA116" s="182"/>
      <c r="CB116" s="182"/>
      <c r="CC116" s="182"/>
      <c r="CD116" s="182"/>
      <c r="CE116" s="182"/>
      <c r="CF116" s="182"/>
      <c r="CG116" s="182"/>
      <c r="CH116" s="182"/>
      <c r="CI116" s="182"/>
      <c r="CJ116" s="182"/>
      <c r="CK116" s="647" t="s">
        <v>208</v>
      </c>
      <c r="CL116" s="648"/>
      <c r="CM116" s="649"/>
    </row>
    <row r="117" spans="1:91" s="344" customFormat="1">
      <c r="A117" s="335" t="s">
        <v>209</v>
      </c>
      <c r="B117" s="519" t="s">
        <v>100</v>
      </c>
      <c r="C117" s="519" t="s">
        <v>100</v>
      </c>
      <c r="D117" s="182"/>
      <c r="E117" s="519" t="s">
        <v>100</v>
      </c>
      <c r="F117" s="519" t="s">
        <v>100</v>
      </c>
      <c r="G117" s="519"/>
      <c r="H117" s="519" t="s">
        <v>100</v>
      </c>
      <c r="I117" s="519"/>
      <c r="J117" s="519" t="s">
        <v>100</v>
      </c>
      <c r="K117" s="519"/>
      <c r="L117" s="519" t="s">
        <v>100</v>
      </c>
      <c r="M117" s="519"/>
      <c r="N117" s="519"/>
      <c r="O117" s="519"/>
      <c r="P117" s="522" t="s">
        <v>100</v>
      </c>
      <c r="Q117" s="519"/>
      <c r="R117" s="519"/>
      <c r="S117" s="519" t="s">
        <v>100</v>
      </c>
      <c r="T117" s="519"/>
      <c r="U117" s="519"/>
      <c r="V117" s="519" t="s">
        <v>100</v>
      </c>
      <c r="W117" s="182"/>
      <c r="X117" s="182"/>
      <c r="Y117" s="182"/>
      <c r="Z117" s="182"/>
      <c r="AA117" s="182"/>
      <c r="AB117" s="182"/>
      <c r="AC117" s="182"/>
      <c r="AD117" s="182"/>
      <c r="AE117" s="182"/>
      <c r="AF117" s="182"/>
      <c r="AG117" s="182"/>
      <c r="AH117" s="182"/>
      <c r="AI117" s="167">
        <f t="shared" si="30"/>
        <v>10</v>
      </c>
      <c r="AJ117" s="340" t="str">
        <f>HYPERLINK("https://twitter.com/Evan_P_Grant/status/943485019196190721","Twitter")</f>
        <v>Twitter</v>
      </c>
      <c r="AK117" s="341">
        <v>43089</v>
      </c>
      <c r="AL117" s="352"/>
      <c r="AM117" s="352"/>
      <c r="AN117" s="352"/>
      <c r="AO117" s="352"/>
      <c r="AP117" s="352"/>
      <c r="AQ117" s="352"/>
      <c r="AR117" s="352"/>
      <c r="AS117" s="352"/>
      <c r="AT117" s="352"/>
      <c r="AU117" s="352"/>
      <c r="AV117" s="352"/>
      <c r="AW117" s="352"/>
      <c r="AX117" s="352"/>
      <c r="AY117" s="352"/>
      <c r="AZ117" s="352"/>
      <c r="BA117" s="352"/>
      <c r="BB117" s="352"/>
      <c r="BC117" s="352"/>
      <c r="BD117" s="352"/>
      <c r="BE117" s="352"/>
      <c r="BF117" s="352"/>
      <c r="BG117" s="352"/>
      <c r="BH117" s="352"/>
      <c r="BI117" s="352"/>
      <c r="BJ117" s="352"/>
      <c r="BK117" s="470"/>
      <c r="BL117" s="339"/>
      <c r="BM117" s="339"/>
      <c r="BN117" s="182"/>
      <c r="BO117" s="182"/>
      <c r="BP117" s="182"/>
      <c r="BQ117" s="182"/>
      <c r="BR117" s="182"/>
      <c r="BS117" s="182"/>
      <c r="BT117" s="182"/>
      <c r="BU117" s="182"/>
      <c r="BV117" s="182"/>
      <c r="BW117" s="182"/>
      <c r="BX117" s="182"/>
      <c r="BY117" s="182"/>
      <c r="BZ117" s="182"/>
      <c r="CA117" s="182"/>
      <c r="CB117" s="182"/>
      <c r="CC117" s="182"/>
      <c r="CD117" s="182"/>
      <c r="CE117" s="182"/>
      <c r="CF117" s="182"/>
      <c r="CG117" s="182"/>
      <c r="CH117" s="182"/>
      <c r="CI117" s="182"/>
      <c r="CJ117" s="182"/>
      <c r="CK117" s="647" t="s">
        <v>210</v>
      </c>
      <c r="CL117" s="648"/>
      <c r="CM117" s="649"/>
    </row>
    <row r="118" spans="1:91" s="344" customFormat="1">
      <c r="A118" s="335" t="s">
        <v>211</v>
      </c>
      <c r="B118" s="519"/>
      <c r="C118" s="519"/>
      <c r="D118" s="182"/>
      <c r="E118" s="519" t="s">
        <v>100</v>
      </c>
      <c r="F118" s="519" t="s">
        <v>100</v>
      </c>
      <c r="G118" s="519"/>
      <c r="H118" s="519" t="s">
        <v>100</v>
      </c>
      <c r="I118" s="519" t="s">
        <v>100</v>
      </c>
      <c r="J118" s="519" t="s">
        <v>100</v>
      </c>
      <c r="K118" s="519" t="s">
        <v>100</v>
      </c>
      <c r="L118" s="519" t="s">
        <v>100</v>
      </c>
      <c r="M118" s="519"/>
      <c r="N118" s="519"/>
      <c r="O118" s="519"/>
      <c r="P118" s="519"/>
      <c r="Q118" s="519"/>
      <c r="R118" s="519"/>
      <c r="S118" s="519"/>
      <c r="T118" s="519"/>
      <c r="U118" s="519" t="s">
        <v>100</v>
      </c>
      <c r="V118" s="519"/>
      <c r="W118" s="182"/>
      <c r="X118" s="182"/>
      <c r="Y118" s="182"/>
      <c r="Z118" s="182"/>
      <c r="AA118" s="182"/>
      <c r="AB118" s="182"/>
      <c r="AC118" s="182"/>
      <c r="AD118" s="182" t="s">
        <v>100</v>
      </c>
      <c r="AE118" s="182"/>
      <c r="AF118" s="182"/>
      <c r="AG118" s="182"/>
      <c r="AH118" s="182"/>
      <c r="AI118" s="167">
        <f t="shared" si="30"/>
        <v>9</v>
      </c>
      <c r="AJ118" s="340" t="str">
        <f>HYPERLINK("http://www.espn.com/mlb/story/_/id/22119468/espn-2018-hall-fame-ballot-did-our-voters-pick","ESPN group reveal")</f>
        <v>ESPN group reveal</v>
      </c>
      <c r="AK118" s="341">
        <v>43123</v>
      </c>
      <c r="AL118" s="352"/>
      <c r="AM118" s="352"/>
      <c r="AN118" s="352"/>
      <c r="AO118" s="352"/>
      <c r="AP118" s="352"/>
      <c r="AQ118" s="352"/>
      <c r="AR118" s="352"/>
      <c r="AS118" s="352"/>
      <c r="AT118" s="352"/>
      <c r="AU118" s="352"/>
      <c r="AV118" s="352"/>
      <c r="AW118" s="352"/>
      <c r="AX118" s="352"/>
      <c r="AY118" s="352"/>
      <c r="AZ118" s="352"/>
      <c r="BA118" s="352"/>
      <c r="BB118" s="352"/>
      <c r="BC118" s="352"/>
      <c r="BD118" s="352"/>
      <c r="BE118" s="352"/>
      <c r="BF118" s="352"/>
      <c r="BG118" s="352"/>
      <c r="BH118" s="352"/>
      <c r="BI118" s="352"/>
      <c r="BJ118" s="352"/>
      <c r="BK118" s="470"/>
      <c r="BL118" s="339"/>
      <c r="BM118" s="339"/>
      <c r="BN118" s="182"/>
      <c r="BO118" s="182"/>
      <c r="BP118" s="182"/>
      <c r="BQ118" s="182"/>
      <c r="BR118" s="182"/>
      <c r="BS118" s="182"/>
      <c r="BT118" s="182"/>
      <c r="BU118" s="182"/>
      <c r="BV118" s="182"/>
      <c r="BW118" s="182"/>
      <c r="BX118" s="182"/>
      <c r="BY118" s="182"/>
      <c r="BZ118" s="182"/>
      <c r="CA118" s="182"/>
      <c r="CB118" s="182"/>
      <c r="CC118" s="182"/>
      <c r="CD118" s="182"/>
      <c r="CE118" s="182"/>
      <c r="CF118" s="182"/>
      <c r="CG118" s="182"/>
      <c r="CH118" s="182"/>
      <c r="CI118" s="182"/>
      <c r="CJ118" s="182"/>
      <c r="CK118" s="621"/>
      <c r="CL118" s="622"/>
      <c r="CM118" s="623"/>
    </row>
    <row r="119" spans="1:91" s="344" customFormat="1">
      <c r="A119" s="335" t="s">
        <v>212</v>
      </c>
      <c r="B119" s="519"/>
      <c r="C119" s="519"/>
      <c r="D119" s="182"/>
      <c r="E119" s="519" t="s">
        <v>100</v>
      </c>
      <c r="F119" s="519" t="s">
        <v>100</v>
      </c>
      <c r="G119" s="519"/>
      <c r="H119" s="519" t="s">
        <v>100</v>
      </c>
      <c r="I119" s="519"/>
      <c r="J119" s="519" t="s">
        <v>100</v>
      </c>
      <c r="K119" s="522" t="s">
        <v>100</v>
      </c>
      <c r="L119" s="519" t="s">
        <v>100</v>
      </c>
      <c r="M119" s="519"/>
      <c r="N119" s="519"/>
      <c r="O119" s="519"/>
      <c r="P119" s="519" t="s">
        <v>100</v>
      </c>
      <c r="Q119" s="519"/>
      <c r="R119" s="519"/>
      <c r="S119" s="519" t="s">
        <v>100</v>
      </c>
      <c r="T119" s="519"/>
      <c r="U119" s="519"/>
      <c r="V119" s="519"/>
      <c r="W119" s="182"/>
      <c r="X119" s="182"/>
      <c r="Y119" s="182"/>
      <c r="Z119" s="182"/>
      <c r="AA119" s="182"/>
      <c r="AB119" s="182"/>
      <c r="AC119" s="182"/>
      <c r="AD119" s="182"/>
      <c r="AE119" s="182"/>
      <c r="AF119" s="182"/>
      <c r="AG119" s="182"/>
      <c r="AH119" s="182"/>
      <c r="AI119" s="167">
        <f t="shared" ref="AI119:AI203" si="43">COUNTIF(B119:AH119,"x")</f>
        <v>8</v>
      </c>
      <c r="AJ119" s="340" t="str">
        <f>HYPERLINK("https://twitter.com/ScribeJG/status/939926151350378496","Twitter")</f>
        <v>Twitter</v>
      </c>
      <c r="AK119" s="341">
        <v>43079</v>
      </c>
      <c r="AL119" s="352"/>
      <c r="AM119" s="352"/>
      <c r="AN119" s="352"/>
      <c r="AO119" s="352"/>
      <c r="AP119" s="352"/>
      <c r="AQ119" s="352"/>
      <c r="AR119" s="352"/>
      <c r="AS119" s="352"/>
      <c r="AT119" s="352"/>
      <c r="AU119" s="352"/>
      <c r="AV119" s="352"/>
      <c r="AW119" s="352"/>
      <c r="AX119" s="352"/>
      <c r="AY119" s="352"/>
      <c r="AZ119" s="352"/>
      <c r="BA119" s="352"/>
      <c r="BB119" s="352"/>
      <c r="BC119" s="352"/>
      <c r="BD119" s="352"/>
      <c r="BE119" s="352"/>
      <c r="BF119" s="352"/>
      <c r="BG119" s="352"/>
      <c r="BH119" s="352"/>
      <c r="BI119" s="352"/>
      <c r="BJ119" s="352"/>
      <c r="BK119" s="470"/>
      <c r="BL119" s="339"/>
      <c r="BM119" s="339"/>
      <c r="BN119" s="182"/>
      <c r="BO119" s="182"/>
      <c r="BP119" s="182"/>
      <c r="BQ119" s="182"/>
      <c r="BR119" s="182"/>
      <c r="BS119" s="182"/>
      <c r="BT119" s="182"/>
      <c r="BU119" s="182"/>
      <c r="BV119" s="182"/>
      <c r="BW119" s="182"/>
      <c r="BX119" s="182"/>
      <c r="BY119" s="182"/>
      <c r="BZ119" s="182"/>
      <c r="CA119" s="182"/>
      <c r="CB119" s="182"/>
      <c r="CC119" s="182"/>
      <c r="CD119" s="182"/>
      <c r="CE119" s="182"/>
      <c r="CF119" s="182"/>
      <c r="CG119" s="182"/>
      <c r="CH119" s="182"/>
      <c r="CI119" s="182"/>
      <c r="CJ119" s="182"/>
      <c r="CK119" s="621"/>
      <c r="CL119" s="622"/>
      <c r="CM119" s="623"/>
    </row>
    <row r="120" spans="1:91" s="344" customFormat="1">
      <c r="A120" s="335" t="s">
        <v>213</v>
      </c>
      <c r="B120" s="519" t="s">
        <v>100</v>
      </c>
      <c r="C120" s="519" t="s">
        <v>100</v>
      </c>
      <c r="D120" s="182"/>
      <c r="E120" s="519" t="s">
        <v>100</v>
      </c>
      <c r="F120" s="519"/>
      <c r="G120" s="519"/>
      <c r="H120" s="519" t="s">
        <v>100</v>
      </c>
      <c r="I120" s="519"/>
      <c r="J120" s="519"/>
      <c r="K120" s="519"/>
      <c r="L120" s="519"/>
      <c r="M120" s="519" t="s">
        <v>100</v>
      </c>
      <c r="N120" s="519"/>
      <c r="O120" s="519"/>
      <c r="P120" s="519" t="s">
        <v>100</v>
      </c>
      <c r="Q120" s="519"/>
      <c r="R120" s="519"/>
      <c r="S120" s="519"/>
      <c r="T120" s="519"/>
      <c r="U120" s="519"/>
      <c r="V120" s="519"/>
      <c r="W120" s="182"/>
      <c r="X120" s="182"/>
      <c r="Y120" s="182"/>
      <c r="Z120" s="182"/>
      <c r="AA120" s="182"/>
      <c r="AB120" s="182"/>
      <c r="AC120" s="182"/>
      <c r="AD120" s="182"/>
      <c r="AE120" s="182"/>
      <c r="AF120" s="182"/>
      <c r="AG120" s="182"/>
      <c r="AH120" s="182"/>
      <c r="AI120" s="167">
        <f t="shared" si="43"/>
        <v>6</v>
      </c>
      <c r="AJ120" s="340" t="str">
        <f>HYPERLINK("https://twitter.com/Telegraph_AlanG/status/956298900016717824", "Twitter")</f>
        <v>Twitter</v>
      </c>
      <c r="AK120" s="341">
        <v>43124</v>
      </c>
      <c r="AL120" s="352"/>
      <c r="AM120" s="352"/>
      <c r="AN120" s="352"/>
      <c r="AO120" s="352"/>
      <c r="AP120" s="352"/>
      <c r="AQ120" s="352"/>
      <c r="AR120" s="352"/>
      <c r="AS120" s="352"/>
      <c r="AT120" s="352"/>
      <c r="AU120" s="352"/>
      <c r="AV120" s="352"/>
      <c r="AW120" s="352"/>
      <c r="AX120" s="352"/>
      <c r="AY120" s="352"/>
      <c r="AZ120" s="352"/>
      <c r="BA120" s="352"/>
      <c r="BB120" s="352"/>
      <c r="BC120" s="352"/>
      <c r="BD120" s="352"/>
      <c r="BE120" s="352"/>
      <c r="BF120" s="352"/>
      <c r="BG120" s="352"/>
      <c r="BH120" s="352"/>
      <c r="BI120" s="352"/>
      <c r="BJ120" s="352"/>
      <c r="BK120" s="470"/>
      <c r="BL120" s="339"/>
      <c r="BM120" s="339"/>
      <c r="BN120" s="182"/>
      <c r="BO120" s="182"/>
      <c r="BP120" s="182"/>
      <c r="BQ120" s="182"/>
      <c r="BR120" s="182"/>
      <c r="BS120" s="182"/>
      <c r="BT120" s="182"/>
      <c r="BU120" s="182"/>
      <c r="BV120" s="182"/>
      <c r="BW120" s="182"/>
      <c r="BX120" s="182"/>
      <c r="BY120" s="182"/>
      <c r="BZ120" s="182"/>
      <c r="CA120" s="182"/>
      <c r="CB120" s="182"/>
      <c r="CC120" s="182"/>
      <c r="CD120" s="182"/>
      <c r="CE120" s="182"/>
      <c r="CF120" s="182"/>
      <c r="CG120" s="182"/>
      <c r="CH120" s="182"/>
      <c r="CI120" s="182"/>
      <c r="CJ120" s="182"/>
      <c r="CK120" s="621"/>
      <c r="CL120" s="622"/>
      <c r="CM120" s="623"/>
    </row>
    <row r="121" spans="1:91" s="344" customFormat="1">
      <c r="A121" s="335" t="s">
        <v>214</v>
      </c>
      <c r="B121" s="519"/>
      <c r="C121" s="519"/>
      <c r="D121" s="182"/>
      <c r="E121" s="519" t="s">
        <v>100</v>
      </c>
      <c r="F121" s="519" t="s">
        <v>100</v>
      </c>
      <c r="G121" s="519"/>
      <c r="H121" s="519" t="s">
        <v>100</v>
      </c>
      <c r="I121" s="519"/>
      <c r="J121" s="519" t="s">
        <v>100</v>
      </c>
      <c r="K121" s="519"/>
      <c r="L121" s="519" t="s">
        <v>100</v>
      </c>
      <c r="M121" s="519"/>
      <c r="N121" s="519"/>
      <c r="O121" s="519"/>
      <c r="P121" s="519"/>
      <c r="Q121" s="519"/>
      <c r="R121" s="519"/>
      <c r="S121" s="519" t="s">
        <v>100</v>
      </c>
      <c r="T121" s="519" t="s">
        <v>100</v>
      </c>
      <c r="U121" s="519"/>
      <c r="V121" s="519"/>
      <c r="W121" s="182"/>
      <c r="X121" s="182"/>
      <c r="Y121" s="182"/>
      <c r="Z121" s="182"/>
      <c r="AA121" s="182"/>
      <c r="AB121" s="182"/>
      <c r="AC121" s="182"/>
      <c r="AD121" s="182"/>
      <c r="AE121" s="182"/>
      <c r="AF121" s="182"/>
      <c r="AG121" s="182"/>
      <c r="AH121" s="182"/>
      <c r="AI121" s="167">
        <f t="shared" si="43"/>
        <v>7</v>
      </c>
      <c r="AJ121" s="340" t="str">
        <f>HYPERLINK("http://www.dailyherald.com/sports/20171230/why-white-sox-slugger-jim-thome-deserves-to-be-a-first-ballot-hall-of-famer","Daily Herald")</f>
        <v>Daily Herald</v>
      </c>
      <c r="AK121" s="341">
        <v>43099</v>
      </c>
      <c r="AL121" s="352"/>
      <c r="AM121" s="352"/>
      <c r="AN121" s="352"/>
      <c r="AO121" s="352"/>
      <c r="AP121" s="352"/>
      <c r="AQ121" s="352"/>
      <c r="AR121" s="352"/>
      <c r="AS121" s="352"/>
      <c r="AT121" s="352"/>
      <c r="AU121" s="352"/>
      <c r="AV121" s="352"/>
      <c r="AW121" s="352"/>
      <c r="AX121" s="352"/>
      <c r="AY121" s="352"/>
      <c r="AZ121" s="352"/>
      <c r="BA121" s="352"/>
      <c r="BB121" s="352"/>
      <c r="BC121" s="352"/>
      <c r="BD121" s="352"/>
      <c r="BE121" s="352"/>
      <c r="BF121" s="352"/>
      <c r="BG121" s="352"/>
      <c r="BH121" s="352"/>
      <c r="BI121" s="352"/>
      <c r="BJ121" s="352"/>
      <c r="BK121" s="470"/>
      <c r="BL121" s="339"/>
      <c r="BM121" s="339"/>
      <c r="BN121" s="182"/>
      <c r="BO121" s="182"/>
      <c r="BP121" s="182"/>
      <c r="BQ121" s="182"/>
      <c r="BR121" s="182"/>
      <c r="BS121" s="182"/>
      <c r="BT121" s="182"/>
      <c r="BU121" s="182"/>
      <c r="BV121" s="182"/>
      <c r="BW121" s="182"/>
      <c r="BX121" s="182"/>
      <c r="BY121" s="182"/>
      <c r="BZ121" s="182"/>
      <c r="CA121" s="182"/>
      <c r="CB121" s="182"/>
      <c r="CC121" s="182"/>
      <c r="CD121" s="182"/>
      <c r="CE121" s="182"/>
      <c r="CF121" s="182"/>
      <c r="CG121" s="182"/>
      <c r="CH121" s="182"/>
      <c r="CI121" s="182"/>
      <c r="CJ121" s="182"/>
      <c r="CK121" s="621"/>
      <c r="CL121" s="622"/>
      <c r="CM121" s="623"/>
    </row>
    <row r="122" spans="1:91" s="344" customFormat="1">
      <c r="A122" s="335" t="s">
        <v>215</v>
      </c>
      <c r="B122" s="519" t="s">
        <v>100</v>
      </c>
      <c r="C122" s="519" t="s">
        <v>100</v>
      </c>
      <c r="D122" s="182"/>
      <c r="E122" s="519" t="s">
        <v>100</v>
      </c>
      <c r="F122" s="519" t="s">
        <v>100</v>
      </c>
      <c r="G122" s="519"/>
      <c r="H122" s="519" t="s">
        <v>100</v>
      </c>
      <c r="I122" s="519"/>
      <c r="J122" s="522" t="s">
        <v>100</v>
      </c>
      <c r="K122" s="519"/>
      <c r="L122" s="519"/>
      <c r="M122" s="519"/>
      <c r="N122" s="519"/>
      <c r="O122" s="519"/>
      <c r="P122" s="519"/>
      <c r="Q122" s="519"/>
      <c r="R122" s="519"/>
      <c r="S122" s="519" t="s">
        <v>100</v>
      </c>
      <c r="T122" s="519" t="s">
        <v>100</v>
      </c>
      <c r="U122" s="519"/>
      <c r="V122" s="519" t="s">
        <v>100</v>
      </c>
      <c r="W122" s="182"/>
      <c r="X122" s="182"/>
      <c r="Y122" s="182"/>
      <c r="Z122" s="182"/>
      <c r="AA122" s="182"/>
      <c r="AB122" s="182"/>
      <c r="AC122" s="182"/>
      <c r="AD122" s="182"/>
      <c r="AE122" s="182"/>
      <c r="AF122" s="182"/>
      <c r="AG122" s="182"/>
      <c r="AH122" s="182"/>
      <c r="AI122" s="167">
        <f t="shared" si="43"/>
        <v>9</v>
      </c>
      <c r="AJ122" s="340" t="str">
        <f>HYPERLINK("https://www.thestar.com/sports/baseball/opinion/2018/01/23/making-the-baseball-hall-of-fame-case-for-nine-men-in.html","Toronto Star")</f>
        <v>Toronto Star</v>
      </c>
      <c r="AK122" s="341">
        <v>43123</v>
      </c>
      <c r="AL122" s="352"/>
      <c r="AM122" s="352"/>
      <c r="AN122" s="352"/>
      <c r="AO122" s="352"/>
      <c r="AP122" s="352"/>
      <c r="AQ122" s="352"/>
      <c r="AR122" s="352"/>
      <c r="AS122" s="352"/>
      <c r="AT122" s="352"/>
      <c r="AU122" s="352"/>
      <c r="AV122" s="352"/>
      <c r="AW122" s="352"/>
      <c r="AX122" s="352"/>
      <c r="AY122" s="352"/>
      <c r="AZ122" s="352"/>
      <c r="BA122" s="352"/>
      <c r="BB122" s="352"/>
      <c r="BC122" s="352"/>
      <c r="BD122" s="352"/>
      <c r="BE122" s="352"/>
      <c r="BF122" s="352"/>
      <c r="BG122" s="352"/>
      <c r="BH122" s="352"/>
      <c r="BI122" s="352"/>
      <c r="BJ122" s="352"/>
      <c r="BK122" s="470"/>
      <c r="BL122" s="339"/>
      <c r="BM122" s="339"/>
      <c r="BN122" s="182"/>
      <c r="BO122" s="182"/>
      <c r="BP122" s="182"/>
      <c r="BQ122" s="182"/>
      <c r="BR122" s="182"/>
      <c r="BS122" s="182"/>
      <c r="BT122" s="182"/>
      <c r="BU122" s="182"/>
      <c r="BV122" s="182"/>
      <c r="BW122" s="182"/>
      <c r="BX122" s="182"/>
      <c r="BY122" s="182"/>
      <c r="BZ122" s="182"/>
      <c r="CA122" s="182"/>
      <c r="CB122" s="182"/>
      <c r="CC122" s="182"/>
      <c r="CD122" s="182"/>
      <c r="CE122" s="182"/>
      <c r="CF122" s="182"/>
      <c r="CG122" s="182"/>
      <c r="CH122" s="182"/>
      <c r="CI122" s="182"/>
      <c r="CJ122" s="182"/>
      <c r="CK122" s="621"/>
      <c r="CL122" s="622"/>
      <c r="CM122" s="623"/>
    </row>
    <row r="123" spans="1:91" s="344" customFormat="1">
      <c r="A123" s="335" t="s">
        <v>216</v>
      </c>
      <c r="B123" s="519"/>
      <c r="C123" s="519"/>
      <c r="D123" s="182"/>
      <c r="E123" s="519" t="s">
        <v>100</v>
      </c>
      <c r="F123" s="519" t="s">
        <v>100</v>
      </c>
      <c r="G123" s="519"/>
      <c r="H123" s="519" t="s">
        <v>100</v>
      </c>
      <c r="I123" s="519"/>
      <c r="J123" s="519"/>
      <c r="K123" s="519"/>
      <c r="L123" s="519" t="s">
        <v>100</v>
      </c>
      <c r="M123" s="519"/>
      <c r="N123" s="519"/>
      <c r="O123" s="519"/>
      <c r="P123" s="519" t="s">
        <v>100</v>
      </c>
      <c r="Q123" s="519"/>
      <c r="R123" s="519"/>
      <c r="S123" s="519" t="s">
        <v>100</v>
      </c>
      <c r="T123" s="519" t="s">
        <v>100</v>
      </c>
      <c r="U123" s="519"/>
      <c r="V123" s="519"/>
      <c r="W123" s="182"/>
      <c r="X123" s="182"/>
      <c r="Y123" s="182"/>
      <c r="Z123" s="182"/>
      <c r="AA123" s="182"/>
      <c r="AB123" s="182"/>
      <c r="AC123" s="182"/>
      <c r="AD123" s="182"/>
      <c r="AE123" s="182"/>
      <c r="AF123" s="182"/>
      <c r="AG123" s="182"/>
      <c r="AH123" s="182"/>
      <c r="AI123" s="167">
        <f t="shared" si="43"/>
        <v>7</v>
      </c>
      <c r="AJ123" s="530" t="s">
        <v>113</v>
      </c>
      <c r="AK123" s="341">
        <v>43091</v>
      </c>
      <c r="AL123" s="352"/>
      <c r="AM123" s="352"/>
      <c r="AN123" s="352"/>
      <c r="AO123" s="352"/>
      <c r="AP123" s="352"/>
      <c r="AQ123" s="352"/>
      <c r="AR123" s="352"/>
      <c r="AS123" s="352"/>
      <c r="AT123" s="352"/>
      <c r="AU123" s="352"/>
      <c r="AV123" s="352"/>
      <c r="AW123" s="352"/>
      <c r="AX123" s="352"/>
      <c r="AY123" s="352"/>
      <c r="AZ123" s="352"/>
      <c r="BA123" s="352"/>
      <c r="BB123" s="352"/>
      <c r="BC123" s="352"/>
      <c r="BD123" s="352"/>
      <c r="BE123" s="352"/>
      <c r="BF123" s="352"/>
      <c r="BG123" s="352"/>
      <c r="BH123" s="352"/>
      <c r="BI123" s="352"/>
      <c r="BJ123" s="352"/>
      <c r="BK123" s="470"/>
      <c r="BL123" s="339"/>
      <c r="BM123" s="339"/>
      <c r="BN123" s="182"/>
      <c r="BO123" s="182"/>
      <c r="BP123" s="182"/>
      <c r="BQ123" s="182"/>
      <c r="BR123" s="182"/>
      <c r="BS123" s="182"/>
      <c r="BT123" s="182"/>
      <c r="BU123" s="182"/>
      <c r="BV123" s="182"/>
      <c r="BW123" s="182"/>
      <c r="BX123" s="182"/>
      <c r="BY123" s="182"/>
      <c r="BZ123" s="182"/>
      <c r="CA123" s="182"/>
      <c r="CB123" s="182"/>
      <c r="CC123" s="182"/>
      <c r="CD123" s="182"/>
      <c r="CE123" s="182"/>
      <c r="CF123" s="182"/>
      <c r="CG123" s="182"/>
      <c r="CH123" s="182"/>
      <c r="CI123" s="182"/>
      <c r="CJ123" s="182"/>
      <c r="CK123" s="621"/>
      <c r="CL123" s="622"/>
      <c r="CM123" s="623"/>
    </row>
    <row r="124" spans="1:91" s="344" customFormat="1">
      <c r="A124" s="335" t="s">
        <v>217</v>
      </c>
      <c r="B124" s="519"/>
      <c r="C124" s="519"/>
      <c r="D124" s="182"/>
      <c r="E124" s="519" t="s">
        <v>100</v>
      </c>
      <c r="F124" s="519" t="s">
        <v>100</v>
      </c>
      <c r="G124" s="519"/>
      <c r="H124" s="519" t="s">
        <v>100</v>
      </c>
      <c r="I124" s="519" t="s">
        <v>100</v>
      </c>
      <c r="J124" s="519" t="s">
        <v>100</v>
      </c>
      <c r="K124" s="519"/>
      <c r="L124" s="519"/>
      <c r="M124" s="519"/>
      <c r="N124" s="519"/>
      <c r="O124" s="519"/>
      <c r="P124" s="519"/>
      <c r="Q124" s="519"/>
      <c r="R124" s="519"/>
      <c r="S124" s="519" t="s">
        <v>100</v>
      </c>
      <c r="T124" s="519" t="s">
        <v>100</v>
      </c>
      <c r="U124" s="519"/>
      <c r="V124" s="519"/>
      <c r="W124" s="182"/>
      <c r="X124" s="182"/>
      <c r="Y124" s="182"/>
      <c r="Z124" s="182"/>
      <c r="AA124" s="182"/>
      <c r="AB124" s="182"/>
      <c r="AC124" s="182"/>
      <c r="AD124" s="182"/>
      <c r="AE124" s="182"/>
      <c r="AF124" s="182"/>
      <c r="AG124" s="182"/>
      <c r="AH124" s="182"/>
      <c r="AI124" s="167">
        <f t="shared" si="43"/>
        <v>7</v>
      </c>
      <c r="AJ124" s="340" t="str">
        <f>HYPERLINK("http://www.espn.com/mlb/story/_/id/22119468/espn-2018-hall-fame-ballot-did-our-voters-pick","ESPN group reveal")</f>
        <v>ESPN group reveal</v>
      </c>
      <c r="AK124" s="341">
        <v>43123</v>
      </c>
      <c r="AL124" s="352"/>
      <c r="AM124" s="352"/>
      <c r="AN124" s="352"/>
      <c r="AO124" s="352"/>
      <c r="AP124" s="352"/>
      <c r="AQ124" s="352"/>
      <c r="AR124" s="352"/>
      <c r="AS124" s="352"/>
      <c r="AT124" s="352"/>
      <c r="AU124" s="352"/>
      <c r="AV124" s="352"/>
      <c r="AW124" s="352"/>
      <c r="AX124" s="352"/>
      <c r="AY124" s="352"/>
      <c r="AZ124" s="352"/>
      <c r="BA124" s="352"/>
      <c r="BB124" s="352"/>
      <c r="BC124" s="352"/>
      <c r="BD124" s="352"/>
      <c r="BE124" s="352"/>
      <c r="BF124" s="352"/>
      <c r="BG124" s="352"/>
      <c r="BH124" s="352"/>
      <c r="BI124" s="352"/>
      <c r="BJ124" s="352"/>
      <c r="BK124" s="470"/>
      <c r="BL124" s="339"/>
      <c r="BM124" s="339"/>
      <c r="BN124" s="182"/>
      <c r="BO124" s="182"/>
      <c r="BP124" s="182"/>
      <c r="BQ124" s="182"/>
      <c r="BR124" s="182"/>
      <c r="BS124" s="182"/>
      <c r="BT124" s="182"/>
      <c r="BU124" s="182"/>
      <c r="BV124" s="182"/>
      <c r="BW124" s="182"/>
      <c r="BX124" s="182"/>
      <c r="BY124" s="182"/>
      <c r="BZ124" s="182"/>
      <c r="CA124" s="182"/>
      <c r="CB124" s="182"/>
      <c r="CC124" s="182"/>
      <c r="CD124" s="182"/>
      <c r="CE124" s="182"/>
      <c r="CF124" s="182"/>
      <c r="CG124" s="182"/>
      <c r="CH124" s="182"/>
      <c r="CI124" s="182"/>
      <c r="CJ124" s="182"/>
      <c r="CK124" s="621"/>
      <c r="CL124" s="622"/>
      <c r="CM124" s="623"/>
    </row>
    <row r="125" spans="1:91" s="344" customFormat="1">
      <c r="A125" s="335" t="s">
        <v>218</v>
      </c>
      <c r="B125" s="519"/>
      <c r="C125" s="519"/>
      <c r="D125" s="182"/>
      <c r="E125" s="519" t="s">
        <v>100</v>
      </c>
      <c r="F125" s="519" t="s">
        <v>100</v>
      </c>
      <c r="G125" s="519"/>
      <c r="H125" s="519" t="s">
        <v>100</v>
      </c>
      <c r="I125" s="522" t="s">
        <v>100</v>
      </c>
      <c r="J125" s="519" t="s">
        <v>100</v>
      </c>
      <c r="K125" s="519" t="s">
        <v>100</v>
      </c>
      <c r="L125" s="522" t="s">
        <v>100</v>
      </c>
      <c r="M125" s="523"/>
      <c r="N125" s="519"/>
      <c r="O125" s="519"/>
      <c r="P125" s="519" t="s">
        <v>100</v>
      </c>
      <c r="Q125" s="519"/>
      <c r="R125" s="519"/>
      <c r="S125" s="519" t="s">
        <v>100</v>
      </c>
      <c r="T125" s="519"/>
      <c r="U125" s="519"/>
      <c r="V125" s="522" t="s">
        <v>100</v>
      </c>
      <c r="W125" s="182"/>
      <c r="X125" s="182"/>
      <c r="Y125" s="182"/>
      <c r="Z125" s="182"/>
      <c r="AA125" s="182"/>
      <c r="AB125" s="182"/>
      <c r="AC125" s="182"/>
      <c r="AD125" s="182"/>
      <c r="AE125" s="182"/>
      <c r="AF125" s="182"/>
      <c r="AG125" s="182"/>
      <c r="AH125" s="182"/>
      <c r="AI125" s="167">
        <f t="shared" si="43"/>
        <v>10</v>
      </c>
      <c r="AJ125" s="340" t="str">
        <f>HYPERLINK("https://twitter.com/JoeHaakenson/status/943254192969334784","Twitter")</f>
        <v>Twitter</v>
      </c>
      <c r="AK125" s="341">
        <v>43088</v>
      </c>
      <c r="AL125" s="352"/>
      <c r="AM125" s="352"/>
      <c r="AN125" s="352"/>
      <c r="AO125" s="352"/>
      <c r="AP125" s="352"/>
      <c r="AQ125" s="352"/>
      <c r="AR125" s="352"/>
      <c r="AS125" s="352"/>
      <c r="AT125" s="352"/>
      <c r="AU125" s="352"/>
      <c r="AV125" s="352"/>
      <c r="AW125" s="352"/>
      <c r="AX125" s="352"/>
      <c r="AY125" s="352"/>
      <c r="AZ125" s="352"/>
      <c r="BA125" s="352"/>
      <c r="BB125" s="352"/>
      <c r="BC125" s="352"/>
      <c r="BD125" s="352"/>
      <c r="BE125" s="352"/>
      <c r="BF125" s="352"/>
      <c r="BG125" s="352"/>
      <c r="BH125" s="352"/>
      <c r="BI125" s="352"/>
      <c r="BJ125" s="352"/>
      <c r="BK125" s="470"/>
      <c r="BL125" s="339"/>
      <c r="BM125" s="339"/>
      <c r="BN125" s="182"/>
      <c r="BO125" s="182"/>
      <c r="BP125" s="182"/>
      <c r="BQ125" s="182"/>
      <c r="BR125" s="182"/>
      <c r="BS125" s="182"/>
      <c r="BT125" s="182"/>
      <c r="BU125" s="182"/>
      <c r="BV125" s="182"/>
      <c r="BW125" s="182"/>
      <c r="BX125" s="182"/>
      <c r="BY125" s="182"/>
      <c r="BZ125" s="182"/>
      <c r="CA125" s="182"/>
      <c r="CB125" s="182"/>
      <c r="CC125" s="182"/>
      <c r="CD125" s="182"/>
      <c r="CE125" s="182"/>
      <c r="CF125" s="182"/>
      <c r="CG125" s="182"/>
      <c r="CH125" s="182"/>
      <c r="CI125" s="182"/>
      <c r="CJ125" s="182"/>
      <c r="CK125" s="621"/>
      <c r="CL125" s="622"/>
      <c r="CM125" s="623"/>
    </row>
    <row r="126" spans="1:91" s="344" customFormat="1">
      <c r="A126" s="335" t="s">
        <v>219</v>
      </c>
      <c r="B126" s="519" t="s">
        <v>100</v>
      </c>
      <c r="C126" s="519" t="s">
        <v>100</v>
      </c>
      <c r="D126" s="182"/>
      <c r="E126" s="519" t="s">
        <v>100</v>
      </c>
      <c r="F126" s="519" t="s">
        <v>100</v>
      </c>
      <c r="G126" s="519"/>
      <c r="H126" s="519" t="s">
        <v>100</v>
      </c>
      <c r="I126" s="519" t="s">
        <v>100</v>
      </c>
      <c r="J126" s="522" t="s">
        <v>100</v>
      </c>
      <c r="K126" s="519"/>
      <c r="L126" s="522" t="s">
        <v>100</v>
      </c>
      <c r="M126" s="523"/>
      <c r="N126" s="519"/>
      <c r="O126" s="519"/>
      <c r="P126" s="519"/>
      <c r="Q126" s="519"/>
      <c r="R126" s="519"/>
      <c r="S126" s="519" t="s">
        <v>100</v>
      </c>
      <c r="T126" s="519" t="s">
        <v>100</v>
      </c>
      <c r="U126" s="519"/>
      <c r="V126" s="519"/>
      <c r="W126" s="182"/>
      <c r="X126" s="182"/>
      <c r="Y126" s="182"/>
      <c r="Z126" s="182"/>
      <c r="AA126" s="182"/>
      <c r="AB126" s="182"/>
      <c r="AC126" s="182"/>
      <c r="AD126" s="182"/>
      <c r="AE126" s="182"/>
      <c r="AF126" s="182"/>
      <c r="AG126" s="182"/>
      <c r="AH126" s="182"/>
      <c r="AI126" s="167">
        <f t="shared" si="43"/>
        <v>10</v>
      </c>
      <c r="AJ126" s="340" t="str">
        <f>HYPERLINK("https://www.mlb.com/news/mlb-writers-reveal-ballots-for-hall-of-fame/c-265122964","MLB.com Group Reveal")</f>
        <v>MLB.com Group Reveal</v>
      </c>
      <c r="AK126" s="341">
        <v>43122</v>
      </c>
      <c r="AL126" s="352"/>
      <c r="AM126" s="352"/>
      <c r="AN126" s="352"/>
      <c r="AO126" s="352"/>
      <c r="AP126" s="352"/>
      <c r="AQ126" s="352"/>
      <c r="AR126" s="352"/>
      <c r="AS126" s="352"/>
      <c r="AT126" s="352"/>
      <c r="AU126" s="352"/>
      <c r="AV126" s="352"/>
      <c r="AW126" s="352"/>
      <c r="AX126" s="352"/>
      <c r="AY126" s="352"/>
      <c r="AZ126" s="352"/>
      <c r="BA126" s="352"/>
      <c r="BB126" s="352"/>
      <c r="BC126" s="352"/>
      <c r="BD126" s="352"/>
      <c r="BE126" s="352"/>
      <c r="BF126" s="352"/>
      <c r="BG126" s="352"/>
      <c r="BH126" s="352"/>
      <c r="BI126" s="352"/>
      <c r="BJ126" s="352"/>
      <c r="BK126" s="470"/>
      <c r="BL126" s="339"/>
      <c r="BM126" s="339"/>
      <c r="BN126" s="182"/>
      <c r="BO126" s="182"/>
      <c r="BP126" s="182"/>
      <c r="BQ126" s="182"/>
      <c r="BR126" s="182"/>
      <c r="BS126" s="182"/>
      <c r="BT126" s="182"/>
      <c r="BU126" s="182"/>
      <c r="BV126" s="182"/>
      <c r="BW126" s="182"/>
      <c r="BX126" s="182"/>
      <c r="BY126" s="182"/>
      <c r="BZ126" s="182"/>
      <c r="CA126" s="182"/>
      <c r="CB126" s="182"/>
      <c r="CC126" s="182"/>
      <c r="CD126" s="182"/>
      <c r="CE126" s="182"/>
      <c r="CF126" s="182"/>
      <c r="CG126" s="182"/>
      <c r="CH126" s="182"/>
      <c r="CI126" s="182"/>
      <c r="CJ126" s="182"/>
      <c r="CK126" s="621"/>
      <c r="CL126" s="622"/>
      <c r="CM126" s="623"/>
    </row>
    <row r="127" spans="1:91" s="344" customFormat="1">
      <c r="A127" s="335" t="s">
        <v>220</v>
      </c>
      <c r="B127" s="519" t="s">
        <v>100</v>
      </c>
      <c r="C127" s="519" t="s">
        <v>100</v>
      </c>
      <c r="D127" s="182"/>
      <c r="E127" s="519" t="s">
        <v>100</v>
      </c>
      <c r="F127" s="519" t="s">
        <v>100</v>
      </c>
      <c r="G127" s="519"/>
      <c r="H127" s="519" t="s">
        <v>100</v>
      </c>
      <c r="I127" s="519"/>
      <c r="J127" s="519"/>
      <c r="K127" s="523"/>
      <c r="L127" s="519"/>
      <c r="M127" s="519"/>
      <c r="N127" s="519" t="s">
        <v>100</v>
      </c>
      <c r="O127" s="519"/>
      <c r="P127" s="522" t="s">
        <v>100</v>
      </c>
      <c r="Q127" s="519"/>
      <c r="R127" s="519"/>
      <c r="S127" s="519" t="s">
        <v>100</v>
      </c>
      <c r="T127" s="519"/>
      <c r="U127" s="519" t="s">
        <v>100</v>
      </c>
      <c r="V127" s="522" t="s">
        <v>100</v>
      </c>
      <c r="W127" s="182"/>
      <c r="X127" s="182"/>
      <c r="Y127" s="182"/>
      <c r="Z127" s="182"/>
      <c r="AA127" s="182"/>
      <c r="AB127" s="182"/>
      <c r="AC127" s="182"/>
      <c r="AD127" s="182"/>
      <c r="AE127" s="182"/>
      <c r="AF127" s="182"/>
      <c r="AG127" s="182"/>
      <c r="AH127" s="182"/>
      <c r="AI127" s="167">
        <f t="shared" si="43"/>
        <v>10</v>
      </c>
      <c r="AJ127" s="340" t="str">
        <f>HYPERLINK("https://www.mlb.com/news/mlb-writers-reveal-ballots-for-hall-of-fame/c-265122964","MLB.com Group Reveal")</f>
        <v>MLB.com Group Reveal</v>
      </c>
      <c r="AK127" s="341">
        <v>43122</v>
      </c>
      <c r="AL127" s="352"/>
      <c r="AM127" s="352"/>
      <c r="AN127" s="352"/>
      <c r="AO127" s="352"/>
      <c r="AP127" s="352"/>
      <c r="AQ127" s="352"/>
      <c r="AR127" s="352"/>
      <c r="AS127" s="352"/>
      <c r="AT127" s="352"/>
      <c r="AU127" s="352"/>
      <c r="AV127" s="352"/>
      <c r="AW127" s="352"/>
      <c r="AX127" s="352"/>
      <c r="AY127" s="352"/>
      <c r="AZ127" s="352"/>
      <c r="BA127" s="352"/>
      <c r="BB127" s="352"/>
      <c r="BC127" s="352"/>
      <c r="BD127" s="352"/>
      <c r="BE127" s="352"/>
      <c r="BF127" s="352"/>
      <c r="BG127" s="352"/>
      <c r="BH127" s="352"/>
      <c r="BI127" s="352"/>
      <c r="BJ127" s="352"/>
      <c r="BK127" s="470"/>
      <c r="BL127" s="339"/>
      <c r="BM127" s="339"/>
      <c r="BN127" s="182"/>
      <c r="BO127" s="182"/>
      <c r="BP127" s="182"/>
      <c r="BQ127" s="182"/>
      <c r="BR127" s="182"/>
      <c r="BS127" s="182"/>
      <c r="BT127" s="182"/>
      <c r="BU127" s="182"/>
      <c r="BV127" s="182"/>
      <c r="BW127" s="182"/>
      <c r="BX127" s="182"/>
      <c r="BY127" s="182"/>
      <c r="BZ127" s="182"/>
      <c r="CA127" s="182"/>
      <c r="CB127" s="182"/>
      <c r="CC127" s="182"/>
      <c r="CD127" s="182"/>
      <c r="CE127" s="182"/>
      <c r="CF127" s="182"/>
      <c r="CG127" s="182"/>
      <c r="CH127" s="182"/>
      <c r="CI127" s="182"/>
      <c r="CJ127" s="182"/>
      <c r="CK127" s="621"/>
      <c r="CL127" s="622"/>
      <c r="CM127" s="623"/>
    </row>
    <row r="128" spans="1:91" s="344" customFormat="1">
      <c r="A128" s="335" t="s">
        <v>221</v>
      </c>
      <c r="B128" s="519" t="s">
        <v>100</v>
      </c>
      <c r="C128" s="519" t="s">
        <v>100</v>
      </c>
      <c r="D128" s="182"/>
      <c r="E128" s="519" t="s">
        <v>100</v>
      </c>
      <c r="F128" s="519"/>
      <c r="G128" s="519"/>
      <c r="H128" s="519" t="s">
        <v>100</v>
      </c>
      <c r="I128" s="519"/>
      <c r="J128" s="519" t="s">
        <v>100</v>
      </c>
      <c r="K128" s="519"/>
      <c r="L128" s="519" t="s">
        <v>100</v>
      </c>
      <c r="M128" s="519" t="s">
        <v>100</v>
      </c>
      <c r="N128" s="519"/>
      <c r="O128" s="519"/>
      <c r="P128" s="519" t="s">
        <v>100</v>
      </c>
      <c r="Q128" s="519"/>
      <c r="R128" s="519"/>
      <c r="S128" s="519" t="s">
        <v>100</v>
      </c>
      <c r="T128" s="519"/>
      <c r="U128" s="519"/>
      <c r="V128" s="519" t="s">
        <v>100</v>
      </c>
      <c r="W128" s="182"/>
      <c r="X128" s="182"/>
      <c r="Y128" s="182"/>
      <c r="Z128" s="182"/>
      <c r="AA128" s="182"/>
      <c r="AB128" s="182"/>
      <c r="AC128" s="182"/>
      <c r="AD128" s="182"/>
      <c r="AE128" s="182"/>
      <c r="AF128" s="182"/>
      <c r="AG128" s="182"/>
      <c r="AH128" s="182"/>
      <c r="AI128" s="167">
        <f t="shared" si="43"/>
        <v>10</v>
      </c>
      <c r="AJ128" s="340" t="str">
        <f>HYPERLINK("https://twitter.com/HaleMark/status/941360426398420993","Twitter")</f>
        <v>Twitter</v>
      </c>
      <c r="AK128" s="341">
        <v>43083</v>
      </c>
      <c r="AL128" s="352"/>
      <c r="AM128" s="352"/>
      <c r="AN128" s="352"/>
      <c r="AO128" s="352"/>
      <c r="AP128" s="352"/>
      <c r="AQ128" s="352"/>
      <c r="AR128" s="352"/>
      <c r="AS128" s="352"/>
      <c r="AT128" s="352"/>
      <c r="AU128" s="352"/>
      <c r="AV128" s="352"/>
      <c r="AW128" s="352"/>
      <c r="AX128" s="352"/>
      <c r="AY128" s="352"/>
      <c r="AZ128" s="352"/>
      <c r="BA128" s="352"/>
      <c r="BB128" s="352"/>
      <c r="BC128" s="352"/>
      <c r="BD128" s="352"/>
      <c r="BE128" s="352"/>
      <c r="BF128" s="352"/>
      <c r="BG128" s="352"/>
      <c r="BH128" s="352"/>
      <c r="BI128" s="352"/>
      <c r="BJ128" s="352"/>
      <c r="BK128" s="470"/>
      <c r="BL128" s="339"/>
      <c r="BM128" s="339"/>
      <c r="BN128" s="182"/>
      <c r="BO128" s="182"/>
      <c r="BP128" s="182"/>
      <c r="BQ128" s="182"/>
      <c r="BR128" s="182"/>
      <c r="BS128" s="182"/>
      <c r="BT128" s="182"/>
      <c r="BU128" s="182"/>
      <c r="BV128" s="182"/>
      <c r="BW128" s="182"/>
      <c r="BX128" s="182"/>
      <c r="BY128" s="182"/>
      <c r="BZ128" s="182"/>
      <c r="CA128" s="182"/>
      <c r="CB128" s="182"/>
      <c r="CC128" s="182"/>
      <c r="CD128" s="182"/>
      <c r="CE128" s="182"/>
      <c r="CF128" s="182"/>
      <c r="CG128" s="182"/>
      <c r="CH128" s="182"/>
      <c r="CI128" s="182"/>
      <c r="CJ128" s="182"/>
      <c r="CK128" s="621"/>
      <c r="CL128" s="622"/>
      <c r="CM128" s="623"/>
    </row>
    <row r="129" spans="1:91" s="344" customFormat="1">
      <c r="A129" s="335" t="s">
        <v>222</v>
      </c>
      <c r="B129" s="519"/>
      <c r="C129" s="519"/>
      <c r="D129" s="182"/>
      <c r="E129" s="519" t="s">
        <v>100</v>
      </c>
      <c r="F129" s="519" t="s">
        <v>100</v>
      </c>
      <c r="G129" s="519"/>
      <c r="H129" s="519" t="s">
        <v>100</v>
      </c>
      <c r="I129" s="519" t="s">
        <v>100</v>
      </c>
      <c r="J129" s="519" t="s">
        <v>100</v>
      </c>
      <c r="K129" s="523"/>
      <c r="L129" s="519" t="s">
        <v>100</v>
      </c>
      <c r="M129" s="519"/>
      <c r="N129" s="519"/>
      <c r="O129" s="519"/>
      <c r="P129" s="519" t="s">
        <v>100</v>
      </c>
      <c r="Q129" s="519"/>
      <c r="R129" s="519"/>
      <c r="S129" s="519" t="s">
        <v>100</v>
      </c>
      <c r="T129" s="519" t="s">
        <v>100</v>
      </c>
      <c r="U129" s="519" t="s">
        <v>100</v>
      </c>
      <c r="V129" s="519"/>
      <c r="W129" s="182"/>
      <c r="X129" s="182"/>
      <c r="Y129" s="182"/>
      <c r="Z129" s="182"/>
      <c r="AA129" s="182"/>
      <c r="AB129" s="182"/>
      <c r="AC129" s="182"/>
      <c r="AD129" s="182"/>
      <c r="AE129" s="182"/>
      <c r="AF129" s="182"/>
      <c r="AG129" s="182"/>
      <c r="AH129" s="182"/>
      <c r="AI129" s="167">
        <f t="shared" si="43"/>
        <v>10</v>
      </c>
      <c r="AJ129" s="530" t="s">
        <v>223</v>
      </c>
      <c r="AK129" s="341">
        <v>43116</v>
      </c>
      <c r="AL129" s="352"/>
      <c r="AM129" s="352"/>
      <c r="AN129" s="352"/>
      <c r="AO129" s="352"/>
      <c r="AP129" s="352"/>
      <c r="AQ129" s="352"/>
      <c r="AR129" s="352"/>
      <c r="AS129" s="352"/>
      <c r="AT129" s="352"/>
      <c r="AU129" s="352"/>
      <c r="AV129" s="352"/>
      <c r="AW129" s="352"/>
      <c r="AX129" s="352"/>
      <c r="AY129" s="352"/>
      <c r="AZ129" s="352"/>
      <c r="BA129" s="352"/>
      <c r="BB129" s="352"/>
      <c r="BC129" s="352"/>
      <c r="BD129" s="352"/>
      <c r="BE129" s="352"/>
      <c r="BF129" s="352"/>
      <c r="BG129" s="352"/>
      <c r="BH129" s="352"/>
      <c r="BI129" s="352"/>
      <c r="BJ129" s="352"/>
      <c r="BK129" s="470"/>
      <c r="BL129" s="339"/>
      <c r="BM129" s="339"/>
      <c r="BN129" s="182"/>
      <c r="BO129" s="182"/>
      <c r="BP129" s="182"/>
      <c r="BQ129" s="182"/>
      <c r="BR129" s="182"/>
      <c r="BS129" s="182"/>
      <c r="BT129" s="182"/>
      <c r="BU129" s="182"/>
      <c r="BV129" s="182"/>
      <c r="BW129" s="182"/>
      <c r="BX129" s="182"/>
      <c r="BY129" s="182"/>
      <c r="BZ129" s="182"/>
      <c r="CA129" s="182"/>
      <c r="CB129" s="182"/>
      <c r="CC129" s="182"/>
      <c r="CD129" s="182"/>
      <c r="CE129" s="182"/>
      <c r="CF129" s="182"/>
      <c r="CG129" s="182"/>
      <c r="CH129" s="182"/>
      <c r="CI129" s="182"/>
      <c r="CJ129" s="182"/>
      <c r="CK129" s="647" t="s">
        <v>224</v>
      </c>
      <c r="CL129" s="648"/>
      <c r="CM129" s="649"/>
    </row>
    <row r="130" spans="1:91" s="344" customFormat="1">
      <c r="A130" s="335" t="s">
        <v>225</v>
      </c>
      <c r="B130" s="519" t="s">
        <v>100</v>
      </c>
      <c r="C130" s="519" t="s">
        <v>100</v>
      </c>
      <c r="D130" s="182"/>
      <c r="E130" s="519" t="s">
        <v>100</v>
      </c>
      <c r="F130" s="519"/>
      <c r="G130" s="519"/>
      <c r="H130" s="519" t="s">
        <v>100</v>
      </c>
      <c r="I130" s="519"/>
      <c r="J130" s="519" t="s">
        <v>100</v>
      </c>
      <c r="K130" s="519" t="s">
        <v>100</v>
      </c>
      <c r="L130" s="519" t="s">
        <v>100</v>
      </c>
      <c r="M130" s="519"/>
      <c r="N130" s="519"/>
      <c r="O130" s="519"/>
      <c r="P130" s="522" t="s">
        <v>100</v>
      </c>
      <c r="Q130" s="519"/>
      <c r="R130" s="519"/>
      <c r="S130" s="519" t="s">
        <v>100</v>
      </c>
      <c r="T130" s="519"/>
      <c r="U130" s="519"/>
      <c r="V130" s="519" t="s">
        <v>100</v>
      </c>
      <c r="W130" s="182"/>
      <c r="X130" s="182"/>
      <c r="Y130" s="182"/>
      <c r="Z130" s="182"/>
      <c r="AA130" s="182"/>
      <c r="AB130" s="182"/>
      <c r="AC130" s="182"/>
      <c r="AD130" s="182"/>
      <c r="AE130" s="182"/>
      <c r="AF130" s="182"/>
      <c r="AG130" s="182"/>
      <c r="AH130" s="182"/>
      <c r="AI130" s="167">
        <f t="shared" si="43"/>
        <v>10</v>
      </c>
      <c r="AJ130" s="340" t="str">
        <f>HYPERLINK("http://buffalonews.com/2018/01/12/inside-baseball-morgan-may-object-but-his-e-mail-doesnt-change-thinking-on-hall-voting/","Buffalo News")</f>
        <v>Buffalo News</v>
      </c>
      <c r="AK130" s="341">
        <v>43111</v>
      </c>
      <c r="AL130" s="352"/>
      <c r="AM130" s="352"/>
      <c r="AN130" s="352"/>
      <c r="AO130" s="352"/>
      <c r="AP130" s="352"/>
      <c r="AQ130" s="352"/>
      <c r="AR130" s="352"/>
      <c r="AS130" s="352"/>
      <c r="AT130" s="352"/>
      <c r="AU130" s="352"/>
      <c r="AV130" s="352"/>
      <c r="AW130" s="352"/>
      <c r="AX130" s="352"/>
      <c r="AY130" s="352"/>
      <c r="AZ130" s="352"/>
      <c r="BA130" s="352"/>
      <c r="BB130" s="352"/>
      <c r="BC130" s="352"/>
      <c r="BD130" s="352"/>
      <c r="BE130" s="352"/>
      <c r="BF130" s="352"/>
      <c r="BG130" s="352"/>
      <c r="BH130" s="352"/>
      <c r="BI130" s="352"/>
      <c r="BJ130" s="352"/>
      <c r="BK130" s="470"/>
      <c r="BL130" s="339"/>
      <c r="BM130" s="339"/>
      <c r="BN130" s="182"/>
      <c r="BO130" s="182"/>
      <c r="BP130" s="182"/>
      <c r="BQ130" s="182"/>
      <c r="BR130" s="182"/>
      <c r="BS130" s="182"/>
      <c r="BT130" s="182"/>
      <c r="BU130" s="182"/>
      <c r="BV130" s="182"/>
      <c r="BW130" s="182"/>
      <c r="BX130" s="182"/>
      <c r="BY130" s="182"/>
      <c r="BZ130" s="182"/>
      <c r="CA130" s="182"/>
      <c r="CB130" s="182"/>
      <c r="CC130" s="182"/>
      <c r="CD130" s="182"/>
      <c r="CE130" s="182"/>
      <c r="CF130" s="182"/>
      <c r="CG130" s="182"/>
      <c r="CH130" s="182"/>
      <c r="CI130" s="182"/>
      <c r="CJ130" s="182"/>
      <c r="CK130" s="647" t="s">
        <v>226</v>
      </c>
      <c r="CL130" s="648"/>
      <c r="CM130" s="649"/>
    </row>
    <row r="131" spans="1:91" s="344" customFormat="1">
      <c r="A131" s="335" t="s">
        <v>227</v>
      </c>
      <c r="B131" s="519"/>
      <c r="C131" s="519"/>
      <c r="D131" s="182"/>
      <c r="E131" s="519" t="s">
        <v>100</v>
      </c>
      <c r="F131" s="519" t="s">
        <v>100</v>
      </c>
      <c r="G131" s="519"/>
      <c r="H131" s="519" t="s">
        <v>100</v>
      </c>
      <c r="I131" s="519"/>
      <c r="J131" s="522" t="s">
        <v>100</v>
      </c>
      <c r="K131" s="519"/>
      <c r="L131" s="519" t="s">
        <v>100</v>
      </c>
      <c r="M131" s="519"/>
      <c r="N131" s="519"/>
      <c r="O131" s="519" t="s">
        <v>100</v>
      </c>
      <c r="P131" s="519" t="s">
        <v>100</v>
      </c>
      <c r="Q131" s="519"/>
      <c r="R131" s="519"/>
      <c r="S131" s="519" t="s">
        <v>100</v>
      </c>
      <c r="T131" s="519"/>
      <c r="U131" s="519" t="s">
        <v>100</v>
      </c>
      <c r="V131" s="519" t="s">
        <v>100</v>
      </c>
      <c r="W131" s="182"/>
      <c r="X131" s="182"/>
      <c r="Y131" s="182"/>
      <c r="Z131" s="182"/>
      <c r="AA131" s="182"/>
      <c r="AB131" s="182"/>
      <c r="AC131" s="182"/>
      <c r="AD131" s="182"/>
      <c r="AE131" s="182"/>
      <c r="AF131" s="182"/>
      <c r="AG131" s="182"/>
      <c r="AH131" s="182"/>
      <c r="AI131" s="167">
        <f t="shared" si="43"/>
        <v>10</v>
      </c>
      <c r="AJ131" s="340" t="str">
        <f>HYPERLINK("https://twitter.com/iananywhere/status/944675451909185536","Twitter")</f>
        <v>Twitter</v>
      </c>
      <c r="AK131" s="341">
        <v>43092</v>
      </c>
      <c r="AL131" s="352"/>
      <c r="AM131" s="352"/>
      <c r="AN131" s="352"/>
      <c r="AO131" s="352"/>
      <c r="AP131" s="352"/>
      <c r="AQ131" s="352"/>
      <c r="AR131" s="352"/>
      <c r="AS131" s="352"/>
      <c r="AT131" s="352"/>
      <c r="AU131" s="352"/>
      <c r="AV131" s="352"/>
      <c r="AW131" s="352"/>
      <c r="AX131" s="352"/>
      <c r="AY131" s="352"/>
      <c r="AZ131" s="352"/>
      <c r="BA131" s="352"/>
      <c r="BB131" s="352"/>
      <c r="BC131" s="352"/>
      <c r="BD131" s="352"/>
      <c r="BE131" s="352"/>
      <c r="BF131" s="352"/>
      <c r="BG131" s="352"/>
      <c r="BH131" s="352"/>
      <c r="BI131" s="352"/>
      <c r="BJ131" s="352"/>
      <c r="BK131" s="470"/>
      <c r="BL131" s="339"/>
      <c r="BM131" s="339"/>
      <c r="BN131" s="182"/>
      <c r="BO131" s="182"/>
      <c r="BP131" s="182"/>
      <c r="BQ131" s="182"/>
      <c r="BR131" s="182"/>
      <c r="BS131" s="182"/>
      <c r="BT131" s="182"/>
      <c r="BU131" s="182"/>
      <c r="BV131" s="182"/>
      <c r="BW131" s="182"/>
      <c r="BX131" s="182"/>
      <c r="BY131" s="182"/>
      <c r="BZ131" s="182"/>
      <c r="CA131" s="182"/>
      <c r="CB131" s="182"/>
      <c r="CC131" s="182"/>
      <c r="CD131" s="182"/>
      <c r="CE131" s="182"/>
      <c r="CF131" s="182"/>
      <c r="CG131" s="182"/>
      <c r="CH131" s="182"/>
      <c r="CI131" s="182"/>
      <c r="CJ131" s="182"/>
      <c r="CK131" s="647" t="s">
        <v>136</v>
      </c>
      <c r="CL131" s="648"/>
      <c r="CM131" s="649"/>
    </row>
    <row r="132" spans="1:91" s="344" customFormat="1">
      <c r="A132" s="335" t="s">
        <v>228</v>
      </c>
      <c r="B132" s="519" t="s">
        <v>100</v>
      </c>
      <c r="C132" s="519" t="s">
        <v>100</v>
      </c>
      <c r="D132" s="182"/>
      <c r="E132" s="519" t="s">
        <v>100</v>
      </c>
      <c r="F132" s="519" t="s">
        <v>100</v>
      </c>
      <c r="G132" s="519"/>
      <c r="H132" s="519" t="s">
        <v>100</v>
      </c>
      <c r="I132" s="519"/>
      <c r="J132" s="519" t="s">
        <v>100</v>
      </c>
      <c r="K132" s="522" t="s">
        <v>100</v>
      </c>
      <c r="L132" s="519" t="s">
        <v>100</v>
      </c>
      <c r="M132" s="519"/>
      <c r="N132" s="519"/>
      <c r="O132" s="519"/>
      <c r="P132" s="519" t="s">
        <v>100</v>
      </c>
      <c r="Q132" s="519"/>
      <c r="R132" s="519"/>
      <c r="S132" s="519" t="s">
        <v>100</v>
      </c>
      <c r="T132" s="519"/>
      <c r="U132" s="519"/>
      <c r="V132" s="519"/>
      <c r="W132" s="182"/>
      <c r="X132" s="182"/>
      <c r="Y132" s="182"/>
      <c r="Z132" s="182"/>
      <c r="AA132" s="182"/>
      <c r="AB132" s="182"/>
      <c r="AC132" s="182"/>
      <c r="AD132" s="182"/>
      <c r="AE132" s="182"/>
      <c r="AF132" s="182"/>
      <c r="AG132" s="182"/>
      <c r="AH132" s="182"/>
      <c r="AI132" s="167">
        <f t="shared" si="43"/>
        <v>10</v>
      </c>
      <c r="AJ132" s="340" t="str">
        <f>HYPERLINK("https://twitter.com/Haudricourt/status/956164443163054080","Twitter")</f>
        <v>Twitter</v>
      </c>
      <c r="AK132" s="341">
        <v>43124</v>
      </c>
      <c r="AL132" s="352"/>
      <c r="AM132" s="352"/>
      <c r="AN132" s="352"/>
      <c r="AO132" s="352"/>
      <c r="AP132" s="352"/>
      <c r="AQ132" s="352"/>
      <c r="AR132" s="352"/>
      <c r="AS132" s="352"/>
      <c r="AT132" s="352"/>
      <c r="AU132" s="352"/>
      <c r="AV132" s="352"/>
      <c r="AW132" s="352"/>
      <c r="AX132" s="352"/>
      <c r="AY132" s="352"/>
      <c r="AZ132" s="352"/>
      <c r="BA132" s="352"/>
      <c r="BB132" s="352"/>
      <c r="BC132" s="352"/>
      <c r="BD132" s="352"/>
      <c r="BE132" s="352"/>
      <c r="BF132" s="352"/>
      <c r="BG132" s="352"/>
      <c r="BH132" s="352"/>
      <c r="BI132" s="352"/>
      <c r="BJ132" s="352"/>
      <c r="BK132" s="470"/>
      <c r="BL132" s="339"/>
      <c r="BM132" s="339"/>
      <c r="BN132" s="182"/>
      <c r="BO132" s="182"/>
      <c r="BP132" s="182"/>
      <c r="BQ132" s="182"/>
      <c r="BR132" s="182"/>
      <c r="BS132" s="182"/>
      <c r="BT132" s="182"/>
      <c r="BU132" s="182"/>
      <c r="BV132" s="182"/>
      <c r="BW132" s="182"/>
      <c r="BX132" s="182"/>
      <c r="BY132" s="182"/>
      <c r="BZ132" s="182"/>
      <c r="CA132" s="182"/>
      <c r="CB132" s="182"/>
      <c r="CC132" s="182"/>
      <c r="CD132" s="182"/>
      <c r="CE132" s="182"/>
      <c r="CF132" s="182"/>
      <c r="CG132" s="182"/>
      <c r="CH132" s="182"/>
      <c r="CI132" s="182"/>
      <c r="CJ132" s="182"/>
      <c r="CK132" s="647" t="s">
        <v>229</v>
      </c>
      <c r="CL132" s="648"/>
      <c r="CM132" s="649"/>
    </row>
    <row r="133" spans="1:91" s="344" customFormat="1">
      <c r="A133" s="335" t="s">
        <v>230</v>
      </c>
      <c r="B133" s="519" t="s">
        <v>100</v>
      </c>
      <c r="C133" s="519" t="s">
        <v>100</v>
      </c>
      <c r="D133" s="182"/>
      <c r="E133" s="522" t="s">
        <v>100</v>
      </c>
      <c r="F133" s="519" t="s">
        <v>100</v>
      </c>
      <c r="G133" s="519"/>
      <c r="H133" s="519" t="s">
        <v>100</v>
      </c>
      <c r="I133" s="519"/>
      <c r="J133" s="519" t="s">
        <v>100</v>
      </c>
      <c r="K133" s="519"/>
      <c r="L133" s="519" t="s">
        <v>100</v>
      </c>
      <c r="M133" s="519"/>
      <c r="N133" s="519"/>
      <c r="O133" s="519"/>
      <c r="P133" s="519" t="s">
        <v>100</v>
      </c>
      <c r="Q133" s="519"/>
      <c r="R133" s="519"/>
      <c r="S133" s="519" t="s">
        <v>100</v>
      </c>
      <c r="T133" s="519"/>
      <c r="U133" s="519"/>
      <c r="V133" s="519" t="s">
        <v>100</v>
      </c>
      <c r="W133" s="182"/>
      <c r="X133" s="182"/>
      <c r="Y133" s="182"/>
      <c r="Z133" s="182"/>
      <c r="AA133" s="182"/>
      <c r="AB133" s="182"/>
      <c r="AC133" s="182"/>
      <c r="AD133" s="182"/>
      <c r="AE133" s="182"/>
      <c r="AF133" s="182"/>
      <c r="AG133" s="182"/>
      <c r="AH133" s="182"/>
      <c r="AI133" s="167">
        <f t="shared" si="43"/>
        <v>10</v>
      </c>
      <c r="AJ133" s="340" t="str">
        <f>HYPERLINK("https://twitter.com/DanHayesMLB/status/943570879530897408","Twitter")</f>
        <v>Twitter</v>
      </c>
      <c r="AK133" s="341">
        <v>43089</v>
      </c>
      <c r="AL133" s="352"/>
      <c r="AM133" s="352"/>
      <c r="AN133" s="352"/>
      <c r="AO133" s="352"/>
      <c r="AP133" s="352"/>
      <c r="AQ133" s="352"/>
      <c r="AR133" s="352"/>
      <c r="AS133" s="352"/>
      <c r="AT133" s="352"/>
      <c r="AU133" s="352"/>
      <c r="AV133" s="352"/>
      <c r="AW133" s="352"/>
      <c r="AX133" s="352"/>
      <c r="AY133" s="352"/>
      <c r="AZ133" s="352"/>
      <c r="BA133" s="352"/>
      <c r="BB133" s="352"/>
      <c r="BC133" s="352"/>
      <c r="BD133" s="352"/>
      <c r="BE133" s="352"/>
      <c r="BF133" s="352"/>
      <c r="BG133" s="352"/>
      <c r="BH133" s="352"/>
      <c r="BI133" s="352"/>
      <c r="BJ133" s="352"/>
      <c r="BK133" s="470"/>
      <c r="BL133" s="339"/>
      <c r="BM133" s="339"/>
      <c r="BN133" s="182"/>
      <c r="BO133" s="182"/>
      <c r="BP133" s="182"/>
      <c r="BQ133" s="182"/>
      <c r="BR133" s="182"/>
      <c r="BS133" s="182"/>
      <c r="BT133" s="182"/>
      <c r="BU133" s="182"/>
      <c r="BV133" s="182"/>
      <c r="BW133" s="182"/>
      <c r="BX133" s="182"/>
      <c r="BY133" s="182"/>
      <c r="BZ133" s="182"/>
      <c r="CA133" s="182"/>
      <c r="CB133" s="182"/>
      <c r="CC133" s="182"/>
      <c r="CD133" s="182"/>
      <c r="CE133" s="182"/>
      <c r="CF133" s="182"/>
      <c r="CG133" s="182"/>
      <c r="CH133" s="182"/>
      <c r="CI133" s="182"/>
      <c r="CJ133" s="182"/>
      <c r="CK133" s="618"/>
      <c r="CL133" s="619"/>
      <c r="CM133" s="620"/>
    </row>
    <row r="134" spans="1:91" s="344" customFormat="1">
      <c r="A134" s="335" t="s">
        <v>231</v>
      </c>
      <c r="B134" s="519" t="s">
        <v>100</v>
      </c>
      <c r="C134" s="519" t="s">
        <v>100</v>
      </c>
      <c r="D134" s="182"/>
      <c r="E134" s="519" t="s">
        <v>100</v>
      </c>
      <c r="F134" s="519" t="s">
        <v>100</v>
      </c>
      <c r="G134" s="519"/>
      <c r="H134" s="519" t="s">
        <v>100</v>
      </c>
      <c r="I134" s="519"/>
      <c r="J134" s="519" t="s">
        <v>100</v>
      </c>
      <c r="K134" s="519" t="s">
        <v>100</v>
      </c>
      <c r="L134" s="522" t="s">
        <v>100</v>
      </c>
      <c r="M134" s="523"/>
      <c r="N134" s="519"/>
      <c r="O134" s="519"/>
      <c r="P134" s="519"/>
      <c r="Q134" s="519"/>
      <c r="R134" s="519"/>
      <c r="S134" s="519" t="s">
        <v>100</v>
      </c>
      <c r="T134" s="519"/>
      <c r="U134" s="519"/>
      <c r="V134" s="519"/>
      <c r="W134" s="182"/>
      <c r="X134" s="182"/>
      <c r="Y134" s="182"/>
      <c r="Z134" s="182"/>
      <c r="AA134" s="182"/>
      <c r="AB134" s="182"/>
      <c r="AC134" s="182"/>
      <c r="AD134" s="182"/>
      <c r="AE134" s="182"/>
      <c r="AF134" s="182"/>
      <c r="AG134" s="182"/>
      <c r="AH134" s="182"/>
      <c r="AI134" s="167">
        <f t="shared" si="43"/>
        <v>9</v>
      </c>
      <c r="AJ134" s="530" t="s">
        <v>138</v>
      </c>
      <c r="AK134" s="341">
        <v>43123</v>
      </c>
      <c r="AL134" s="352"/>
      <c r="AM134" s="352"/>
      <c r="AN134" s="352"/>
      <c r="AO134" s="352"/>
      <c r="AP134" s="352"/>
      <c r="AQ134" s="352"/>
      <c r="AR134" s="352"/>
      <c r="AS134" s="352"/>
      <c r="AT134" s="352"/>
      <c r="AU134" s="352"/>
      <c r="AV134" s="352"/>
      <c r="AW134" s="352"/>
      <c r="AX134" s="352"/>
      <c r="AY134" s="352"/>
      <c r="AZ134" s="352"/>
      <c r="BA134" s="352"/>
      <c r="BB134" s="352"/>
      <c r="BC134" s="352"/>
      <c r="BD134" s="352"/>
      <c r="BE134" s="352"/>
      <c r="BF134" s="352"/>
      <c r="BG134" s="352"/>
      <c r="BH134" s="352"/>
      <c r="BI134" s="352"/>
      <c r="BJ134" s="352"/>
      <c r="BK134" s="470"/>
      <c r="BL134" s="339"/>
      <c r="BM134" s="339"/>
      <c r="BN134" s="182"/>
      <c r="BO134" s="182"/>
      <c r="BP134" s="182"/>
      <c r="BQ134" s="182"/>
      <c r="BR134" s="182"/>
      <c r="BS134" s="182"/>
      <c r="BT134" s="182"/>
      <c r="BU134" s="182"/>
      <c r="BV134" s="182"/>
      <c r="BW134" s="182"/>
      <c r="BX134" s="182"/>
      <c r="BY134" s="182"/>
      <c r="BZ134" s="182"/>
      <c r="CA134" s="182"/>
      <c r="CB134" s="182"/>
      <c r="CC134" s="182"/>
      <c r="CD134" s="182"/>
      <c r="CE134" s="182"/>
      <c r="CF134" s="182"/>
      <c r="CG134" s="182"/>
      <c r="CH134" s="182"/>
      <c r="CI134" s="182"/>
      <c r="CJ134" s="182"/>
      <c r="CK134" s="618"/>
      <c r="CL134" s="619"/>
      <c r="CM134" s="620"/>
    </row>
    <row r="135" spans="1:91" s="344" customFormat="1">
      <c r="A135" s="335" t="s">
        <v>232</v>
      </c>
      <c r="B135" s="519" t="s">
        <v>100</v>
      </c>
      <c r="C135" s="519" t="s">
        <v>100</v>
      </c>
      <c r="D135" s="182"/>
      <c r="E135" s="522" t="s">
        <v>100</v>
      </c>
      <c r="F135" s="519"/>
      <c r="G135" s="519"/>
      <c r="H135" s="519" t="s">
        <v>100</v>
      </c>
      <c r="I135" s="523"/>
      <c r="J135" s="519" t="s">
        <v>100</v>
      </c>
      <c r="K135" s="519"/>
      <c r="L135" s="519" t="s">
        <v>100</v>
      </c>
      <c r="M135" s="519"/>
      <c r="N135" s="519"/>
      <c r="O135" s="519"/>
      <c r="P135" s="519" t="s">
        <v>100</v>
      </c>
      <c r="Q135" s="519"/>
      <c r="R135" s="519"/>
      <c r="S135" s="519" t="s">
        <v>100</v>
      </c>
      <c r="T135" s="519"/>
      <c r="U135" s="519"/>
      <c r="V135" s="519"/>
      <c r="W135" s="182"/>
      <c r="X135" s="182"/>
      <c r="Y135" s="182"/>
      <c r="Z135" s="182"/>
      <c r="AA135" s="182"/>
      <c r="AB135" s="182"/>
      <c r="AC135" s="182"/>
      <c r="AD135" s="182"/>
      <c r="AE135" s="182"/>
      <c r="AF135" s="182"/>
      <c r="AG135" s="182"/>
      <c r="AH135" s="182"/>
      <c r="AI135" s="167">
        <f t="shared" si="43"/>
        <v>8</v>
      </c>
      <c r="AJ135" s="340" t="str">
        <f>HYPERLINK("http://www.detroitnews.com/story/sports/columnists/lynn-henning/2017/11/27/henning-eight-deserving-hall-fame-enshrinement/108080420/","Detroit News")</f>
        <v>Detroit News</v>
      </c>
      <c r="AK135" s="341">
        <v>43066</v>
      </c>
      <c r="AL135" s="352"/>
      <c r="AM135" s="352"/>
      <c r="AN135" s="352"/>
      <c r="AO135" s="352"/>
      <c r="AP135" s="352"/>
      <c r="AQ135" s="352"/>
      <c r="AR135" s="352"/>
      <c r="AS135" s="352"/>
      <c r="AT135" s="352"/>
      <c r="AU135" s="352"/>
      <c r="AV135" s="352"/>
      <c r="AW135" s="352"/>
      <c r="AX135" s="352"/>
      <c r="AY135" s="352"/>
      <c r="AZ135" s="352"/>
      <c r="BA135" s="352"/>
      <c r="BB135" s="352"/>
      <c r="BC135" s="352"/>
      <c r="BD135" s="352"/>
      <c r="BE135" s="352"/>
      <c r="BF135" s="352"/>
      <c r="BG135" s="352"/>
      <c r="BH135" s="352"/>
      <c r="BI135" s="352"/>
      <c r="BJ135" s="352"/>
      <c r="BK135" s="470"/>
      <c r="BL135" s="339"/>
      <c r="BM135" s="339"/>
      <c r="BN135" s="182"/>
      <c r="BO135" s="182"/>
      <c r="BP135" s="182"/>
      <c r="BQ135" s="182"/>
      <c r="BR135" s="182"/>
      <c r="BS135" s="182"/>
      <c r="BT135" s="182"/>
      <c r="BU135" s="182"/>
      <c r="BV135" s="182"/>
      <c r="BW135" s="182"/>
      <c r="BX135" s="182"/>
      <c r="BY135" s="182"/>
      <c r="BZ135" s="182"/>
      <c r="CA135" s="182"/>
      <c r="CB135" s="182"/>
      <c r="CC135" s="182"/>
      <c r="CD135" s="182"/>
      <c r="CE135" s="182"/>
      <c r="CF135" s="182"/>
      <c r="CG135" s="182"/>
      <c r="CH135" s="182"/>
      <c r="CI135" s="182"/>
      <c r="CJ135" s="182"/>
      <c r="CK135" s="618"/>
      <c r="CL135" s="619"/>
      <c r="CM135" s="620"/>
    </row>
    <row r="136" spans="1:91" s="344" customFormat="1">
      <c r="A136" s="335" t="s">
        <v>233</v>
      </c>
      <c r="B136" s="519" t="s">
        <v>100</v>
      </c>
      <c r="C136" s="519" t="s">
        <v>100</v>
      </c>
      <c r="D136" s="182"/>
      <c r="E136" s="522" t="s">
        <v>100</v>
      </c>
      <c r="F136" s="519" t="s">
        <v>100</v>
      </c>
      <c r="G136" s="519"/>
      <c r="H136" s="519" t="s">
        <v>100</v>
      </c>
      <c r="I136" s="519"/>
      <c r="J136" s="519"/>
      <c r="K136" s="519" t="s">
        <v>100</v>
      </c>
      <c r="L136" s="519" t="s">
        <v>100</v>
      </c>
      <c r="M136" s="519" t="s">
        <v>100</v>
      </c>
      <c r="N136" s="519"/>
      <c r="O136" s="519"/>
      <c r="P136" s="519"/>
      <c r="Q136" s="519"/>
      <c r="R136" s="523"/>
      <c r="S136" s="519" t="s">
        <v>100</v>
      </c>
      <c r="T136" s="519" t="s">
        <v>100</v>
      </c>
      <c r="U136" s="519"/>
      <c r="V136" s="519"/>
      <c r="W136" s="182"/>
      <c r="X136" s="182"/>
      <c r="Y136" s="182"/>
      <c r="Z136" s="182"/>
      <c r="AA136" s="182"/>
      <c r="AB136" s="182"/>
      <c r="AC136" s="182"/>
      <c r="AD136" s="182"/>
      <c r="AE136" s="182"/>
      <c r="AF136" s="182"/>
      <c r="AG136" s="182"/>
      <c r="AH136" s="182"/>
      <c r="AI136" s="167">
        <f t="shared" si="43"/>
        <v>10</v>
      </c>
      <c r="AJ136" s="340" t="str">
        <f>HYPERLINK("https://www.usatoday.com/story/sports/mlb/2018/01/23/baseball-hall-fame-how-usa-today-sports-voted/1055558001/","USA Today Group")</f>
        <v>USA Today Group</v>
      </c>
      <c r="AK136" s="341">
        <v>43123</v>
      </c>
      <c r="AL136" s="352"/>
      <c r="AM136" s="352"/>
      <c r="AN136" s="352"/>
      <c r="AO136" s="352"/>
      <c r="AP136" s="352"/>
      <c r="AQ136" s="352"/>
      <c r="AR136" s="352"/>
      <c r="AS136" s="352"/>
      <c r="AT136" s="352"/>
      <c r="AU136" s="352"/>
      <c r="AV136" s="352"/>
      <c r="AW136" s="352"/>
      <c r="AX136" s="352"/>
      <c r="AY136" s="352"/>
      <c r="AZ136" s="352"/>
      <c r="BA136" s="352"/>
      <c r="BB136" s="352"/>
      <c r="BC136" s="352"/>
      <c r="BD136" s="352"/>
      <c r="BE136" s="352"/>
      <c r="BF136" s="352"/>
      <c r="BG136" s="352"/>
      <c r="BH136" s="352"/>
      <c r="BI136" s="352"/>
      <c r="BJ136" s="352"/>
      <c r="BK136" s="470"/>
      <c r="BL136" s="339"/>
      <c r="BM136" s="339"/>
      <c r="BN136" s="182"/>
      <c r="BO136" s="182"/>
      <c r="BP136" s="182"/>
      <c r="BQ136" s="182"/>
      <c r="BR136" s="182"/>
      <c r="BS136" s="182"/>
      <c r="BT136" s="182"/>
      <c r="BU136" s="182"/>
      <c r="BV136" s="182"/>
      <c r="BW136" s="182"/>
      <c r="BX136" s="182"/>
      <c r="BY136" s="182"/>
      <c r="BZ136" s="182"/>
      <c r="CA136" s="182"/>
      <c r="CB136" s="182"/>
      <c r="CC136" s="182"/>
      <c r="CD136" s="182"/>
      <c r="CE136" s="182"/>
      <c r="CF136" s="182"/>
      <c r="CG136" s="182"/>
      <c r="CH136" s="182"/>
      <c r="CI136" s="182"/>
      <c r="CJ136" s="182"/>
      <c r="CK136" s="647" t="s">
        <v>234</v>
      </c>
      <c r="CL136" s="648"/>
      <c r="CM136" s="649"/>
    </row>
    <row r="137" spans="1:91" s="344" customFormat="1">
      <c r="A137" s="335" t="s">
        <v>235</v>
      </c>
      <c r="B137" s="519"/>
      <c r="C137" s="519"/>
      <c r="D137" s="182"/>
      <c r="E137" s="519" t="s">
        <v>100</v>
      </c>
      <c r="F137" s="519" t="s">
        <v>100</v>
      </c>
      <c r="G137" s="519"/>
      <c r="H137" s="519" t="s">
        <v>100</v>
      </c>
      <c r="I137" s="519"/>
      <c r="J137" s="519" t="s">
        <v>100</v>
      </c>
      <c r="K137" s="519"/>
      <c r="L137" s="519"/>
      <c r="M137" s="519"/>
      <c r="N137" s="519"/>
      <c r="O137" s="519"/>
      <c r="P137" s="522" t="s">
        <v>100</v>
      </c>
      <c r="Q137" s="519"/>
      <c r="R137" s="519"/>
      <c r="S137" s="519" t="s">
        <v>100</v>
      </c>
      <c r="T137" s="519"/>
      <c r="U137" s="519"/>
      <c r="V137" s="519"/>
      <c r="W137" s="182"/>
      <c r="X137" s="182"/>
      <c r="Y137" s="182"/>
      <c r="Z137" s="182"/>
      <c r="AA137" s="182"/>
      <c r="AB137" s="182"/>
      <c r="AC137" s="182"/>
      <c r="AD137" s="182"/>
      <c r="AE137" s="182"/>
      <c r="AF137" s="182"/>
      <c r="AG137" s="182"/>
      <c r="AH137" s="182"/>
      <c r="AI137" s="167">
        <f t="shared" si="43"/>
        <v>6</v>
      </c>
      <c r="AJ137" s="340" t="str">
        <f>HYPERLINK("https://www.newsday.com/sports/baseball/2018-baseball-hall-of-fame-ballot-by-newsday-s-mark-herrmann-1.15760261?utm_content=buffer087e0&amp;utm_medium=social&amp;utm_source=twitter.com&amp;utm_campaign=buffer","Newsday")</f>
        <v>Newsday</v>
      </c>
      <c r="AK137" s="341">
        <v>43102</v>
      </c>
      <c r="AL137" s="352"/>
      <c r="AM137" s="352"/>
      <c r="AN137" s="352"/>
      <c r="AO137" s="352"/>
      <c r="AP137" s="352"/>
      <c r="AQ137" s="352"/>
      <c r="AR137" s="352"/>
      <c r="AS137" s="352"/>
      <c r="AT137" s="352"/>
      <c r="AU137" s="352"/>
      <c r="AV137" s="352"/>
      <c r="AW137" s="352"/>
      <c r="AX137" s="352"/>
      <c r="AY137" s="352"/>
      <c r="AZ137" s="352"/>
      <c r="BA137" s="352"/>
      <c r="BB137" s="352"/>
      <c r="BC137" s="352"/>
      <c r="BD137" s="352"/>
      <c r="BE137" s="352"/>
      <c r="BF137" s="352"/>
      <c r="BG137" s="352"/>
      <c r="BH137" s="352"/>
      <c r="BI137" s="352"/>
      <c r="BJ137" s="352"/>
      <c r="BK137" s="470"/>
      <c r="BL137" s="339"/>
      <c r="BM137" s="339"/>
      <c r="BN137" s="182"/>
      <c r="BO137" s="182"/>
      <c r="BP137" s="182"/>
      <c r="BQ137" s="182"/>
      <c r="BR137" s="182"/>
      <c r="BS137" s="182"/>
      <c r="BT137" s="182"/>
      <c r="BU137" s="182"/>
      <c r="BV137" s="182"/>
      <c r="BW137" s="182"/>
      <c r="BX137" s="182"/>
      <c r="BY137" s="182"/>
      <c r="BZ137" s="182"/>
      <c r="CA137" s="182"/>
      <c r="CB137" s="182"/>
      <c r="CC137" s="182"/>
      <c r="CD137" s="182"/>
      <c r="CE137" s="182"/>
      <c r="CF137" s="182"/>
      <c r="CG137" s="182"/>
      <c r="CH137" s="182"/>
      <c r="CI137" s="182"/>
      <c r="CJ137" s="182"/>
      <c r="CK137" s="618"/>
      <c r="CL137" s="619"/>
      <c r="CM137" s="620"/>
    </row>
    <row r="138" spans="1:91" s="344" customFormat="1">
      <c r="A138" s="335" t="s">
        <v>236</v>
      </c>
      <c r="B138" s="519" t="s">
        <v>100</v>
      </c>
      <c r="C138" s="519" t="s">
        <v>100</v>
      </c>
      <c r="D138" s="182"/>
      <c r="E138" s="519" t="s">
        <v>100</v>
      </c>
      <c r="F138" s="519" t="s">
        <v>100</v>
      </c>
      <c r="G138" s="519"/>
      <c r="H138" s="519" t="s">
        <v>100</v>
      </c>
      <c r="I138" s="519"/>
      <c r="J138" s="519" t="s">
        <v>100</v>
      </c>
      <c r="K138" s="519"/>
      <c r="L138" s="522" t="s">
        <v>100</v>
      </c>
      <c r="M138" s="522" t="s">
        <v>100</v>
      </c>
      <c r="N138" s="519"/>
      <c r="O138" s="519"/>
      <c r="P138" s="519"/>
      <c r="Q138" s="519" t="s">
        <v>100</v>
      </c>
      <c r="R138" s="523"/>
      <c r="S138" s="519" t="s">
        <v>100</v>
      </c>
      <c r="T138" s="519"/>
      <c r="U138" s="519"/>
      <c r="V138" s="519"/>
      <c r="W138" s="182"/>
      <c r="X138" s="182"/>
      <c r="Y138" s="182"/>
      <c r="Z138" s="182"/>
      <c r="AA138" s="182"/>
      <c r="AB138" s="182"/>
      <c r="AC138" s="182"/>
      <c r="AD138" s="182"/>
      <c r="AE138" s="182"/>
      <c r="AF138" s="182"/>
      <c r="AG138" s="182"/>
      <c r="AH138" s="182"/>
      <c r="AI138" s="167">
        <f t="shared" si="43"/>
        <v>10</v>
      </c>
      <c r="AJ138" s="340" t="str">
        <f>HYPERLINK("https://twitter.com/zogsport7/status/943885048050315270","Twitter")</f>
        <v>Twitter</v>
      </c>
      <c r="AK138" s="341">
        <v>43090</v>
      </c>
      <c r="AL138" s="352"/>
      <c r="AM138" s="352"/>
      <c r="AN138" s="352"/>
      <c r="AO138" s="352"/>
      <c r="AP138" s="352"/>
      <c r="AQ138" s="352"/>
      <c r="AR138" s="352"/>
      <c r="AS138" s="352"/>
      <c r="AT138" s="352"/>
      <c r="AU138" s="352"/>
      <c r="AV138" s="352"/>
      <c r="AW138" s="352"/>
      <c r="AX138" s="352"/>
      <c r="AY138" s="352"/>
      <c r="AZ138" s="352"/>
      <c r="BA138" s="352"/>
      <c r="BB138" s="352"/>
      <c r="BC138" s="352"/>
      <c r="BD138" s="352"/>
      <c r="BE138" s="352"/>
      <c r="BF138" s="352"/>
      <c r="BG138" s="352"/>
      <c r="BH138" s="352"/>
      <c r="BI138" s="352"/>
      <c r="BJ138" s="352"/>
      <c r="BK138" s="470"/>
      <c r="BL138" s="339"/>
      <c r="BM138" s="339"/>
      <c r="BN138" s="182"/>
      <c r="BO138" s="182"/>
      <c r="BP138" s="182"/>
      <c r="BQ138" s="182"/>
      <c r="BR138" s="182"/>
      <c r="BS138" s="182"/>
      <c r="BT138" s="182"/>
      <c r="BU138" s="182"/>
      <c r="BV138" s="182"/>
      <c r="BW138" s="182"/>
      <c r="BX138" s="182"/>
      <c r="BY138" s="182"/>
      <c r="BZ138" s="182"/>
      <c r="CA138" s="182"/>
      <c r="CB138" s="182"/>
      <c r="CC138" s="182"/>
      <c r="CD138" s="182"/>
      <c r="CE138" s="182"/>
      <c r="CF138" s="182"/>
      <c r="CG138" s="182"/>
      <c r="CH138" s="182"/>
      <c r="CI138" s="182"/>
      <c r="CJ138" s="182"/>
      <c r="CK138" s="618"/>
      <c r="CL138" s="619"/>
      <c r="CM138" s="620"/>
    </row>
    <row r="139" spans="1:91" s="344" customFormat="1">
      <c r="A139" s="335" t="s">
        <v>237</v>
      </c>
      <c r="B139" s="519" t="s">
        <v>100</v>
      </c>
      <c r="C139" s="519"/>
      <c r="D139" s="182"/>
      <c r="E139" s="519" t="s">
        <v>100</v>
      </c>
      <c r="F139" s="519" t="s">
        <v>100</v>
      </c>
      <c r="G139" s="519" t="s">
        <v>100</v>
      </c>
      <c r="H139" s="519" t="s">
        <v>100</v>
      </c>
      <c r="I139" s="519"/>
      <c r="J139" s="523"/>
      <c r="K139" s="519" t="s">
        <v>100</v>
      </c>
      <c r="L139" s="519" t="s">
        <v>100</v>
      </c>
      <c r="M139" s="519"/>
      <c r="N139" s="519" t="s">
        <v>100</v>
      </c>
      <c r="O139" s="519"/>
      <c r="P139" s="522" t="s">
        <v>100</v>
      </c>
      <c r="Q139" s="519"/>
      <c r="R139" s="519"/>
      <c r="S139" s="519" t="s">
        <v>100</v>
      </c>
      <c r="T139" s="519"/>
      <c r="U139" s="519"/>
      <c r="V139" s="519"/>
      <c r="W139" s="182"/>
      <c r="X139" s="182"/>
      <c r="Y139" s="182"/>
      <c r="Z139" s="182"/>
      <c r="AA139" s="182"/>
      <c r="AB139" s="182"/>
      <c r="AC139" s="182"/>
      <c r="AD139" s="182"/>
      <c r="AE139" s="182"/>
      <c r="AF139" s="182"/>
      <c r="AG139" s="182"/>
      <c r="AH139" s="182"/>
      <c r="AI139" s="167">
        <f t="shared" si="43"/>
        <v>10</v>
      </c>
      <c r="AJ139" s="340" t="str">
        <f>HYPERLINK("https://www.fanragsports.com/inside-baseball-jon-heymans-hall-of-fame-ballot/","Fanrag")</f>
        <v>Fanrag</v>
      </c>
      <c r="AK139" s="341">
        <v>43076</v>
      </c>
      <c r="AL139" s="352"/>
      <c r="AM139" s="352"/>
      <c r="AN139" s="352"/>
      <c r="AO139" s="352"/>
      <c r="AP139" s="352"/>
      <c r="AQ139" s="352"/>
      <c r="AR139" s="352"/>
      <c r="AS139" s="352"/>
      <c r="AT139" s="352"/>
      <c r="AU139" s="352"/>
      <c r="AV139" s="352"/>
      <c r="AW139" s="352"/>
      <c r="AX139" s="352"/>
      <c r="AY139" s="352"/>
      <c r="AZ139" s="352"/>
      <c r="BA139" s="352"/>
      <c r="BB139" s="352"/>
      <c r="BC139" s="352"/>
      <c r="BD139" s="352"/>
      <c r="BE139" s="352"/>
      <c r="BF139" s="352"/>
      <c r="BG139" s="352"/>
      <c r="BH139" s="352"/>
      <c r="BI139" s="352"/>
      <c r="BJ139" s="352"/>
      <c r="BK139" s="470"/>
      <c r="BL139" s="339"/>
      <c r="BM139" s="339"/>
      <c r="BN139" s="182"/>
      <c r="BO139" s="182"/>
      <c r="BP139" s="182"/>
      <c r="BQ139" s="182"/>
      <c r="BR139" s="182"/>
      <c r="BS139" s="182"/>
      <c r="BT139" s="182"/>
      <c r="BU139" s="182"/>
      <c r="BV139" s="182"/>
      <c r="BW139" s="182"/>
      <c r="BX139" s="182"/>
      <c r="BY139" s="182"/>
      <c r="BZ139" s="182"/>
      <c r="CA139" s="182"/>
      <c r="CB139" s="182"/>
      <c r="CC139" s="182"/>
      <c r="CD139" s="182"/>
      <c r="CE139" s="182"/>
      <c r="CF139" s="182"/>
      <c r="CG139" s="182"/>
      <c r="CH139" s="182"/>
      <c r="CI139" s="182"/>
      <c r="CJ139" s="182"/>
      <c r="CK139" s="647" t="s">
        <v>238</v>
      </c>
      <c r="CL139" s="648"/>
      <c r="CM139" s="649"/>
    </row>
    <row r="140" spans="1:91" s="344" customFormat="1">
      <c r="A140" s="335" t="s">
        <v>239</v>
      </c>
      <c r="B140" s="539"/>
      <c r="C140" s="539"/>
      <c r="D140" s="538" t="s">
        <v>100</v>
      </c>
      <c r="E140" s="540" t="s">
        <v>100</v>
      </c>
      <c r="F140" s="538" t="s">
        <v>100</v>
      </c>
      <c r="G140" s="539"/>
      <c r="H140" s="538" t="s">
        <v>100</v>
      </c>
      <c r="I140" s="539"/>
      <c r="J140" s="538" t="s">
        <v>100</v>
      </c>
      <c r="K140" s="539"/>
      <c r="L140" s="538" t="s">
        <v>100</v>
      </c>
      <c r="M140" s="539"/>
      <c r="N140" s="539"/>
      <c r="O140" s="539"/>
      <c r="P140" s="538" t="s">
        <v>100</v>
      </c>
      <c r="Q140" s="539"/>
      <c r="R140" s="539"/>
      <c r="S140" s="538" t="s">
        <v>100</v>
      </c>
      <c r="T140" s="539"/>
      <c r="U140" s="539"/>
      <c r="V140" s="539"/>
      <c r="W140" s="137"/>
      <c r="X140" s="137"/>
      <c r="Y140" s="137"/>
      <c r="Z140" s="137"/>
      <c r="AA140" s="137"/>
      <c r="AB140" s="137"/>
      <c r="AC140" s="137"/>
      <c r="AD140" s="137"/>
      <c r="AE140" s="137"/>
      <c r="AF140" s="137"/>
      <c r="AG140" s="137"/>
      <c r="AH140" s="137"/>
      <c r="AI140" s="167">
        <f t="shared" si="43"/>
        <v>8</v>
      </c>
      <c r="AJ140" s="340" t="str">
        <f t="shared" ref="AJ140" si="44">HYPERLINK("http://apps.bostonglobe.com/sports/graphics/2018/01/baseball-hof-2018/","Boston Globe")</f>
        <v>Boston Globe</v>
      </c>
      <c r="AK140" s="471">
        <v>43108</v>
      </c>
      <c r="AL140" s="498"/>
      <c r="AM140" s="498"/>
      <c r="AN140" s="498"/>
      <c r="AO140" s="498"/>
      <c r="AP140" s="498"/>
      <c r="AQ140" s="498"/>
      <c r="AR140" s="498"/>
      <c r="AS140" s="498"/>
      <c r="AT140" s="498"/>
      <c r="AU140" s="498"/>
      <c r="AV140" s="498"/>
      <c r="AW140" s="498"/>
      <c r="AX140" s="498"/>
      <c r="AY140" s="498"/>
      <c r="AZ140" s="498"/>
      <c r="BA140" s="498"/>
      <c r="BB140" s="498"/>
      <c r="BC140" s="498"/>
      <c r="BD140" s="498"/>
      <c r="BE140" s="498"/>
      <c r="BF140" s="498"/>
      <c r="BG140" s="498"/>
      <c r="BH140" s="498"/>
      <c r="BI140" s="498"/>
      <c r="BJ140" s="498"/>
      <c r="BK140" s="499"/>
      <c r="BL140" s="500"/>
      <c r="BM140" s="500"/>
      <c r="BN140" s="501"/>
      <c r="BO140" s="501"/>
      <c r="BP140" s="501"/>
      <c r="BQ140" s="501"/>
      <c r="BR140" s="501"/>
      <c r="BS140" s="501"/>
      <c r="BT140" s="501"/>
      <c r="BU140" s="501"/>
      <c r="BV140" s="501"/>
      <c r="BW140" s="501"/>
      <c r="BX140" s="501"/>
      <c r="BY140" s="501"/>
      <c r="BZ140" s="501"/>
      <c r="CA140" s="501"/>
      <c r="CB140" s="501"/>
      <c r="CC140" s="501"/>
      <c r="CD140" s="501"/>
      <c r="CE140" s="501"/>
      <c r="CF140" s="501"/>
      <c r="CG140" s="501"/>
      <c r="CH140" s="501"/>
      <c r="CI140" s="501"/>
      <c r="CJ140" s="501"/>
      <c r="CK140" s="621"/>
      <c r="CL140" s="622"/>
      <c r="CM140" s="623"/>
    </row>
    <row r="141" spans="1:91" s="344" customFormat="1">
      <c r="A141" s="335" t="s">
        <v>240</v>
      </c>
      <c r="B141" s="519" t="s">
        <v>100</v>
      </c>
      <c r="C141" s="519" t="s">
        <v>100</v>
      </c>
      <c r="D141" s="538"/>
      <c r="E141" s="522" t="s">
        <v>100</v>
      </c>
      <c r="F141" s="519" t="s">
        <v>100</v>
      </c>
      <c r="G141" s="543"/>
      <c r="H141" s="519" t="s">
        <v>100</v>
      </c>
      <c r="I141" s="543"/>
      <c r="J141" s="522" t="s">
        <v>100</v>
      </c>
      <c r="K141" s="543"/>
      <c r="L141" s="541"/>
      <c r="M141" s="522" t="s">
        <v>100</v>
      </c>
      <c r="N141" s="543"/>
      <c r="O141" s="543"/>
      <c r="P141" s="519" t="s">
        <v>100</v>
      </c>
      <c r="Q141" s="519" t="s">
        <v>100</v>
      </c>
      <c r="R141" s="543"/>
      <c r="S141" s="519" t="s">
        <v>100</v>
      </c>
      <c r="T141" s="543"/>
      <c r="U141" s="543"/>
      <c r="V141" s="543"/>
      <c r="W141" s="137"/>
      <c r="X141" s="137"/>
      <c r="Y141" s="137"/>
      <c r="Z141" s="137"/>
      <c r="AA141" s="137"/>
      <c r="AB141" s="137"/>
      <c r="AC141" s="137"/>
      <c r="AD141" s="137"/>
      <c r="AE141" s="137"/>
      <c r="AF141" s="137"/>
      <c r="AG141" s="137"/>
      <c r="AH141" s="137"/>
      <c r="AI141" s="167">
        <f t="shared" ref="AI141" si="45">COUNTIF(B141:AH141,"x")</f>
        <v>10</v>
      </c>
      <c r="AJ141" s="530" t="s">
        <v>138</v>
      </c>
      <c r="AK141" s="471">
        <v>43081</v>
      </c>
      <c r="AL141" s="498"/>
      <c r="AM141" s="498"/>
      <c r="AN141" s="498"/>
      <c r="AO141" s="498"/>
      <c r="AP141" s="498"/>
      <c r="AQ141" s="498"/>
      <c r="AR141" s="498"/>
      <c r="AS141" s="498"/>
      <c r="AT141" s="498"/>
      <c r="AU141" s="498"/>
      <c r="AV141" s="498"/>
      <c r="AW141" s="498"/>
      <c r="AX141" s="498"/>
      <c r="AY141" s="498"/>
      <c r="AZ141" s="498"/>
      <c r="BA141" s="498"/>
      <c r="BB141" s="498"/>
      <c r="BC141" s="498"/>
      <c r="BD141" s="498"/>
      <c r="BE141" s="498"/>
      <c r="BF141" s="498"/>
      <c r="BG141" s="498"/>
      <c r="BH141" s="498"/>
      <c r="BI141" s="498"/>
      <c r="BJ141" s="498"/>
      <c r="BK141" s="499"/>
      <c r="BL141" s="500"/>
      <c r="BM141" s="500"/>
      <c r="BN141" s="501"/>
      <c r="BO141" s="501"/>
      <c r="BP141" s="501"/>
      <c r="BQ141" s="501"/>
      <c r="BR141" s="501"/>
      <c r="BS141" s="501"/>
      <c r="BT141" s="501"/>
      <c r="BU141" s="501"/>
      <c r="BV141" s="501"/>
      <c r="BW141" s="501"/>
      <c r="BX141" s="501"/>
      <c r="BY141" s="501"/>
      <c r="BZ141" s="501"/>
      <c r="CA141" s="501"/>
      <c r="CB141" s="501"/>
      <c r="CC141" s="501"/>
      <c r="CD141" s="501"/>
      <c r="CE141" s="501"/>
      <c r="CF141" s="501"/>
      <c r="CG141" s="501"/>
      <c r="CH141" s="501"/>
      <c r="CI141" s="501"/>
      <c r="CJ141" s="501"/>
      <c r="CK141" s="621"/>
      <c r="CL141" s="622"/>
      <c r="CM141" s="623"/>
    </row>
    <row r="142" spans="1:91" s="344" customFormat="1">
      <c r="A142" s="335" t="s">
        <v>241</v>
      </c>
      <c r="B142" s="519" t="s">
        <v>100</v>
      </c>
      <c r="C142" s="519" t="s">
        <v>100</v>
      </c>
      <c r="D142" s="182"/>
      <c r="E142" s="519" t="s">
        <v>100</v>
      </c>
      <c r="F142" s="519" t="s">
        <v>100</v>
      </c>
      <c r="G142" s="519"/>
      <c r="H142" s="519" t="s">
        <v>100</v>
      </c>
      <c r="I142" s="519"/>
      <c r="J142" s="522" t="s">
        <v>100</v>
      </c>
      <c r="K142" s="519"/>
      <c r="L142" s="522" t="s">
        <v>100</v>
      </c>
      <c r="M142" s="522" t="s">
        <v>100</v>
      </c>
      <c r="N142" s="519"/>
      <c r="O142" s="519"/>
      <c r="P142" s="519" t="s">
        <v>100</v>
      </c>
      <c r="Q142" s="519"/>
      <c r="R142" s="519" t="s">
        <v>100</v>
      </c>
      <c r="S142" s="519"/>
      <c r="T142" s="519"/>
      <c r="U142" s="519"/>
      <c r="V142" s="519"/>
      <c r="W142" s="182"/>
      <c r="X142" s="182"/>
      <c r="Y142" s="182"/>
      <c r="Z142" s="182"/>
      <c r="AA142" s="182"/>
      <c r="AB142" s="182"/>
      <c r="AC142" s="182"/>
      <c r="AD142" s="182"/>
      <c r="AE142" s="182"/>
      <c r="AF142" s="182"/>
      <c r="AG142" s="182"/>
      <c r="AH142" s="182"/>
      <c r="AI142" s="339">
        <f t="shared" si="43"/>
        <v>10</v>
      </c>
      <c r="AJ142" s="340" t="str">
        <f>HYPERLINK("http://www.dailyherald.com/sports/20171230/why-white-sox-slugger-jim-thome-deserves-to-be-a-first-ballot-hall-of-famer","Daily Herald")</f>
        <v>Daily Herald</v>
      </c>
      <c r="AK142" s="532">
        <v>43099</v>
      </c>
      <c r="AL142" s="498"/>
      <c r="AM142" s="498"/>
      <c r="AN142" s="498"/>
      <c r="AO142" s="498"/>
      <c r="AP142" s="498"/>
      <c r="AQ142" s="498"/>
      <c r="AR142" s="498"/>
      <c r="AS142" s="498"/>
      <c r="AT142" s="498"/>
      <c r="AU142" s="498"/>
      <c r="AV142" s="498"/>
      <c r="AW142" s="498"/>
      <c r="AX142" s="498"/>
      <c r="AY142" s="498"/>
      <c r="AZ142" s="498"/>
      <c r="BA142" s="498"/>
      <c r="BB142" s="498"/>
      <c r="BC142" s="498"/>
      <c r="BD142" s="498"/>
      <c r="BE142" s="498"/>
      <c r="BF142" s="498"/>
      <c r="BG142" s="498"/>
      <c r="BH142" s="498"/>
      <c r="BI142" s="498"/>
      <c r="BJ142" s="498"/>
      <c r="BK142" s="499"/>
      <c r="BL142" s="500"/>
      <c r="BM142" s="500"/>
      <c r="BN142" s="501"/>
      <c r="BO142" s="501"/>
      <c r="BP142" s="501"/>
      <c r="BQ142" s="501"/>
      <c r="BR142" s="501"/>
      <c r="BS142" s="501"/>
      <c r="BT142" s="501"/>
      <c r="BU142" s="501"/>
      <c r="BV142" s="501"/>
      <c r="BW142" s="501"/>
      <c r="BX142" s="501"/>
      <c r="BY142" s="501"/>
      <c r="BZ142" s="501"/>
      <c r="CA142" s="501"/>
      <c r="CB142" s="501"/>
      <c r="CC142" s="501"/>
      <c r="CD142" s="501"/>
      <c r="CE142" s="501"/>
      <c r="CF142" s="501"/>
      <c r="CG142" s="501"/>
      <c r="CH142" s="501"/>
      <c r="CI142" s="501"/>
      <c r="CJ142" s="501"/>
      <c r="CK142" s="621"/>
      <c r="CL142" s="622"/>
      <c r="CM142" s="623"/>
    </row>
    <row r="143" spans="1:91" s="344" customFormat="1">
      <c r="A143" s="335" t="s">
        <v>242</v>
      </c>
      <c r="B143" s="519" t="s">
        <v>100</v>
      </c>
      <c r="C143" s="519" t="s">
        <v>100</v>
      </c>
      <c r="D143" s="182"/>
      <c r="E143" s="519" t="s">
        <v>100</v>
      </c>
      <c r="F143" s="519" t="s">
        <v>100</v>
      </c>
      <c r="G143" s="519"/>
      <c r="H143" s="519" t="s">
        <v>100</v>
      </c>
      <c r="I143" s="519"/>
      <c r="J143" s="519" t="s">
        <v>100</v>
      </c>
      <c r="K143" s="519"/>
      <c r="L143" s="519" t="s">
        <v>100</v>
      </c>
      <c r="M143" s="519"/>
      <c r="N143" s="519"/>
      <c r="O143" s="519"/>
      <c r="P143" s="519" t="s">
        <v>100</v>
      </c>
      <c r="Q143" s="519"/>
      <c r="R143" s="519"/>
      <c r="S143" s="519" t="s">
        <v>100</v>
      </c>
      <c r="T143" s="519"/>
      <c r="U143" s="519"/>
      <c r="V143" s="519"/>
      <c r="W143" s="182"/>
      <c r="X143" s="182"/>
      <c r="Y143" s="182"/>
      <c r="Z143" s="182"/>
      <c r="AA143" s="182"/>
      <c r="AB143" s="182"/>
      <c r="AC143" s="182"/>
      <c r="AD143" s="182"/>
      <c r="AE143" s="182"/>
      <c r="AF143" s="182"/>
      <c r="AG143" s="182"/>
      <c r="AH143" s="182"/>
      <c r="AI143" s="339">
        <f t="shared" si="43"/>
        <v>9</v>
      </c>
      <c r="AJ143" s="340" t="str">
        <f>HYPERLINK("http://www.courant.com/sports/hc-sp-jacobs-colum-hall-20171215-story.html","Hartford Courant")</f>
        <v>Hartford Courant</v>
      </c>
      <c r="AK143" s="532">
        <v>43085</v>
      </c>
      <c r="AL143" s="498"/>
      <c r="AM143" s="498"/>
      <c r="AN143" s="498"/>
      <c r="AO143" s="498"/>
      <c r="AP143" s="498"/>
      <c r="AQ143" s="498"/>
      <c r="AR143" s="498"/>
      <c r="AS143" s="498"/>
      <c r="AT143" s="498"/>
      <c r="AU143" s="498"/>
      <c r="AV143" s="498"/>
      <c r="AW143" s="498"/>
      <c r="AX143" s="498"/>
      <c r="AY143" s="498"/>
      <c r="AZ143" s="498"/>
      <c r="BA143" s="498"/>
      <c r="BB143" s="498"/>
      <c r="BC143" s="498"/>
      <c r="BD143" s="498"/>
      <c r="BE143" s="498"/>
      <c r="BF143" s="498"/>
      <c r="BG143" s="498"/>
      <c r="BH143" s="498"/>
      <c r="BI143" s="498"/>
      <c r="BJ143" s="498"/>
      <c r="BK143" s="499"/>
      <c r="BL143" s="500"/>
      <c r="BM143" s="500"/>
      <c r="BN143" s="501"/>
      <c r="BO143" s="501"/>
      <c r="BP143" s="501"/>
      <c r="BQ143" s="501"/>
      <c r="BR143" s="501"/>
      <c r="BS143" s="501"/>
      <c r="BT143" s="501"/>
      <c r="BU143" s="501"/>
      <c r="BV143" s="501"/>
      <c r="BW143" s="501"/>
      <c r="BX143" s="501"/>
      <c r="BY143" s="501"/>
      <c r="BZ143" s="501"/>
      <c r="CA143" s="501"/>
      <c r="CB143" s="501"/>
      <c r="CC143" s="501"/>
      <c r="CD143" s="501"/>
      <c r="CE143" s="501"/>
      <c r="CF143" s="501"/>
      <c r="CG143" s="501"/>
      <c r="CH143" s="501"/>
      <c r="CI143" s="501"/>
      <c r="CJ143" s="501"/>
      <c r="CK143" s="621"/>
      <c r="CL143" s="622"/>
      <c r="CM143" s="623"/>
    </row>
    <row r="144" spans="1:91" s="344" customFormat="1">
      <c r="A144" s="335" t="s">
        <v>243</v>
      </c>
      <c r="B144" s="519" t="s">
        <v>100</v>
      </c>
      <c r="C144" s="519" t="s">
        <v>100</v>
      </c>
      <c r="D144" s="182"/>
      <c r="E144" s="519" t="s">
        <v>100</v>
      </c>
      <c r="F144" s="519" t="s">
        <v>100</v>
      </c>
      <c r="G144" s="519"/>
      <c r="H144" s="519" t="s">
        <v>100</v>
      </c>
      <c r="I144" s="519"/>
      <c r="J144" s="519" t="s">
        <v>100</v>
      </c>
      <c r="K144" s="519"/>
      <c r="L144" s="519"/>
      <c r="M144" s="519" t="s">
        <v>100</v>
      </c>
      <c r="N144" s="519"/>
      <c r="O144" s="519"/>
      <c r="P144" s="523"/>
      <c r="Q144" s="519"/>
      <c r="R144" s="519" t="s">
        <v>100</v>
      </c>
      <c r="S144" s="519" t="s">
        <v>100</v>
      </c>
      <c r="T144" s="519" t="s">
        <v>100</v>
      </c>
      <c r="U144" s="519"/>
      <c r="V144" s="519"/>
      <c r="W144" s="182"/>
      <c r="X144" s="182"/>
      <c r="Y144" s="182"/>
      <c r="Z144" s="182"/>
      <c r="AA144" s="182"/>
      <c r="AB144" s="182"/>
      <c r="AC144" s="182"/>
      <c r="AD144" s="182"/>
      <c r="AE144" s="182"/>
      <c r="AF144" s="182"/>
      <c r="AG144" s="182"/>
      <c r="AH144" s="182"/>
      <c r="AI144" s="339">
        <f t="shared" si="43"/>
        <v>10</v>
      </c>
      <c r="AJ144" s="340" t="str">
        <f>HYPERLINK("http://www.sfchronicle.com/sports/article/Baseball-Hall-of-Fame-How-6-Chronicle-writers-12519201.php","SF Chronicle")</f>
        <v>SF Chronicle</v>
      </c>
      <c r="AK144" s="341">
        <v>43123</v>
      </c>
      <c r="AL144" s="498"/>
      <c r="AM144" s="498"/>
      <c r="AN144" s="498"/>
      <c r="AO144" s="498"/>
      <c r="AP144" s="498"/>
      <c r="AQ144" s="498"/>
      <c r="AR144" s="498"/>
      <c r="AS144" s="498"/>
      <c r="AT144" s="498"/>
      <c r="AU144" s="498"/>
      <c r="AV144" s="498"/>
      <c r="AW144" s="498"/>
      <c r="AX144" s="498"/>
      <c r="AY144" s="498"/>
      <c r="AZ144" s="498"/>
      <c r="BA144" s="498"/>
      <c r="BB144" s="498"/>
      <c r="BC144" s="498"/>
      <c r="BD144" s="498"/>
      <c r="BE144" s="498"/>
      <c r="BF144" s="498"/>
      <c r="BG144" s="498"/>
      <c r="BH144" s="498"/>
      <c r="BI144" s="498"/>
      <c r="BJ144" s="498"/>
      <c r="BK144" s="499"/>
      <c r="BL144" s="500"/>
      <c r="BM144" s="500"/>
      <c r="BN144" s="501"/>
      <c r="BO144" s="501"/>
      <c r="BP144" s="501"/>
      <c r="BQ144" s="501"/>
      <c r="BR144" s="501"/>
      <c r="BS144" s="501"/>
      <c r="BT144" s="501"/>
      <c r="BU144" s="501"/>
      <c r="BV144" s="501"/>
      <c r="BW144" s="501"/>
      <c r="BX144" s="501"/>
      <c r="BY144" s="501"/>
      <c r="BZ144" s="501"/>
      <c r="CA144" s="501"/>
      <c r="CB144" s="501"/>
      <c r="CC144" s="501"/>
      <c r="CD144" s="501"/>
      <c r="CE144" s="501"/>
      <c r="CF144" s="501"/>
      <c r="CG144" s="501"/>
      <c r="CH144" s="501"/>
      <c r="CI144" s="501"/>
      <c r="CJ144" s="501"/>
      <c r="CK144" s="647" t="s">
        <v>158</v>
      </c>
      <c r="CL144" s="648"/>
      <c r="CM144" s="649"/>
    </row>
    <row r="145" spans="1:91" ht="12.75" customHeight="1">
      <c r="A145" s="469" t="s">
        <v>244</v>
      </c>
      <c r="B145" s="519" t="s">
        <v>100</v>
      </c>
      <c r="C145" s="519" t="s">
        <v>100</v>
      </c>
      <c r="D145" s="639"/>
      <c r="E145" s="519" t="s">
        <v>100</v>
      </c>
      <c r="F145" s="519" t="s">
        <v>100</v>
      </c>
      <c r="G145" s="520"/>
      <c r="H145" s="519" t="s">
        <v>100</v>
      </c>
      <c r="I145" s="520"/>
      <c r="J145" s="519" t="s">
        <v>100</v>
      </c>
      <c r="K145" s="520" t="s">
        <v>100</v>
      </c>
      <c r="L145" s="519"/>
      <c r="M145" s="520"/>
      <c r="N145" s="519"/>
      <c r="O145" s="520"/>
      <c r="P145" s="520"/>
      <c r="Q145" s="520" t="s">
        <v>100</v>
      </c>
      <c r="R145" s="520" t="s">
        <v>100</v>
      </c>
      <c r="S145" s="519"/>
      <c r="T145" s="520"/>
      <c r="U145" s="521"/>
      <c r="V145" s="519"/>
      <c r="W145" s="639"/>
      <c r="X145" s="639"/>
      <c r="Y145" s="639"/>
      <c r="Z145" s="639"/>
      <c r="AA145" s="639"/>
      <c r="AB145" s="639"/>
      <c r="AC145" s="639"/>
      <c r="AD145" s="639"/>
      <c r="AE145" s="639"/>
      <c r="AF145" s="639"/>
      <c r="AG145" s="639"/>
      <c r="AH145" s="639"/>
      <c r="AI145" s="339">
        <f t="shared" si="43"/>
        <v>9</v>
      </c>
      <c r="AJ145" s="530" t="s">
        <v>138</v>
      </c>
      <c r="AK145" s="471">
        <v>43079</v>
      </c>
      <c r="AL145" s="136"/>
      <c r="AM145" s="136"/>
      <c r="AN145" s="136"/>
      <c r="AO145" s="136"/>
      <c r="AP145" s="136"/>
      <c r="AQ145" s="136"/>
      <c r="AR145" s="136"/>
      <c r="AS145" s="136"/>
      <c r="AT145" s="136"/>
      <c r="AU145" s="136"/>
      <c r="AV145" s="136"/>
      <c r="AW145" s="136"/>
      <c r="AX145" s="136"/>
      <c r="AY145" s="136"/>
      <c r="AZ145" s="136"/>
      <c r="BA145" s="136"/>
      <c r="BB145" s="136"/>
      <c r="BC145" s="136"/>
      <c r="BD145" s="136"/>
      <c r="BE145" s="136"/>
      <c r="BF145" s="136"/>
      <c r="BG145" s="136"/>
      <c r="BH145" s="136"/>
      <c r="BI145" s="136"/>
      <c r="BJ145" s="136"/>
      <c r="BK145" s="136"/>
      <c r="BL145" s="136"/>
      <c r="BM145" s="136"/>
      <c r="BN145" s="136"/>
      <c r="BO145" s="136"/>
      <c r="BP145" s="136"/>
      <c r="BQ145" s="136"/>
      <c r="BR145" s="136"/>
      <c r="BS145" s="136"/>
      <c r="BT145" s="136"/>
      <c r="BU145" s="136"/>
      <c r="BV145" s="136"/>
      <c r="BW145" s="136"/>
      <c r="BX145" s="136"/>
      <c r="BY145" s="136"/>
      <c r="BZ145" s="136"/>
      <c r="CA145" s="136"/>
      <c r="CB145" s="136"/>
      <c r="CC145" s="136"/>
      <c r="CD145" s="136"/>
      <c r="CE145" s="136"/>
      <c r="CF145" s="136"/>
      <c r="CG145" s="136"/>
      <c r="CH145" s="136"/>
      <c r="CI145" s="136"/>
      <c r="CJ145" s="136"/>
      <c r="CK145" s="680"/>
      <c r="CL145" s="681"/>
      <c r="CM145" s="682"/>
    </row>
    <row r="146" spans="1:91" s="344" customFormat="1" ht="12.75" customHeight="1">
      <c r="A146" s="496" t="s">
        <v>245</v>
      </c>
      <c r="B146" s="519" t="s">
        <v>100</v>
      </c>
      <c r="C146" s="519" t="s">
        <v>100</v>
      </c>
      <c r="D146" s="380"/>
      <c r="E146" s="519" t="s">
        <v>100</v>
      </c>
      <c r="F146" s="519" t="s">
        <v>100</v>
      </c>
      <c r="G146" s="547"/>
      <c r="H146" s="519" t="s">
        <v>100</v>
      </c>
      <c r="I146" s="547"/>
      <c r="J146" s="522" t="s">
        <v>100</v>
      </c>
      <c r="K146" s="547" t="s">
        <v>100</v>
      </c>
      <c r="L146" s="519"/>
      <c r="M146" s="546"/>
      <c r="N146" s="519"/>
      <c r="O146" s="547"/>
      <c r="P146" s="547"/>
      <c r="Q146" s="547" t="s">
        <v>100</v>
      </c>
      <c r="R146" s="547"/>
      <c r="S146" s="519" t="s">
        <v>100</v>
      </c>
      <c r="T146" s="547"/>
      <c r="U146" s="548"/>
      <c r="V146" s="522" t="s">
        <v>100</v>
      </c>
      <c r="W146" s="380"/>
      <c r="X146" s="380"/>
      <c r="Y146" s="380"/>
      <c r="Z146" s="380"/>
      <c r="AA146" s="380"/>
      <c r="AB146" s="380"/>
      <c r="AC146" s="380"/>
      <c r="AD146" s="380"/>
      <c r="AE146" s="380"/>
      <c r="AF146" s="380"/>
      <c r="AG146" s="380"/>
      <c r="AH146" s="380"/>
      <c r="AI146" s="339">
        <f t="shared" si="43"/>
        <v>10</v>
      </c>
      <c r="AJ146" s="530" t="s">
        <v>113</v>
      </c>
      <c r="AK146" s="532">
        <v>43124</v>
      </c>
      <c r="AL146" s="343"/>
      <c r="AM146" s="343"/>
      <c r="AN146" s="343"/>
      <c r="AO146" s="343"/>
      <c r="AP146" s="343"/>
      <c r="AQ146" s="343"/>
      <c r="AR146" s="343"/>
      <c r="AS146" s="343"/>
      <c r="AT146" s="343"/>
      <c r="AU146" s="343"/>
      <c r="AV146" s="343"/>
      <c r="AW146" s="343"/>
      <c r="AX146" s="343"/>
      <c r="AY146" s="343"/>
      <c r="AZ146" s="343"/>
      <c r="BA146" s="343"/>
      <c r="BB146" s="343"/>
      <c r="BC146" s="343"/>
      <c r="BD146" s="343"/>
      <c r="BE146" s="343"/>
      <c r="BF146" s="343"/>
      <c r="BG146" s="343"/>
      <c r="BH146" s="343"/>
      <c r="BI146" s="343"/>
      <c r="BJ146" s="343"/>
      <c r="BK146" s="343"/>
      <c r="BL146" s="343"/>
      <c r="BM146" s="343"/>
      <c r="BN146" s="343"/>
      <c r="BO146" s="343"/>
      <c r="BP146" s="343"/>
      <c r="BQ146" s="343"/>
      <c r="BR146" s="343"/>
      <c r="BS146" s="343"/>
      <c r="BT146" s="343"/>
      <c r="BU146" s="343"/>
      <c r="BV146" s="343"/>
      <c r="BW146" s="343"/>
      <c r="BX146" s="343"/>
      <c r="BY146" s="343"/>
      <c r="BZ146" s="343"/>
      <c r="CA146" s="343"/>
      <c r="CB146" s="343"/>
      <c r="CC146" s="343"/>
      <c r="CD146" s="343"/>
      <c r="CE146" s="343"/>
      <c r="CF146" s="343"/>
      <c r="CG146" s="343"/>
      <c r="CH146" s="343"/>
      <c r="CI146" s="343"/>
      <c r="CJ146" s="343"/>
      <c r="CK146" s="647" t="s">
        <v>246</v>
      </c>
      <c r="CL146" s="648"/>
      <c r="CM146" s="649"/>
    </row>
    <row r="147" spans="1:91" s="344" customFormat="1">
      <c r="A147" s="335" t="s">
        <v>247</v>
      </c>
      <c r="B147" s="519" t="s">
        <v>100</v>
      </c>
      <c r="C147" s="519" t="s">
        <v>100</v>
      </c>
      <c r="D147" s="182"/>
      <c r="E147" s="522" t="s">
        <v>100</v>
      </c>
      <c r="F147" s="519" t="s">
        <v>100</v>
      </c>
      <c r="G147" s="519"/>
      <c r="H147" s="519" t="s">
        <v>100</v>
      </c>
      <c r="I147" s="519"/>
      <c r="J147" s="519" t="s">
        <v>100</v>
      </c>
      <c r="K147" s="519"/>
      <c r="L147" s="519" t="s">
        <v>100</v>
      </c>
      <c r="M147" s="519"/>
      <c r="N147" s="519"/>
      <c r="O147" s="519"/>
      <c r="P147" s="519" t="s">
        <v>100</v>
      </c>
      <c r="Q147" s="519"/>
      <c r="R147" s="519"/>
      <c r="S147" s="519" t="s">
        <v>100</v>
      </c>
      <c r="T147" s="519"/>
      <c r="U147" s="519" t="s">
        <v>100</v>
      </c>
      <c r="V147" s="519"/>
      <c r="W147" s="182"/>
      <c r="X147" s="182"/>
      <c r="Y147" s="182"/>
      <c r="Z147" s="182"/>
      <c r="AA147" s="182"/>
      <c r="AB147" s="182"/>
      <c r="AC147" s="182"/>
      <c r="AD147" s="182"/>
      <c r="AE147" s="182"/>
      <c r="AF147" s="182"/>
      <c r="AG147" s="182"/>
      <c r="AH147" s="182"/>
      <c r="AI147" s="167">
        <f t="shared" si="43"/>
        <v>10</v>
      </c>
      <c r="AJ147" s="340" t="str">
        <f>HYPERLINK("https://itunes.apple.com/us/podcast/id1178842489?partnerId=ed-12109389-1035043033","Morning Lineup Pod")</f>
        <v>Morning Lineup Pod</v>
      </c>
      <c r="AK147" s="341">
        <v>43071</v>
      </c>
      <c r="AL147" s="352"/>
      <c r="AM147" s="352"/>
      <c r="AN147" s="352"/>
      <c r="AO147" s="352"/>
      <c r="AP147" s="352"/>
      <c r="AQ147" s="352"/>
      <c r="AR147" s="352"/>
      <c r="AS147" s="352"/>
      <c r="AT147" s="352"/>
      <c r="AU147" s="352"/>
      <c r="AV147" s="352"/>
      <c r="AW147" s="352"/>
      <c r="AX147" s="352"/>
      <c r="AY147" s="352"/>
      <c r="AZ147" s="352"/>
      <c r="BA147" s="352"/>
      <c r="BB147" s="352"/>
      <c r="BC147" s="352"/>
      <c r="BD147" s="352"/>
      <c r="BE147" s="352"/>
      <c r="BF147" s="352"/>
      <c r="BG147" s="352"/>
      <c r="BH147" s="352"/>
      <c r="BI147" s="352"/>
      <c r="BJ147" s="352"/>
      <c r="BK147" s="470"/>
      <c r="BL147" s="339"/>
      <c r="BM147" s="339"/>
      <c r="BN147" s="182"/>
      <c r="BO147" s="182"/>
      <c r="BP147" s="182"/>
      <c r="BQ147" s="182"/>
      <c r="BR147" s="182"/>
      <c r="BS147" s="182"/>
      <c r="BT147" s="182"/>
      <c r="BU147" s="182"/>
      <c r="BV147" s="182"/>
      <c r="BW147" s="182"/>
      <c r="BX147" s="182"/>
      <c r="BY147" s="182"/>
      <c r="BZ147" s="182"/>
      <c r="CA147" s="182"/>
      <c r="CB147" s="182"/>
      <c r="CC147" s="182"/>
      <c r="CD147" s="182"/>
      <c r="CE147" s="182"/>
      <c r="CF147" s="182"/>
      <c r="CG147" s="182"/>
      <c r="CH147" s="182"/>
      <c r="CI147" s="182"/>
      <c r="CJ147" s="182"/>
      <c r="CK147" s="662" t="s">
        <v>248</v>
      </c>
      <c r="CL147" s="663"/>
      <c r="CM147" s="664"/>
    </row>
    <row r="148" spans="1:91" s="475" customFormat="1">
      <c r="A148" s="335" t="s">
        <v>249</v>
      </c>
      <c r="B148" s="519"/>
      <c r="C148" s="519"/>
      <c r="D148" s="182"/>
      <c r="E148" s="519" t="s">
        <v>100</v>
      </c>
      <c r="F148" s="519" t="s">
        <v>100</v>
      </c>
      <c r="G148" s="519"/>
      <c r="H148" s="519" t="s">
        <v>100</v>
      </c>
      <c r="I148" s="519"/>
      <c r="J148" s="519" t="s">
        <v>100</v>
      </c>
      <c r="K148" s="519" t="s">
        <v>100</v>
      </c>
      <c r="L148" s="519"/>
      <c r="M148" s="519"/>
      <c r="N148" s="519"/>
      <c r="O148" s="519"/>
      <c r="P148" s="519"/>
      <c r="Q148" s="519" t="s">
        <v>100</v>
      </c>
      <c r="R148" s="519"/>
      <c r="S148" s="519" t="s">
        <v>100</v>
      </c>
      <c r="T148" s="519" t="s">
        <v>100</v>
      </c>
      <c r="U148" s="519"/>
      <c r="V148" s="519"/>
      <c r="W148" s="182"/>
      <c r="X148" s="182"/>
      <c r="Y148" s="182"/>
      <c r="Z148" s="182"/>
      <c r="AA148" s="182"/>
      <c r="AB148" s="182"/>
      <c r="AC148" s="182"/>
      <c r="AD148" s="182"/>
      <c r="AE148" s="182"/>
      <c r="AF148" s="182"/>
      <c r="AG148" s="182"/>
      <c r="AH148" s="182"/>
      <c r="AI148" s="167">
        <f t="shared" si="43"/>
        <v>8</v>
      </c>
      <c r="AJ148" s="530" t="s">
        <v>113</v>
      </c>
      <c r="AK148" s="341">
        <v>43114</v>
      </c>
      <c r="AL148" s="352"/>
      <c r="AM148" s="352"/>
      <c r="AN148" s="352"/>
      <c r="AO148" s="352"/>
      <c r="AP148" s="352"/>
      <c r="AQ148" s="352"/>
      <c r="AR148" s="352"/>
      <c r="AS148" s="352"/>
      <c r="AT148" s="352"/>
      <c r="AU148" s="352"/>
      <c r="AV148" s="352"/>
      <c r="AW148" s="352"/>
      <c r="AX148" s="352"/>
      <c r="AY148" s="352"/>
      <c r="AZ148" s="352"/>
      <c r="BA148" s="352"/>
      <c r="BB148" s="352"/>
      <c r="BC148" s="352"/>
      <c r="BD148" s="352"/>
      <c r="BE148" s="352"/>
      <c r="BF148" s="352"/>
      <c r="BG148" s="352"/>
      <c r="BH148" s="352"/>
      <c r="BI148" s="352"/>
      <c r="BJ148" s="352"/>
      <c r="BK148" s="470"/>
      <c r="BL148" s="339"/>
      <c r="BM148" s="339"/>
      <c r="BN148" s="182"/>
      <c r="BO148" s="182"/>
      <c r="BP148" s="182"/>
      <c r="BQ148" s="182"/>
      <c r="BR148" s="182"/>
      <c r="BS148" s="182"/>
      <c r="BT148" s="182"/>
      <c r="BU148" s="182"/>
      <c r="BV148" s="182"/>
      <c r="BW148" s="182"/>
      <c r="BX148" s="182"/>
      <c r="BY148" s="182"/>
      <c r="BZ148" s="182"/>
      <c r="CA148" s="182"/>
      <c r="CB148" s="182"/>
      <c r="CC148" s="182"/>
      <c r="CD148" s="182"/>
      <c r="CE148" s="182"/>
      <c r="CF148" s="182"/>
      <c r="CG148" s="182"/>
      <c r="CH148" s="182"/>
      <c r="CI148" s="182"/>
      <c r="CJ148" s="182"/>
      <c r="CK148" s="621"/>
      <c r="CL148" s="622"/>
      <c r="CM148" s="623"/>
    </row>
    <row r="149" spans="1:91" s="344" customFormat="1">
      <c r="A149" s="335" t="s">
        <v>250</v>
      </c>
      <c r="B149" s="519" t="s">
        <v>100</v>
      </c>
      <c r="C149" s="519" t="s">
        <v>100</v>
      </c>
      <c r="D149" s="182"/>
      <c r="E149" s="522" t="s">
        <v>100</v>
      </c>
      <c r="F149" s="519" t="s">
        <v>100</v>
      </c>
      <c r="G149" s="519"/>
      <c r="H149" s="519" t="s">
        <v>100</v>
      </c>
      <c r="I149" s="519"/>
      <c r="J149" s="519" t="s">
        <v>100</v>
      </c>
      <c r="K149" s="519"/>
      <c r="L149" s="519" t="s">
        <v>100</v>
      </c>
      <c r="M149" s="519"/>
      <c r="N149" s="519"/>
      <c r="O149" s="519"/>
      <c r="P149" s="519" t="s">
        <v>100</v>
      </c>
      <c r="Q149" s="519"/>
      <c r="R149" s="519"/>
      <c r="S149" s="519" t="s">
        <v>100</v>
      </c>
      <c r="T149" s="519" t="s">
        <v>100</v>
      </c>
      <c r="U149" s="519"/>
      <c r="V149" s="519"/>
      <c r="W149" s="182"/>
      <c r="X149" s="182"/>
      <c r="Y149" s="182"/>
      <c r="Z149" s="182"/>
      <c r="AA149" s="182"/>
      <c r="AB149" s="182"/>
      <c r="AC149" s="182"/>
      <c r="AD149" s="182"/>
      <c r="AE149" s="182"/>
      <c r="AF149" s="182"/>
      <c r="AG149" s="182"/>
      <c r="AH149" s="182"/>
      <c r="AI149" s="167">
        <f t="shared" si="43"/>
        <v>10</v>
      </c>
      <c r="AJ149" s="340" t="str">
        <f>HYPERLINK("https://theathletic.com/189089/2017/12/19/kawakami-my-2018-baseball-hall-of-fame-ballot-including-bonds-guerrero-and-vizquel/","The Athletic Bay Area")</f>
        <v>The Athletic Bay Area</v>
      </c>
      <c r="AK149" s="341">
        <v>43088</v>
      </c>
      <c r="AL149" s="352"/>
      <c r="AM149" s="352"/>
      <c r="AN149" s="352"/>
      <c r="AO149" s="352"/>
      <c r="AP149" s="352"/>
      <c r="AQ149" s="352"/>
      <c r="AR149" s="352"/>
      <c r="AS149" s="352"/>
      <c r="AT149" s="352"/>
      <c r="AU149" s="352"/>
      <c r="AV149" s="352"/>
      <c r="AW149" s="352"/>
      <c r="AX149" s="352"/>
      <c r="AY149" s="352"/>
      <c r="AZ149" s="352"/>
      <c r="BA149" s="352"/>
      <c r="BB149" s="352"/>
      <c r="BC149" s="352"/>
      <c r="BD149" s="352"/>
      <c r="BE149" s="352"/>
      <c r="BF149" s="352"/>
      <c r="BG149" s="352"/>
      <c r="BH149" s="352"/>
      <c r="BI149" s="352"/>
      <c r="BJ149" s="352"/>
      <c r="BK149" s="470"/>
      <c r="BL149" s="339"/>
      <c r="BM149" s="339"/>
      <c r="BN149" s="182"/>
      <c r="BO149" s="182"/>
      <c r="BP149" s="182"/>
      <c r="BQ149" s="182"/>
      <c r="BR149" s="182"/>
      <c r="BS149" s="182"/>
      <c r="BT149" s="182"/>
      <c r="BU149" s="182"/>
      <c r="BV149" s="182"/>
      <c r="BW149" s="182"/>
      <c r="BX149" s="182"/>
      <c r="BY149" s="182"/>
      <c r="BZ149" s="182"/>
      <c r="CA149" s="182"/>
      <c r="CB149" s="182"/>
      <c r="CC149" s="182"/>
      <c r="CD149" s="182"/>
      <c r="CE149" s="182"/>
      <c r="CF149" s="182"/>
      <c r="CG149" s="182"/>
      <c r="CH149" s="182"/>
      <c r="CI149" s="182"/>
      <c r="CJ149" s="182"/>
      <c r="CK149" s="621"/>
      <c r="CL149" s="622"/>
      <c r="CM149" s="623"/>
    </row>
    <row r="150" spans="1:91" s="344" customFormat="1">
      <c r="A150" s="335" t="s">
        <v>251</v>
      </c>
      <c r="B150" s="519" t="s">
        <v>100</v>
      </c>
      <c r="C150" s="519" t="s">
        <v>100</v>
      </c>
      <c r="D150" s="182"/>
      <c r="E150" s="522" t="s">
        <v>100</v>
      </c>
      <c r="F150" s="519" t="s">
        <v>100</v>
      </c>
      <c r="G150" s="519"/>
      <c r="H150" s="519" t="s">
        <v>100</v>
      </c>
      <c r="I150" s="519"/>
      <c r="J150" s="519" t="s">
        <v>100</v>
      </c>
      <c r="K150" s="519" t="s">
        <v>100</v>
      </c>
      <c r="L150" s="519"/>
      <c r="M150" s="519"/>
      <c r="N150" s="519"/>
      <c r="O150" s="519"/>
      <c r="P150" s="519" t="s">
        <v>100</v>
      </c>
      <c r="Q150" s="523"/>
      <c r="R150" s="519"/>
      <c r="S150" s="519" t="s">
        <v>100</v>
      </c>
      <c r="T150" s="519"/>
      <c r="U150" s="519"/>
      <c r="V150" s="522" t="s">
        <v>100</v>
      </c>
      <c r="W150" s="182"/>
      <c r="X150" s="182"/>
      <c r="Y150" s="182"/>
      <c r="Z150" s="182"/>
      <c r="AA150" s="182"/>
      <c r="AB150" s="182"/>
      <c r="AC150" s="182"/>
      <c r="AD150" s="182"/>
      <c r="AE150" s="182"/>
      <c r="AF150" s="182"/>
      <c r="AG150" s="182"/>
      <c r="AH150" s="182"/>
      <c r="AI150" s="167">
        <f t="shared" si="43"/>
        <v>10</v>
      </c>
      <c r="AJ150" s="340" t="str">
        <f>HYPERLINK("https://www.instagram.com/p/BeE4C5MnkOP/","Instagram")</f>
        <v>Instagram</v>
      </c>
      <c r="AK150" s="341">
        <v>43117</v>
      </c>
      <c r="AL150" s="352"/>
      <c r="AM150" s="352"/>
      <c r="AN150" s="352"/>
      <c r="AO150" s="352"/>
      <c r="AP150" s="352"/>
      <c r="AQ150" s="352"/>
      <c r="AR150" s="352"/>
      <c r="AS150" s="352"/>
      <c r="AT150" s="352"/>
      <c r="AU150" s="352"/>
      <c r="AV150" s="352"/>
      <c r="AW150" s="352"/>
      <c r="AX150" s="352"/>
      <c r="AY150" s="352"/>
      <c r="AZ150" s="352"/>
      <c r="BA150" s="352"/>
      <c r="BB150" s="352"/>
      <c r="BC150" s="352"/>
      <c r="BD150" s="352"/>
      <c r="BE150" s="352"/>
      <c r="BF150" s="352"/>
      <c r="BG150" s="352"/>
      <c r="BH150" s="352"/>
      <c r="BI150" s="352"/>
      <c r="BJ150" s="352"/>
      <c r="BK150" s="470"/>
      <c r="BL150" s="339"/>
      <c r="BM150" s="339"/>
      <c r="BN150" s="182"/>
      <c r="BO150" s="182"/>
      <c r="BP150" s="182"/>
      <c r="BQ150" s="182"/>
      <c r="BR150" s="182"/>
      <c r="BS150" s="182"/>
      <c r="BT150" s="182"/>
      <c r="BU150" s="182"/>
      <c r="BV150" s="182"/>
      <c r="BW150" s="182"/>
      <c r="BX150" s="182"/>
      <c r="BY150" s="182"/>
      <c r="BZ150" s="182"/>
      <c r="CA150" s="182"/>
      <c r="CB150" s="182"/>
      <c r="CC150" s="182"/>
      <c r="CD150" s="182"/>
      <c r="CE150" s="182"/>
      <c r="CF150" s="182"/>
      <c r="CG150" s="182"/>
      <c r="CH150" s="182"/>
      <c r="CI150" s="182"/>
      <c r="CJ150" s="182"/>
      <c r="CK150" s="621"/>
      <c r="CL150" s="622"/>
      <c r="CM150" s="623"/>
    </row>
    <row r="151" spans="1:91" s="344" customFormat="1">
      <c r="A151" s="335" t="s">
        <v>252</v>
      </c>
      <c r="B151" s="519"/>
      <c r="C151" s="519"/>
      <c r="D151" s="182"/>
      <c r="E151" s="519" t="s">
        <v>100</v>
      </c>
      <c r="F151" s="519" t="s">
        <v>100</v>
      </c>
      <c r="G151" s="519"/>
      <c r="H151" s="519" t="s">
        <v>100</v>
      </c>
      <c r="I151" s="519"/>
      <c r="J151" s="519" t="s">
        <v>100</v>
      </c>
      <c r="K151" s="519"/>
      <c r="L151" s="519"/>
      <c r="M151" s="519"/>
      <c r="N151" s="519"/>
      <c r="O151" s="519"/>
      <c r="P151" s="519"/>
      <c r="Q151" s="519"/>
      <c r="R151" s="519"/>
      <c r="S151" s="519" t="s">
        <v>100</v>
      </c>
      <c r="T151" s="519" t="s">
        <v>100</v>
      </c>
      <c r="U151" s="519"/>
      <c r="V151" s="519"/>
      <c r="W151" s="182"/>
      <c r="X151" s="182"/>
      <c r="Y151" s="182"/>
      <c r="Z151" s="182"/>
      <c r="AA151" s="182"/>
      <c r="AB151" s="182"/>
      <c r="AC151" s="182"/>
      <c r="AD151" s="182"/>
      <c r="AE151" s="182"/>
      <c r="AF151" s="182"/>
      <c r="AG151" s="182"/>
      <c r="AH151" s="182"/>
      <c r="AI151" s="339">
        <f t="shared" ref="AI151:AI152" si="46">COUNTIF(B151:AH151,"x")</f>
        <v>6</v>
      </c>
      <c r="AJ151" s="340" t="str">
        <f>HYPERLINK("http://www.sfchronicle.com/sports/article/Baseball-Hall-of-Fame-How-6-Chronicle-writers-12519201.php","SF Chronicle")</f>
        <v>SF Chronicle</v>
      </c>
      <c r="AK151" s="341">
        <v>43123</v>
      </c>
      <c r="AL151" s="352"/>
      <c r="AM151" s="352"/>
      <c r="AN151" s="352"/>
      <c r="AO151" s="352"/>
      <c r="AP151" s="352"/>
      <c r="AQ151" s="352"/>
      <c r="AR151" s="352"/>
      <c r="AS151" s="352"/>
      <c r="AT151" s="352"/>
      <c r="AU151" s="352"/>
      <c r="AV151" s="352"/>
      <c r="AW151" s="352"/>
      <c r="AX151" s="352"/>
      <c r="AY151" s="352"/>
      <c r="AZ151" s="352"/>
      <c r="BA151" s="352"/>
      <c r="BB151" s="352"/>
      <c r="BC151" s="352"/>
      <c r="BD151" s="352"/>
      <c r="BE151" s="352"/>
      <c r="BF151" s="352"/>
      <c r="BG151" s="352"/>
      <c r="BH151" s="352"/>
      <c r="BI151" s="352"/>
      <c r="BJ151" s="352"/>
      <c r="BK151" s="470"/>
      <c r="BL151" s="339"/>
      <c r="BM151" s="339"/>
      <c r="BN151" s="182"/>
      <c r="BO151" s="182"/>
      <c r="BP151" s="182"/>
      <c r="BQ151" s="182"/>
      <c r="BR151" s="182"/>
      <c r="BS151" s="182"/>
      <c r="BT151" s="182"/>
      <c r="BU151" s="182"/>
      <c r="BV151" s="182"/>
      <c r="BW151" s="182"/>
      <c r="BX151" s="182"/>
      <c r="BY151" s="182"/>
      <c r="BZ151" s="182"/>
      <c r="CA151" s="182"/>
      <c r="CB151" s="182"/>
      <c r="CC151" s="182"/>
      <c r="CD151" s="182"/>
      <c r="CE151" s="182"/>
      <c r="CF151" s="182"/>
      <c r="CG151" s="182"/>
      <c r="CH151" s="182"/>
      <c r="CI151" s="182"/>
      <c r="CJ151" s="182"/>
      <c r="CK151" s="621"/>
      <c r="CL151" s="622"/>
      <c r="CM151" s="623"/>
    </row>
    <row r="152" spans="1:91" s="344" customFormat="1">
      <c r="A152" s="335" t="s">
        <v>253</v>
      </c>
      <c r="B152" s="519" t="s">
        <v>100</v>
      </c>
      <c r="C152" s="519" t="s">
        <v>100</v>
      </c>
      <c r="D152" s="182"/>
      <c r="E152" s="519" t="s">
        <v>100</v>
      </c>
      <c r="F152" s="519" t="s">
        <v>100</v>
      </c>
      <c r="G152" s="519"/>
      <c r="H152" s="519" t="s">
        <v>100</v>
      </c>
      <c r="I152" s="519"/>
      <c r="J152" s="519"/>
      <c r="K152" s="519"/>
      <c r="L152" s="519" t="s">
        <v>100</v>
      </c>
      <c r="M152" s="519" t="s">
        <v>100</v>
      </c>
      <c r="N152" s="519"/>
      <c r="O152" s="519"/>
      <c r="P152" s="519"/>
      <c r="Q152" s="519" t="s">
        <v>100</v>
      </c>
      <c r="R152" s="519" t="s">
        <v>100</v>
      </c>
      <c r="S152" s="519" t="s">
        <v>100</v>
      </c>
      <c r="T152" s="519"/>
      <c r="U152" s="519"/>
      <c r="V152" s="519"/>
      <c r="W152" s="182"/>
      <c r="X152" s="182"/>
      <c r="Y152" s="182"/>
      <c r="Z152" s="182"/>
      <c r="AA152" s="182"/>
      <c r="AB152" s="182"/>
      <c r="AC152" s="182"/>
      <c r="AD152" s="182"/>
      <c r="AE152" s="182"/>
      <c r="AF152" s="182"/>
      <c r="AG152" s="182"/>
      <c r="AH152" s="182"/>
      <c r="AI152" s="339">
        <f t="shared" si="46"/>
        <v>10</v>
      </c>
      <c r="AJ152" s="340" t="str">
        <f>HYPERLINK("https://nypost.com/2018/01/23/posts-11-hall-of-fame-voters-would-produce-a-historic-class/","New York Post")</f>
        <v>New York Post</v>
      </c>
      <c r="AK152" s="341">
        <v>43123</v>
      </c>
      <c r="AL152" s="352"/>
      <c r="AM152" s="352"/>
      <c r="AN152" s="352"/>
      <c r="AO152" s="352"/>
      <c r="AP152" s="352"/>
      <c r="AQ152" s="352"/>
      <c r="AR152" s="352"/>
      <c r="AS152" s="352"/>
      <c r="AT152" s="352"/>
      <c r="AU152" s="352"/>
      <c r="AV152" s="352"/>
      <c r="AW152" s="352"/>
      <c r="AX152" s="352"/>
      <c r="AY152" s="352"/>
      <c r="AZ152" s="352"/>
      <c r="BA152" s="352"/>
      <c r="BB152" s="352"/>
      <c r="BC152" s="352"/>
      <c r="BD152" s="352"/>
      <c r="BE152" s="352"/>
      <c r="BF152" s="352"/>
      <c r="BG152" s="352"/>
      <c r="BH152" s="352"/>
      <c r="BI152" s="352"/>
      <c r="BJ152" s="352"/>
      <c r="BK152" s="470"/>
      <c r="BL152" s="339"/>
      <c r="BM152" s="339"/>
      <c r="BN152" s="182"/>
      <c r="BO152" s="182"/>
      <c r="BP152" s="182"/>
      <c r="BQ152" s="182"/>
      <c r="BR152" s="182"/>
      <c r="BS152" s="182"/>
      <c r="BT152" s="182"/>
      <c r="BU152" s="182"/>
      <c r="BV152" s="182"/>
      <c r="BW152" s="182"/>
      <c r="BX152" s="182"/>
      <c r="BY152" s="182"/>
      <c r="BZ152" s="182"/>
      <c r="CA152" s="182"/>
      <c r="CB152" s="182"/>
      <c r="CC152" s="182"/>
      <c r="CD152" s="182"/>
      <c r="CE152" s="182"/>
      <c r="CF152" s="182"/>
      <c r="CG152" s="182"/>
      <c r="CH152" s="182"/>
      <c r="CI152" s="182"/>
      <c r="CJ152" s="182"/>
      <c r="CK152" s="621"/>
      <c r="CL152" s="622"/>
      <c r="CM152" s="623"/>
    </row>
    <row r="153" spans="1:91" s="344" customFormat="1">
      <c r="A153" s="335" t="s">
        <v>254</v>
      </c>
      <c r="B153" s="519" t="s">
        <v>100</v>
      </c>
      <c r="C153" s="519" t="s">
        <v>100</v>
      </c>
      <c r="D153" s="182"/>
      <c r="E153" s="519" t="s">
        <v>100</v>
      </c>
      <c r="F153" s="519" t="s">
        <v>100</v>
      </c>
      <c r="G153" s="519"/>
      <c r="H153" s="519" t="s">
        <v>100</v>
      </c>
      <c r="I153" s="519"/>
      <c r="J153" s="519" t="s">
        <v>100</v>
      </c>
      <c r="K153" s="519"/>
      <c r="L153" s="519" t="s">
        <v>100</v>
      </c>
      <c r="M153" s="519"/>
      <c r="N153" s="519"/>
      <c r="O153" s="519"/>
      <c r="P153" s="519" t="s">
        <v>100</v>
      </c>
      <c r="Q153" s="519"/>
      <c r="R153" s="519"/>
      <c r="S153" s="519" t="s">
        <v>100</v>
      </c>
      <c r="T153" s="519"/>
      <c r="U153" s="519"/>
      <c r="V153" s="522" t="s">
        <v>100</v>
      </c>
      <c r="W153" s="182"/>
      <c r="X153" s="182"/>
      <c r="Y153" s="182"/>
      <c r="Z153" s="182"/>
      <c r="AA153" s="182"/>
      <c r="AB153" s="182"/>
      <c r="AC153" s="182"/>
      <c r="AD153" s="182"/>
      <c r="AE153" s="182"/>
      <c r="AF153" s="182"/>
      <c r="AG153" s="182"/>
      <c r="AH153" s="182"/>
      <c r="AI153" s="167">
        <f t="shared" si="43"/>
        <v>10</v>
      </c>
      <c r="AJ153" s="340" t="str">
        <f>HYPERLINK("https://twitter.com/BobKlap/status/943185564836204544","Twitter")</f>
        <v>Twitter</v>
      </c>
      <c r="AK153" s="341">
        <v>43088</v>
      </c>
      <c r="AL153" s="352"/>
      <c r="AM153" s="352"/>
      <c r="AN153" s="352"/>
      <c r="AO153" s="352"/>
      <c r="AP153" s="352"/>
      <c r="AQ153" s="352"/>
      <c r="AR153" s="352"/>
      <c r="AS153" s="352"/>
      <c r="AT153" s="352"/>
      <c r="AU153" s="352"/>
      <c r="AV153" s="352"/>
      <c r="AW153" s="352"/>
      <c r="AX153" s="352"/>
      <c r="AY153" s="352"/>
      <c r="AZ153" s="352"/>
      <c r="BA153" s="352"/>
      <c r="BB153" s="352"/>
      <c r="BC153" s="352"/>
      <c r="BD153" s="352"/>
      <c r="BE153" s="352"/>
      <c r="BF153" s="352"/>
      <c r="BG153" s="352"/>
      <c r="BH153" s="352"/>
      <c r="BI153" s="352"/>
      <c r="BJ153" s="352"/>
      <c r="BK153" s="470"/>
      <c r="BL153" s="339"/>
      <c r="BM153" s="339"/>
      <c r="BN153" s="182"/>
      <c r="BO153" s="182"/>
      <c r="BP153" s="182"/>
      <c r="BQ153" s="182"/>
      <c r="BR153" s="182"/>
      <c r="BS153" s="182"/>
      <c r="BT153" s="182"/>
      <c r="BU153" s="182"/>
      <c r="BV153" s="182"/>
      <c r="BW153" s="182"/>
      <c r="BX153" s="182"/>
      <c r="BY153" s="182"/>
      <c r="BZ153" s="182"/>
      <c r="CA153" s="182"/>
      <c r="CB153" s="182"/>
      <c r="CC153" s="182"/>
      <c r="CD153" s="182"/>
      <c r="CE153" s="182"/>
      <c r="CF153" s="182"/>
      <c r="CG153" s="182"/>
      <c r="CH153" s="182"/>
      <c r="CI153" s="182"/>
      <c r="CJ153" s="182"/>
      <c r="CK153" s="621"/>
      <c r="CL153" s="622"/>
      <c r="CM153" s="623"/>
    </row>
    <row r="154" spans="1:91" s="344" customFormat="1">
      <c r="A154" s="335" t="s">
        <v>255</v>
      </c>
      <c r="B154" s="519"/>
      <c r="C154" s="519"/>
      <c r="D154" s="182"/>
      <c r="E154" s="519" t="s">
        <v>100</v>
      </c>
      <c r="F154" s="519" t="s">
        <v>100</v>
      </c>
      <c r="G154" s="519"/>
      <c r="H154" s="519" t="s">
        <v>100</v>
      </c>
      <c r="I154" s="519" t="s">
        <v>100</v>
      </c>
      <c r="J154" s="519" t="s">
        <v>100</v>
      </c>
      <c r="K154" s="519"/>
      <c r="L154" s="519"/>
      <c r="M154" s="519"/>
      <c r="N154" s="519"/>
      <c r="O154" s="519"/>
      <c r="P154" s="519"/>
      <c r="Q154" s="519"/>
      <c r="R154" s="519"/>
      <c r="S154" s="519" t="s">
        <v>100</v>
      </c>
      <c r="T154" s="519"/>
      <c r="U154" s="519" t="s">
        <v>100</v>
      </c>
      <c r="V154" s="522" t="s">
        <v>100</v>
      </c>
      <c r="W154" s="182"/>
      <c r="X154" s="182"/>
      <c r="Y154" s="182"/>
      <c r="Z154" s="182"/>
      <c r="AA154" s="182"/>
      <c r="AB154" s="182"/>
      <c r="AC154" s="182"/>
      <c r="AD154" s="182"/>
      <c r="AE154" s="182"/>
      <c r="AF154" s="182"/>
      <c r="AG154" s="182"/>
      <c r="AH154" s="182"/>
      <c r="AI154" s="167">
        <f t="shared" si="43"/>
        <v>8</v>
      </c>
      <c r="AJ154" s="530" t="s">
        <v>113</v>
      </c>
      <c r="AK154" s="341">
        <v>43108</v>
      </c>
      <c r="AL154" s="352"/>
      <c r="AM154" s="352"/>
      <c r="AN154" s="352"/>
      <c r="AO154" s="352"/>
      <c r="AP154" s="352"/>
      <c r="AQ154" s="352"/>
      <c r="AR154" s="352"/>
      <c r="AS154" s="352"/>
      <c r="AT154" s="352"/>
      <c r="AU154" s="352"/>
      <c r="AV154" s="352"/>
      <c r="AW154" s="352"/>
      <c r="AX154" s="352"/>
      <c r="AY154" s="352"/>
      <c r="AZ154" s="352"/>
      <c r="BA154" s="352"/>
      <c r="BB154" s="352"/>
      <c r="BC154" s="352"/>
      <c r="BD154" s="352"/>
      <c r="BE154" s="352"/>
      <c r="BF154" s="352"/>
      <c r="BG154" s="352"/>
      <c r="BH154" s="352"/>
      <c r="BI154" s="352"/>
      <c r="BJ154" s="352"/>
      <c r="BK154" s="470"/>
      <c r="BL154" s="339"/>
      <c r="BM154" s="339"/>
      <c r="BN154" s="182"/>
      <c r="BO154" s="182"/>
      <c r="BP154" s="182"/>
      <c r="BQ154" s="182"/>
      <c r="BR154" s="182"/>
      <c r="BS154" s="182"/>
      <c r="BT154" s="182"/>
      <c r="BU154" s="182"/>
      <c r="BV154" s="182"/>
      <c r="BW154" s="182"/>
      <c r="BX154" s="182"/>
      <c r="BY154" s="182"/>
      <c r="BZ154" s="182"/>
      <c r="CA154" s="182"/>
      <c r="CB154" s="182"/>
      <c r="CC154" s="182"/>
      <c r="CD154" s="182"/>
      <c r="CE154" s="182"/>
      <c r="CF154" s="182"/>
      <c r="CG154" s="182"/>
      <c r="CH154" s="182"/>
      <c r="CI154" s="182"/>
      <c r="CJ154" s="182"/>
      <c r="CK154" s="621"/>
      <c r="CL154" s="622"/>
      <c r="CM154" s="623"/>
    </row>
    <row r="155" spans="1:91" s="344" customFormat="1">
      <c r="A155" s="335" t="s">
        <v>256</v>
      </c>
      <c r="B155" s="519"/>
      <c r="C155" s="519"/>
      <c r="D155" s="182"/>
      <c r="E155" s="519" t="s">
        <v>100</v>
      </c>
      <c r="F155" s="519" t="s">
        <v>100</v>
      </c>
      <c r="G155" s="519"/>
      <c r="H155" s="519" t="s">
        <v>100</v>
      </c>
      <c r="I155" s="519"/>
      <c r="J155" s="519" t="s">
        <v>100</v>
      </c>
      <c r="K155" s="519"/>
      <c r="L155" s="519" t="s">
        <v>100</v>
      </c>
      <c r="M155" s="519"/>
      <c r="N155" s="519"/>
      <c r="O155" s="519"/>
      <c r="P155" s="519"/>
      <c r="Q155" s="519"/>
      <c r="R155" s="519"/>
      <c r="S155" s="519" t="s">
        <v>100</v>
      </c>
      <c r="T155" s="519"/>
      <c r="U155" s="519"/>
      <c r="V155" s="519"/>
      <c r="W155" s="182"/>
      <c r="X155" s="182"/>
      <c r="Y155" s="182"/>
      <c r="Z155" s="182"/>
      <c r="AA155" s="182"/>
      <c r="AB155" s="182"/>
      <c r="AC155" s="182"/>
      <c r="AD155" s="182"/>
      <c r="AE155" s="182"/>
      <c r="AF155" s="182"/>
      <c r="AG155" s="182"/>
      <c r="AH155" s="182"/>
      <c r="AI155" s="167">
        <f t="shared" si="43"/>
        <v>6</v>
      </c>
      <c r="AJ155" s="340" t="str">
        <f>HYPERLINK("https://www.dkpittsburghsports.com/2017/12/21/kovacevic-vizquel-vs-maz-toughest-hall-call-year/","DK Pittsburgh Sports")</f>
        <v>DK Pittsburgh Sports</v>
      </c>
      <c r="AK155" s="341">
        <v>43089</v>
      </c>
      <c r="AL155" s="352"/>
      <c r="AM155" s="352"/>
      <c r="AN155" s="352"/>
      <c r="AO155" s="352"/>
      <c r="AP155" s="352"/>
      <c r="AQ155" s="352"/>
      <c r="AR155" s="352"/>
      <c r="AS155" s="352"/>
      <c r="AT155" s="352"/>
      <c r="AU155" s="352"/>
      <c r="AV155" s="352"/>
      <c r="AW155" s="352"/>
      <c r="AX155" s="352"/>
      <c r="AY155" s="352"/>
      <c r="AZ155" s="352"/>
      <c r="BA155" s="352"/>
      <c r="BB155" s="352"/>
      <c r="BC155" s="352"/>
      <c r="BD155" s="352"/>
      <c r="BE155" s="352"/>
      <c r="BF155" s="352"/>
      <c r="BG155" s="352"/>
      <c r="BH155" s="352"/>
      <c r="BI155" s="352"/>
      <c r="BJ155" s="352"/>
      <c r="BK155" s="470"/>
      <c r="BL155" s="339"/>
      <c r="BM155" s="339"/>
      <c r="BN155" s="182"/>
      <c r="BO155" s="182"/>
      <c r="BP155" s="182"/>
      <c r="BQ155" s="182"/>
      <c r="BR155" s="182"/>
      <c r="BS155" s="182"/>
      <c r="BT155" s="182"/>
      <c r="BU155" s="182"/>
      <c r="BV155" s="182"/>
      <c r="BW155" s="182"/>
      <c r="BX155" s="182"/>
      <c r="BY155" s="182"/>
      <c r="BZ155" s="182"/>
      <c r="CA155" s="182"/>
      <c r="CB155" s="182"/>
      <c r="CC155" s="182"/>
      <c r="CD155" s="182"/>
      <c r="CE155" s="182"/>
      <c r="CF155" s="182"/>
      <c r="CG155" s="182"/>
      <c r="CH155" s="182"/>
      <c r="CI155" s="182"/>
      <c r="CJ155" s="182"/>
      <c r="CK155" s="621"/>
      <c r="CL155" s="622"/>
      <c r="CM155" s="623"/>
    </row>
    <row r="156" spans="1:91" s="344" customFormat="1">
      <c r="A156" s="335" t="s">
        <v>257</v>
      </c>
      <c r="B156" s="519"/>
      <c r="C156" s="519"/>
      <c r="D156" s="182"/>
      <c r="E156" s="519" t="s">
        <v>100</v>
      </c>
      <c r="F156" s="519" t="s">
        <v>100</v>
      </c>
      <c r="G156" s="519"/>
      <c r="H156" s="519" t="s">
        <v>100</v>
      </c>
      <c r="I156" s="519" t="s">
        <v>100</v>
      </c>
      <c r="J156" s="519"/>
      <c r="K156" s="519"/>
      <c r="L156" s="519" t="s">
        <v>100</v>
      </c>
      <c r="M156" s="519"/>
      <c r="N156" s="519"/>
      <c r="O156" s="519"/>
      <c r="P156" s="519"/>
      <c r="Q156" s="519"/>
      <c r="R156" s="519"/>
      <c r="S156" s="519" t="s">
        <v>100</v>
      </c>
      <c r="T156" s="519" t="s">
        <v>100</v>
      </c>
      <c r="U156" s="519"/>
      <c r="V156" s="519"/>
      <c r="W156" s="182"/>
      <c r="X156" s="182"/>
      <c r="Y156" s="182"/>
      <c r="Z156" s="182"/>
      <c r="AA156" s="182"/>
      <c r="AB156" s="182"/>
      <c r="AC156" s="182"/>
      <c r="AD156" s="182"/>
      <c r="AE156" s="182"/>
      <c r="AF156" s="182"/>
      <c r="AG156" s="182"/>
      <c r="AH156" s="182"/>
      <c r="AI156" s="339">
        <f t="shared" si="43"/>
        <v>7</v>
      </c>
      <c r="AJ156" s="340" t="str">
        <f>HYPERLINK("http://www.sfchronicle.com/sports/article/Baseball-Hall-of-Fame-How-6-Chronicle-writers-12519201.php","SF Chronicle")</f>
        <v>SF Chronicle</v>
      </c>
      <c r="AK156" s="341">
        <v>43123</v>
      </c>
      <c r="AL156" s="352"/>
      <c r="AM156" s="352"/>
      <c r="AN156" s="352"/>
      <c r="AO156" s="352"/>
      <c r="AP156" s="352"/>
      <c r="AQ156" s="352"/>
      <c r="AR156" s="352"/>
      <c r="AS156" s="352"/>
      <c r="AT156" s="352"/>
      <c r="AU156" s="352"/>
      <c r="AV156" s="352"/>
      <c r="AW156" s="352"/>
      <c r="AX156" s="352"/>
      <c r="AY156" s="352"/>
      <c r="AZ156" s="352"/>
      <c r="BA156" s="352"/>
      <c r="BB156" s="352"/>
      <c r="BC156" s="352"/>
      <c r="BD156" s="352"/>
      <c r="BE156" s="352"/>
      <c r="BF156" s="352"/>
      <c r="BG156" s="352"/>
      <c r="BH156" s="352"/>
      <c r="BI156" s="352"/>
      <c r="BJ156" s="352"/>
      <c r="BK156" s="470"/>
      <c r="BL156" s="339"/>
      <c r="BM156" s="339"/>
      <c r="BN156" s="182"/>
      <c r="BO156" s="182"/>
      <c r="BP156" s="182"/>
      <c r="BQ156" s="182"/>
      <c r="BR156" s="182"/>
      <c r="BS156" s="182"/>
      <c r="BT156" s="182"/>
      <c r="BU156" s="182"/>
      <c r="BV156" s="182"/>
      <c r="BW156" s="182"/>
      <c r="BX156" s="182"/>
      <c r="BY156" s="182"/>
      <c r="BZ156" s="182"/>
      <c r="CA156" s="182"/>
      <c r="CB156" s="182"/>
      <c r="CC156" s="182"/>
      <c r="CD156" s="182"/>
      <c r="CE156" s="182"/>
      <c r="CF156" s="182"/>
      <c r="CG156" s="182"/>
      <c r="CH156" s="182"/>
      <c r="CI156" s="182"/>
      <c r="CJ156" s="182"/>
      <c r="CK156" s="621"/>
      <c r="CL156" s="622"/>
      <c r="CM156" s="623"/>
    </row>
    <row r="157" spans="1:91" s="344" customFormat="1">
      <c r="A157" s="335" t="s">
        <v>258</v>
      </c>
      <c r="B157" s="519" t="s">
        <v>100</v>
      </c>
      <c r="C157" s="519" t="s">
        <v>100</v>
      </c>
      <c r="D157" s="182"/>
      <c r="E157" s="519" t="s">
        <v>100</v>
      </c>
      <c r="F157" s="519" t="s">
        <v>100</v>
      </c>
      <c r="G157" s="519"/>
      <c r="H157" s="519" t="s">
        <v>100</v>
      </c>
      <c r="I157" s="519"/>
      <c r="J157" s="519" t="s">
        <v>100</v>
      </c>
      <c r="K157" s="519"/>
      <c r="L157" s="519" t="s">
        <v>100</v>
      </c>
      <c r="M157" s="519"/>
      <c r="N157" s="519"/>
      <c r="O157" s="519"/>
      <c r="P157" s="522" t="s">
        <v>100</v>
      </c>
      <c r="Q157" s="519"/>
      <c r="R157" s="519"/>
      <c r="S157" s="519" t="s">
        <v>100</v>
      </c>
      <c r="T157" s="519"/>
      <c r="U157" s="519"/>
      <c r="V157" s="522" t="s">
        <v>100</v>
      </c>
      <c r="W157" s="182"/>
      <c r="X157" s="182"/>
      <c r="Y157" s="182"/>
      <c r="Z157" s="182"/>
      <c r="AA157" s="182"/>
      <c r="AB157" s="182"/>
      <c r="AC157" s="182"/>
      <c r="AD157" s="182"/>
      <c r="AE157" s="182"/>
      <c r="AF157" s="182"/>
      <c r="AG157" s="182"/>
      <c r="AH157" s="182"/>
      <c r="AI157" s="167">
        <f t="shared" si="43"/>
        <v>10</v>
      </c>
      <c r="AJ157" s="530" t="s">
        <v>115</v>
      </c>
      <c r="AK157" s="341">
        <v>43080</v>
      </c>
      <c r="AL157" s="352"/>
      <c r="AM157" s="352"/>
      <c r="AN157" s="352"/>
      <c r="AO157" s="352"/>
      <c r="AP157" s="352"/>
      <c r="AQ157" s="352"/>
      <c r="AR157" s="352"/>
      <c r="AS157" s="352"/>
      <c r="AT157" s="352"/>
      <c r="AU157" s="352"/>
      <c r="AV157" s="352"/>
      <c r="AW157" s="352"/>
      <c r="AX157" s="352"/>
      <c r="AY157" s="352"/>
      <c r="AZ157" s="352"/>
      <c r="BA157" s="352"/>
      <c r="BB157" s="352"/>
      <c r="BC157" s="352"/>
      <c r="BD157" s="352"/>
      <c r="BE157" s="352"/>
      <c r="BF157" s="352"/>
      <c r="BG157" s="352"/>
      <c r="BH157" s="352"/>
      <c r="BI157" s="352"/>
      <c r="BJ157" s="352"/>
      <c r="BK157" s="470"/>
      <c r="BL157" s="339"/>
      <c r="BM157" s="339"/>
      <c r="BN157" s="182"/>
      <c r="BO157" s="182"/>
      <c r="BP157" s="182"/>
      <c r="BQ157" s="182"/>
      <c r="BR157" s="182"/>
      <c r="BS157" s="182"/>
      <c r="BT157" s="182"/>
      <c r="BU157" s="182"/>
      <c r="BV157" s="182"/>
      <c r="BW157" s="182"/>
      <c r="BX157" s="182"/>
      <c r="BY157" s="182"/>
      <c r="BZ157" s="182"/>
      <c r="CA157" s="182"/>
      <c r="CB157" s="182"/>
      <c r="CC157" s="182"/>
      <c r="CD157" s="182"/>
      <c r="CE157" s="182"/>
      <c r="CF157" s="182"/>
      <c r="CG157" s="182"/>
      <c r="CH157" s="182"/>
      <c r="CI157" s="182"/>
      <c r="CJ157" s="182"/>
      <c r="CK157" s="621"/>
      <c r="CL157" s="622"/>
      <c r="CM157" s="623"/>
    </row>
    <row r="158" spans="1:91" s="344" customFormat="1">
      <c r="A158" s="335" t="s">
        <v>259</v>
      </c>
      <c r="B158" s="519" t="s">
        <v>100</v>
      </c>
      <c r="C158" s="519" t="s">
        <v>100</v>
      </c>
      <c r="D158" s="182"/>
      <c r="E158" s="519" t="s">
        <v>100</v>
      </c>
      <c r="F158" s="519" t="s">
        <v>100</v>
      </c>
      <c r="G158" s="519"/>
      <c r="H158" s="519" t="s">
        <v>100</v>
      </c>
      <c r="I158" s="519"/>
      <c r="J158" s="519" t="s">
        <v>100</v>
      </c>
      <c r="K158" s="519"/>
      <c r="L158" s="519" t="s">
        <v>100</v>
      </c>
      <c r="M158" s="519"/>
      <c r="N158" s="519"/>
      <c r="O158" s="519"/>
      <c r="P158" s="519" t="s">
        <v>100</v>
      </c>
      <c r="Q158" s="522" t="s">
        <v>100</v>
      </c>
      <c r="R158" s="519"/>
      <c r="S158" s="519" t="s">
        <v>100</v>
      </c>
      <c r="T158" s="519"/>
      <c r="U158" s="519"/>
      <c r="V158" s="519"/>
      <c r="W158" s="182"/>
      <c r="X158" s="182"/>
      <c r="Y158" s="182"/>
      <c r="Z158" s="182"/>
      <c r="AA158" s="182"/>
      <c r="AB158" s="182"/>
      <c r="AC158" s="182"/>
      <c r="AD158" s="182"/>
      <c r="AE158" s="182"/>
      <c r="AF158" s="182"/>
      <c r="AG158" s="182"/>
      <c r="AH158" s="182"/>
      <c r="AI158" s="167">
        <f t="shared" si="43"/>
        <v>10</v>
      </c>
      <c r="AJ158" s="340" t="str">
        <f>HYPERLINK("http://www.espn.com/mlb/story/_/id/22119468/espn-2018-hall-fame-ballot-did-our-voters-pick","ESPN group reveal")</f>
        <v>ESPN group reveal</v>
      </c>
      <c r="AK158" s="341">
        <v>43123</v>
      </c>
      <c r="AL158" s="352"/>
      <c r="AM158" s="352"/>
      <c r="AN158" s="352"/>
      <c r="AO158" s="352"/>
      <c r="AP158" s="352"/>
      <c r="AQ158" s="352"/>
      <c r="AR158" s="352"/>
      <c r="AS158" s="352"/>
      <c r="AT158" s="352"/>
      <c r="AU158" s="352"/>
      <c r="AV158" s="352"/>
      <c r="AW158" s="352"/>
      <c r="AX158" s="352"/>
      <c r="AY158" s="352"/>
      <c r="AZ158" s="352"/>
      <c r="BA158" s="352"/>
      <c r="BB158" s="352"/>
      <c r="BC158" s="352"/>
      <c r="BD158" s="352"/>
      <c r="BE158" s="352"/>
      <c r="BF158" s="352"/>
      <c r="BG158" s="352"/>
      <c r="BH158" s="352"/>
      <c r="BI158" s="352"/>
      <c r="BJ158" s="352"/>
      <c r="BK158" s="470"/>
      <c r="BL158" s="339"/>
      <c r="BM158" s="339"/>
      <c r="BN158" s="182"/>
      <c r="BO158" s="182"/>
      <c r="BP158" s="182"/>
      <c r="BQ158" s="182"/>
      <c r="BR158" s="182"/>
      <c r="BS158" s="182"/>
      <c r="BT158" s="182"/>
      <c r="BU158" s="182"/>
      <c r="BV158" s="182"/>
      <c r="BW158" s="182"/>
      <c r="BX158" s="182"/>
      <c r="BY158" s="182"/>
      <c r="BZ158" s="182"/>
      <c r="CA158" s="182"/>
      <c r="CB158" s="182"/>
      <c r="CC158" s="182"/>
      <c r="CD158" s="182"/>
      <c r="CE158" s="182"/>
      <c r="CF158" s="182"/>
      <c r="CG158" s="182"/>
      <c r="CH158" s="182"/>
      <c r="CI158" s="182"/>
      <c r="CJ158" s="182"/>
      <c r="CK158" s="647" t="s">
        <v>260</v>
      </c>
      <c r="CL158" s="648"/>
      <c r="CM158" s="649"/>
    </row>
    <row r="159" spans="1:91" s="344" customFormat="1">
      <c r="A159" s="335" t="s">
        <v>261</v>
      </c>
      <c r="B159" s="519" t="s">
        <v>100</v>
      </c>
      <c r="C159" s="519" t="s">
        <v>100</v>
      </c>
      <c r="D159" s="182"/>
      <c r="E159" s="519" t="s">
        <v>100</v>
      </c>
      <c r="F159" s="519" t="s">
        <v>100</v>
      </c>
      <c r="G159" s="519"/>
      <c r="H159" s="519" t="s">
        <v>100</v>
      </c>
      <c r="I159" s="519"/>
      <c r="J159" s="519"/>
      <c r="K159" s="519"/>
      <c r="L159" s="522" t="s">
        <v>100</v>
      </c>
      <c r="M159" s="519"/>
      <c r="N159" s="519" t="s">
        <v>100</v>
      </c>
      <c r="O159" s="519"/>
      <c r="P159" s="519" t="s">
        <v>100</v>
      </c>
      <c r="Q159" s="523"/>
      <c r="R159" s="519"/>
      <c r="S159" s="519" t="s">
        <v>100</v>
      </c>
      <c r="T159" s="519"/>
      <c r="U159" s="519"/>
      <c r="V159" s="519" t="s">
        <v>100</v>
      </c>
      <c r="W159" s="182"/>
      <c r="X159" s="182"/>
      <c r="Y159" s="182"/>
      <c r="Z159" s="182"/>
      <c r="AA159" s="182"/>
      <c r="AB159" s="182"/>
      <c r="AC159" s="182"/>
      <c r="AD159" s="182"/>
      <c r="AE159" s="182"/>
      <c r="AF159" s="182"/>
      <c r="AG159" s="182"/>
      <c r="AH159" s="182"/>
      <c r="AI159" s="167">
        <f t="shared" si="43"/>
        <v>10</v>
      </c>
      <c r="AJ159" s="340" t="str">
        <f>HYPERLINK("https://www.usatoday.com/story/sports/mlb/2018/01/23/baseball-hall-fame-how-usa-today-sports-voted/1055558001/","USA Today Group")</f>
        <v>USA Today Group</v>
      </c>
      <c r="AK159" s="341">
        <v>43123</v>
      </c>
      <c r="AL159" s="352"/>
      <c r="AM159" s="352"/>
      <c r="AN159" s="352"/>
      <c r="AO159" s="352"/>
      <c r="AP159" s="352"/>
      <c r="AQ159" s="352"/>
      <c r="AR159" s="352"/>
      <c r="AS159" s="352"/>
      <c r="AT159" s="352"/>
      <c r="AU159" s="352"/>
      <c r="AV159" s="352"/>
      <c r="AW159" s="352"/>
      <c r="AX159" s="352"/>
      <c r="AY159" s="352"/>
      <c r="AZ159" s="352"/>
      <c r="BA159" s="352"/>
      <c r="BB159" s="352"/>
      <c r="BC159" s="352"/>
      <c r="BD159" s="352"/>
      <c r="BE159" s="352"/>
      <c r="BF159" s="352"/>
      <c r="BG159" s="352"/>
      <c r="BH159" s="352"/>
      <c r="BI159" s="352"/>
      <c r="BJ159" s="352"/>
      <c r="BK159" s="470"/>
      <c r="BL159" s="339"/>
      <c r="BM159" s="339"/>
      <c r="BN159" s="182"/>
      <c r="BO159" s="182"/>
      <c r="BP159" s="182"/>
      <c r="BQ159" s="182"/>
      <c r="BR159" s="182"/>
      <c r="BS159" s="182"/>
      <c r="BT159" s="182"/>
      <c r="BU159" s="182"/>
      <c r="BV159" s="182"/>
      <c r="BW159" s="182"/>
      <c r="BX159" s="182"/>
      <c r="BY159" s="182"/>
      <c r="BZ159" s="182"/>
      <c r="CA159" s="182"/>
      <c r="CB159" s="182"/>
      <c r="CC159" s="182"/>
      <c r="CD159" s="182"/>
      <c r="CE159" s="182"/>
      <c r="CF159" s="182"/>
      <c r="CG159" s="182"/>
      <c r="CH159" s="182"/>
      <c r="CI159" s="182"/>
      <c r="CJ159" s="182"/>
      <c r="CK159" s="647" t="s">
        <v>210</v>
      </c>
      <c r="CL159" s="648"/>
      <c r="CM159" s="649"/>
    </row>
    <row r="160" spans="1:91" s="344" customFormat="1">
      <c r="A160" s="335" t="s">
        <v>262</v>
      </c>
      <c r="B160" s="519" t="s">
        <v>100</v>
      </c>
      <c r="C160" s="519" t="s">
        <v>100</v>
      </c>
      <c r="D160" s="182"/>
      <c r="E160" s="519" t="s">
        <v>100</v>
      </c>
      <c r="F160" s="519" t="s">
        <v>100</v>
      </c>
      <c r="G160" s="519" t="s">
        <v>100</v>
      </c>
      <c r="H160" s="519" t="s">
        <v>100</v>
      </c>
      <c r="I160" s="519"/>
      <c r="J160" s="519" t="s">
        <v>100</v>
      </c>
      <c r="K160" s="519"/>
      <c r="L160" s="519"/>
      <c r="M160" s="519"/>
      <c r="N160" s="519"/>
      <c r="O160" s="519"/>
      <c r="P160" s="519" t="s">
        <v>100</v>
      </c>
      <c r="Q160" s="519"/>
      <c r="R160" s="519"/>
      <c r="S160" s="519" t="s">
        <v>100</v>
      </c>
      <c r="T160" s="519"/>
      <c r="U160" s="519"/>
      <c r="V160" s="519" t="s">
        <v>100</v>
      </c>
      <c r="W160" s="182"/>
      <c r="X160" s="182"/>
      <c r="Y160" s="182"/>
      <c r="Z160" s="182"/>
      <c r="AA160" s="182"/>
      <c r="AB160" s="182"/>
      <c r="AC160" s="182"/>
      <c r="AD160" s="182"/>
      <c r="AE160" s="182"/>
      <c r="AF160" s="182"/>
      <c r="AG160" s="182"/>
      <c r="AH160" s="182"/>
      <c r="AI160" s="167">
        <f t="shared" si="43"/>
        <v>10</v>
      </c>
      <c r="AJ160" s="340" t="str">
        <f>HYPERLINK("https://twitter.com/MarcLancaster/status/943893393347923968","Twitter")</f>
        <v>Twitter</v>
      </c>
      <c r="AK160" s="341">
        <v>43090</v>
      </c>
      <c r="AL160" s="352"/>
      <c r="AM160" s="352"/>
      <c r="AN160" s="352"/>
      <c r="AO160" s="352"/>
      <c r="AP160" s="352"/>
      <c r="AQ160" s="352"/>
      <c r="AR160" s="352"/>
      <c r="AS160" s="352"/>
      <c r="AT160" s="352"/>
      <c r="AU160" s="352"/>
      <c r="AV160" s="352"/>
      <c r="AW160" s="352"/>
      <c r="AX160" s="352"/>
      <c r="AY160" s="352"/>
      <c r="AZ160" s="352"/>
      <c r="BA160" s="352"/>
      <c r="BB160" s="352"/>
      <c r="BC160" s="352"/>
      <c r="BD160" s="352"/>
      <c r="BE160" s="352"/>
      <c r="BF160" s="352"/>
      <c r="BG160" s="352"/>
      <c r="BH160" s="352"/>
      <c r="BI160" s="352"/>
      <c r="BJ160" s="352"/>
      <c r="BK160" s="470"/>
      <c r="BL160" s="339"/>
      <c r="BM160" s="339"/>
      <c r="BN160" s="182"/>
      <c r="BO160" s="182"/>
      <c r="BP160" s="182"/>
      <c r="BQ160" s="182"/>
      <c r="BR160" s="182"/>
      <c r="BS160" s="182"/>
      <c r="BT160" s="182"/>
      <c r="BU160" s="182"/>
      <c r="BV160" s="182"/>
      <c r="BW160" s="182"/>
      <c r="BX160" s="182"/>
      <c r="BY160" s="182"/>
      <c r="BZ160" s="182"/>
      <c r="CA160" s="182"/>
      <c r="CB160" s="182"/>
      <c r="CC160" s="182"/>
      <c r="CD160" s="182"/>
      <c r="CE160" s="182"/>
      <c r="CF160" s="182"/>
      <c r="CG160" s="182"/>
      <c r="CH160" s="182"/>
      <c r="CI160" s="182"/>
      <c r="CJ160" s="182"/>
      <c r="CK160" s="647" t="s">
        <v>136</v>
      </c>
      <c r="CL160" s="648"/>
      <c r="CM160" s="649"/>
    </row>
    <row r="161" spans="1:91" s="344" customFormat="1">
      <c r="A161" s="335" t="s">
        <v>263</v>
      </c>
      <c r="B161" s="519" t="s">
        <v>100</v>
      </c>
      <c r="C161" s="519" t="s">
        <v>100</v>
      </c>
      <c r="D161" s="182"/>
      <c r="E161" s="519" t="s">
        <v>100</v>
      </c>
      <c r="F161" s="522" t="s">
        <v>100</v>
      </c>
      <c r="G161" s="519"/>
      <c r="H161" s="519" t="s">
        <v>100</v>
      </c>
      <c r="I161" s="519"/>
      <c r="J161" s="519" t="s">
        <v>100</v>
      </c>
      <c r="K161" s="519"/>
      <c r="L161" s="519" t="s">
        <v>100</v>
      </c>
      <c r="M161" s="519"/>
      <c r="N161" s="519"/>
      <c r="O161" s="519"/>
      <c r="P161" s="519" t="s">
        <v>100</v>
      </c>
      <c r="Q161" s="519"/>
      <c r="R161" s="519"/>
      <c r="S161" s="519" t="s">
        <v>100</v>
      </c>
      <c r="T161" s="519"/>
      <c r="U161" s="519" t="s">
        <v>100</v>
      </c>
      <c r="V161" s="519"/>
      <c r="W161" s="182"/>
      <c r="X161" s="182"/>
      <c r="Y161" s="182"/>
      <c r="Z161" s="182"/>
      <c r="AA161" s="182"/>
      <c r="AB161" s="182"/>
      <c r="AC161" s="182"/>
      <c r="AD161" s="182"/>
      <c r="AE161" s="182"/>
      <c r="AF161" s="182"/>
      <c r="AG161" s="182"/>
      <c r="AH161" s="182"/>
      <c r="AI161" s="167">
        <f t="shared" si="43"/>
        <v>10</v>
      </c>
      <c r="AJ161" s="340" t="str">
        <f>HYPERLINK("https://twitter.com/ScottLauber/status/946770735862861824","Twitter")</f>
        <v>Twitter</v>
      </c>
      <c r="AK161" s="341">
        <v>43098</v>
      </c>
      <c r="AL161" s="352"/>
      <c r="AM161" s="352"/>
      <c r="AN161" s="352"/>
      <c r="AO161" s="352"/>
      <c r="AP161" s="352"/>
      <c r="AQ161" s="352"/>
      <c r="AR161" s="352"/>
      <c r="AS161" s="352"/>
      <c r="AT161" s="352"/>
      <c r="AU161" s="352"/>
      <c r="AV161" s="352"/>
      <c r="AW161" s="352"/>
      <c r="AX161" s="352"/>
      <c r="AY161" s="352"/>
      <c r="AZ161" s="352"/>
      <c r="BA161" s="352"/>
      <c r="BB161" s="352"/>
      <c r="BC161" s="352"/>
      <c r="BD161" s="352"/>
      <c r="BE161" s="352"/>
      <c r="BF161" s="352"/>
      <c r="BG161" s="352"/>
      <c r="BH161" s="352"/>
      <c r="BI161" s="352"/>
      <c r="BJ161" s="352"/>
      <c r="BK161" s="470"/>
      <c r="BL161" s="339"/>
      <c r="BM161" s="339"/>
      <c r="BN161" s="182"/>
      <c r="BO161" s="182"/>
      <c r="BP161" s="182"/>
      <c r="BQ161" s="182"/>
      <c r="BR161" s="182"/>
      <c r="BS161" s="182"/>
      <c r="BT161" s="182"/>
      <c r="BU161" s="182"/>
      <c r="BV161" s="182"/>
      <c r="BW161" s="182"/>
      <c r="BX161" s="182"/>
      <c r="BY161" s="182"/>
      <c r="BZ161" s="182"/>
      <c r="CA161" s="182"/>
      <c r="CB161" s="182"/>
      <c r="CC161" s="182"/>
      <c r="CD161" s="182"/>
      <c r="CE161" s="182"/>
      <c r="CF161" s="182"/>
      <c r="CG161" s="182"/>
      <c r="CH161" s="182"/>
      <c r="CI161" s="182"/>
      <c r="CJ161" s="182"/>
      <c r="CK161" s="647" t="s">
        <v>264</v>
      </c>
      <c r="CL161" s="648"/>
      <c r="CM161" s="649"/>
    </row>
    <row r="162" spans="1:91" s="344" customFormat="1">
      <c r="A162" s="331" t="s">
        <v>265</v>
      </c>
      <c r="B162" s="519"/>
      <c r="C162" s="519" t="s">
        <v>100</v>
      </c>
      <c r="D162" s="182"/>
      <c r="E162" s="519" t="s">
        <v>100</v>
      </c>
      <c r="F162" s="519" t="s">
        <v>100</v>
      </c>
      <c r="G162" s="519" t="s">
        <v>100</v>
      </c>
      <c r="H162" s="519" t="s">
        <v>100</v>
      </c>
      <c r="I162" s="519"/>
      <c r="J162" s="519"/>
      <c r="K162" s="519" t="s">
        <v>100</v>
      </c>
      <c r="L162" s="519"/>
      <c r="M162" s="519" t="s">
        <v>100</v>
      </c>
      <c r="N162" s="519"/>
      <c r="O162" s="519"/>
      <c r="P162" s="519"/>
      <c r="Q162" s="519"/>
      <c r="R162" s="519" t="s">
        <v>100</v>
      </c>
      <c r="S162" s="519" t="s">
        <v>100</v>
      </c>
      <c r="T162" s="519" t="s">
        <v>100</v>
      </c>
      <c r="U162" s="519"/>
      <c r="V162" s="519"/>
      <c r="W162" s="182"/>
      <c r="X162" s="182"/>
      <c r="Y162" s="182"/>
      <c r="Z162" s="182"/>
      <c r="AA162" s="182"/>
      <c r="AB162" s="182"/>
      <c r="AC162" s="182"/>
      <c r="AD162" s="182"/>
      <c r="AE162" s="182"/>
      <c r="AF162" s="182"/>
      <c r="AG162" s="182"/>
      <c r="AH162" s="182"/>
      <c r="AI162" s="167">
        <f t="shared" si="43"/>
        <v>10</v>
      </c>
      <c r="AJ162" s="340" t="str">
        <f>HYPERLINK("https://twitter.com/sadiel1977/status/933743303132053504","Twitter")</f>
        <v>Twitter</v>
      </c>
      <c r="AK162" s="341">
        <v>43062</v>
      </c>
      <c r="AL162" s="352"/>
      <c r="AM162" s="352"/>
      <c r="AN162" s="352"/>
      <c r="AO162" s="352"/>
      <c r="AP162" s="352"/>
      <c r="AQ162" s="352"/>
      <c r="AR162" s="352"/>
      <c r="AS162" s="352"/>
      <c r="AT162" s="352"/>
      <c r="AU162" s="352"/>
      <c r="AV162" s="352"/>
      <c r="AW162" s="352"/>
      <c r="AX162" s="352"/>
      <c r="AY162" s="352"/>
      <c r="AZ162" s="352"/>
      <c r="BA162" s="352"/>
      <c r="BB162" s="352"/>
      <c r="BC162" s="352"/>
      <c r="BD162" s="352"/>
      <c r="BE162" s="352"/>
      <c r="BF162" s="352"/>
      <c r="BG162" s="352"/>
      <c r="BH162" s="352"/>
      <c r="BI162" s="352"/>
      <c r="BJ162" s="352"/>
      <c r="BK162" s="470"/>
      <c r="BL162" s="339"/>
      <c r="BM162" s="339"/>
      <c r="BN162" s="182"/>
      <c r="BO162" s="182"/>
      <c r="BP162" s="182"/>
      <c r="BQ162" s="182"/>
      <c r="BR162" s="182"/>
      <c r="BS162" s="182"/>
      <c r="BT162" s="182"/>
      <c r="BU162" s="182"/>
      <c r="BV162" s="182"/>
      <c r="BW162" s="182"/>
      <c r="BX162" s="182"/>
      <c r="BY162" s="182"/>
      <c r="BZ162" s="182"/>
      <c r="CA162" s="182"/>
      <c r="CB162" s="182"/>
      <c r="CC162" s="182"/>
      <c r="CD162" s="182"/>
      <c r="CE162" s="182"/>
      <c r="CF162" s="182"/>
      <c r="CG162" s="182"/>
      <c r="CH162" s="182"/>
      <c r="CI162" s="182"/>
      <c r="CJ162" s="182"/>
      <c r="CK162" s="647" t="s">
        <v>266</v>
      </c>
      <c r="CL162" s="648"/>
      <c r="CM162" s="649"/>
    </row>
    <row r="163" spans="1:91" s="344" customFormat="1">
      <c r="A163" s="335" t="s">
        <v>267</v>
      </c>
      <c r="B163" s="519" t="s">
        <v>100</v>
      </c>
      <c r="C163" s="519" t="s">
        <v>100</v>
      </c>
      <c r="D163" s="182"/>
      <c r="E163" s="519" t="s">
        <v>100</v>
      </c>
      <c r="F163" s="519" t="s">
        <v>100</v>
      </c>
      <c r="G163" s="519"/>
      <c r="H163" s="519" t="s">
        <v>100</v>
      </c>
      <c r="I163" s="519"/>
      <c r="J163" s="519" t="s">
        <v>100</v>
      </c>
      <c r="K163" s="519"/>
      <c r="L163" s="519" t="s">
        <v>100</v>
      </c>
      <c r="M163" s="519"/>
      <c r="N163" s="519"/>
      <c r="O163" s="519"/>
      <c r="P163" s="519" t="s">
        <v>100</v>
      </c>
      <c r="Q163" s="519"/>
      <c r="R163" s="519"/>
      <c r="S163" s="519" t="s">
        <v>100</v>
      </c>
      <c r="T163" s="519"/>
      <c r="U163" s="519"/>
      <c r="V163" s="519"/>
      <c r="W163" s="182"/>
      <c r="X163" s="182"/>
      <c r="Y163" s="182"/>
      <c r="Z163" s="182"/>
      <c r="AA163" s="182"/>
      <c r="AB163" s="182"/>
      <c r="AC163" s="182"/>
      <c r="AD163" s="182"/>
      <c r="AE163" s="182"/>
      <c r="AF163" s="182"/>
      <c r="AG163" s="182"/>
      <c r="AH163" s="182"/>
      <c r="AI163" s="167">
        <f t="shared" si="43"/>
        <v>9</v>
      </c>
      <c r="AJ163" s="340" t="str">
        <f>HYPERLINK("https://www.newsday.com/sports/baseball/2018-baseball-hall-of-fame-ballot-by-newsday-s-david-lennon-1.15557398","Newsday")</f>
        <v>Newsday</v>
      </c>
      <c r="AK163" s="341">
        <v>43091</v>
      </c>
      <c r="AL163" s="352"/>
      <c r="AM163" s="352"/>
      <c r="AN163" s="352"/>
      <c r="AO163" s="352"/>
      <c r="AP163" s="352"/>
      <c r="AQ163" s="352"/>
      <c r="AR163" s="352"/>
      <c r="AS163" s="352"/>
      <c r="AT163" s="352"/>
      <c r="AU163" s="352"/>
      <c r="AV163" s="352"/>
      <c r="AW163" s="352"/>
      <c r="AX163" s="352"/>
      <c r="AY163" s="352"/>
      <c r="AZ163" s="352"/>
      <c r="BA163" s="352"/>
      <c r="BB163" s="352"/>
      <c r="BC163" s="352"/>
      <c r="BD163" s="352"/>
      <c r="BE163" s="352"/>
      <c r="BF163" s="352"/>
      <c r="BG163" s="352"/>
      <c r="BH163" s="352"/>
      <c r="BI163" s="352"/>
      <c r="BJ163" s="352"/>
      <c r="BK163" s="470"/>
      <c r="BL163" s="339"/>
      <c r="BM163" s="339"/>
      <c r="BN163" s="182"/>
      <c r="BO163" s="182"/>
      <c r="BP163" s="182"/>
      <c r="BQ163" s="182"/>
      <c r="BR163" s="182"/>
      <c r="BS163" s="182"/>
      <c r="BT163" s="182"/>
      <c r="BU163" s="182"/>
      <c r="BV163" s="182"/>
      <c r="BW163" s="182"/>
      <c r="BX163" s="182"/>
      <c r="BY163" s="182"/>
      <c r="BZ163" s="182"/>
      <c r="CA163" s="182"/>
      <c r="CB163" s="182"/>
      <c r="CC163" s="182"/>
      <c r="CD163" s="182"/>
      <c r="CE163" s="182"/>
      <c r="CF163" s="182"/>
      <c r="CG163" s="182"/>
      <c r="CH163" s="182"/>
      <c r="CI163" s="182"/>
      <c r="CJ163" s="182"/>
      <c r="CK163" s="618"/>
      <c r="CL163" s="619"/>
      <c r="CM163" s="620"/>
    </row>
    <row r="164" spans="1:91" s="344" customFormat="1">
      <c r="A164" s="335" t="s">
        <v>268</v>
      </c>
      <c r="B164" s="519" t="s">
        <v>100</v>
      </c>
      <c r="C164" s="519" t="s">
        <v>100</v>
      </c>
      <c r="D164" s="182"/>
      <c r="E164" s="522" t="s">
        <v>100</v>
      </c>
      <c r="F164" s="519" t="s">
        <v>100</v>
      </c>
      <c r="G164" s="519"/>
      <c r="H164" s="519" t="s">
        <v>100</v>
      </c>
      <c r="I164" s="519"/>
      <c r="J164" s="519" t="s">
        <v>100</v>
      </c>
      <c r="K164" s="519"/>
      <c r="L164" s="519"/>
      <c r="M164" s="519" t="s">
        <v>100</v>
      </c>
      <c r="N164" s="519"/>
      <c r="O164" s="519"/>
      <c r="P164" s="519" t="s">
        <v>100</v>
      </c>
      <c r="Q164" s="519"/>
      <c r="R164" s="519"/>
      <c r="S164" s="519" t="s">
        <v>100</v>
      </c>
      <c r="T164" s="519"/>
      <c r="U164" s="519" t="s">
        <v>100</v>
      </c>
      <c r="V164" s="519"/>
      <c r="W164" s="182"/>
      <c r="X164" s="182"/>
      <c r="Y164" s="182"/>
      <c r="Z164" s="182"/>
      <c r="AA164" s="182"/>
      <c r="AB164" s="182"/>
      <c r="AC164" s="182"/>
      <c r="AD164" s="182"/>
      <c r="AE164" s="182"/>
      <c r="AF164" s="182"/>
      <c r="AG164" s="182"/>
      <c r="AH164" s="182"/>
      <c r="AI164" s="167">
        <f t="shared" si="43"/>
        <v>10</v>
      </c>
      <c r="AJ164" s="340" t="str">
        <f>HYPERLINK("https://twitter.com/JosephLiaoWJ/status/941689736569212928","Twitter")</f>
        <v>Twitter</v>
      </c>
      <c r="AK164" s="341">
        <v>43084</v>
      </c>
      <c r="AL164" s="352"/>
      <c r="AM164" s="352"/>
      <c r="AN164" s="352"/>
      <c r="AO164" s="352"/>
      <c r="AP164" s="352"/>
      <c r="AQ164" s="352"/>
      <c r="AR164" s="352"/>
      <c r="AS164" s="352"/>
      <c r="AT164" s="352"/>
      <c r="AU164" s="352"/>
      <c r="AV164" s="352"/>
      <c r="AW164" s="352"/>
      <c r="AX164" s="352"/>
      <c r="AY164" s="352"/>
      <c r="AZ164" s="352"/>
      <c r="BA164" s="352"/>
      <c r="BB164" s="352"/>
      <c r="BC164" s="352"/>
      <c r="BD164" s="352"/>
      <c r="BE164" s="352"/>
      <c r="BF164" s="352"/>
      <c r="BG164" s="352"/>
      <c r="BH164" s="352"/>
      <c r="BI164" s="352"/>
      <c r="BJ164" s="352"/>
      <c r="BK164" s="470"/>
      <c r="BL164" s="339"/>
      <c r="BM164" s="339"/>
      <c r="BN164" s="182"/>
      <c r="BO164" s="182"/>
      <c r="BP164" s="182"/>
      <c r="BQ164" s="182"/>
      <c r="BR164" s="182"/>
      <c r="BS164" s="182"/>
      <c r="BT164" s="182"/>
      <c r="BU164" s="182"/>
      <c r="BV164" s="182"/>
      <c r="BW164" s="182"/>
      <c r="BX164" s="182"/>
      <c r="BY164" s="182"/>
      <c r="BZ164" s="182"/>
      <c r="CA164" s="182"/>
      <c r="CB164" s="182"/>
      <c r="CC164" s="182"/>
      <c r="CD164" s="182"/>
      <c r="CE164" s="182"/>
      <c r="CF164" s="182"/>
      <c r="CG164" s="182"/>
      <c r="CH164" s="182"/>
      <c r="CI164" s="182"/>
      <c r="CJ164" s="182"/>
      <c r="CK164" s="618"/>
      <c r="CL164" s="619"/>
      <c r="CM164" s="620"/>
    </row>
    <row r="165" spans="1:91" s="344" customFormat="1">
      <c r="A165" s="335" t="s">
        <v>269</v>
      </c>
      <c r="B165" s="519" t="s">
        <v>100</v>
      </c>
      <c r="C165" s="519" t="s">
        <v>100</v>
      </c>
      <c r="D165" s="182"/>
      <c r="E165" s="519" t="s">
        <v>100</v>
      </c>
      <c r="F165" s="519"/>
      <c r="G165" s="519"/>
      <c r="H165" s="519" t="s">
        <v>100</v>
      </c>
      <c r="I165" s="519"/>
      <c r="J165" s="519"/>
      <c r="K165" s="519"/>
      <c r="L165" s="519"/>
      <c r="M165" s="519" t="s">
        <v>100</v>
      </c>
      <c r="N165" s="519"/>
      <c r="O165" s="519"/>
      <c r="P165" s="519"/>
      <c r="Q165" s="519"/>
      <c r="R165" s="519"/>
      <c r="S165" s="519" t="s">
        <v>100</v>
      </c>
      <c r="T165" s="519"/>
      <c r="U165" s="519"/>
      <c r="V165" s="519"/>
      <c r="W165" s="182"/>
      <c r="X165" s="182"/>
      <c r="Y165" s="182"/>
      <c r="Z165" s="182"/>
      <c r="AA165" s="182"/>
      <c r="AB165" s="182"/>
      <c r="AC165" s="182"/>
      <c r="AD165" s="182"/>
      <c r="AE165" s="182"/>
      <c r="AF165" s="182"/>
      <c r="AG165" s="182"/>
      <c r="AH165" s="182"/>
      <c r="AI165" s="167">
        <f t="shared" si="43"/>
        <v>6</v>
      </c>
      <c r="AJ165" s="340" t="str">
        <f>HYPERLINK("http://www.chicagotribune.com/sports/baseball/cubs/ct-spt-lincicome-hall-of-fame-vote-20171216-story.html","Chicago Tribune")</f>
        <v>Chicago Tribune</v>
      </c>
      <c r="AK165" s="341">
        <v>43083</v>
      </c>
      <c r="AL165" s="352"/>
      <c r="AM165" s="352"/>
      <c r="AN165" s="352"/>
      <c r="AO165" s="352"/>
      <c r="AP165" s="352"/>
      <c r="AQ165" s="352"/>
      <c r="AR165" s="352"/>
      <c r="AS165" s="352"/>
      <c r="AT165" s="352"/>
      <c r="AU165" s="352"/>
      <c r="AV165" s="352"/>
      <c r="AW165" s="352"/>
      <c r="AX165" s="352"/>
      <c r="AY165" s="352"/>
      <c r="AZ165" s="352"/>
      <c r="BA165" s="352"/>
      <c r="BB165" s="352"/>
      <c r="BC165" s="352"/>
      <c r="BD165" s="352"/>
      <c r="BE165" s="352"/>
      <c r="BF165" s="352"/>
      <c r="BG165" s="352"/>
      <c r="BH165" s="352"/>
      <c r="BI165" s="352"/>
      <c r="BJ165" s="352"/>
      <c r="BK165" s="470"/>
      <c r="BL165" s="339"/>
      <c r="BM165" s="339"/>
      <c r="BN165" s="182"/>
      <c r="BO165" s="182"/>
      <c r="BP165" s="182"/>
      <c r="BQ165" s="182"/>
      <c r="BR165" s="182"/>
      <c r="BS165" s="182"/>
      <c r="BT165" s="182"/>
      <c r="BU165" s="182"/>
      <c r="BV165" s="182"/>
      <c r="BW165" s="182"/>
      <c r="BX165" s="182"/>
      <c r="BY165" s="182"/>
      <c r="BZ165" s="182"/>
      <c r="CA165" s="182"/>
      <c r="CB165" s="182"/>
      <c r="CC165" s="182"/>
      <c r="CD165" s="182"/>
      <c r="CE165" s="182"/>
      <c r="CF165" s="182"/>
      <c r="CG165" s="182"/>
      <c r="CH165" s="182"/>
      <c r="CI165" s="182"/>
      <c r="CJ165" s="182"/>
      <c r="CK165" s="618"/>
      <c r="CL165" s="619"/>
      <c r="CM165" s="620"/>
    </row>
    <row r="166" spans="1:91" s="344" customFormat="1">
      <c r="A166" s="335" t="s">
        <v>270</v>
      </c>
      <c r="B166" s="519"/>
      <c r="C166" s="519"/>
      <c r="D166" s="182"/>
      <c r="E166" s="519"/>
      <c r="F166" s="519"/>
      <c r="G166" s="519"/>
      <c r="H166" s="519"/>
      <c r="I166" s="519"/>
      <c r="J166" s="519"/>
      <c r="K166" s="519"/>
      <c r="L166" s="519"/>
      <c r="M166" s="519"/>
      <c r="N166" s="519"/>
      <c r="O166" s="519"/>
      <c r="P166" s="519"/>
      <c r="Q166" s="519"/>
      <c r="R166" s="519"/>
      <c r="S166" s="519" t="s">
        <v>100</v>
      </c>
      <c r="T166" s="519" t="s">
        <v>100</v>
      </c>
      <c r="U166" s="519"/>
      <c r="V166" s="519"/>
      <c r="W166" s="182"/>
      <c r="X166" s="182"/>
      <c r="Y166" s="182"/>
      <c r="Z166" s="182"/>
      <c r="AA166" s="182"/>
      <c r="AB166" s="182"/>
      <c r="AC166" s="182"/>
      <c r="AD166" s="182"/>
      <c r="AE166" s="182"/>
      <c r="AF166" s="182"/>
      <c r="AG166" s="182"/>
      <c r="AH166" s="182"/>
      <c r="AI166" s="167">
        <f t="shared" si="43"/>
        <v>2</v>
      </c>
      <c r="AJ166" s="529" t="str">
        <f>HYPERLINK("https://articles.cleveland.com/livingston/index.ssf/2017/12/my_baseball_hall_of_fame_ballo.amp","Cleveland.com, naturally")</f>
        <v>Cleveland.com, naturally</v>
      </c>
      <c r="AK166" s="341">
        <v>43076</v>
      </c>
      <c r="AL166" s="352"/>
      <c r="AM166" s="352"/>
      <c r="AN166" s="352"/>
      <c r="AO166" s="352"/>
      <c r="AP166" s="352"/>
      <c r="AQ166" s="352"/>
      <c r="AR166" s="352"/>
      <c r="AS166" s="352"/>
      <c r="AT166" s="352"/>
      <c r="AU166" s="352"/>
      <c r="AV166" s="352"/>
      <c r="AW166" s="352"/>
      <c r="AX166" s="352"/>
      <c r="AY166" s="352"/>
      <c r="AZ166" s="352"/>
      <c r="BA166" s="352"/>
      <c r="BB166" s="352"/>
      <c r="BC166" s="352"/>
      <c r="BD166" s="352"/>
      <c r="BE166" s="352"/>
      <c r="BF166" s="352"/>
      <c r="BG166" s="352"/>
      <c r="BH166" s="352"/>
      <c r="BI166" s="352"/>
      <c r="BJ166" s="352"/>
      <c r="BK166" s="470"/>
      <c r="BL166" s="339"/>
      <c r="BM166" s="339"/>
      <c r="BN166" s="182"/>
      <c r="BO166" s="182"/>
      <c r="BP166" s="182"/>
      <c r="BQ166" s="182"/>
      <c r="BR166" s="182"/>
      <c r="BS166" s="182"/>
      <c r="BT166" s="182"/>
      <c r="BU166" s="182"/>
      <c r="BV166" s="182"/>
      <c r="BW166" s="182"/>
      <c r="BX166" s="182"/>
      <c r="BY166" s="182"/>
      <c r="BZ166" s="182"/>
      <c r="CA166" s="182"/>
      <c r="CB166" s="182"/>
      <c r="CC166" s="182"/>
      <c r="CD166" s="182"/>
      <c r="CE166" s="182"/>
      <c r="CF166" s="182"/>
      <c r="CG166" s="182"/>
      <c r="CH166" s="182"/>
      <c r="CI166" s="182"/>
      <c r="CJ166" s="182"/>
      <c r="CK166" s="618"/>
      <c r="CL166" s="619"/>
      <c r="CM166" s="620"/>
    </row>
    <row r="167" spans="1:91" s="344" customFormat="1">
      <c r="A167" s="335" t="s">
        <v>271</v>
      </c>
      <c r="B167" s="519"/>
      <c r="C167" s="519"/>
      <c r="D167" s="182"/>
      <c r="E167" s="519" t="s">
        <v>100</v>
      </c>
      <c r="F167" s="519" t="s">
        <v>100</v>
      </c>
      <c r="G167" s="519"/>
      <c r="H167" s="519" t="s">
        <v>100</v>
      </c>
      <c r="I167" s="519" t="s">
        <v>100</v>
      </c>
      <c r="J167" s="519" t="s">
        <v>100</v>
      </c>
      <c r="K167" s="519" t="s">
        <v>100</v>
      </c>
      <c r="L167" s="519" t="s">
        <v>100</v>
      </c>
      <c r="M167" s="519"/>
      <c r="N167" s="519"/>
      <c r="O167" s="519"/>
      <c r="P167" s="519"/>
      <c r="Q167" s="519"/>
      <c r="R167" s="519"/>
      <c r="S167" s="519" t="s">
        <v>100</v>
      </c>
      <c r="T167" s="519" t="s">
        <v>100</v>
      </c>
      <c r="U167" s="519"/>
      <c r="V167" s="519" t="s">
        <v>100</v>
      </c>
      <c r="W167" s="182"/>
      <c r="X167" s="182"/>
      <c r="Y167" s="182"/>
      <c r="Z167" s="182"/>
      <c r="AA167" s="182"/>
      <c r="AB167" s="182"/>
      <c r="AC167" s="182"/>
      <c r="AD167" s="182"/>
      <c r="AE167" s="182"/>
      <c r="AF167" s="182"/>
      <c r="AG167" s="182"/>
      <c r="AH167" s="182"/>
      <c r="AI167" s="167">
        <f t="shared" si="43"/>
        <v>10</v>
      </c>
      <c r="AJ167" s="340" t="str">
        <f>HYPERLINK("https://www.washingtontimes.com/news/2017/dec/31/joe-morgan-baseballs-cheaters/","Washington Times")</f>
        <v>Washington Times</v>
      </c>
      <c r="AK167" s="341">
        <v>43100</v>
      </c>
      <c r="AL167" s="352"/>
      <c r="AM167" s="352"/>
      <c r="AN167" s="352"/>
      <c r="AO167" s="352"/>
      <c r="AP167" s="352"/>
      <c r="AQ167" s="352"/>
      <c r="AR167" s="352"/>
      <c r="AS167" s="352"/>
      <c r="AT167" s="352"/>
      <c r="AU167" s="352"/>
      <c r="AV167" s="352"/>
      <c r="AW167" s="352"/>
      <c r="AX167" s="352"/>
      <c r="AY167" s="352"/>
      <c r="AZ167" s="352"/>
      <c r="BA167" s="352"/>
      <c r="BB167" s="352"/>
      <c r="BC167" s="352"/>
      <c r="BD167" s="352"/>
      <c r="BE167" s="352"/>
      <c r="BF167" s="352"/>
      <c r="BG167" s="352"/>
      <c r="BH167" s="352"/>
      <c r="BI167" s="352"/>
      <c r="BJ167" s="352"/>
      <c r="BK167" s="470"/>
      <c r="BL167" s="339"/>
      <c r="BM167" s="339"/>
      <c r="BN167" s="182"/>
      <c r="BO167" s="182"/>
      <c r="BP167" s="182"/>
      <c r="BQ167" s="182"/>
      <c r="BR167" s="182"/>
      <c r="BS167" s="182"/>
      <c r="BT167" s="182"/>
      <c r="BU167" s="182"/>
      <c r="BV167" s="182"/>
      <c r="BW167" s="182"/>
      <c r="BX167" s="182"/>
      <c r="BY167" s="182"/>
      <c r="BZ167" s="182"/>
      <c r="CA167" s="182"/>
      <c r="CB167" s="182"/>
      <c r="CC167" s="182"/>
      <c r="CD167" s="182"/>
      <c r="CE167" s="182"/>
      <c r="CF167" s="182"/>
      <c r="CG167" s="182"/>
      <c r="CH167" s="182"/>
      <c r="CI167" s="182"/>
      <c r="CJ167" s="182"/>
      <c r="CK167" s="618"/>
      <c r="CL167" s="619"/>
      <c r="CM167" s="620"/>
    </row>
    <row r="168" spans="1:91" s="344" customFormat="1">
      <c r="A168" s="335" t="s">
        <v>272</v>
      </c>
      <c r="B168" s="519" t="s">
        <v>100</v>
      </c>
      <c r="C168" s="519" t="s">
        <v>100</v>
      </c>
      <c r="D168" s="182"/>
      <c r="E168" s="522" t="s">
        <v>100</v>
      </c>
      <c r="F168" s="519" t="s">
        <v>100</v>
      </c>
      <c r="G168" s="519"/>
      <c r="H168" s="519" t="s">
        <v>100</v>
      </c>
      <c r="I168" s="523"/>
      <c r="J168" s="522" t="s">
        <v>100</v>
      </c>
      <c r="K168" s="519"/>
      <c r="L168" s="519"/>
      <c r="M168" s="519"/>
      <c r="N168" s="519"/>
      <c r="O168" s="519"/>
      <c r="P168" s="522" t="s">
        <v>100</v>
      </c>
      <c r="Q168" s="523"/>
      <c r="R168" s="519" t="s">
        <v>100</v>
      </c>
      <c r="S168" s="519" t="s">
        <v>100</v>
      </c>
      <c r="T168" s="519"/>
      <c r="U168" s="519" t="s">
        <v>100</v>
      </c>
      <c r="V168" s="519"/>
      <c r="W168" s="182"/>
      <c r="X168" s="182"/>
      <c r="Y168" s="182"/>
      <c r="Z168" s="182"/>
      <c r="AA168" s="182"/>
      <c r="AB168" s="182"/>
      <c r="AC168" s="182"/>
      <c r="AD168" s="182"/>
      <c r="AE168" s="182"/>
      <c r="AF168" s="182"/>
      <c r="AG168" s="182"/>
      <c r="AH168" s="182"/>
      <c r="AI168" s="167">
        <f t="shared" si="43"/>
        <v>10</v>
      </c>
      <c r="AJ168" s="340" t="str">
        <f>HYPERLINK("https://twitter.com/RobMaaddi/status/946966113451216896","Several Thousand Tweets")</f>
        <v>Several Thousand Tweets</v>
      </c>
      <c r="AK168" s="341">
        <v>43098</v>
      </c>
      <c r="AL168" s="352"/>
      <c r="AM168" s="352"/>
      <c r="AN168" s="352"/>
      <c r="AO168" s="352"/>
      <c r="AP168" s="352"/>
      <c r="AQ168" s="352"/>
      <c r="AR168" s="352"/>
      <c r="AS168" s="352"/>
      <c r="AT168" s="352"/>
      <c r="AU168" s="352"/>
      <c r="AV168" s="352"/>
      <c r="AW168" s="352"/>
      <c r="AX168" s="352"/>
      <c r="AY168" s="352"/>
      <c r="AZ168" s="352"/>
      <c r="BA168" s="352"/>
      <c r="BB168" s="352"/>
      <c r="BC168" s="352"/>
      <c r="BD168" s="352"/>
      <c r="BE168" s="352"/>
      <c r="BF168" s="352"/>
      <c r="BG168" s="352"/>
      <c r="BH168" s="352"/>
      <c r="BI168" s="352"/>
      <c r="BJ168" s="352"/>
      <c r="BK168" s="470"/>
      <c r="BL168" s="339"/>
      <c r="BM168" s="339"/>
      <c r="BN168" s="182"/>
      <c r="BO168" s="182"/>
      <c r="BP168" s="182"/>
      <c r="BQ168" s="182"/>
      <c r="BR168" s="182"/>
      <c r="BS168" s="182"/>
      <c r="BT168" s="182"/>
      <c r="BU168" s="182"/>
      <c r="BV168" s="182"/>
      <c r="BW168" s="182"/>
      <c r="BX168" s="182"/>
      <c r="BY168" s="182"/>
      <c r="BZ168" s="182"/>
      <c r="CA168" s="182"/>
      <c r="CB168" s="182"/>
      <c r="CC168" s="182"/>
      <c r="CD168" s="182"/>
      <c r="CE168" s="182"/>
      <c r="CF168" s="182"/>
      <c r="CG168" s="182"/>
      <c r="CH168" s="182"/>
      <c r="CI168" s="182"/>
      <c r="CJ168" s="182"/>
      <c r="CK168" s="618"/>
      <c r="CL168" s="619"/>
      <c r="CM168" s="620"/>
    </row>
    <row r="169" spans="1:91" s="344" customFormat="1">
      <c r="A169" s="335" t="s">
        <v>273</v>
      </c>
      <c r="B169" s="519" t="s">
        <v>100</v>
      </c>
      <c r="C169" s="519" t="s">
        <v>100</v>
      </c>
      <c r="D169" s="182"/>
      <c r="E169" s="519" t="s">
        <v>100</v>
      </c>
      <c r="F169" s="519" t="s">
        <v>100</v>
      </c>
      <c r="G169" s="519"/>
      <c r="H169" s="519" t="s">
        <v>100</v>
      </c>
      <c r="I169" s="519"/>
      <c r="J169" s="519" t="s">
        <v>100</v>
      </c>
      <c r="K169" s="519"/>
      <c r="L169" s="522" t="s">
        <v>100</v>
      </c>
      <c r="M169" s="519"/>
      <c r="N169" s="519"/>
      <c r="O169" s="519"/>
      <c r="P169" s="519" t="s">
        <v>100</v>
      </c>
      <c r="Q169" s="519"/>
      <c r="R169" s="519"/>
      <c r="S169" s="519" t="s">
        <v>100</v>
      </c>
      <c r="T169" s="519" t="s">
        <v>100</v>
      </c>
      <c r="U169" s="519"/>
      <c r="V169" s="519"/>
      <c r="W169" s="182"/>
      <c r="X169" s="182"/>
      <c r="Y169" s="182"/>
      <c r="Z169" s="182"/>
      <c r="AA169" s="182"/>
      <c r="AB169" s="182"/>
      <c r="AC169" s="182"/>
      <c r="AD169" s="182"/>
      <c r="AE169" s="182"/>
      <c r="AF169" s="182"/>
      <c r="AG169" s="182"/>
      <c r="AH169" s="182"/>
      <c r="AI169" s="167">
        <f t="shared" si="43"/>
        <v>10</v>
      </c>
      <c r="AJ169" s="340" t="str">
        <f>HYPERLINK("http://www.heraldtribune.com/sports/20180124/check-out-dennis-maffezzolis-picks-for-baseball-hall-of-fame","Herald Tribune")</f>
        <v>Herald Tribune</v>
      </c>
      <c r="AK169" s="341">
        <v>43124</v>
      </c>
      <c r="AL169" s="352"/>
      <c r="AM169" s="352"/>
      <c r="AN169" s="352"/>
      <c r="AO169" s="352"/>
      <c r="AP169" s="352"/>
      <c r="AQ169" s="352"/>
      <c r="AR169" s="352"/>
      <c r="AS169" s="352"/>
      <c r="AT169" s="352"/>
      <c r="AU169" s="352"/>
      <c r="AV169" s="352"/>
      <c r="AW169" s="352"/>
      <c r="AX169" s="352"/>
      <c r="AY169" s="352"/>
      <c r="AZ169" s="352"/>
      <c r="BA169" s="352"/>
      <c r="BB169" s="352"/>
      <c r="BC169" s="352"/>
      <c r="BD169" s="352"/>
      <c r="BE169" s="352"/>
      <c r="BF169" s="352"/>
      <c r="BG169" s="352"/>
      <c r="BH169" s="352"/>
      <c r="BI169" s="352"/>
      <c r="BJ169" s="352"/>
      <c r="BK169" s="470"/>
      <c r="BL169" s="339"/>
      <c r="BM169" s="339"/>
      <c r="BN169" s="182"/>
      <c r="BO169" s="182"/>
      <c r="BP169" s="182"/>
      <c r="BQ169" s="182"/>
      <c r="BR169" s="182"/>
      <c r="BS169" s="182"/>
      <c r="BT169" s="182"/>
      <c r="BU169" s="182"/>
      <c r="BV169" s="182"/>
      <c r="BW169" s="182"/>
      <c r="BX169" s="182"/>
      <c r="BY169" s="182"/>
      <c r="BZ169" s="182"/>
      <c r="CA169" s="182"/>
      <c r="CB169" s="182"/>
      <c r="CC169" s="182"/>
      <c r="CD169" s="182"/>
      <c r="CE169" s="182"/>
      <c r="CF169" s="182"/>
      <c r="CG169" s="182"/>
      <c r="CH169" s="182"/>
      <c r="CI169" s="182"/>
      <c r="CJ169" s="182"/>
      <c r="CK169" s="618"/>
      <c r="CL169" s="619"/>
      <c r="CM169" s="620"/>
    </row>
    <row r="170" spans="1:91" s="344" customFormat="1">
      <c r="A170" s="335" t="s">
        <v>274</v>
      </c>
      <c r="B170" s="519" t="s">
        <v>100</v>
      </c>
      <c r="C170" s="519" t="s">
        <v>100</v>
      </c>
      <c r="D170" s="182"/>
      <c r="E170" s="519" t="s">
        <v>100</v>
      </c>
      <c r="F170" s="519" t="s">
        <v>100</v>
      </c>
      <c r="G170" s="519"/>
      <c r="H170" s="519" t="s">
        <v>100</v>
      </c>
      <c r="I170" s="519"/>
      <c r="J170" s="519"/>
      <c r="K170" s="519"/>
      <c r="L170" s="519"/>
      <c r="M170" s="519" t="s">
        <v>100</v>
      </c>
      <c r="N170" s="519"/>
      <c r="O170" s="519"/>
      <c r="P170" s="519"/>
      <c r="Q170" s="519" t="s">
        <v>100</v>
      </c>
      <c r="R170" s="519"/>
      <c r="S170" s="519" t="s">
        <v>100</v>
      </c>
      <c r="T170" s="519"/>
      <c r="U170" s="519"/>
      <c r="V170" s="519" t="s">
        <v>100</v>
      </c>
      <c r="W170" s="182"/>
      <c r="X170" s="182"/>
      <c r="Y170" s="182"/>
      <c r="Z170" s="182"/>
      <c r="AA170" s="182"/>
      <c r="AB170" s="182"/>
      <c r="AC170" s="182"/>
      <c r="AD170" s="182"/>
      <c r="AE170" s="182"/>
      <c r="AF170" s="182"/>
      <c r="AG170" s="182"/>
      <c r="AH170" s="182"/>
      <c r="AI170" s="167">
        <f t="shared" si="43"/>
        <v>9</v>
      </c>
      <c r="AJ170" s="544" t="str">
        <f>HYPERLINK("https://twitter.com/JackMagruder/status/953310766781771776","Twitter")</f>
        <v>Twitter</v>
      </c>
      <c r="AK170" s="341">
        <v>43116</v>
      </c>
      <c r="AL170" s="352"/>
      <c r="AM170" s="352"/>
      <c r="AN170" s="352"/>
      <c r="AO170" s="352"/>
      <c r="AP170" s="352"/>
      <c r="AQ170" s="352"/>
      <c r="AR170" s="352"/>
      <c r="AS170" s="352"/>
      <c r="AT170" s="352"/>
      <c r="AU170" s="352"/>
      <c r="AV170" s="352"/>
      <c r="AW170" s="352"/>
      <c r="AX170" s="352"/>
      <c r="AY170" s="352"/>
      <c r="AZ170" s="352"/>
      <c r="BA170" s="352"/>
      <c r="BB170" s="352"/>
      <c r="BC170" s="352"/>
      <c r="BD170" s="352"/>
      <c r="BE170" s="352"/>
      <c r="BF170" s="352"/>
      <c r="BG170" s="352"/>
      <c r="BH170" s="352"/>
      <c r="BI170" s="352"/>
      <c r="BJ170" s="352"/>
      <c r="BK170" s="470"/>
      <c r="BL170" s="339"/>
      <c r="BM170" s="339"/>
      <c r="BN170" s="182"/>
      <c r="BO170" s="182"/>
      <c r="BP170" s="182"/>
      <c r="BQ170" s="182"/>
      <c r="BR170" s="182"/>
      <c r="BS170" s="182"/>
      <c r="BT170" s="182"/>
      <c r="BU170" s="182"/>
      <c r="BV170" s="182"/>
      <c r="BW170" s="182"/>
      <c r="BX170" s="182"/>
      <c r="BY170" s="182"/>
      <c r="BZ170" s="182"/>
      <c r="CA170" s="182"/>
      <c r="CB170" s="182"/>
      <c r="CC170" s="182"/>
      <c r="CD170" s="182"/>
      <c r="CE170" s="182"/>
      <c r="CF170" s="182"/>
      <c r="CG170" s="182"/>
      <c r="CH170" s="182"/>
      <c r="CI170" s="182"/>
      <c r="CJ170" s="182"/>
      <c r="CK170" s="618"/>
      <c r="CL170" s="619"/>
      <c r="CM170" s="620"/>
    </row>
    <row r="171" spans="1:91" s="344" customFormat="1">
      <c r="A171" s="335" t="s">
        <v>275</v>
      </c>
      <c r="B171" s="519"/>
      <c r="C171" s="519"/>
      <c r="D171" s="639"/>
      <c r="E171" s="519" t="s">
        <v>100</v>
      </c>
      <c r="F171" s="519" t="s">
        <v>100</v>
      </c>
      <c r="G171" s="520"/>
      <c r="H171" s="519" t="s">
        <v>100</v>
      </c>
      <c r="I171" s="519"/>
      <c r="J171" s="519" t="s">
        <v>100</v>
      </c>
      <c r="K171" s="519"/>
      <c r="L171" s="519" t="s">
        <v>100</v>
      </c>
      <c r="M171" s="519"/>
      <c r="N171" s="520"/>
      <c r="O171" s="520"/>
      <c r="P171" s="519" t="s">
        <v>100</v>
      </c>
      <c r="Q171" s="519"/>
      <c r="R171" s="520"/>
      <c r="S171" s="519" t="s">
        <v>100</v>
      </c>
      <c r="T171" s="519" t="s">
        <v>100</v>
      </c>
      <c r="U171" s="521"/>
      <c r="V171" s="519" t="s">
        <v>100</v>
      </c>
      <c r="W171" s="639"/>
      <c r="X171" s="639"/>
      <c r="Y171" s="639"/>
      <c r="Z171" s="639"/>
      <c r="AA171" s="639"/>
      <c r="AB171" s="639"/>
      <c r="AC171" s="639"/>
      <c r="AD171" s="639"/>
      <c r="AE171" s="639"/>
      <c r="AF171" s="639"/>
      <c r="AG171" s="639"/>
      <c r="AH171" s="639"/>
      <c r="AI171" s="339">
        <f t="shared" si="43"/>
        <v>9</v>
      </c>
      <c r="AJ171" s="530" t="s">
        <v>115</v>
      </c>
      <c r="AK171" s="341">
        <v>43074</v>
      </c>
      <c r="AL171" s="352"/>
      <c r="AM171" s="352"/>
      <c r="AN171" s="352"/>
      <c r="AO171" s="352"/>
      <c r="AP171" s="352"/>
      <c r="AQ171" s="352"/>
      <c r="AR171" s="352"/>
      <c r="AS171" s="352"/>
      <c r="AT171" s="352"/>
      <c r="AU171" s="352"/>
      <c r="AV171" s="352"/>
      <c r="AW171" s="352"/>
      <c r="AX171" s="352"/>
      <c r="AY171" s="352"/>
      <c r="AZ171" s="352"/>
      <c r="BA171" s="352"/>
      <c r="BB171" s="352"/>
      <c r="BC171" s="352"/>
      <c r="BD171" s="352"/>
      <c r="BE171" s="352"/>
      <c r="BF171" s="352"/>
      <c r="BG171" s="352"/>
      <c r="BH171" s="352"/>
      <c r="BI171" s="352"/>
      <c r="BJ171" s="352"/>
      <c r="BK171" s="470"/>
      <c r="BL171" s="339"/>
      <c r="BM171" s="339"/>
      <c r="BN171" s="182"/>
      <c r="BO171" s="182"/>
      <c r="BP171" s="182"/>
      <c r="BQ171" s="182"/>
      <c r="BR171" s="182"/>
      <c r="BS171" s="182"/>
      <c r="BT171" s="182"/>
      <c r="BU171" s="182"/>
      <c r="BV171" s="182"/>
      <c r="BW171" s="182"/>
      <c r="BX171" s="182"/>
      <c r="BY171" s="182"/>
      <c r="BZ171" s="182"/>
      <c r="CA171" s="182"/>
      <c r="CB171" s="182"/>
      <c r="CC171" s="182"/>
      <c r="CD171" s="182"/>
      <c r="CE171" s="182"/>
      <c r="CF171" s="182"/>
      <c r="CG171" s="182"/>
      <c r="CH171" s="182"/>
      <c r="CI171" s="182"/>
      <c r="CJ171" s="182"/>
      <c r="CK171" s="618"/>
      <c r="CL171" s="619"/>
      <c r="CM171" s="620"/>
    </row>
    <row r="172" spans="1:91" s="344" customFormat="1">
      <c r="A172" s="335" t="s">
        <v>276</v>
      </c>
      <c r="B172" s="519"/>
      <c r="C172" s="519"/>
      <c r="D172" s="182"/>
      <c r="E172" s="519" t="s">
        <v>100</v>
      </c>
      <c r="F172" s="519" t="s">
        <v>100</v>
      </c>
      <c r="G172" s="519"/>
      <c r="H172" s="519" t="s">
        <v>100</v>
      </c>
      <c r="I172" s="519"/>
      <c r="J172" s="519"/>
      <c r="K172" s="519"/>
      <c r="L172" s="519"/>
      <c r="M172" s="519"/>
      <c r="N172" s="519"/>
      <c r="O172" s="519"/>
      <c r="P172" s="519"/>
      <c r="Q172" s="519"/>
      <c r="R172" s="519"/>
      <c r="S172" s="519" t="s">
        <v>100</v>
      </c>
      <c r="T172" s="519"/>
      <c r="U172" s="519"/>
      <c r="V172" s="519"/>
      <c r="W172" s="182"/>
      <c r="X172" s="182"/>
      <c r="Y172" s="182"/>
      <c r="Z172" s="182"/>
      <c r="AA172" s="182"/>
      <c r="AB172" s="182"/>
      <c r="AC172" s="182"/>
      <c r="AD172" s="182"/>
      <c r="AE172" s="182"/>
      <c r="AF172" s="182"/>
      <c r="AG172" s="182"/>
      <c r="AH172" s="182"/>
      <c r="AI172" s="167">
        <f t="shared" si="43"/>
        <v>4</v>
      </c>
      <c r="AJ172" s="340" t="str">
        <f>HYPERLINK("https://www.newsday.com/sports/baseball/2018-baseball-hall-of-fame-ballot-by-newsday-s-steven-marcus-1.15547194","Newsday")</f>
        <v>Newsday</v>
      </c>
      <c r="AK172" s="341">
        <v>43090</v>
      </c>
      <c r="AL172" s="352"/>
      <c r="AM172" s="352"/>
      <c r="AN172" s="352"/>
      <c r="AO172" s="352"/>
      <c r="AP172" s="352"/>
      <c r="AQ172" s="352"/>
      <c r="AR172" s="352"/>
      <c r="AS172" s="352"/>
      <c r="AT172" s="352"/>
      <c r="AU172" s="352"/>
      <c r="AV172" s="352"/>
      <c r="AW172" s="352"/>
      <c r="AX172" s="352"/>
      <c r="AY172" s="352"/>
      <c r="AZ172" s="352"/>
      <c r="BA172" s="352"/>
      <c r="BB172" s="352"/>
      <c r="BC172" s="352"/>
      <c r="BD172" s="352"/>
      <c r="BE172" s="352"/>
      <c r="BF172" s="352"/>
      <c r="BG172" s="352"/>
      <c r="BH172" s="352"/>
      <c r="BI172" s="352"/>
      <c r="BJ172" s="352"/>
      <c r="BK172" s="470"/>
      <c r="BL172" s="339"/>
      <c r="BM172" s="339"/>
      <c r="BN172" s="182"/>
      <c r="BO172" s="182"/>
      <c r="BP172" s="182"/>
      <c r="BQ172" s="182"/>
      <c r="BR172" s="182"/>
      <c r="BS172" s="182"/>
      <c r="BT172" s="182"/>
      <c r="BU172" s="182"/>
      <c r="BV172" s="182"/>
      <c r="BW172" s="182"/>
      <c r="BX172" s="182"/>
      <c r="BY172" s="182"/>
      <c r="BZ172" s="182"/>
      <c r="CA172" s="182"/>
      <c r="CB172" s="182"/>
      <c r="CC172" s="182"/>
      <c r="CD172" s="182"/>
      <c r="CE172" s="182"/>
      <c r="CF172" s="182"/>
      <c r="CG172" s="182"/>
      <c r="CH172" s="182"/>
      <c r="CI172" s="182"/>
      <c r="CJ172" s="182"/>
      <c r="CK172" s="618"/>
      <c r="CL172" s="619"/>
      <c r="CM172" s="620"/>
    </row>
    <row r="173" spans="1:91" s="344" customFormat="1">
      <c r="A173" s="335" t="s">
        <v>277</v>
      </c>
      <c r="B173" s="519" t="s">
        <v>100</v>
      </c>
      <c r="C173" s="519" t="s">
        <v>100</v>
      </c>
      <c r="D173" s="182"/>
      <c r="E173" s="519" t="s">
        <v>100</v>
      </c>
      <c r="F173" s="519" t="s">
        <v>100</v>
      </c>
      <c r="G173" s="519"/>
      <c r="H173" s="519" t="s">
        <v>100</v>
      </c>
      <c r="I173" s="519"/>
      <c r="J173" s="519"/>
      <c r="K173" s="519"/>
      <c r="L173" s="519" t="s">
        <v>100</v>
      </c>
      <c r="M173" s="519" t="s">
        <v>100</v>
      </c>
      <c r="N173" s="519"/>
      <c r="O173" s="519"/>
      <c r="P173" s="519"/>
      <c r="Q173" s="522" t="s">
        <v>100</v>
      </c>
      <c r="R173" s="519" t="s">
        <v>100</v>
      </c>
      <c r="S173" s="519" t="s">
        <v>100</v>
      </c>
      <c r="T173" s="519"/>
      <c r="U173" s="519"/>
      <c r="V173" s="519"/>
      <c r="W173" s="182"/>
      <c r="X173" s="182"/>
      <c r="Y173" s="182"/>
      <c r="Z173" s="182"/>
      <c r="AA173" s="182"/>
      <c r="AB173" s="182"/>
      <c r="AC173" s="182"/>
      <c r="AD173" s="182"/>
      <c r="AE173" s="182"/>
      <c r="AF173" s="182"/>
      <c r="AG173" s="182"/>
      <c r="AH173" s="182"/>
      <c r="AI173" s="167">
        <f t="shared" si="43"/>
        <v>10</v>
      </c>
      <c r="AJ173" s="530" t="s">
        <v>113</v>
      </c>
      <c r="AK173" s="341">
        <v>43093</v>
      </c>
      <c r="AL173" s="352"/>
      <c r="AM173" s="352"/>
      <c r="AN173" s="352"/>
      <c r="AO173" s="352"/>
      <c r="AP173" s="352"/>
      <c r="AQ173" s="352"/>
      <c r="AR173" s="352"/>
      <c r="AS173" s="352"/>
      <c r="AT173" s="352"/>
      <c r="AU173" s="352"/>
      <c r="AV173" s="352"/>
      <c r="AW173" s="352"/>
      <c r="AX173" s="352"/>
      <c r="AY173" s="352"/>
      <c r="AZ173" s="352"/>
      <c r="BA173" s="352"/>
      <c r="BB173" s="352"/>
      <c r="BC173" s="352"/>
      <c r="BD173" s="352"/>
      <c r="BE173" s="352"/>
      <c r="BF173" s="352"/>
      <c r="BG173" s="352"/>
      <c r="BH173" s="352"/>
      <c r="BI173" s="352"/>
      <c r="BJ173" s="352"/>
      <c r="BK173" s="470"/>
      <c r="BL173" s="339"/>
      <c r="BM173" s="339"/>
      <c r="BN173" s="182"/>
      <c r="BO173" s="182"/>
      <c r="BP173" s="182"/>
      <c r="BQ173" s="182"/>
      <c r="BR173" s="182"/>
      <c r="BS173" s="182"/>
      <c r="BT173" s="182"/>
      <c r="BU173" s="182"/>
      <c r="BV173" s="182"/>
      <c r="BW173" s="182"/>
      <c r="BX173" s="182"/>
      <c r="BY173" s="182"/>
      <c r="BZ173" s="182"/>
      <c r="CA173" s="182"/>
      <c r="CB173" s="182"/>
      <c r="CC173" s="182"/>
      <c r="CD173" s="182"/>
      <c r="CE173" s="182"/>
      <c r="CF173" s="182"/>
      <c r="CG173" s="182"/>
      <c r="CH173" s="182"/>
      <c r="CI173" s="182"/>
      <c r="CJ173" s="182"/>
      <c r="CK173" s="618"/>
      <c r="CL173" s="619"/>
      <c r="CM173" s="620"/>
    </row>
    <row r="174" spans="1:91" s="344" customFormat="1">
      <c r="A174" s="335" t="s">
        <v>278</v>
      </c>
      <c r="B174" s="519" t="s">
        <v>100</v>
      </c>
      <c r="C174" s="519" t="s">
        <v>100</v>
      </c>
      <c r="D174" s="182"/>
      <c r="E174" s="519"/>
      <c r="F174" s="519"/>
      <c r="G174" s="519"/>
      <c r="H174" s="519" t="s">
        <v>100</v>
      </c>
      <c r="I174" s="519"/>
      <c r="J174" s="519" t="s">
        <v>100</v>
      </c>
      <c r="K174" s="519"/>
      <c r="L174" s="519"/>
      <c r="M174" s="519" t="s">
        <v>100</v>
      </c>
      <c r="N174" s="519"/>
      <c r="O174" s="519"/>
      <c r="P174" s="519"/>
      <c r="Q174" s="519"/>
      <c r="R174" s="519"/>
      <c r="S174" s="519"/>
      <c r="T174" s="519"/>
      <c r="U174" s="519"/>
      <c r="V174" s="519"/>
      <c r="W174" s="182"/>
      <c r="X174" s="182"/>
      <c r="Y174" s="182"/>
      <c r="Z174" s="182"/>
      <c r="AA174" s="182"/>
      <c r="AB174" s="182"/>
      <c r="AC174" s="182"/>
      <c r="AD174" s="182"/>
      <c r="AE174" s="182"/>
      <c r="AF174" s="182"/>
      <c r="AG174" s="182"/>
      <c r="AH174" s="182"/>
      <c r="AI174" s="167">
        <f t="shared" si="43"/>
        <v>5</v>
      </c>
      <c r="AJ174" s="530" t="s">
        <v>279</v>
      </c>
      <c r="AK174" s="341">
        <v>43097</v>
      </c>
      <c r="AL174" s="352"/>
      <c r="AM174" s="352"/>
      <c r="AN174" s="352"/>
      <c r="AO174" s="352"/>
      <c r="AP174" s="352"/>
      <c r="AQ174" s="352"/>
      <c r="AR174" s="352"/>
      <c r="AS174" s="352"/>
      <c r="AT174" s="352"/>
      <c r="AU174" s="352"/>
      <c r="AV174" s="352"/>
      <c r="AW174" s="352"/>
      <c r="AX174" s="352"/>
      <c r="AY174" s="352"/>
      <c r="AZ174" s="352"/>
      <c r="BA174" s="352"/>
      <c r="BB174" s="352"/>
      <c r="BC174" s="352"/>
      <c r="BD174" s="352"/>
      <c r="BE174" s="352"/>
      <c r="BF174" s="352"/>
      <c r="BG174" s="352"/>
      <c r="BH174" s="352"/>
      <c r="BI174" s="352"/>
      <c r="BJ174" s="352"/>
      <c r="BK174" s="470"/>
      <c r="BL174" s="339"/>
      <c r="BM174" s="339"/>
      <c r="BN174" s="182"/>
      <c r="BO174" s="182"/>
      <c r="BP174" s="182"/>
      <c r="BQ174" s="182"/>
      <c r="BR174" s="182"/>
      <c r="BS174" s="182"/>
      <c r="BT174" s="182"/>
      <c r="BU174" s="182"/>
      <c r="BV174" s="182"/>
      <c r="BW174" s="182"/>
      <c r="BX174" s="182"/>
      <c r="BY174" s="182"/>
      <c r="BZ174" s="182"/>
      <c r="CA174" s="182"/>
      <c r="CB174" s="182"/>
      <c r="CC174" s="182"/>
      <c r="CD174" s="182"/>
      <c r="CE174" s="182"/>
      <c r="CF174" s="182"/>
      <c r="CG174" s="182"/>
      <c r="CH174" s="182"/>
      <c r="CI174" s="182"/>
      <c r="CJ174" s="182"/>
      <c r="CK174" s="618"/>
      <c r="CL174" s="619"/>
      <c r="CM174" s="620"/>
    </row>
    <row r="175" spans="1:91" s="344" customFormat="1">
      <c r="A175" s="335" t="s">
        <v>280</v>
      </c>
      <c r="B175" s="522" t="s">
        <v>100</v>
      </c>
      <c r="C175" s="522" t="s">
        <v>100</v>
      </c>
      <c r="D175" s="182"/>
      <c r="E175" s="519" t="s">
        <v>100</v>
      </c>
      <c r="F175" s="519"/>
      <c r="G175" s="519" t="s">
        <v>100</v>
      </c>
      <c r="H175" s="519" t="s">
        <v>100</v>
      </c>
      <c r="I175" s="519"/>
      <c r="J175" s="519" t="s">
        <v>100</v>
      </c>
      <c r="K175" s="519"/>
      <c r="L175" s="522" t="s">
        <v>100</v>
      </c>
      <c r="M175" s="519"/>
      <c r="N175" s="519"/>
      <c r="O175" s="519"/>
      <c r="P175" s="519" t="s">
        <v>100</v>
      </c>
      <c r="Q175" s="519"/>
      <c r="R175" s="519"/>
      <c r="S175" s="519" t="s">
        <v>100</v>
      </c>
      <c r="T175" s="519"/>
      <c r="U175" s="519"/>
      <c r="V175" s="519"/>
      <c r="W175" s="182"/>
      <c r="X175" s="182"/>
      <c r="Y175" s="182"/>
      <c r="Z175" s="182"/>
      <c r="AA175" s="182"/>
      <c r="AB175" s="182"/>
      <c r="AC175" s="182"/>
      <c r="AD175" s="182"/>
      <c r="AE175" s="182"/>
      <c r="AF175" s="182"/>
      <c r="AG175" s="182"/>
      <c r="AH175" s="182"/>
      <c r="AI175" s="167">
        <f t="shared" si="43"/>
        <v>9</v>
      </c>
      <c r="AJ175" s="340" t="str">
        <f>HYPERLINK("https://www.bostonsportsjournal.com/2017/12/30/mcadam-hall-fame-ballot-includes-change-peds/","Boston Sports Journal")</f>
        <v>Boston Sports Journal</v>
      </c>
      <c r="AK175" s="341">
        <v>43103</v>
      </c>
      <c r="AL175" s="352"/>
      <c r="AM175" s="352"/>
      <c r="AN175" s="352"/>
      <c r="AO175" s="352"/>
      <c r="AP175" s="352"/>
      <c r="AQ175" s="352"/>
      <c r="AR175" s="352"/>
      <c r="AS175" s="352"/>
      <c r="AT175" s="352"/>
      <c r="AU175" s="352"/>
      <c r="AV175" s="352"/>
      <c r="AW175" s="352"/>
      <c r="AX175" s="352"/>
      <c r="AY175" s="352"/>
      <c r="AZ175" s="352"/>
      <c r="BA175" s="352"/>
      <c r="BB175" s="352"/>
      <c r="BC175" s="352"/>
      <c r="BD175" s="352"/>
      <c r="BE175" s="352"/>
      <c r="BF175" s="352"/>
      <c r="BG175" s="352"/>
      <c r="BH175" s="352"/>
      <c r="BI175" s="352"/>
      <c r="BJ175" s="352"/>
      <c r="BK175" s="470"/>
      <c r="BL175" s="339"/>
      <c r="BM175" s="339"/>
      <c r="BN175" s="182"/>
      <c r="BO175" s="182"/>
      <c r="BP175" s="182"/>
      <c r="BQ175" s="182"/>
      <c r="BR175" s="182"/>
      <c r="BS175" s="182"/>
      <c r="BT175" s="182"/>
      <c r="BU175" s="182"/>
      <c r="BV175" s="182"/>
      <c r="BW175" s="182"/>
      <c r="BX175" s="182"/>
      <c r="BY175" s="182"/>
      <c r="BZ175" s="182"/>
      <c r="CA175" s="182"/>
      <c r="CB175" s="182"/>
      <c r="CC175" s="182"/>
      <c r="CD175" s="182"/>
      <c r="CE175" s="182"/>
      <c r="CF175" s="182"/>
      <c r="CG175" s="182"/>
      <c r="CH175" s="182"/>
      <c r="CI175" s="182"/>
      <c r="CJ175" s="182"/>
      <c r="CK175" s="618"/>
      <c r="CL175" s="619"/>
      <c r="CM175" s="620"/>
    </row>
    <row r="176" spans="1:91" s="344" customFormat="1">
      <c r="A176" s="335" t="s">
        <v>281</v>
      </c>
      <c r="B176" s="519" t="s">
        <v>100</v>
      </c>
      <c r="C176" s="519" t="s">
        <v>100</v>
      </c>
      <c r="D176" s="182"/>
      <c r="E176" s="519" t="s">
        <v>100</v>
      </c>
      <c r="F176" s="519" t="s">
        <v>100</v>
      </c>
      <c r="G176" s="519"/>
      <c r="H176" s="519" t="s">
        <v>100</v>
      </c>
      <c r="I176" s="519"/>
      <c r="J176" s="519"/>
      <c r="K176" s="522" t="s">
        <v>100</v>
      </c>
      <c r="L176" s="519"/>
      <c r="M176" s="519"/>
      <c r="N176" s="519"/>
      <c r="O176" s="519"/>
      <c r="P176" s="519" t="s">
        <v>100</v>
      </c>
      <c r="Q176" s="519"/>
      <c r="R176" s="519"/>
      <c r="S176" s="519" t="s">
        <v>100</v>
      </c>
      <c r="T176" s="519" t="s">
        <v>100</v>
      </c>
      <c r="U176" s="519"/>
      <c r="V176" s="522" t="s">
        <v>100</v>
      </c>
      <c r="W176" s="182"/>
      <c r="X176" s="182"/>
      <c r="Y176" s="182"/>
      <c r="Z176" s="182"/>
      <c r="AA176" s="182"/>
      <c r="AB176" s="182"/>
      <c r="AC176" s="182"/>
      <c r="AD176" s="182"/>
      <c r="AE176" s="182"/>
      <c r="AF176" s="182"/>
      <c r="AG176" s="182"/>
      <c r="AH176" s="182"/>
      <c r="AI176" s="167">
        <f t="shared" si="43"/>
        <v>10</v>
      </c>
      <c r="AJ176" s="340" t="str">
        <f>HYPERLINK("https://twitter.com/JackMcCaffery/status/934501638299058179","Twitter")</f>
        <v>Twitter</v>
      </c>
      <c r="AK176" s="341">
        <v>43064</v>
      </c>
      <c r="AL176" s="352"/>
      <c r="AM176" s="352"/>
      <c r="AN176" s="352"/>
      <c r="AO176" s="352"/>
      <c r="AP176" s="352"/>
      <c r="AQ176" s="352"/>
      <c r="AR176" s="352"/>
      <c r="AS176" s="352"/>
      <c r="AT176" s="352"/>
      <c r="AU176" s="352"/>
      <c r="AV176" s="352"/>
      <c r="AW176" s="352"/>
      <c r="AX176" s="352"/>
      <c r="AY176" s="352"/>
      <c r="AZ176" s="352"/>
      <c r="BA176" s="352"/>
      <c r="BB176" s="352"/>
      <c r="BC176" s="352"/>
      <c r="BD176" s="352"/>
      <c r="BE176" s="352"/>
      <c r="BF176" s="352"/>
      <c r="BG176" s="352"/>
      <c r="BH176" s="352"/>
      <c r="BI176" s="352"/>
      <c r="BJ176" s="352"/>
      <c r="BK176" s="470"/>
      <c r="BL176" s="339"/>
      <c r="BM176" s="339"/>
      <c r="BN176" s="182"/>
      <c r="BO176" s="182"/>
      <c r="BP176" s="182"/>
      <c r="BQ176" s="182"/>
      <c r="BR176" s="182"/>
      <c r="BS176" s="182"/>
      <c r="BT176" s="182"/>
      <c r="BU176" s="182"/>
      <c r="BV176" s="182"/>
      <c r="BW176" s="182"/>
      <c r="BX176" s="182"/>
      <c r="BY176" s="182"/>
      <c r="BZ176" s="182"/>
      <c r="CA176" s="182"/>
      <c r="CB176" s="182"/>
      <c r="CC176" s="182"/>
      <c r="CD176" s="182"/>
      <c r="CE176" s="182"/>
      <c r="CF176" s="182"/>
      <c r="CG176" s="182"/>
      <c r="CH176" s="182"/>
      <c r="CI176" s="182"/>
      <c r="CJ176" s="182"/>
      <c r="CK176" s="647" t="s">
        <v>282</v>
      </c>
      <c r="CL176" s="648"/>
      <c r="CM176" s="649"/>
    </row>
    <row r="177" spans="1:91" s="344" customFormat="1">
      <c r="A177" s="335" t="s">
        <v>283</v>
      </c>
      <c r="B177" s="519" t="s">
        <v>100</v>
      </c>
      <c r="C177" s="519" t="s">
        <v>100</v>
      </c>
      <c r="D177" s="182"/>
      <c r="E177" s="519" t="s">
        <v>100</v>
      </c>
      <c r="F177" s="522" t="s">
        <v>100</v>
      </c>
      <c r="G177" s="519"/>
      <c r="H177" s="519" t="s">
        <v>100</v>
      </c>
      <c r="I177" s="519" t="s">
        <v>100</v>
      </c>
      <c r="J177" s="519" t="s">
        <v>100</v>
      </c>
      <c r="K177" s="519"/>
      <c r="L177" s="519" t="s">
        <v>100</v>
      </c>
      <c r="M177" s="519"/>
      <c r="N177" s="519"/>
      <c r="O177" s="519"/>
      <c r="P177" s="519" t="s">
        <v>100</v>
      </c>
      <c r="Q177" s="519"/>
      <c r="R177" s="519"/>
      <c r="S177" s="519" t="s">
        <v>100</v>
      </c>
      <c r="T177" s="519"/>
      <c r="U177" s="519"/>
      <c r="V177" s="519"/>
      <c r="W177" s="182"/>
      <c r="X177" s="182"/>
      <c r="Y177" s="182"/>
      <c r="Z177" s="182"/>
      <c r="AA177" s="182"/>
      <c r="AB177" s="182"/>
      <c r="AC177" s="182"/>
      <c r="AD177" s="182"/>
      <c r="AE177" s="182"/>
      <c r="AF177" s="182"/>
      <c r="AG177" s="182"/>
      <c r="AH177" s="182"/>
      <c r="AI177" s="167">
        <f t="shared" si="43"/>
        <v>10</v>
      </c>
      <c r="AJ177" s="340" t="str">
        <f>HYPERLINK("https://www.sny.tv/mets/news/anthony-mccarron-reveals-and-explains-his-hall-of-fame-ballot/264764454","SNY TV then column")</f>
        <v>SNY TV then column</v>
      </c>
      <c r="AK177" s="341">
        <v>43116</v>
      </c>
      <c r="AL177" s="352"/>
      <c r="AM177" s="352"/>
      <c r="AN177" s="352"/>
      <c r="AO177" s="352"/>
      <c r="AP177" s="352"/>
      <c r="AQ177" s="352"/>
      <c r="AR177" s="352"/>
      <c r="AS177" s="352"/>
      <c r="AT177" s="352"/>
      <c r="AU177" s="352"/>
      <c r="AV177" s="352"/>
      <c r="AW177" s="352"/>
      <c r="AX177" s="352"/>
      <c r="AY177" s="352"/>
      <c r="AZ177" s="352"/>
      <c r="BA177" s="352"/>
      <c r="BB177" s="352"/>
      <c r="BC177" s="352"/>
      <c r="BD177" s="352"/>
      <c r="BE177" s="352"/>
      <c r="BF177" s="352"/>
      <c r="BG177" s="352"/>
      <c r="BH177" s="352"/>
      <c r="BI177" s="352"/>
      <c r="BJ177" s="352"/>
      <c r="BK177" s="470"/>
      <c r="BL177" s="339"/>
      <c r="BM177" s="339"/>
      <c r="BN177" s="182"/>
      <c r="BO177" s="182"/>
      <c r="BP177" s="182"/>
      <c r="BQ177" s="182"/>
      <c r="BR177" s="182"/>
      <c r="BS177" s="182"/>
      <c r="BT177" s="182"/>
      <c r="BU177" s="182"/>
      <c r="BV177" s="182"/>
      <c r="BW177" s="182"/>
      <c r="BX177" s="182"/>
      <c r="BY177" s="182"/>
      <c r="BZ177" s="182"/>
      <c r="CA177" s="182"/>
      <c r="CB177" s="182"/>
      <c r="CC177" s="182"/>
      <c r="CD177" s="182"/>
      <c r="CE177" s="182"/>
      <c r="CF177" s="182"/>
      <c r="CG177" s="182"/>
      <c r="CH177" s="182"/>
      <c r="CI177" s="182"/>
      <c r="CJ177" s="182"/>
      <c r="CK177" s="647" t="s">
        <v>284</v>
      </c>
      <c r="CL177" s="648"/>
      <c r="CM177" s="649"/>
    </row>
    <row r="178" spans="1:91" s="344" customFormat="1">
      <c r="A178" s="335" t="s">
        <v>285</v>
      </c>
      <c r="B178" s="519" t="s">
        <v>100</v>
      </c>
      <c r="C178" s="519" t="s">
        <v>100</v>
      </c>
      <c r="D178" s="182"/>
      <c r="E178" s="519" t="s">
        <v>100</v>
      </c>
      <c r="F178" s="523"/>
      <c r="G178" s="519"/>
      <c r="H178" s="519" t="s">
        <v>100</v>
      </c>
      <c r="I178" s="519"/>
      <c r="J178" s="519" t="s">
        <v>100</v>
      </c>
      <c r="K178" s="519"/>
      <c r="L178" s="522" t="s">
        <v>100</v>
      </c>
      <c r="M178" s="519" t="s">
        <v>100</v>
      </c>
      <c r="N178" s="519"/>
      <c r="O178" s="519"/>
      <c r="P178" s="519" t="s">
        <v>100</v>
      </c>
      <c r="Q178" s="519"/>
      <c r="R178" s="519"/>
      <c r="S178" s="519" t="s">
        <v>100</v>
      </c>
      <c r="T178" s="519"/>
      <c r="U178" s="519"/>
      <c r="V178" s="522" t="s">
        <v>100</v>
      </c>
      <c r="W178" s="182"/>
      <c r="X178" s="182"/>
      <c r="Y178" s="182"/>
      <c r="Z178" s="182"/>
      <c r="AA178" s="182"/>
      <c r="AB178" s="182"/>
      <c r="AC178" s="182"/>
      <c r="AD178" s="182"/>
      <c r="AE178" s="182"/>
      <c r="AF178" s="182"/>
      <c r="AG178" s="182"/>
      <c r="AH178" s="182"/>
      <c r="AI178" s="167">
        <f t="shared" si="43"/>
        <v>10</v>
      </c>
      <c r="AJ178" s="530" t="s">
        <v>115</v>
      </c>
      <c r="AK178" s="341">
        <v>43080</v>
      </c>
      <c r="AL178" s="352"/>
      <c r="AM178" s="352"/>
      <c r="AN178" s="352"/>
      <c r="AO178" s="352"/>
      <c r="AP178" s="352"/>
      <c r="AQ178" s="352"/>
      <c r="AR178" s="352"/>
      <c r="AS178" s="352"/>
      <c r="AT178" s="352"/>
      <c r="AU178" s="352"/>
      <c r="AV178" s="352"/>
      <c r="AW178" s="352"/>
      <c r="AX178" s="352"/>
      <c r="AY178" s="352"/>
      <c r="AZ178" s="352"/>
      <c r="BA178" s="352"/>
      <c r="BB178" s="352"/>
      <c r="BC178" s="352"/>
      <c r="BD178" s="352"/>
      <c r="BE178" s="352"/>
      <c r="BF178" s="352"/>
      <c r="BG178" s="352"/>
      <c r="BH178" s="352"/>
      <c r="BI178" s="352"/>
      <c r="BJ178" s="352"/>
      <c r="BK178" s="470"/>
      <c r="BL178" s="339"/>
      <c r="BM178" s="339"/>
      <c r="BN178" s="182"/>
      <c r="BO178" s="182"/>
      <c r="BP178" s="182"/>
      <c r="BQ178" s="182"/>
      <c r="BR178" s="182"/>
      <c r="BS178" s="182"/>
      <c r="BT178" s="182"/>
      <c r="BU178" s="182"/>
      <c r="BV178" s="182"/>
      <c r="BW178" s="182"/>
      <c r="BX178" s="182"/>
      <c r="BY178" s="182"/>
      <c r="BZ178" s="182"/>
      <c r="CA178" s="182"/>
      <c r="CB178" s="182"/>
      <c r="CC178" s="182"/>
      <c r="CD178" s="182"/>
      <c r="CE178" s="182"/>
      <c r="CF178" s="182"/>
      <c r="CG178" s="182"/>
      <c r="CH178" s="182"/>
      <c r="CI178" s="182"/>
      <c r="CJ178" s="182"/>
      <c r="CK178" s="621"/>
      <c r="CL178" s="622"/>
      <c r="CM178" s="623"/>
    </row>
    <row r="179" spans="1:91" s="344" customFormat="1">
      <c r="A179" s="335" t="s">
        <v>286</v>
      </c>
      <c r="B179" s="519" t="s">
        <v>100</v>
      </c>
      <c r="C179" s="519" t="s">
        <v>100</v>
      </c>
      <c r="D179" s="182"/>
      <c r="E179" s="519" t="s">
        <v>100</v>
      </c>
      <c r="F179" s="522" t="s">
        <v>100</v>
      </c>
      <c r="G179" s="519"/>
      <c r="H179" s="519" t="s">
        <v>100</v>
      </c>
      <c r="I179" s="519"/>
      <c r="J179" s="519" t="s">
        <v>100</v>
      </c>
      <c r="K179" s="519"/>
      <c r="L179" s="519" t="s">
        <v>100</v>
      </c>
      <c r="M179" s="519" t="s">
        <v>100</v>
      </c>
      <c r="N179" s="519"/>
      <c r="O179" s="519"/>
      <c r="P179" s="519"/>
      <c r="Q179" s="519"/>
      <c r="R179" s="519" t="s">
        <v>100</v>
      </c>
      <c r="S179" s="519" t="s">
        <v>100</v>
      </c>
      <c r="T179" s="519"/>
      <c r="U179" s="519"/>
      <c r="V179" s="519"/>
      <c r="W179" s="182"/>
      <c r="X179" s="182"/>
      <c r="Y179" s="182"/>
      <c r="Z179" s="182"/>
      <c r="AA179" s="182"/>
      <c r="AB179" s="182"/>
      <c r="AC179" s="182"/>
      <c r="AD179" s="182"/>
      <c r="AE179" s="182"/>
      <c r="AF179" s="182"/>
      <c r="AG179" s="182"/>
      <c r="AH179" s="182"/>
      <c r="AI179" s="167">
        <f t="shared" si="43"/>
        <v>10</v>
      </c>
      <c r="AJ179" s="340" t="str">
        <f>HYPERLINK("https://twitter.com/JoeyMacHockey/status/946530484003246082","Twitter")</f>
        <v>Twitter</v>
      </c>
      <c r="AK179" s="341">
        <v>43097</v>
      </c>
      <c r="AL179" s="352"/>
      <c r="AM179" s="352"/>
      <c r="AN179" s="352"/>
      <c r="AO179" s="352"/>
      <c r="AP179" s="352"/>
      <c r="AQ179" s="352"/>
      <c r="AR179" s="352"/>
      <c r="AS179" s="352"/>
      <c r="AT179" s="352"/>
      <c r="AU179" s="352"/>
      <c r="AV179" s="352"/>
      <c r="AW179" s="352"/>
      <c r="AX179" s="352"/>
      <c r="AY179" s="352"/>
      <c r="AZ179" s="352"/>
      <c r="BA179" s="352"/>
      <c r="BB179" s="352"/>
      <c r="BC179" s="352"/>
      <c r="BD179" s="352"/>
      <c r="BE179" s="352"/>
      <c r="BF179" s="352"/>
      <c r="BG179" s="352"/>
      <c r="BH179" s="352"/>
      <c r="BI179" s="352"/>
      <c r="BJ179" s="352"/>
      <c r="BK179" s="470"/>
      <c r="BL179" s="339"/>
      <c r="BM179" s="339"/>
      <c r="BN179" s="182"/>
      <c r="BO179" s="182"/>
      <c r="BP179" s="182"/>
      <c r="BQ179" s="182"/>
      <c r="BR179" s="182"/>
      <c r="BS179" s="182"/>
      <c r="BT179" s="182"/>
      <c r="BU179" s="182"/>
      <c r="BV179" s="182"/>
      <c r="BW179" s="182"/>
      <c r="BX179" s="182"/>
      <c r="BY179" s="182"/>
      <c r="BZ179" s="182"/>
      <c r="CA179" s="182"/>
      <c r="CB179" s="182"/>
      <c r="CC179" s="182"/>
      <c r="CD179" s="182"/>
      <c r="CE179" s="182"/>
      <c r="CF179" s="182"/>
      <c r="CG179" s="182"/>
      <c r="CH179" s="182"/>
      <c r="CI179" s="182"/>
      <c r="CJ179" s="182"/>
      <c r="CK179" s="621"/>
      <c r="CL179" s="622"/>
      <c r="CM179" s="623"/>
    </row>
    <row r="180" spans="1:91" s="344" customFormat="1">
      <c r="A180" s="335" t="s">
        <v>287</v>
      </c>
      <c r="B180" s="519"/>
      <c r="C180" s="519"/>
      <c r="D180" s="182"/>
      <c r="E180" s="519" t="s">
        <v>100</v>
      </c>
      <c r="F180" s="519" t="s">
        <v>100</v>
      </c>
      <c r="G180" s="519"/>
      <c r="H180" s="519" t="s">
        <v>100</v>
      </c>
      <c r="I180" s="519"/>
      <c r="J180" s="519" t="s">
        <v>100</v>
      </c>
      <c r="K180" s="519" t="s">
        <v>100</v>
      </c>
      <c r="L180" s="519" t="s">
        <v>100</v>
      </c>
      <c r="M180" s="519"/>
      <c r="N180" s="519" t="s">
        <v>100</v>
      </c>
      <c r="O180" s="519"/>
      <c r="P180" s="519" t="s">
        <v>100</v>
      </c>
      <c r="Q180" s="519"/>
      <c r="R180" s="519"/>
      <c r="S180" s="519" t="s">
        <v>100</v>
      </c>
      <c r="T180" s="519"/>
      <c r="U180" s="519"/>
      <c r="V180" s="519" t="s">
        <v>100</v>
      </c>
      <c r="W180" s="182"/>
      <c r="X180" s="182"/>
      <c r="Y180" s="182"/>
      <c r="Z180" s="182"/>
      <c r="AA180" s="182"/>
      <c r="AB180" s="182"/>
      <c r="AC180" s="182"/>
      <c r="AD180" s="182"/>
      <c r="AE180" s="182"/>
      <c r="AF180" s="182"/>
      <c r="AG180" s="182"/>
      <c r="AH180" s="182"/>
      <c r="AI180" s="167">
        <f t="shared" si="43"/>
        <v>10</v>
      </c>
      <c r="AJ180" s="340" t="str">
        <f>HYPERLINK("http://www.thenewstribune.com/sports/spt-columns-blogs/john-mcgrath/article193076589.html","The News Tribune")</f>
        <v>The News Tribune</v>
      </c>
      <c r="AK180" s="341">
        <v>43104</v>
      </c>
      <c r="AL180" s="352"/>
      <c r="AM180" s="352"/>
      <c r="AN180" s="352"/>
      <c r="AO180" s="352"/>
      <c r="AP180" s="352"/>
      <c r="AQ180" s="352"/>
      <c r="AR180" s="352"/>
      <c r="AS180" s="352"/>
      <c r="AT180" s="352"/>
      <c r="AU180" s="352"/>
      <c r="AV180" s="352"/>
      <c r="AW180" s="352"/>
      <c r="AX180" s="352"/>
      <c r="AY180" s="352"/>
      <c r="AZ180" s="352"/>
      <c r="BA180" s="352"/>
      <c r="BB180" s="352"/>
      <c r="BC180" s="352"/>
      <c r="BD180" s="352"/>
      <c r="BE180" s="352"/>
      <c r="BF180" s="352"/>
      <c r="BG180" s="352"/>
      <c r="BH180" s="352"/>
      <c r="BI180" s="352"/>
      <c r="BJ180" s="352"/>
      <c r="BK180" s="470"/>
      <c r="BL180" s="339"/>
      <c r="BM180" s="339"/>
      <c r="BN180" s="182"/>
      <c r="BO180" s="182"/>
      <c r="BP180" s="182"/>
      <c r="BQ180" s="182"/>
      <c r="BR180" s="182"/>
      <c r="BS180" s="182"/>
      <c r="BT180" s="182"/>
      <c r="BU180" s="182"/>
      <c r="BV180" s="182"/>
      <c r="BW180" s="182"/>
      <c r="BX180" s="182"/>
      <c r="BY180" s="182"/>
      <c r="BZ180" s="182"/>
      <c r="CA180" s="182"/>
      <c r="CB180" s="182"/>
      <c r="CC180" s="182"/>
      <c r="CD180" s="182"/>
      <c r="CE180" s="182"/>
      <c r="CF180" s="182"/>
      <c r="CG180" s="182"/>
      <c r="CH180" s="182"/>
      <c r="CI180" s="182"/>
      <c r="CJ180" s="182"/>
      <c r="CK180" s="621"/>
      <c r="CL180" s="622"/>
      <c r="CM180" s="623"/>
    </row>
    <row r="181" spans="1:91" s="344" customFormat="1">
      <c r="A181" s="335" t="s">
        <v>288</v>
      </c>
      <c r="B181" s="519" t="s">
        <v>100</v>
      </c>
      <c r="C181" s="519" t="s">
        <v>100</v>
      </c>
      <c r="D181" s="182"/>
      <c r="E181" s="522" t="s">
        <v>100</v>
      </c>
      <c r="F181" s="519"/>
      <c r="G181" s="519"/>
      <c r="H181" s="519" t="s">
        <v>100</v>
      </c>
      <c r="I181" s="519"/>
      <c r="J181" s="519" t="s">
        <v>100</v>
      </c>
      <c r="K181" s="519"/>
      <c r="L181" s="519" t="s">
        <v>100</v>
      </c>
      <c r="M181" s="519" t="s">
        <v>100</v>
      </c>
      <c r="N181" s="519"/>
      <c r="O181" s="519"/>
      <c r="P181" s="519" t="s">
        <v>100</v>
      </c>
      <c r="Q181" s="519"/>
      <c r="R181" s="519"/>
      <c r="S181" s="519" t="s">
        <v>100</v>
      </c>
      <c r="T181" s="519"/>
      <c r="U181" s="519"/>
      <c r="V181" s="519" t="s">
        <v>100</v>
      </c>
      <c r="W181" s="182"/>
      <c r="X181" s="182"/>
      <c r="Y181" s="182"/>
      <c r="Z181" s="182"/>
      <c r="AA181" s="182"/>
      <c r="AB181" s="182"/>
      <c r="AC181" s="182"/>
      <c r="AD181" s="182"/>
      <c r="AE181" s="182"/>
      <c r="AF181" s="182"/>
      <c r="AG181" s="182"/>
      <c r="AH181" s="182"/>
      <c r="AI181" s="167">
        <f t="shared" si="43"/>
        <v>10</v>
      </c>
      <c r="AJ181" s="340" t="str">
        <f>HYPERLINK("http://www.kansascity.com/sports/spt-columns-blogs/sam-mellinger/article191841544.html","Kansas City Star")</f>
        <v>Kansas City Star</v>
      </c>
      <c r="AK181" s="341">
        <v>43096</v>
      </c>
      <c r="AL181" s="352"/>
      <c r="AM181" s="352"/>
      <c r="AN181" s="352"/>
      <c r="AO181" s="352"/>
      <c r="AP181" s="352"/>
      <c r="AQ181" s="352"/>
      <c r="AR181" s="352"/>
      <c r="AS181" s="352"/>
      <c r="AT181" s="352"/>
      <c r="AU181" s="352"/>
      <c r="AV181" s="352"/>
      <c r="AW181" s="352"/>
      <c r="AX181" s="352"/>
      <c r="AY181" s="352"/>
      <c r="AZ181" s="352"/>
      <c r="BA181" s="352"/>
      <c r="BB181" s="352"/>
      <c r="BC181" s="352"/>
      <c r="BD181" s="352"/>
      <c r="BE181" s="352"/>
      <c r="BF181" s="352"/>
      <c r="BG181" s="352"/>
      <c r="BH181" s="352"/>
      <c r="BI181" s="352"/>
      <c r="BJ181" s="352"/>
      <c r="BK181" s="470"/>
      <c r="BL181" s="339"/>
      <c r="BM181" s="339"/>
      <c r="BN181" s="182"/>
      <c r="BO181" s="182"/>
      <c r="BP181" s="182"/>
      <c r="BQ181" s="182"/>
      <c r="BR181" s="182"/>
      <c r="BS181" s="182"/>
      <c r="BT181" s="182"/>
      <c r="BU181" s="182"/>
      <c r="BV181" s="182"/>
      <c r="BW181" s="182"/>
      <c r="BX181" s="182"/>
      <c r="BY181" s="182"/>
      <c r="BZ181" s="182"/>
      <c r="CA181" s="182"/>
      <c r="CB181" s="182"/>
      <c r="CC181" s="182"/>
      <c r="CD181" s="182"/>
      <c r="CE181" s="182"/>
      <c r="CF181" s="182"/>
      <c r="CG181" s="182"/>
      <c r="CH181" s="182"/>
      <c r="CI181" s="182"/>
      <c r="CJ181" s="182"/>
      <c r="CK181" s="647" t="s">
        <v>136</v>
      </c>
      <c r="CL181" s="648"/>
      <c r="CM181" s="649"/>
    </row>
    <row r="182" spans="1:91" s="344" customFormat="1">
      <c r="A182" s="335" t="s">
        <v>289</v>
      </c>
      <c r="B182" s="519" t="s">
        <v>100</v>
      </c>
      <c r="C182" s="519" t="s">
        <v>100</v>
      </c>
      <c r="D182" s="182"/>
      <c r="E182" s="519" t="s">
        <v>100</v>
      </c>
      <c r="F182" s="519" t="s">
        <v>100</v>
      </c>
      <c r="G182" s="519"/>
      <c r="H182" s="519" t="s">
        <v>100</v>
      </c>
      <c r="I182" s="519"/>
      <c r="J182" s="519" t="s">
        <v>100</v>
      </c>
      <c r="K182" s="519"/>
      <c r="L182" s="519" t="s">
        <v>100</v>
      </c>
      <c r="M182" s="519"/>
      <c r="N182" s="519" t="s">
        <v>100</v>
      </c>
      <c r="O182" s="519"/>
      <c r="P182" s="519"/>
      <c r="Q182" s="519"/>
      <c r="R182" s="519"/>
      <c r="S182" s="519" t="s">
        <v>100</v>
      </c>
      <c r="T182" s="519" t="s">
        <v>100</v>
      </c>
      <c r="U182" s="519"/>
      <c r="V182" s="519"/>
      <c r="W182" s="182"/>
      <c r="X182" s="182"/>
      <c r="Y182" s="182"/>
      <c r="Z182" s="182"/>
      <c r="AA182" s="182"/>
      <c r="AB182" s="182"/>
      <c r="AC182" s="182"/>
      <c r="AD182" s="182"/>
      <c r="AE182" s="182"/>
      <c r="AF182" s="182"/>
      <c r="AG182" s="182"/>
      <c r="AH182" s="182"/>
      <c r="AI182" s="167">
        <f t="shared" si="43"/>
        <v>10</v>
      </c>
      <c r="AJ182" s="530" t="s">
        <v>115</v>
      </c>
      <c r="AK182" s="341">
        <v>43073</v>
      </c>
      <c r="AL182" s="352"/>
      <c r="AM182" s="352"/>
      <c r="AN182" s="352"/>
      <c r="AO182" s="352"/>
      <c r="AP182" s="352"/>
      <c r="AQ182" s="352"/>
      <c r="AR182" s="352"/>
      <c r="AS182" s="352"/>
      <c r="AT182" s="352"/>
      <c r="AU182" s="352"/>
      <c r="AV182" s="352"/>
      <c r="AW182" s="352"/>
      <c r="AX182" s="352"/>
      <c r="AY182" s="352"/>
      <c r="AZ182" s="352"/>
      <c r="BA182" s="352"/>
      <c r="BB182" s="352"/>
      <c r="BC182" s="352"/>
      <c r="BD182" s="352"/>
      <c r="BE182" s="352"/>
      <c r="BF182" s="352"/>
      <c r="BG182" s="352"/>
      <c r="BH182" s="352"/>
      <c r="BI182" s="352"/>
      <c r="BJ182" s="352"/>
      <c r="BK182" s="470"/>
      <c r="BL182" s="339"/>
      <c r="BM182" s="339"/>
      <c r="BN182" s="182"/>
      <c r="BO182" s="182"/>
      <c r="BP182" s="182"/>
      <c r="BQ182" s="182"/>
      <c r="BR182" s="182"/>
      <c r="BS182" s="182"/>
      <c r="BT182" s="182"/>
      <c r="BU182" s="182"/>
      <c r="BV182" s="182"/>
      <c r="BW182" s="182"/>
      <c r="BX182" s="182"/>
      <c r="BY182" s="182"/>
      <c r="BZ182" s="182"/>
      <c r="CA182" s="182"/>
      <c r="CB182" s="182"/>
      <c r="CC182" s="182"/>
      <c r="CD182" s="182"/>
      <c r="CE182" s="182"/>
      <c r="CF182" s="182"/>
      <c r="CG182" s="182"/>
      <c r="CH182" s="182"/>
      <c r="CI182" s="182"/>
      <c r="CJ182" s="182"/>
      <c r="CK182" s="621"/>
      <c r="CL182" s="622"/>
      <c r="CM182" s="623"/>
    </row>
    <row r="183" spans="1:91" s="344" customFormat="1">
      <c r="A183" s="335" t="s">
        <v>290</v>
      </c>
      <c r="B183" s="519" t="s">
        <v>100</v>
      </c>
      <c r="C183" s="519" t="s">
        <v>100</v>
      </c>
      <c r="D183" s="182"/>
      <c r="E183" s="519"/>
      <c r="F183" s="519"/>
      <c r="G183" s="519"/>
      <c r="H183" s="519" t="s">
        <v>100</v>
      </c>
      <c r="I183" s="519"/>
      <c r="J183" s="522" t="s">
        <v>100</v>
      </c>
      <c r="K183" s="519"/>
      <c r="L183" s="519" t="s">
        <v>100</v>
      </c>
      <c r="M183" s="519" t="s">
        <v>100</v>
      </c>
      <c r="N183" s="519"/>
      <c r="O183" s="519"/>
      <c r="P183" s="519" t="s">
        <v>100</v>
      </c>
      <c r="Q183" s="519"/>
      <c r="R183" s="519" t="s">
        <v>100</v>
      </c>
      <c r="S183" s="519" t="s">
        <v>100</v>
      </c>
      <c r="T183" s="519"/>
      <c r="U183" s="519"/>
      <c r="V183" s="519" t="s">
        <v>100</v>
      </c>
      <c r="W183" s="182"/>
      <c r="X183" s="182"/>
      <c r="Y183" s="182"/>
      <c r="Z183" s="182"/>
      <c r="AA183" s="182"/>
      <c r="AB183" s="182"/>
      <c r="AC183" s="182"/>
      <c r="AD183" s="182"/>
      <c r="AE183" s="182"/>
      <c r="AF183" s="182"/>
      <c r="AG183" s="182"/>
      <c r="AH183" s="182"/>
      <c r="AI183" s="167">
        <f t="shared" si="43"/>
        <v>10</v>
      </c>
      <c r="AJ183" s="530" t="s">
        <v>113</v>
      </c>
      <c r="AK183" s="341">
        <v>43098</v>
      </c>
      <c r="AL183" s="352"/>
      <c r="AM183" s="352"/>
      <c r="AN183" s="352"/>
      <c r="AO183" s="352"/>
      <c r="AP183" s="352"/>
      <c r="AQ183" s="352"/>
      <c r="AR183" s="352"/>
      <c r="AS183" s="352"/>
      <c r="AT183" s="352"/>
      <c r="AU183" s="352"/>
      <c r="AV183" s="352"/>
      <c r="AW183" s="352"/>
      <c r="AX183" s="352"/>
      <c r="AY183" s="352"/>
      <c r="AZ183" s="352"/>
      <c r="BA183" s="352"/>
      <c r="BB183" s="352"/>
      <c r="BC183" s="352"/>
      <c r="BD183" s="352"/>
      <c r="BE183" s="352"/>
      <c r="BF183" s="352"/>
      <c r="BG183" s="352"/>
      <c r="BH183" s="352"/>
      <c r="BI183" s="352"/>
      <c r="BJ183" s="352"/>
      <c r="BK183" s="470"/>
      <c r="BL183" s="339"/>
      <c r="BM183" s="339"/>
      <c r="BN183" s="182"/>
      <c r="BO183" s="182"/>
      <c r="BP183" s="182"/>
      <c r="BQ183" s="182"/>
      <c r="BR183" s="182"/>
      <c r="BS183" s="182"/>
      <c r="BT183" s="182"/>
      <c r="BU183" s="182"/>
      <c r="BV183" s="182"/>
      <c r="BW183" s="182"/>
      <c r="BX183" s="182"/>
      <c r="BY183" s="182"/>
      <c r="BZ183" s="182"/>
      <c r="CA183" s="182"/>
      <c r="CB183" s="182"/>
      <c r="CC183" s="182"/>
      <c r="CD183" s="182"/>
      <c r="CE183" s="182"/>
      <c r="CF183" s="182"/>
      <c r="CG183" s="182"/>
      <c r="CH183" s="182"/>
      <c r="CI183" s="182"/>
      <c r="CJ183" s="182"/>
      <c r="CK183" s="662" t="s">
        <v>291</v>
      </c>
      <c r="CL183" s="663"/>
      <c r="CM183" s="664"/>
    </row>
    <row r="184" spans="1:91" s="344" customFormat="1">
      <c r="A184" s="335" t="s">
        <v>292</v>
      </c>
      <c r="B184" s="519"/>
      <c r="C184" s="519"/>
      <c r="D184" s="182"/>
      <c r="E184" s="519" t="s">
        <v>100</v>
      </c>
      <c r="F184" s="519" t="s">
        <v>100</v>
      </c>
      <c r="G184" s="519"/>
      <c r="H184" s="519" t="s">
        <v>100</v>
      </c>
      <c r="I184" s="519"/>
      <c r="J184" s="519"/>
      <c r="K184" s="519" t="s">
        <v>100</v>
      </c>
      <c r="L184" s="519"/>
      <c r="M184" s="519"/>
      <c r="N184" s="519"/>
      <c r="O184" s="519"/>
      <c r="P184" s="519"/>
      <c r="Q184" s="519"/>
      <c r="R184" s="519"/>
      <c r="S184" s="519" t="s">
        <v>100</v>
      </c>
      <c r="T184" s="519" t="s">
        <v>100</v>
      </c>
      <c r="U184" s="519" t="s">
        <v>100</v>
      </c>
      <c r="V184" s="519"/>
      <c r="W184" s="182"/>
      <c r="X184" s="182"/>
      <c r="Y184" s="182"/>
      <c r="Z184" s="182"/>
      <c r="AA184" s="182"/>
      <c r="AB184" s="182"/>
      <c r="AC184" s="182"/>
      <c r="AD184" s="182"/>
      <c r="AE184" s="182"/>
      <c r="AF184" s="182"/>
      <c r="AG184" s="182"/>
      <c r="AH184" s="182"/>
      <c r="AI184" s="167">
        <f t="shared" si="43"/>
        <v>7</v>
      </c>
      <c r="AJ184" s="340" t="str">
        <f>HYPERLINK("http://www.nj.com/yankees/index.ssf/2017/12/baseball_hall_of_fame_how_i_filled_out_my_2018_bal.html","NJ.com")</f>
        <v>NJ.com</v>
      </c>
      <c r="AK184" s="341">
        <v>43092</v>
      </c>
      <c r="AL184" s="352"/>
      <c r="AM184" s="352"/>
      <c r="AN184" s="352"/>
      <c r="AO184" s="352"/>
      <c r="AP184" s="352"/>
      <c r="AQ184" s="352"/>
      <c r="AR184" s="352"/>
      <c r="AS184" s="352"/>
      <c r="AT184" s="352"/>
      <c r="AU184" s="352"/>
      <c r="AV184" s="352"/>
      <c r="AW184" s="352"/>
      <c r="AX184" s="352"/>
      <c r="AY184" s="352"/>
      <c r="AZ184" s="352"/>
      <c r="BA184" s="352"/>
      <c r="BB184" s="352"/>
      <c r="BC184" s="352"/>
      <c r="BD184" s="352"/>
      <c r="BE184" s="352"/>
      <c r="BF184" s="352"/>
      <c r="BG184" s="352"/>
      <c r="BH184" s="352"/>
      <c r="BI184" s="352"/>
      <c r="BJ184" s="352"/>
      <c r="BK184" s="470"/>
      <c r="BL184" s="339"/>
      <c r="BM184" s="339"/>
      <c r="BN184" s="182"/>
      <c r="BO184" s="182"/>
      <c r="BP184" s="182"/>
      <c r="BQ184" s="182"/>
      <c r="BR184" s="182"/>
      <c r="BS184" s="182"/>
      <c r="BT184" s="182"/>
      <c r="BU184" s="182"/>
      <c r="BV184" s="182"/>
      <c r="BW184" s="182"/>
      <c r="BX184" s="182"/>
      <c r="BY184" s="182"/>
      <c r="BZ184" s="182"/>
      <c r="CA184" s="182"/>
      <c r="CB184" s="182"/>
      <c r="CC184" s="182"/>
      <c r="CD184" s="182"/>
      <c r="CE184" s="182"/>
      <c r="CF184" s="182"/>
      <c r="CG184" s="182"/>
      <c r="CH184" s="182"/>
      <c r="CI184" s="182"/>
      <c r="CJ184" s="182"/>
      <c r="CK184" s="621"/>
      <c r="CL184" s="622"/>
      <c r="CM184" s="623"/>
    </row>
    <row r="185" spans="1:91" s="344" customFormat="1">
      <c r="A185" s="335" t="s">
        <v>293</v>
      </c>
      <c r="B185" s="519"/>
      <c r="C185" s="519"/>
      <c r="D185" s="182"/>
      <c r="E185" s="519" t="s">
        <v>100</v>
      </c>
      <c r="F185" s="519" t="s">
        <v>100</v>
      </c>
      <c r="G185" s="519"/>
      <c r="H185" s="519" t="s">
        <v>100</v>
      </c>
      <c r="I185" s="519" t="s">
        <v>100</v>
      </c>
      <c r="J185" s="519" t="s">
        <v>100</v>
      </c>
      <c r="K185" s="519" t="s">
        <v>100</v>
      </c>
      <c r="L185" s="519" t="s">
        <v>100</v>
      </c>
      <c r="M185" s="519"/>
      <c r="N185" s="519"/>
      <c r="O185" s="519"/>
      <c r="P185" s="519"/>
      <c r="Q185" s="519"/>
      <c r="R185" s="519"/>
      <c r="S185" s="519" t="s">
        <v>100</v>
      </c>
      <c r="T185" s="519" t="s">
        <v>100</v>
      </c>
      <c r="U185" s="519"/>
      <c r="V185" s="519"/>
      <c r="W185" s="182"/>
      <c r="X185" s="182"/>
      <c r="Y185" s="182"/>
      <c r="Z185" s="182"/>
      <c r="AA185" s="182"/>
      <c r="AB185" s="182"/>
      <c r="AC185" s="182"/>
      <c r="AD185" s="182"/>
      <c r="AE185" s="182"/>
      <c r="AF185" s="182"/>
      <c r="AG185" s="182"/>
      <c r="AH185" s="182"/>
      <c r="AI185" s="167">
        <f t="shared" si="43"/>
        <v>9</v>
      </c>
      <c r="AJ185" s="340" t="str">
        <f>HYPERLINK("https://twitter.com/ScottMillerBbl/status/956301743054249984","Twitter")</f>
        <v>Twitter</v>
      </c>
      <c r="AK185" s="341">
        <v>43124</v>
      </c>
      <c r="AL185" s="352"/>
      <c r="AM185" s="352"/>
      <c r="AN185" s="352"/>
      <c r="AO185" s="352"/>
      <c r="AP185" s="352"/>
      <c r="AQ185" s="352"/>
      <c r="AR185" s="352"/>
      <c r="AS185" s="352"/>
      <c r="AT185" s="352"/>
      <c r="AU185" s="352"/>
      <c r="AV185" s="352"/>
      <c r="AW185" s="352"/>
      <c r="AX185" s="352"/>
      <c r="AY185" s="352"/>
      <c r="AZ185" s="352"/>
      <c r="BA185" s="352"/>
      <c r="BB185" s="352"/>
      <c r="BC185" s="352"/>
      <c r="BD185" s="352"/>
      <c r="BE185" s="352"/>
      <c r="BF185" s="352"/>
      <c r="BG185" s="352"/>
      <c r="BH185" s="352"/>
      <c r="BI185" s="352"/>
      <c r="BJ185" s="352"/>
      <c r="BK185" s="470"/>
      <c r="BL185" s="339"/>
      <c r="BM185" s="339"/>
      <c r="BN185" s="182"/>
      <c r="BO185" s="182"/>
      <c r="BP185" s="182"/>
      <c r="BQ185" s="182"/>
      <c r="BR185" s="182"/>
      <c r="BS185" s="182"/>
      <c r="BT185" s="182"/>
      <c r="BU185" s="182"/>
      <c r="BV185" s="182"/>
      <c r="BW185" s="182"/>
      <c r="BX185" s="182"/>
      <c r="BY185" s="182"/>
      <c r="BZ185" s="182"/>
      <c r="CA185" s="182"/>
      <c r="CB185" s="182"/>
      <c r="CC185" s="182"/>
      <c r="CD185" s="182"/>
      <c r="CE185" s="182"/>
      <c r="CF185" s="182"/>
      <c r="CG185" s="182"/>
      <c r="CH185" s="182"/>
      <c r="CI185" s="182"/>
      <c r="CJ185" s="182"/>
      <c r="CK185" s="621"/>
      <c r="CL185" s="622"/>
      <c r="CM185" s="623"/>
    </row>
    <row r="186" spans="1:91" s="344" customFormat="1">
      <c r="A186" s="335" t="s">
        <v>294</v>
      </c>
      <c r="B186" s="519" t="s">
        <v>100</v>
      </c>
      <c r="C186" s="519" t="s">
        <v>100</v>
      </c>
      <c r="D186" s="182"/>
      <c r="E186" s="519" t="s">
        <v>100</v>
      </c>
      <c r="F186" s="519" t="s">
        <v>100</v>
      </c>
      <c r="G186" s="519"/>
      <c r="H186" s="519" t="s">
        <v>100</v>
      </c>
      <c r="I186" s="519"/>
      <c r="J186" s="519"/>
      <c r="K186" s="519"/>
      <c r="L186" s="522" t="s">
        <v>100</v>
      </c>
      <c r="M186" s="519" t="s">
        <v>100</v>
      </c>
      <c r="N186" s="519"/>
      <c r="O186" s="519"/>
      <c r="P186" s="519" t="s">
        <v>100</v>
      </c>
      <c r="Q186" s="519" t="s">
        <v>100</v>
      </c>
      <c r="R186" s="519"/>
      <c r="S186" s="519"/>
      <c r="T186" s="519" t="s">
        <v>100</v>
      </c>
      <c r="U186" s="519"/>
      <c r="V186" s="519"/>
      <c r="W186" s="182"/>
      <c r="X186" s="182"/>
      <c r="Y186" s="182"/>
      <c r="Z186" s="182"/>
      <c r="AA186" s="182"/>
      <c r="AB186" s="182"/>
      <c r="AC186" s="182"/>
      <c r="AD186" s="182"/>
      <c r="AE186" s="182"/>
      <c r="AF186" s="182"/>
      <c r="AG186" s="182"/>
      <c r="AH186" s="182"/>
      <c r="AI186" s="167">
        <f t="shared" si="43"/>
        <v>10</v>
      </c>
      <c r="AJ186" s="530" t="s">
        <v>115</v>
      </c>
      <c r="AK186" s="341">
        <v>43102</v>
      </c>
      <c r="AL186" s="352"/>
      <c r="AM186" s="352"/>
      <c r="AN186" s="352"/>
      <c r="AO186" s="352"/>
      <c r="AP186" s="352"/>
      <c r="AQ186" s="352"/>
      <c r="AR186" s="352"/>
      <c r="AS186" s="352"/>
      <c r="AT186" s="352"/>
      <c r="AU186" s="352"/>
      <c r="AV186" s="352"/>
      <c r="AW186" s="352"/>
      <c r="AX186" s="352"/>
      <c r="AY186" s="352"/>
      <c r="AZ186" s="352"/>
      <c r="BA186" s="352"/>
      <c r="BB186" s="352"/>
      <c r="BC186" s="352"/>
      <c r="BD186" s="352"/>
      <c r="BE186" s="352"/>
      <c r="BF186" s="352"/>
      <c r="BG186" s="352"/>
      <c r="BH186" s="352"/>
      <c r="BI186" s="352"/>
      <c r="BJ186" s="352"/>
      <c r="BK186" s="470"/>
      <c r="BL186" s="339"/>
      <c r="BM186" s="339"/>
      <c r="BN186" s="182"/>
      <c r="BO186" s="182"/>
      <c r="BP186" s="182"/>
      <c r="BQ186" s="182"/>
      <c r="BR186" s="182"/>
      <c r="BS186" s="182"/>
      <c r="BT186" s="182"/>
      <c r="BU186" s="182"/>
      <c r="BV186" s="182"/>
      <c r="BW186" s="182"/>
      <c r="BX186" s="182"/>
      <c r="BY186" s="182"/>
      <c r="BZ186" s="182"/>
      <c r="CA186" s="182"/>
      <c r="CB186" s="182"/>
      <c r="CC186" s="182"/>
      <c r="CD186" s="182"/>
      <c r="CE186" s="182"/>
      <c r="CF186" s="182"/>
      <c r="CG186" s="182"/>
      <c r="CH186" s="182"/>
      <c r="CI186" s="182"/>
      <c r="CJ186" s="182"/>
      <c r="CK186" s="621"/>
      <c r="CL186" s="622"/>
      <c r="CM186" s="623"/>
    </row>
    <row r="187" spans="1:91" s="344" customFormat="1">
      <c r="A187" s="335" t="s">
        <v>295</v>
      </c>
      <c r="B187" s="519" t="s">
        <v>100</v>
      </c>
      <c r="C187" s="519" t="s">
        <v>100</v>
      </c>
      <c r="D187" s="182"/>
      <c r="E187" s="519" t="s">
        <v>100</v>
      </c>
      <c r="F187" s="519" t="s">
        <v>100</v>
      </c>
      <c r="G187" s="519"/>
      <c r="H187" s="519" t="s">
        <v>100</v>
      </c>
      <c r="I187" s="519"/>
      <c r="J187" s="519" t="s">
        <v>100</v>
      </c>
      <c r="K187" s="519" t="s">
        <v>100</v>
      </c>
      <c r="L187" s="522" t="s">
        <v>100</v>
      </c>
      <c r="M187" s="519"/>
      <c r="N187" s="519"/>
      <c r="O187" s="519"/>
      <c r="P187" s="519" t="s">
        <v>100</v>
      </c>
      <c r="Q187" s="519"/>
      <c r="R187" s="519"/>
      <c r="S187" s="519" t="s">
        <v>100</v>
      </c>
      <c r="T187" s="519"/>
      <c r="U187" s="519"/>
      <c r="V187" s="519"/>
      <c r="W187" s="182"/>
      <c r="X187" s="182"/>
      <c r="Y187" s="182"/>
      <c r="Z187" s="182"/>
      <c r="AA187" s="182"/>
      <c r="AB187" s="182"/>
      <c r="AC187" s="182"/>
      <c r="AD187" s="182"/>
      <c r="AE187" s="182"/>
      <c r="AF187" s="182"/>
      <c r="AG187" s="182"/>
      <c r="AH187" s="182"/>
      <c r="AI187" s="167">
        <f t="shared" si="43"/>
        <v>10</v>
      </c>
      <c r="AJ187" s="530" t="s">
        <v>115</v>
      </c>
      <c r="AK187" s="341">
        <v>43096</v>
      </c>
      <c r="AL187" s="352"/>
      <c r="AM187" s="352"/>
      <c r="AN187" s="352"/>
      <c r="AO187" s="352"/>
      <c r="AP187" s="352"/>
      <c r="AQ187" s="352"/>
      <c r="AR187" s="352"/>
      <c r="AS187" s="352"/>
      <c r="AT187" s="352"/>
      <c r="AU187" s="352"/>
      <c r="AV187" s="352"/>
      <c r="AW187" s="352"/>
      <c r="AX187" s="352"/>
      <c r="AY187" s="352"/>
      <c r="AZ187" s="352"/>
      <c r="BA187" s="352"/>
      <c r="BB187" s="352"/>
      <c r="BC187" s="352"/>
      <c r="BD187" s="352"/>
      <c r="BE187" s="352"/>
      <c r="BF187" s="352"/>
      <c r="BG187" s="352"/>
      <c r="BH187" s="352"/>
      <c r="BI187" s="352"/>
      <c r="BJ187" s="352"/>
      <c r="BK187" s="470"/>
      <c r="BL187" s="339"/>
      <c r="BM187" s="339"/>
      <c r="BN187" s="182"/>
      <c r="BO187" s="182"/>
      <c r="BP187" s="182"/>
      <c r="BQ187" s="182"/>
      <c r="BR187" s="182"/>
      <c r="BS187" s="182"/>
      <c r="BT187" s="182"/>
      <c r="BU187" s="182"/>
      <c r="BV187" s="182"/>
      <c r="BW187" s="182"/>
      <c r="BX187" s="182"/>
      <c r="BY187" s="182"/>
      <c r="BZ187" s="182"/>
      <c r="CA187" s="182"/>
      <c r="CB187" s="182"/>
      <c r="CC187" s="182"/>
      <c r="CD187" s="182"/>
      <c r="CE187" s="182"/>
      <c r="CF187" s="182"/>
      <c r="CG187" s="182"/>
      <c r="CH187" s="182"/>
      <c r="CI187" s="182"/>
      <c r="CJ187" s="182"/>
      <c r="CK187" s="621"/>
      <c r="CL187" s="622"/>
      <c r="CM187" s="623"/>
    </row>
    <row r="188" spans="1:91" s="344" customFormat="1">
      <c r="A188" s="335" t="s">
        <v>296</v>
      </c>
      <c r="B188" s="519"/>
      <c r="C188" s="519"/>
      <c r="D188" s="182"/>
      <c r="E188" s="519" t="s">
        <v>100</v>
      </c>
      <c r="F188" s="519" t="s">
        <v>100</v>
      </c>
      <c r="G188" s="519"/>
      <c r="H188" s="519" t="s">
        <v>100</v>
      </c>
      <c r="I188" s="519"/>
      <c r="J188" s="519"/>
      <c r="K188" s="519" t="s">
        <v>100</v>
      </c>
      <c r="L188" s="519"/>
      <c r="M188" s="519"/>
      <c r="N188" s="519"/>
      <c r="O188" s="519"/>
      <c r="P188" s="519"/>
      <c r="Q188" s="519" t="s">
        <v>100</v>
      </c>
      <c r="R188" s="519"/>
      <c r="S188" s="519" t="s">
        <v>100</v>
      </c>
      <c r="T188" s="519"/>
      <c r="U188" s="519"/>
      <c r="V188" s="519"/>
      <c r="W188" s="182"/>
      <c r="X188" s="182"/>
      <c r="Y188" s="182"/>
      <c r="Z188" s="182"/>
      <c r="AA188" s="182"/>
      <c r="AB188" s="182"/>
      <c r="AC188" s="182"/>
      <c r="AD188" s="182"/>
      <c r="AE188" s="182"/>
      <c r="AF188" s="182"/>
      <c r="AG188" s="182"/>
      <c r="AH188" s="182"/>
      <c r="AI188" s="167">
        <f t="shared" si="43"/>
        <v>6</v>
      </c>
      <c r="AJ188" s="340" t="str">
        <f>HYPERLINK("https://www.mlb.com/news/jones-thome-among-easy-hall-of-fame-picks/c-263953694","MLB.com column")</f>
        <v>MLB.com column</v>
      </c>
      <c r="AK188" s="341">
        <v>43093</v>
      </c>
      <c r="AL188" s="352"/>
      <c r="AM188" s="352"/>
      <c r="AN188" s="352"/>
      <c r="AO188" s="352"/>
      <c r="AP188" s="352"/>
      <c r="AQ188" s="352"/>
      <c r="AR188" s="352"/>
      <c r="AS188" s="352"/>
      <c r="AT188" s="352"/>
      <c r="AU188" s="352"/>
      <c r="AV188" s="352"/>
      <c r="AW188" s="352"/>
      <c r="AX188" s="352"/>
      <c r="AY188" s="352"/>
      <c r="AZ188" s="352"/>
      <c r="BA188" s="352"/>
      <c r="BB188" s="352"/>
      <c r="BC188" s="352"/>
      <c r="BD188" s="352"/>
      <c r="BE188" s="352"/>
      <c r="BF188" s="352"/>
      <c r="BG188" s="352"/>
      <c r="BH188" s="352"/>
      <c r="BI188" s="352"/>
      <c r="BJ188" s="352"/>
      <c r="BK188" s="470"/>
      <c r="BL188" s="339"/>
      <c r="BM188" s="339"/>
      <c r="BN188" s="182"/>
      <c r="BO188" s="182"/>
      <c r="BP188" s="182"/>
      <c r="BQ188" s="182"/>
      <c r="BR188" s="182"/>
      <c r="BS188" s="182"/>
      <c r="BT188" s="182"/>
      <c r="BU188" s="182"/>
      <c r="BV188" s="182"/>
      <c r="BW188" s="182"/>
      <c r="BX188" s="182"/>
      <c r="BY188" s="182"/>
      <c r="BZ188" s="182"/>
      <c r="CA188" s="182"/>
      <c r="CB188" s="182"/>
      <c r="CC188" s="182"/>
      <c r="CD188" s="182"/>
      <c r="CE188" s="182"/>
      <c r="CF188" s="182"/>
      <c r="CG188" s="182"/>
      <c r="CH188" s="182"/>
      <c r="CI188" s="182"/>
      <c r="CJ188" s="182"/>
      <c r="CK188" s="621"/>
      <c r="CL188" s="622"/>
      <c r="CM188" s="623"/>
    </row>
    <row r="189" spans="1:91" s="344" customFormat="1">
      <c r="A189" s="335" t="s">
        <v>297</v>
      </c>
      <c r="B189" s="519" t="s">
        <v>100</v>
      </c>
      <c r="C189" s="519" t="s">
        <v>100</v>
      </c>
      <c r="D189" s="182"/>
      <c r="E189" s="519" t="s">
        <v>100</v>
      </c>
      <c r="F189" s="519" t="s">
        <v>100</v>
      </c>
      <c r="G189" s="519"/>
      <c r="H189" s="519" t="s">
        <v>100</v>
      </c>
      <c r="I189" s="519"/>
      <c r="J189" s="519" t="s">
        <v>100</v>
      </c>
      <c r="K189" s="519"/>
      <c r="L189" s="519" t="s">
        <v>100</v>
      </c>
      <c r="M189" s="519"/>
      <c r="N189" s="519"/>
      <c r="O189" s="519"/>
      <c r="P189" s="519"/>
      <c r="Q189" s="519"/>
      <c r="R189" s="519" t="s">
        <v>100</v>
      </c>
      <c r="S189" s="519" t="s">
        <v>100</v>
      </c>
      <c r="T189" s="519"/>
      <c r="U189" s="519"/>
      <c r="V189" s="519"/>
      <c r="W189" s="182"/>
      <c r="X189" s="182"/>
      <c r="Y189" s="182"/>
      <c r="Z189" s="182"/>
      <c r="AA189" s="182"/>
      <c r="AB189" s="182"/>
      <c r="AC189" s="182"/>
      <c r="AD189" s="182"/>
      <c r="AE189" s="182"/>
      <c r="AF189" s="182"/>
      <c r="AG189" s="182"/>
      <c r="AH189" s="182"/>
      <c r="AI189" s="167">
        <f t="shared" si="43"/>
        <v>9</v>
      </c>
      <c r="AJ189" s="340" t="str">
        <f>HYPERLINK("http://www.sun-sentinel.com/elsentinel/deportes/fl-es-salon-fama-joe-morgan-esteroides-aurelio-20171128-story.html","Sun Sentinel")</f>
        <v>Sun Sentinel</v>
      </c>
      <c r="AK189" s="341">
        <v>43067</v>
      </c>
      <c r="AL189" s="352"/>
      <c r="AM189" s="352"/>
      <c r="AN189" s="352"/>
      <c r="AO189" s="352"/>
      <c r="AP189" s="352"/>
      <c r="AQ189" s="352"/>
      <c r="AR189" s="352"/>
      <c r="AS189" s="352"/>
      <c r="AT189" s="352"/>
      <c r="AU189" s="352"/>
      <c r="AV189" s="352"/>
      <c r="AW189" s="352"/>
      <c r="AX189" s="352"/>
      <c r="AY189" s="352"/>
      <c r="AZ189" s="352"/>
      <c r="BA189" s="352"/>
      <c r="BB189" s="352"/>
      <c r="BC189" s="352"/>
      <c r="BD189" s="352"/>
      <c r="BE189" s="352"/>
      <c r="BF189" s="352"/>
      <c r="BG189" s="352"/>
      <c r="BH189" s="352"/>
      <c r="BI189" s="352"/>
      <c r="BJ189" s="352"/>
      <c r="BK189" s="470"/>
      <c r="BL189" s="339"/>
      <c r="BM189" s="339"/>
      <c r="BN189" s="182"/>
      <c r="BO189" s="182"/>
      <c r="BP189" s="182"/>
      <c r="BQ189" s="182"/>
      <c r="BR189" s="182"/>
      <c r="BS189" s="182"/>
      <c r="BT189" s="182"/>
      <c r="BU189" s="182"/>
      <c r="BV189" s="182"/>
      <c r="BW189" s="182"/>
      <c r="BX189" s="182"/>
      <c r="BY189" s="182"/>
      <c r="BZ189" s="182"/>
      <c r="CA189" s="182"/>
      <c r="CB189" s="182"/>
      <c r="CC189" s="182"/>
      <c r="CD189" s="182"/>
      <c r="CE189" s="182"/>
      <c r="CF189" s="182"/>
      <c r="CG189" s="182"/>
      <c r="CH189" s="182"/>
      <c r="CI189" s="182"/>
      <c r="CJ189" s="182"/>
      <c r="CK189" s="621"/>
      <c r="CL189" s="622"/>
      <c r="CM189" s="623"/>
    </row>
    <row r="190" spans="1:91" s="344" customFormat="1">
      <c r="A190" s="335" t="s">
        <v>298</v>
      </c>
      <c r="B190" s="519" t="s">
        <v>100</v>
      </c>
      <c r="C190" s="519" t="s">
        <v>100</v>
      </c>
      <c r="D190" s="182"/>
      <c r="E190" s="519" t="s">
        <v>100</v>
      </c>
      <c r="F190" s="519" t="s">
        <v>100</v>
      </c>
      <c r="G190" s="519"/>
      <c r="H190" s="519" t="s">
        <v>100</v>
      </c>
      <c r="I190" s="519"/>
      <c r="J190" s="519" t="s">
        <v>100</v>
      </c>
      <c r="K190" s="519"/>
      <c r="L190" s="519" t="s">
        <v>100</v>
      </c>
      <c r="M190" s="519"/>
      <c r="N190" s="519"/>
      <c r="O190" s="519"/>
      <c r="P190" s="519" t="s">
        <v>100</v>
      </c>
      <c r="Q190" s="519"/>
      <c r="R190" s="519"/>
      <c r="S190" s="519" t="s">
        <v>100</v>
      </c>
      <c r="T190" s="519"/>
      <c r="U190" s="519"/>
      <c r="V190" s="522" t="s">
        <v>100</v>
      </c>
      <c r="W190" s="182"/>
      <c r="X190" s="182"/>
      <c r="Y190" s="182"/>
      <c r="Z190" s="182"/>
      <c r="AA190" s="182"/>
      <c r="AB190" s="182"/>
      <c r="AC190" s="182"/>
      <c r="AD190" s="182"/>
      <c r="AE190" s="182"/>
      <c r="AF190" s="182"/>
      <c r="AG190" s="182"/>
      <c r="AH190" s="182"/>
      <c r="AI190" s="339">
        <f t="shared" si="43"/>
        <v>10</v>
      </c>
      <c r="AJ190" s="340" t="str">
        <f>HYPERLINK("https://www.mlb.com/news/history-is-why-bonds-clemens-belong-in-hof/c-264030210","MLBN then MLB.com")</f>
        <v>MLBN then MLB.com</v>
      </c>
      <c r="AK190" s="341">
        <v>43096</v>
      </c>
      <c r="AL190" s="352"/>
      <c r="AM190" s="352"/>
      <c r="AN190" s="352"/>
      <c r="AO190" s="352"/>
      <c r="AP190" s="352"/>
      <c r="AQ190" s="352"/>
      <c r="AR190" s="352"/>
      <c r="AS190" s="352"/>
      <c r="AT190" s="352"/>
      <c r="AU190" s="352"/>
      <c r="AV190" s="352"/>
      <c r="AW190" s="352"/>
      <c r="AX190" s="352"/>
      <c r="AY190" s="352"/>
      <c r="AZ190" s="352"/>
      <c r="BA190" s="352"/>
      <c r="BB190" s="352"/>
      <c r="BC190" s="352"/>
      <c r="BD190" s="352"/>
      <c r="BE190" s="352"/>
      <c r="BF190" s="352"/>
      <c r="BG190" s="352"/>
      <c r="BH190" s="352"/>
      <c r="BI190" s="352"/>
      <c r="BJ190" s="352"/>
      <c r="BK190" s="470"/>
      <c r="BL190" s="339"/>
      <c r="BM190" s="339"/>
      <c r="BN190" s="182"/>
      <c r="BO190" s="182"/>
      <c r="BP190" s="182"/>
      <c r="BQ190" s="182"/>
      <c r="BR190" s="182"/>
      <c r="BS190" s="182"/>
      <c r="BT190" s="182"/>
      <c r="BU190" s="182"/>
      <c r="BV190" s="182"/>
      <c r="BW190" s="182"/>
      <c r="BX190" s="182"/>
      <c r="BY190" s="182"/>
      <c r="BZ190" s="182"/>
      <c r="CA190" s="182"/>
      <c r="CB190" s="182"/>
      <c r="CC190" s="182"/>
      <c r="CD190" s="182"/>
      <c r="CE190" s="182"/>
      <c r="CF190" s="182"/>
      <c r="CG190" s="182"/>
      <c r="CH190" s="182"/>
      <c r="CI190" s="182"/>
      <c r="CJ190" s="182"/>
      <c r="CK190" s="647" t="s">
        <v>299</v>
      </c>
      <c r="CL190" s="648"/>
      <c r="CM190" s="649"/>
    </row>
    <row r="191" spans="1:91" s="344" customFormat="1">
      <c r="A191" s="335" t="s">
        <v>300</v>
      </c>
      <c r="B191" s="519"/>
      <c r="C191" s="519"/>
      <c r="D191" s="182"/>
      <c r="E191" s="522" t="s">
        <v>100</v>
      </c>
      <c r="F191" s="519" t="s">
        <v>100</v>
      </c>
      <c r="G191" s="519"/>
      <c r="H191" s="519" t="s">
        <v>100</v>
      </c>
      <c r="I191" s="519"/>
      <c r="J191" s="522" t="s">
        <v>100</v>
      </c>
      <c r="K191" s="522" t="s">
        <v>100</v>
      </c>
      <c r="L191" s="519"/>
      <c r="M191" s="519"/>
      <c r="N191" s="519"/>
      <c r="O191" s="519"/>
      <c r="P191" s="519" t="s">
        <v>100</v>
      </c>
      <c r="Q191" s="519"/>
      <c r="R191" s="519"/>
      <c r="S191" s="519" t="s">
        <v>100</v>
      </c>
      <c r="T191" s="519"/>
      <c r="U191" s="519"/>
      <c r="V191" s="519" t="s">
        <v>100</v>
      </c>
      <c r="W191" s="182"/>
      <c r="X191" s="182"/>
      <c r="Y191" s="182"/>
      <c r="Z191" s="182"/>
      <c r="AA191" s="182"/>
      <c r="AB191" s="182"/>
      <c r="AC191" s="182"/>
      <c r="AD191" s="182"/>
      <c r="AE191" s="182"/>
      <c r="AF191" s="182"/>
      <c r="AG191" s="182"/>
      <c r="AH191" s="182"/>
      <c r="AI191" s="339">
        <f t="shared" si="43"/>
        <v>8</v>
      </c>
      <c r="AJ191" s="340" t="str">
        <f>HYPERLINK("https://chicago.suntimes.com/sports/baseball-hall-of-fame-white-sox-jim-thome-chipper-jones-sammy-sosa-barry-bonds/","Chicago Sun Times")</f>
        <v>Chicago Sun Times</v>
      </c>
      <c r="AK191" s="341">
        <v>43087</v>
      </c>
      <c r="AL191" s="352"/>
      <c r="AM191" s="352"/>
      <c r="AN191" s="352"/>
      <c r="AO191" s="352"/>
      <c r="AP191" s="352"/>
      <c r="AQ191" s="352"/>
      <c r="AR191" s="352"/>
      <c r="AS191" s="352"/>
      <c r="AT191" s="352"/>
      <c r="AU191" s="352"/>
      <c r="AV191" s="352"/>
      <c r="AW191" s="352"/>
      <c r="AX191" s="352"/>
      <c r="AY191" s="352"/>
      <c r="AZ191" s="352"/>
      <c r="BA191" s="352"/>
      <c r="BB191" s="352"/>
      <c r="BC191" s="352"/>
      <c r="BD191" s="352"/>
      <c r="BE191" s="352"/>
      <c r="BF191" s="352"/>
      <c r="BG191" s="352"/>
      <c r="BH191" s="352"/>
      <c r="BI191" s="352"/>
      <c r="BJ191" s="352"/>
      <c r="BK191" s="470"/>
      <c r="BL191" s="339"/>
      <c r="BM191" s="339"/>
      <c r="BN191" s="182"/>
      <c r="BO191" s="182"/>
      <c r="BP191" s="182"/>
      <c r="BQ191" s="182"/>
      <c r="BR191" s="182"/>
      <c r="BS191" s="182"/>
      <c r="BT191" s="182"/>
      <c r="BU191" s="182"/>
      <c r="BV191" s="182"/>
      <c r="BW191" s="182"/>
      <c r="BX191" s="182"/>
      <c r="BY191" s="182"/>
      <c r="BZ191" s="182"/>
      <c r="CA191" s="182"/>
      <c r="CB191" s="182"/>
      <c r="CC191" s="182"/>
      <c r="CD191" s="182"/>
      <c r="CE191" s="182"/>
      <c r="CF191" s="182"/>
      <c r="CG191" s="182"/>
      <c r="CH191" s="182"/>
      <c r="CI191" s="182"/>
      <c r="CJ191" s="182"/>
      <c r="CK191" s="621"/>
      <c r="CL191" s="622"/>
      <c r="CM191" s="623"/>
    </row>
    <row r="192" spans="1:91" s="344" customFormat="1">
      <c r="A192" s="335" t="s">
        <v>301</v>
      </c>
      <c r="B192" s="519" t="s">
        <v>100</v>
      </c>
      <c r="C192" s="519" t="s">
        <v>100</v>
      </c>
      <c r="D192" s="182"/>
      <c r="E192" s="522" t="s">
        <v>100</v>
      </c>
      <c r="F192" s="519"/>
      <c r="G192" s="519"/>
      <c r="H192" s="519" t="s">
        <v>100</v>
      </c>
      <c r="I192" s="519"/>
      <c r="J192" s="519"/>
      <c r="K192" s="519"/>
      <c r="L192" s="519"/>
      <c r="M192" s="519"/>
      <c r="N192" s="519"/>
      <c r="O192" s="519"/>
      <c r="P192" s="519"/>
      <c r="Q192" s="519"/>
      <c r="R192" s="519"/>
      <c r="S192" s="519" t="s">
        <v>100</v>
      </c>
      <c r="T192" s="519" t="s">
        <v>100</v>
      </c>
      <c r="U192" s="519"/>
      <c r="V192" s="519"/>
      <c r="W192" s="182"/>
      <c r="X192" s="182"/>
      <c r="Y192" s="182"/>
      <c r="Z192" s="182"/>
      <c r="AA192" s="182"/>
      <c r="AB192" s="182"/>
      <c r="AC192" s="182"/>
      <c r="AD192" s="182"/>
      <c r="AE192" s="182"/>
      <c r="AF192" s="182"/>
      <c r="AG192" s="182"/>
      <c r="AH192" s="182"/>
      <c r="AI192" s="339">
        <f t="shared" si="43"/>
        <v>6</v>
      </c>
      <c r="AJ192" s="340" t="str">
        <f>HYPERLINK("https://www.mlb.com/news/mlb-writers-reveal-ballots-for-hall-of-fame/c-265122964","MLB.com Group Reveal")</f>
        <v>MLB.com Group Reveal</v>
      </c>
      <c r="AK192" s="341">
        <v>43122</v>
      </c>
      <c r="AL192" s="352"/>
      <c r="AM192" s="352"/>
      <c r="AN192" s="352"/>
      <c r="AO192" s="352"/>
      <c r="AP192" s="352"/>
      <c r="AQ192" s="352"/>
      <c r="AR192" s="352"/>
      <c r="AS192" s="352"/>
      <c r="AT192" s="352"/>
      <c r="AU192" s="352"/>
      <c r="AV192" s="352"/>
      <c r="AW192" s="352"/>
      <c r="AX192" s="352"/>
      <c r="AY192" s="352"/>
      <c r="AZ192" s="352"/>
      <c r="BA192" s="352"/>
      <c r="BB192" s="352"/>
      <c r="BC192" s="352"/>
      <c r="BD192" s="352"/>
      <c r="BE192" s="352"/>
      <c r="BF192" s="352"/>
      <c r="BG192" s="352"/>
      <c r="BH192" s="352"/>
      <c r="BI192" s="352"/>
      <c r="BJ192" s="352"/>
      <c r="BK192" s="470"/>
      <c r="BL192" s="339"/>
      <c r="BM192" s="339"/>
      <c r="BN192" s="182"/>
      <c r="BO192" s="182"/>
      <c r="BP192" s="182"/>
      <c r="BQ192" s="182"/>
      <c r="BR192" s="182"/>
      <c r="BS192" s="182"/>
      <c r="BT192" s="182"/>
      <c r="BU192" s="182"/>
      <c r="BV192" s="182"/>
      <c r="BW192" s="182"/>
      <c r="BX192" s="182"/>
      <c r="BY192" s="182"/>
      <c r="BZ192" s="182"/>
      <c r="CA192" s="182"/>
      <c r="CB192" s="182"/>
      <c r="CC192" s="182"/>
      <c r="CD192" s="182"/>
      <c r="CE192" s="182"/>
      <c r="CF192" s="182"/>
      <c r="CG192" s="182"/>
      <c r="CH192" s="182"/>
      <c r="CI192" s="182"/>
      <c r="CJ192" s="182"/>
      <c r="CK192" s="621"/>
      <c r="CL192" s="622"/>
      <c r="CM192" s="623"/>
    </row>
    <row r="193" spans="1:91" s="344" customFormat="1">
      <c r="A193" s="335" t="s">
        <v>302</v>
      </c>
      <c r="B193" s="519" t="s">
        <v>100</v>
      </c>
      <c r="C193" s="519" t="s">
        <v>100</v>
      </c>
      <c r="D193" s="182"/>
      <c r="E193" s="519" t="s">
        <v>100</v>
      </c>
      <c r="F193" s="519" t="s">
        <v>100</v>
      </c>
      <c r="G193" s="519"/>
      <c r="H193" s="519" t="s">
        <v>100</v>
      </c>
      <c r="I193" s="519"/>
      <c r="J193" s="519" t="s">
        <v>100</v>
      </c>
      <c r="K193" s="519"/>
      <c r="L193" s="519" t="s">
        <v>100</v>
      </c>
      <c r="M193" s="519"/>
      <c r="N193" s="519"/>
      <c r="O193" s="519"/>
      <c r="P193" s="522" t="s">
        <v>100</v>
      </c>
      <c r="Q193" s="519"/>
      <c r="R193" s="519"/>
      <c r="S193" s="519" t="s">
        <v>100</v>
      </c>
      <c r="T193" s="519"/>
      <c r="U193" s="519"/>
      <c r="V193" s="522" t="s">
        <v>100</v>
      </c>
      <c r="W193" s="182"/>
      <c r="X193" s="182"/>
      <c r="Y193" s="182"/>
      <c r="Z193" s="182"/>
      <c r="AA193" s="182"/>
      <c r="AB193" s="182"/>
      <c r="AC193" s="182"/>
      <c r="AD193" s="182"/>
      <c r="AE193" s="182"/>
      <c r="AF193" s="182"/>
      <c r="AG193" s="182"/>
      <c r="AH193" s="182"/>
      <c r="AI193" s="339">
        <f t="shared" si="43"/>
        <v>10</v>
      </c>
      <c r="AJ193" s="340" t="str">
        <f>HYPERLINK("https://www.freep.com/story/sports/mlb/tigers/2018/01/24/baseball-hall-fame-ballot-decisions-easier-once-ped-cloud-lifted/1060703001/","Detroit Free Press")</f>
        <v>Detroit Free Press</v>
      </c>
      <c r="AK193" s="341">
        <v>43123</v>
      </c>
      <c r="AL193" s="352"/>
      <c r="AM193" s="352"/>
      <c r="AN193" s="352"/>
      <c r="AO193" s="352"/>
      <c r="AP193" s="352"/>
      <c r="AQ193" s="352"/>
      <c r="AR193" s="352"/>
      <c r="AS193" s="352"/>
      <c r="AT193" s="352"/>
      <c r="AU193" s="352"/>
      <c r="AV193" s="352"/>
      <c r="AW193" s="352"/>
      <c r="AX193" s="352"/>
      <c r="AY193" s="352"/>
      <c r="AZ193" s="352"/>
      <c r="BA193" s="352"/>
      <c r="BB193" s="352"/>
      <c r="BC193" s="352"/>
      <c r="BD193" s="352"/>
      <c r="BE193" s="352"/>
      <c r="BF193" s="352"/>
      <c r="BG193" s="352"/>
      <c r="BH193" s="352"/>
      <c r="BI193" s="352"/>
      <c r="BJ193" s="352"/>
      <c r="BK193" s="470"/>
      <c r="BL193" s="339"/>
      <c r="BM193" s="339"/>
      <c r="BN193" s="182"/>
      <c r="BO193" s="182"/>
      <c r="BP193" s="182"/>
      <c r="BQ193" s="182"/>
      <c r="BR193" s="182"/>
      <c r="BS193" s="182"/>
      <c r="BT193" s="182"/>
      <c r="BU193" s="182"/>
      <c r="BV193" s="182"/>
      <c r="BW193" s="182"/>
      <c r="BX193" s="182"/>
      <c r="BY193" s="182"/>
      <c r="BZ193" s="182"/>
      <c r="CA193" s="182"/>
      <c r="CB193" s="182"/>
      <c r="CC193" s="182"/>
      <c r="CD193" s="182"/>
      <c r="CE193" s="182"/>
      <c r="CF193" s="182"/>
      <c r="CG193" s="182"/>
      <c r="CH193" s="182"/>
      <c r="CI193" s="182"/>
      <c r="CJ193" s="182"/>
      <c r="CK193" s="647" t="s">
        <v>136</v>
      </c>
      <c r="CL193" s="648"/>
      <c r="CM193" s="649"/>
    </row>
    <row r="194" spans="1:91" s="344" customFormat="1">
      <c r="A194" s="335" t="s">
        <v>303</v>
      </c>
      <c r="B194" s="519" t="s">
        <v>100</v>
      </c>
      <c r="C194" s="519" t="s">
        <v>100</v>
      </c>
      <c r="D194" s="182"/>
      <c r="E194" s="519" t="s">
        <v>100</v>
      </c>
      <c r="F194" s="519"/>
      <c r="G194" s="519"/>
      <c r="H194" s="519" t="s">
        <v>100</v>
      </c>
      <c r="I194" s="519"/>
      <c r="J194" s="522" t="s">
        <v>100</v>
      </c>
      <c r="K194" s="519"/>
      <c r="L194" s="519" t="s">
        <v>100</v>
      </c>
      <c r="M194" s="519"/>
      <c r="N194" s="519"/>
      <c r="O194" s="519"/>
      <c r="P194" s="519" t="s">
        <v>100</v>
      </c>
      <c r="Q194" s="519"/>
      <c r="R194" s="519"/>
      <c r="S194" s="519" t="s">
        <v>100</v>
      </c>
      <c r="T194" s="519"/>
      <c r="U194" s="519"/>
      <c r="V194" s="519"/>
      <c r="W194" s="182"/>
      <c r="X194" s="182"/>
      <c r="Y194" s="182"/>
      <c r="Z194" s="182"/>
      <c r="AA194" s="182"/>
      <c r="AB194" s="182"/>
      <c r="AC194" s="182"/>
      <c r="AD194" s="182"/>
      <c r="AE194" s="182"/>
      <c r="AF194" s="182"/>
      <c r="AG194" s="182"/>
      <c r="AH194" s="182"/>
      <c r="AI194" s="339">
        <f t="shared" si="43"/>
        <v>8</v>
      </c>
      <c r="AJ194" s="340" t="str">
        <f>HYPERLINK("http://thebaldesttruth.blogspot.com/2018/01/jim-thome-gets-my-hall-call-and-so-do-7.html","The Baldest Truth")</f>
        <v>The Baldest Truth</v>
      </c>
      <c r="AK194" s="341">
        <v>43103</v>
      </c>
      <c r="AL194" s="352"/>
      <c r="AM194" s="352"/>
      <c r="AN194" s="352"/>
      <c r="AO194" s="352"/>
      <c r="AP194" s="352"/>
      <c r="AQ194" s="352"/>
      <c r="AR194" s="352"/>
      <c r="AS194" s="352"/>
      <c r="AT194" s="352"/>
      <c r="AU194" s="352"/>
      <c r="AV194" s="352"/>
      <c r="AW194" s="352"/>
      <c r="AX194" s="352"/>
      <c r="AY194" s="352"/>
      <c r="AZ194" s="352"/>
      <c r="BA194" s="352"/>
      <c r="BB194" s="352"/>
      <c r="BC194" s="352"/>
      <c r="BD194" s="352"/>
      <c r="BE194" s="352"/>
      <c r="BF194" s="352"/>
      <c r="BG194" s="352"/>
      <c r="BH194" s="352"/>
      <c r="BI194" s="352"/>
      <c r="BJ194" s="352"/>
      <c r="BK194" s="470"/>
      <c r="BL194" s="339"/>
      <c r="BM194" s="339"/>
      <c r="BN194" s="182"/>
      <c r="BO194" s="182"/>
      <c r="BP194" s="182"/>
      <c r="BQ194" s="182"/>
      <c r="BR194" s="182"/>
      <c r="BS194" s="182"/>
      <c r="BT194" s="182"/>
      <c r="BU194" s="182"/>
      <c r="BV194" s="182"/>
      <c r="BW194" s="182"/>
      <c r="BX194" s="182"/>
      <c r="BY194" s="182"/>
      <c r="BZ194" s="182"/>
      <c r="CA194" s="182"/>
      <c r="CB194" s="182"/>
      <c r="CC194" s="182"/>
      <c r="CD194" s="182"/>
      <c r="CE194" s="182"/>
      <c r="CF194" s="182"/>
      <c r="CG194" s="182"/>
      <c r="CH194" s="182"/>
      <c r="CI194" s="182"/>
      <c r="CJ194" s="182"/>
      <c r="CK194" s="621"/>
      <c r="CL194" s="622"/>
      <c r="CM194" s="623"/>
    </row>
    <row r="195" spans="1:91" s="344" customFormat="1">
      <c r="A195" s="331" t="s">
        <v>304</v>
      </c>
      <c r="B195" s="519" t="s">
        <v>100</v>
      </c>
      <c r="C195" s="519" t="s">
        <v>100</v>
      </c>
      <c r="D195" s="182"/>
      <c r="E195" s="519" t="s">
        <v>100</v>
      </c>
      <c r="F195" s="519" t="s">
        <v>100</v>
      </c>
      <c r="G195" s="519"/>
      <c r="H195" s="519" t="s">
        <v>100</v>
      </c>
      <c r="I195" s="519"/>
      <c r="J195" s="519" t="s">
        <v>100</v>
      </c>
      <c r="K195" s="519"/>
      <c r="L195" s="519" t="s">
        <v>100</v>
      </c>
      <c r="M195" s="519"/>
      <c r="N195" s="519"/>
      <c r="O195" s="519"/>
      <c r="P195" s="519" t="s">
        <v>100</v>
      </c>
      <c r="Q195" s="519"/>
      <c r="R195" s="519"/>
      <c r="S195" s="519" t="s">
        <v>100</v>
      </c>
      <c r="T195" s="519" t="s">
        <v>100</v>
      </c>
      <c r="U195" s="519"/>
      <c r="V195" s="519"/>
      <c r="W195" s="182"/>
      <c r="X195" s="182"/>
      <c r="Y195" s="182"/>
      <c r="Z195" s="182"/>
      <c r="AA195" s="182"/>
      <c r="AB195" s="182"/>
      <c r="AC195" s="182"/>
      <c r="AD195" s="182"/>
      <c r="AE195" s="182"/>
      <c r="AF195" s="182"/>
      <c r="AG195" s="182"/>
      <c r="AH195" s="182"/>
      <c r="AI195" s="339">
        <f t="shared" si="43"/>
        <v>10</v>
      </c>
      <c r="AJ195" s="340" t="str">
        <f>HYPERLINK("https://www.jsports.co.jp/press/article/N2018011513290201.html","JSports")</f>
        <v>JSports</v>
      </c>
      <c r="AK195" s="341">
        <v>43115</v>
      </c>
      <c r="AL195" s="352"/>
      <c r="AM195" s="352"/>
      <c r="AN195" s="352"/>
      <c r="AO195" s="352"/>
      <c r="AP195" s="352"/>
      <c r="AQ195" s="352"/>
      <c r="AR195" s="352"/>
      <c r="AS195" s="352"/>
      <c r="AT195" s="352"/>
      <c r="AU195" s="352"/>
      <c r="AV195" s="352"/>
      <c r="AW195" s="352"/>
      <c r="AX195" s="352"/>
      <c r="AY195" s="352"/>
      <c r="AZ195" s="352"/>
      <c r="BA195" s="352"/>
      <c r="BB195" s="352"/>
      <c r="BC195" s="352"/>
      <c r="BD195" s="352"/>
      <c r="BE195" s="352"/>
      <c r="BF195" s="352"/>
      <c r="BG195" s="352"/>
      <c r="BH195" s="352"/>
      <c r="BI195" s="352"/>
      <c r="BJ195" s="352"/>
      <c r="BK195" s="470"/>
      <c r="BL195" s="339"/>
      <c r="BM195" s="339"/>
      <c r="BN195" s="182"/>
      <c r="BO195" s="182"/>
      <c r="BP195" s="182"/>
      <c r="BQ195" s="182"/>
      <c r="BR195" s="182"/>
      <c r="BS195" s="182"/>
      <c r="BT195" s="182"/>
      <c r="BU195" s="182"/>
      <c r="BV195" s="182"/>
      <c r="BW195" s="182"/>
      <c r="BX195" s="182"/>
      <c r="BY195" s="182"/>
      <c r="BZ195" s="182"/>
      <c r="CA195" s="182"/>
      <c r="CB195" s="182"/>
      <c r="CC195" s="182"/>
      <c r="CD195" s="182"/>
      <c r="CE195" s="182"/>
      <c r="CF195" s="182"/>
      <c r="CG195" s="182"/>
      <c r="CH195" s="182"/>
      <c r="CI195" s="182"/>
      <c r="CJ195" s="182"/>
      <c r="CK195" s="621"/>
      <c r="CL195" s="622"/>
      <c r="CM195" s="623"/>
    </row>
    <row r="196" spans="1:91" s="344" customFormat="1">
      <c r="A196" s="335" t="s">
        <v>305</v>
      </c>
      <c r="B196" s="519"/>
      <c r="C196" s="519"/>
      <c r="D196" s="182"/>
      <c r="E196" s="519" t="s">
        <v>100</v>
      </c>
      <c r="F196" s="519" t="s">
        <v>100</v>
      </c>
      <c r="G196" s="519"/>
      <c r="H196" s="519" t="s">
        <v>100</v>
      </c>
      <c r="I196" s="519" t="s">
        <v>100</v>
      </c>
      <c r="J196" s="519" t="s">
        <v>100</v>
      </c>
      <c r="K196" s="519"/>
      <c r="L196" s="519" t="s">
        <v>100</v>
      </c>
      <c r="M196" s="519"/>
      <c r="N196" s="519"/>
      <c r="O196" s="519"/>
      <c r="P196" s="519" t="s">
        <v>100</v>
      </c>
      <c r="Q196" s="519"/>
      <c r="R196" s="519"/>
      <c r="S196" s="519" t="s">
        <v>100</v>
      </c>
      <c r="T196" s="519" t="s">
        <v>100</v>
      </c>
      <c r="U196" s="519"/>
      <c r="V196" s="519" t="s">
        <v>100</v>
      </c>
      <c r="W196" s="182"/>
      <c r="X196" s="182"/>
      <c r="Y196" s="182"/>
      <c r="Z196" s="182"/>
      <c r="AA196" s="182"/>
      <c r="AB196" s="182"/>
      <c r="AC196" s="182"/>
      <c r="AD196" s="182"/>
      <c r="AE196" s="182"/>
      <c r="AF196" s="182"/>
      <c r="AG196" s="182"/>
      <c r="AH196" s="182"/>
      <c r="AI196" s="339">
        <f t="shared" si="43"/>
        <v>10</v>
      </c>
      <c r="AJ196" s="530" t="s">
        <v>138</v>
      </c>
      <c r="AK196" s="341">
        <v>43077</v>
      </c>
      <c r="AL196" s="352"/>
      <c r="AM196" s="352"/>
      <c r="AN196" s="352"/>
      <c r="AO196" s="352"/>
      <c r="AP196" s="352"/>
      <c r="AQ196" s="352"/>
      <c r="AR196" s="352"/>
      <c r="AS196" s="352"/>
      <c r="AT196" s="352"/>
      <c r="AU196" s="352"/>
      <c r="AV196" s="352"/>
      <c r="AW196" s="352"/>
      <c r="AX196" s="352"/>
      <c r="AY196" s="352"/>
      <c r="AZ196" s="352"/>
      <c r="BA196" s="352"/>
      <c r="BB196" s="352"/>
      <c r="BC196" s="352"/>
      <c r="BD196" s="352"/>
      <c r="BE196" s="352"/>
      <c r="BF196" s="352"/>
      <c r="BG196" s="352"/>
      <c r="BH196" s="352"/>
      <c r="BI196" s="352"/>
      <c r="BJ196" s="352"/>
      <c r="BK196" s="470"/>
      <c r="BL196" s="339"/>
      <c r="BM196" s="339"/>
      <c r="BN196" s="182"/>
      <c r="BO196" s="182"/>
      <c r="BP196" s="182"/>
      <c r="BQ196" s="182"/>
      <c r="BR196" s="182"/>
      <c r="BS196" s="182"/>
      <c r="BT196" s="182"/>
      <c r="BU196" s="182"/>
      <c r="BV196" s="182"/>
      <c r="BW196" s="182"/>
      <c r="BX196" s="182"/>
      <c r="BY196" s="182"/>
      <c r="BZ196" s="182"/>
      <c r="CA196" s="182"/>
      <c r="CB196" s="182"/>
      <c r="CC196" s="182"/>
      <c r="CD196" s="182"/>
      <c r="CE196" s="182"/>
      <c r="CF196" s="182"/>
      <c r="CG196" s="182"/>
      <c r="CH196" s="182"/>
      <c r="CI196" s="182"/>
      <c r="CJ196" s="182"/>
      <c r="CK196" s="621"/>
      <c r="CL196" s="622"/>
      <c r="CM196" s="623"/>
    </row>
    <row r="197" spans="1:91" s="344" customFormat="1">
      <c r="A197" s="335" t="s">
        <v>306</v>
      </c>
      <c r="B197" s="519" t="s">
        <v>100</v>
      </c>
      <c r="C197" s="519" t="s">
        <v>100</v>
      </c>
      <c r="D197" s="182"/>
      <c r="E197" s="519" t="s">
        <v>100</v>
      </c>
      <c r="F197" s="523"/>
      <c r="G197" s="519"/>
      <c r="H197" s="519" t="s">
        <v>100</v>
      </c>
      <c r="I197" s="519"/>
      <c r="J197" s="519" t="s">
        <v>100</v>
      </c>
      <c r="K197" s="519"/>
      <c r="L197" s="519" t="s">
        <v>100</v>
      </c>
      <c r="M197" s="519"/>
      <c r="N197" s="519" t="s">
        <v>100</v>
      </c>
      <c r="O197" s="519"/>
      <c r="P197" s="519" t="s">
        <v>100</v>
      </c>
      <c r="Q197" s="519"/>
      <c r="R197" s="519"/>
      <c r="S197" s="519" t="s">
        <v>100</v>
      </c>
      <c r="T197" s="519"/>
      <c r="U197" s="519"/>
      <c r="V197" s="522" t="s">
        <v>100</v>
      </c>
      <c r="W197" s="182"/>
      <c r="X197" s="182"/>
      <c r="Y197" s="182"/>
      <c r="Z197" s="182"/>
      <c r="AA197" s="182"/>
      <c r="AB197" s="182"/>
      <c r="AC197" s="182"/>
      <c r="AD197" s="182"/>
      <c r="AE197" s="182"/>
      <c r="AF197" s="182"/>
      <c r="AG197" s="182"/>
      <c r="AH197" s="182"/>
      <c r="AI197" s="167">
        <f t="shared" si="43"/>
        <v>10</v>
      </c>
      <c r="AJ197" s="340" t="str">
        <f>HYPERLINK("https://medium.com/@marathoner/how-i-voted-for-the-hall-of-fame-6f3dbff682c8","Blog Post")</f>
        <v>Blog Post</v>
      </c>
      <c r="AK197" s="341">
        <v>43070</v>
      </c>
      <c r="AL197" s="352"/>
      <c r="AM197" s="352"/>
      <c r="AN197" s="352"/>
      <c r="AO197" s="352"/>
      <c r="AP197" s="352"/>
      <c r="AQ197" s="352"/>
      <c r="AR197" s="352"/>
      <c r="AS197" s="352"/>
      <c r="AT197" s="352"/>
      <c r="AU197" s="352"/>
      <c r="AV197" s="352"/>
      <c r="AW197" s="352"/>
      <c r="AX197" s="352"/>
      <c r="AY197" s="352"/>
      <c r="AZ197" s="352"/>
      <c r="BA197" s="352"/>
      <c r="BB197" s="352"/>
      <c r="BC197" s="352"/>
      <c r="BD197" s="352"/>
      <c r="BE197" s="352"/>
      <c r="BF197" s="352"/>
      <c r="BG197" s="352"/>
      <c r="BH197" s="352"/>
      <c r="BI197" s="352"/>
      <c r="BJ197" s="352"/>
      <c r="BK197" s="470"/>
      <c r="BL197" s="339"/>
      <c r="BM197" s="339"/>
      <c r="BN197" s="182"/>
      <c r="BO197" s="182"/>
      <c r="BP197" s="182"/>
      <c r="BQ197" s="182"/>
      <c r="BR197" s="182"/>
      <c r="BS197" s="182"/>
      <c r="BT197" s="182"/>
      <c r="BU197" s="182"/>
      <c r="BV197" s="182"/>
      <c r="BW197" s="182"/>
      <c r="BX197" s="182"/>
      <c r="BY197" s="182"/>
      <c r="BZ197" s="182"/>
      <c r="CA197" s="182"/>
      <c r="CB197" s="182"/>
      <c r="CC197" s="182"/>
      <c r="CD197" s="182"/>
      <c r="CE197" s="182"/>
      <c r="CF197" s="182"/>
      <c r="CG197" s="182"/>
      <c r="CH197" s="182"/>
      <c r="CI197" s="182"/>
      <c r="CJ197" s="182"/>
      <c r="CK197" s="647" t="s">
        <v>307</v>
      </c>
      <c r="CL197" s="648"/>
      <c r="CM197" s="649"/>
    </row>
    <row r="198" spans="1:91" s="344" customFormat="1">
      <c r="A198" s="335" t="s">
        <v>308</v>
      </c>
      <c r="B198" s="519" t="s">
        <v>100</v>
      </c>
      <c r="C198" s="519" t="s">
        <v>100</v>
      </c>
      <c r="D198" s="182"/>
      <c r="E198" s="519" t="s">
        <v>100</v>
      </c>
      <c r="F198" s="519" t="s">
        <v>100</v>
      </c>
      <c r="G198" s="519"/>
      <c r="H198" s="519" t="s">
        <v>100</v>
      </c>
      <c r="I198" s="519"/>
      <c r="J198" s="519"/>
      <c r="K198" s="519" t="s">
        <v>100</v>
      </c>
      <c r="L198" s="522" t="s">
        <v>100</v>
      </c>
      <c r="M198" s="519"/>
      <c r="N198" s="519"/>
      <c r="O198" s="519"/>
      <c r="P198" s="519"/>
      <c r="Q198" s="519" t="s">
        <v>100</v>
      </c>
      <c r="R198" s="519" t="s">
        <v>100</v>
      </c>
      <c r="S198" s="519" t="s">
        <v>100</v>
      </c>
      <c r="T198" s="519"/>
      <c r="U198" s="519"/>
      <c r="V198" s="519"/>
      <c r="W198" s="182"/>
      <c r="X198" s="182"/>
      <c r="Y198" s="182"/>
      <c r="Z198" s="182"/>
      <c r="AA198" s="182"/>
      <c r="AB198" s="182"/>
      <c r="AC198" s="182"/>
      <c r="AD198" s="182"/>
      <c r="AE198" s="182"/>
      <c r="AF198" s="182"/>
      <c r="AG198" s="182"/>
      <c r="AH198" s="182"/>
      <c r="AI198" s="167">
        <f t="shared" si="43"/>
        <v>10</v>
      </c>
      <c r="AJ198" s="340" t="str">
        <f>HYPERLINK("https://www.usatoday.com/story/sports/mlb/2018/01/23/baseball-hall-fame-how-usa-today-sports-voted/1055558001/","USA Today Group")</f>
        <v>USA Today Group</v>
      </c>
      <c r="AK198" s="341">
        <v>43123</v>
      </c>
      <c r="AL198" s="352"/>
      <c r="AM198" s="352"/>
      <c r="AN198" s="352"/>
      <c r="AO198" s="352"/>
      <c r="AP198" s="352"/>
      <c r="AQ198" s="352"/>
      <c r="AR198" s="352"/>
      <c r="AS198" s="352"/>
      <c r="AT198" s="352"/>
      <c r="AU198" s="352"/>
      <c r="AV198" s="352"/>
      <c r="AW198" s="352"/>
      <c r="AX198" s="352"/>
      <c r="AY198" s="352"/>
      <c r="AZ198" s="352"/>
      <c r="BA198" s="352"/>
      <c r="BB198" s="352"/>
      <c r="BC198" s="352"/>
      <c r="BD198" s="352"/>
      <c r="BE198" s="352"/>
      <c r="BF198" s="352"/>
      <c r="BG198" s="352"/>
      <c r="BH198" s="352"/>
      <c r="BI198" s="352"/>
      <c r="BJ198" s="352"/>
      <c r="BK198" s="470"/>
      <c r="BL198" s="339"/>
      <c r="BM198" s="339"/>
      <c r="BN198" s="182"/>
      <c r="BO198" s="182"/>
      <c r="BP198" s="182"/>
      <c r="BQ198" s="182"/>
      <c r="BR198" s="182"/>
      <c r="BS198" s="182"/>
      <c r="BT198" s="182"/>
      <c r="BU198" s="182"/>
      <c r="BV198" s="182"/>
      <c r="BW198" s="182"/>
      <c r="BX198" s="182"/>
      <c r="BY198" s="182"/>
      <c r="BZ198" s="182"/>
      <c r="CA198" s="182"/>
      <c r="CB198" s="182"/>
      <c r="CC198" s="182"/>
      <c r="CD198" s="182"/>
      <c r="CE198" s="182"/>
      <c r="CF198" s="182"/>
      <c r="CG198" s="182"/>
      <c r="CH198" s="182"/>
      <c r="CI198" s="182"/>
      <c r="CJ198" s="182"/>
      <c r="CK198" s="647" t="s">
        <v>105</v>
      </c>
      <c r="CL198" s="648"/>
      <c r="CM198" s="649"/>
    </row>
    <row r="199" spans="1:91" s="344" customFormat="1">
      <c r="A199" s="335" t="s">
        <v>309</v>
      </c>
      <c r="B199" s="519" t="s">
        <v>100</v>
      </c>
      <c r="C199" s="519" t="s">
        <v>100</v>
      </c>
      <c r="D199" s="182"/>
      <c r="E199" s="519" t="s">
        <v>100</v>
      </c>
      <c r="F199" s="519"/>
      <c r="G199" s="519"/>
      <c r="H199" s="519" t="s">
        <v>100</v>
      </c>
      <c r="I199" s="519"/>
      <c r="J199" s="519" t="s">
        <v>100</v>
      </c>
      <c r="K199" s="519"/>
      <c r="L199" s="519" t="s">
        <v>100</v>
      </c>
      <c r="M199" s="519"/>
      <c r="N199" s="519" t="s">
        <v>100</v>
      </c>
      <c r="O199" s="519"/>
      <c r="P199" s="519" t="s">
        <v>100</v>
      </c>
      <c r="Q199" s="519"/>
      <c r="R199" s="519"/>
      <c r="S199" s="519" t="s">
        <v>100</v>
      </c>
      <c r="T199" s="519"/>
      <c r="U199" s="519"/>
      <c r="V199" s="519" t="s">
        <v>100</v>
      </c>
      <c r="W199" s="182"/>
      <c r="X199" s="182"/>
      <c r="Y199" s="182"/>
      <c r="Z199" s="182"/>
      <c r="AA199" s="182"/>
      <c r="AB199" s="182"/>
      <c r="AC199" s="182"/>
      <c r="AD199" s="182"/>
      <c r="AE199" s="182"/>
      <c r="AF199" s="182"/>
      <c r="AG199" s="182"/>
      <c r="AH199" s="182"/>
      <c r="AI199" s="167">
        <f t="shared" si="43"/>
        <v>10</v>
      </c>
      <c r="AJ199" s="340" t="str">
        <f>HYPERLINK("https://twitter.com/EricNunezAP/status/955879780154531840","Twitter")</f>
        <v>Twitter</v>
      </c>
      <c r="AK199" s="341">
        <v>43123</v>
      </c>
      <c r="AL199" s="352"/>
      <c r="AM199" s="352"/>
      <c r="AN199" s="352"/>
      <c r="AO199" s="352"/>
      <c r="AP199" s="352"/>
      <c r="AQ199" s="352"/>
      <c r="AR199" s="352"/>
      <c r="AS199" s="352"/>
      <c r="AT199" s="352"/>
      <c r="AU199" s="352"/>
      <c r="AV199" s="352"/>
      <c r="AW199" s="352"/>
      <c r="AX199" s="352"/>
      <c r="AY199" s="352"/>
      <c r="AZ199" s="352"/>
      <c r="BA199" s="352"/>
      <c r="BB199" s="352"/>
      <c r="BC199" s="352"/>
      <c r="BD199" s="352"/>
      <c r="BE199" s="352"/>
      <c r="BF199" s="352"/>
      <c r="BG199" s="352"/>
      <c r="BH199" s="352"/>
      <c r="BI199" s="352"/>
      <c r="BJ199" s="352"/>
      <c r="BK199" s="470"/>
      <c r="BL199" s="339"/>
      <c r="BM199" s="339"/>
      <c r="BN199" s="182"/>
      <c r="BO199" s="182"/>
      <c r="BP199" s="182"/>
      <c r="BQ199" s="182"/>
      <c r="BR199" s="182"/>
      <c r="BS199" s="182"/>
      <c r="BT199" s="182"/>
      <c r="BU199" s="182"/>
      <c r="BV199" s="182"/>
      <c r="BW199" s="182"/>
      <c r="BX199" s="182"/>
      <c r="BY199" s="182"/>
      <c r="BZ199" s="182"/>
      <c r="CA199" s="182"/>
      <c r="CB199" s="182"/>
      <c r="CC199" s="182"/>
      <c r="CD199" s="182"/>
      <c r="CE199" s="182"/>
      <c r="CF199" s="182"/>
      <c r="CG199" s="182"/>
      <c r="CH199" s="182"/>
      <c r="CI199" s="182"/>
      <c r="CJ199" s="182"/>
      <c r="CK199" s="621"/>
      <c r="CL199" s="622"/>
      <c r="CM199" s="623"/>
    </row>
    <row r="200" spans="1:91" s="344" customFormat="1">
      <c r="A200" s="335" t="s">
        <v>310</v>
      </c>
      <c r="B200" s="519" t="s">
        <v>100</v>
      </c>
      <c r="C200" s="519" t="s">
        <v>100</v>
      </c>
      <c r="D200" s="182"/>
      <c r="E200" s="519" t="s">
        <v>100</v>
      </c>
      <c r="F200" s="519" t="s">
        <v>100</v>
      </c>
      <c r="G200" s="519"/>
      <c r="H200" s="519" t="s">
        <v>100</v>
      </c>
      <c r="I200" s="519"/>
      <c r="J200" s="522" t="s">
        <v>100</v>
      </c>
      <c r="K200" s="519"/>
      <c r="L200" s="519" t="s">
        <v>100</v>
      </c>
      <c r="M200" s="519"/>
      <c r="N200" s="519"/>
      <c r="O200" s="519"/>
      <c r="P200" s="519" t="s">
        <v>100</v>
      </c>
      <c r="Q200" s="519"/>
      <c r="R200" s="519"/>
      <c r="S200" s="519" t="s">
        <v>100</v>
      </c>
      <c r="T200" s="519"/>
      <c r="U200" s="519"/>
      <c r="V200" s="522" t="s">
        <v>100</v>
      </c>
      <c r="W200" s="182"/>
      <c r="X200" s="182"/>
      <c r="Y200" s="182"/>
      <c r="Z200" s="182"/>
      <c r="AA200" s="182"/>
      <c r="AB200" s="182"/>
      <c r="AC200" s="182"/>
      <c r="AD200" s="182"/>
      <c r="AE200" s="182"/>
      <c r="AF200" s="182"/>
      <c r="AG200" s="182"/>
      <c r="AH200" s="182"/>
      <c r="AI200" s="167">
        <f t="shared" si="43"/>
        <v>10</v>
      </c>
      <c r="AJ200" s="340" t="str">
        <f>HYPERLINK("https://twitter.com/Ian_OConnor/status/943222292217245696","Twitter")</f>
        <v>Twitter</v>
      </c>
      <c r="AK200" s="341">
        <v>43088</v>
      </c>
      <c r="AL200" s="352"/>
      <c r="AM200" s="352"/>
      <c r="AN200" s="352"/>
      <c r="AO200" s="352"/>
      <c r="AP200" s="352"/>
      <c r="AQ200" s="352"/>
      <c r="AR200" s="352"/>
      <c r="AS200" s="352"/>
      <c r="AT200" s="352"/>
      <c r="AU200" s="352"/>
      <c r="AV200" s="352"/>
      <c r="AW200" s="352"/>
      <c r="AX200" s="352"/>
      <c r="AY200" s="352"/>
      <c r="AZ200" s="352"/>
      <c r="BA200" s="352"/>
      <c r="BB200" s="352"/>
      <c r="BC200" s="352"/>
      <c r="BD200" s="352"/>
      <c r="BE200" s="352"/>
      <c r="BF200" s="352"/>
      <c r="BG200" s="352"/>
      <c r="BH200" s="352"/>
      <c r="BI200" s="352"/>
      <c r="BJ200" s="352"/>
      <c r="BK200" s="470"/>
      <c r="BL200" s="339"/>
      <c r="BM200" s="339"/>
      <c r="BN200" s="182"/>
      <c r="BO200" s="182"/>
      <c r="BP200" s="182"/>
      <c r="BQ200" s="182"/>
      <c r="BR200" s="182"/>
      <c r="BS200" s="182"/>
      <c r="BT200" s="182"/>
      <c r="BU200" s="182"/>
      <c r="BV200" s="182"/>
      <c r="BW200" s="182"/>
      <c r="BX200" s="182"/>
      <c r="BY200" s="182"/>
      <c r="BZ200" s="182"/>
      <c r="CA200" s="182"/>
      <c r="CB200" s="182"/>
      <c r="CC200" s="182"/>
      <c r="CD200" s="182"/>
      <c r="CE200" s="182"/>
      <c r="CF200" s="182"/>
      <c r="CG200" s="182"/>
      <c r="CH200" s="182"/>
      <c r="CI200" s="182"/>
      <c r="CJ200" s="182"/>
      <c r="CK200" s="621"/>
      <c r="CL200" s="622"/>
      <c r="CM200" s="623"/>
    </row>
    <row r="201" spans="1:91" s="344" customFormat="1">
      <c r="A201" s="335" t="s">
        <v>311</v>
      </c>
      <c r="B201" s="519"/>
      <c r="C201" s="519"/>
      <c r="D201" s="182"/>
      <c r="E201" s="519" t="s">
        <v>100</v>
      </c>
      <c r="F201" s="519" t="s">
        <v>100</v>
      </c>
      <c r="G201" s="519"/>
      <c r="H201" s="519" t="s">
        <v>100</v>
      </c>
      <c r="I201" s="519" t="s">
        <v>100</v>
      </c>
      <c r="J201" s="519"/>
      <c r="K201" s="519"/>
      <c r="L201" s="522" t="s">
        <v>100</v>
      </c>
      <c r="M201" s="519"/>
      <c r="N201" s="519"/>
      <c r="O201" s="519"/>
      <c r="P201" s="519"/>
      <c r="Q201" s="519"/>
      <c r="R201" s="519"/>
      <c r="S201" s="519"/>
      <c r="T201" s="519" t="s">
        <v>100</v>
      </c>
      <c r="U201" s="519"/>
      <c r="V201" s="519"/>
      <c r="W201" s="182"/>
      <c r="X201" s="182"/>
      <c r="Y201" s="182"/>
      <c r="Z201" s="182"/>
      <c r="AA201" s="182"/>
      <c r="AB201" s="182"/>
      <c r="AC201" s="182"/>
      <c r="AD201" s="182"/>
      <c r="AE201" s="182"/>
      <c r="AF201" s="182"/>
      <c r="AG201" s="182"/>
      <c r="AH201" s="182"/>
      <c r="AI201" s="167">
        <f t="shared" si="43"/>
        <v>6</v>
      </c>
      <c r="AJ201" s="340" t="str">
        <f>HYPERLINK("https://www.usatoday.com/story/sports/mlb/2018/01/23/baseball-hall-fame-how-usa-today-sports-voted/1055558001/","USA Today Group")</f>
        <v>USA Today Group</v>
      </c>
      <c r="AK201" s="341">
        <v>43123</v>
      </c>
      <c r="AL201" s="352"/>
      <c r="AM201" s="352"/>
      <c r="AN201" s="352"/>
      <c r="AO201" s="352"/>
      <c r="AP201" s="352"/>
      <c r="AQ201" s="352"/>
      <c r="AR201" s="352"/>
      <c r="AS201" s="352"/>
      <c r="AT201" s="352"/>
      <c r="AU201" s="352"/>
      <c r="AV201" s="352"/>
      <c r="AW201" s="352"/>
      <c r="AX201" s="352"/>
      <c r="AY201" s="352"/>
      <c r="AZ201" s="352"/>
      <c r="BA201" s="352"/>
      <c r="BB201" s="352"/>
      <c r="BC201" s="352"/>
      <c r="BD201" s="352"/>
      <c r="BE201" s="352"/>
      <c r="BF201" s="352"/>
      <c r="BG201" s="352"/>
      <c r="BH201" s="352"/>
      <c r="BI201" s="352"/>
      <c r="BJ201" s="352"/>
      <c r="BK201" s="470"/>
      <c r="BL201" s="339"/>
      <c r="BM201" s="339"/>
      <c r="BN201" s="182"/>
      <c r="BO201" s="182"/>
      <c r="BP201" s="182"/>
      <c r="BQ201" s="182"/>
      <c r="BR201" s="182"/>
      <c r="BS201" s="182"/>
      <c r="BT201" s="182"/>
      <c r="BU201" s="182"/>
      <c r="BV201" s="182"/>
      <c r="BW201" s="182"/>
      <c r="BX201" s="182"/>
      <c r="BY201" s="182"/>
      <c r="BZ201" s="182"/>
      <c r="CA201" s="182"/>
      <c r="CB201" s="182"/>
      <c r="CC201" s="182"/>
      <c r="CD201" s="182"/>
      <c r="CE201" s="182"/>
      <c r="CF201" s="182"/>
      <c r="CG201" s="182"/>
      <c r="CH201" s="182"/>
      <c r="CI201" s="182"/>
      <c r="CJ201" s="182"/>
      <c r="CK201" s="621"/>
      <c r="CL201" s="622"/>
      <c r="CM201" s="623"/>
    </row>
    <row r="202" spans="1:91" s="344" customFormat="1">
      <c r="A202" s="335" t="s">
        <v>312</v>
      </c>
      <c r="B202" s="523"/>
      <c r="C202" s="519" t="s">
        <v>100</v>
      </c>
      <c r="D202" s="182"/>
      <c r="E202" s="519" t="s">
        <v>100</v>
      </c>
      <c r="F202" s="519" t="s">
        <v>100</v>
      </c>
      <c r="G202" s="519"/>
      <c r="H202" s="519"/>
      <c r="I202" s="519" t="s">
        <v>100</v>
      </c>
      <c r="J202" s="522" t="s">
        <v>100</v>
      </c>
      <c r="K202" s="522" t="s">
        <v>100</v>
      </c>
      <c r="L202" s="522" t="s">
        <v>100</v>
      </c>
      <c r="M202" s="519"/>
      <c r="N202" s="519"/>
      <c r="O202" s="519"/>
      <c r="P202" s="519"/>
      <c r="Q202" s="519"/>
      <c r="R202" s="519"/>
      <c r="S202" s="519" t="s">
        <v>100</v>
      </c>
      <c r="T202" s="519" t="s">
        <v>100</v>
      </c>
      <c r="U202" s="519" t="s">
        <v>100</v>
      </c>
      <c r="V202" s="519"/>
      <c r="W202" s="182"/>
      <c r="X202" s="182"/>
      <c r="Y202" s="182"/>
      <c r="Z202" s="182"/>
      <c r="AA202" s="182"/>
      <c r="AB202" s="182"/>
      <c r="AC202" s="182"/>
      <c r="AD202" s="182"/>
      <c r="AE202" s="182"/>
      <c r="AF202" s="182"/>
      <c r="AG202" s="182"/>
      <c r="AH202" s="182"/>
      <c r="AI202" s="167">
        <f t="shared" si="43"/>
        <v>10</v>
      </c>
      <c r="AJ202" s="529" t="str">
        <f>HYPERLINK("http://www.stltoday.com/sports/columns/jose-de-jesus-ortiz/ortiz-integrity-and-character-matter-when-weighing-hof-vote/article_dc7d1422-176a-5b4f-b837-600878a334ee.html","St.Louis Post Dispatch")</f>
        <v>St.Louis Post Dispatch</v>
      </c>
      <c r="AK202" s="341">
        <v>43063</v>
      </c>
      <c r="AL202" s="352"/>
      <c r="AM202" s="352"/>
      <c r="AN202" s="352"/>
      <c r="AO202" s="352"/>
      <c r="AP202" s="352"/>
      <c r="AQ202" s="352"/>
      <c r="AR202" s="352"/>
      <c r="AS202" s="352"/>
      <c r="AT202" s="352"/>
      <c r="AU202" s="352"/>
      <c r="AV202" s="352"/>
      <c r="AW202" s="352"/>
      <c r="AX202" s="352"/>
      <c r="AY202" s="352"/>
      <c r="AZ202" s="352"/>
      <c r="BA202" s="352"/>
      <c r="BB202" s="352"/>
      <c r="BC202" s="352"/>
      <c r="BD202" s="352"/>
      <c r="BE202" s="352"/>
      <c r="BF202" s="352"/>
      <c r="BG202" s="352"/>
      <c r="BH202" s="352"/>
      <c r="BI202" s="352"/>
      <c r="BJ202" s="352"/>
      <c r="BK202" s="470"/>
      <c r="BL202" s="339"/>
      <c r="BM202" s="339"/>
      <c r="BN202" s="182"/>
      <c r="BO202" s="182"/>
      <c r="BP202" s="182"/>
      <c r="BQ202" s="182"/>
      <c r="BR202" s="182"/>
      <c r="BS202" s="182"/>
      <c r="BT202" s="182"/>
      <c r="BU202" s="182"/>
      <c r="BV202" s="182"/>
      <c r="BW202" s="182"/>
      <c r="BX202" s="182"/>
      <c r="BY202" s="182"/>
      <c r="BZ202" s="182"/>
      <c r="CA202" s="182"/>
      <c r="CB202" s="182"/>
      <c r="CC202" s="182"/>
      <c r="CD202" s="182"/>
      <c r="CE202" s="182"/>
      <c r="CF202" s="182"/>
      <c r="CG202" s="182"/>
      <c r="CH202" s="182"/>
      <c r="CI202" s="182"/>
      <c r="CJ202" s="182"/>
      <c r="CK202" s="618"/>
      <c r="CL202" s="619"/>
      <c r="CM202" s="620"/>
    </row>
    <row r="203" spans="1:91" s="344" customFormat="1">
      <c r="A203" s="335" t="s">
        <v>313</v>
      </c>
      <c r="B203" s="519" t="s">
        <v>100</v>
      </c>
      <c r="C203" s="519" t="s">
        <v>100</v>
      </c>
      <c r="D203" s="182"/>
      <c r="E203" s="519"/>
      <c r="F203" s="519" t="s">
        <v>100</v>
      </c>
      <c r="G203" s="519"/>
      <c r="H203" s="519" t="s">
        <v>100</v>
      </c>
      <c r="I203" s="519"/>
      <c r="J203" s="519"/>
      <c r="K203" s="519"/>
      <c r="L203" s="519"/>
      <c r="M203" s="519"/>
      <c r="N203" s="519"/>
      <c r="O203" s="519"/>
      <c r="P203" s="519"/>
      <c r="Q203" s="519" t="s">
        <v>100</v>
      </c>
      <c r="R203" s="519" t="s">
        <v>100</v>
      </c>
      <c r="S203" s="519" t="s">
        <v>100</v>
      </c>
      <c r="T203" s="519"/>
      <c r="U203" s="519"/>
      <c r="V203" s="519"/>
      <c r="W203" s="182"/>
      <c r="X203" s="182"/>
      <c r="Y203" s="182"/>
      <c r="Z203" s="182"/>
      <c r="AA203" s="182"/>
      <c r="AB203" s="182"/>
      <c r="AC203" s="182"/>
      <c r="AD203" s="182"/>
      <c r="AE203" s="182"/>
      <c r="AF203" s="182"/>
      <c r="AG203" s="182"/>
      <c r="AH203" s="182"/>
      <c r="AI203" s="167">
        <f t="shared" si="43"/>
        <v>7</v>
      </c>
      <c r="AJ203" s="340" t="str">
        <f>HYPERLINK("https://www.theshadowleague.com/story/rob-parker-s-2018-baseball-hall-of-fame-ballot","The Shadow League")</f>
        <v>The Shadow League</v>
      </c>
      <c r="AK203" s="341">
        <v>43097</v>
      </c>
      <c r="AL203" s="352"/>
      <c r="AM203" s="352"/>
      <c r="AN203" s="352"/>
      <c r="AO203" s="352"/>
      <c r="AP203" s="352"/>
      <c r="AQ203" s="352"/>
      <c r="AR203" s="352"/>
      <c r="AS203" s="352"/>
      <c r="AT203" s="352"/>
      <c r="AU203" s="352"/>
      <c r="AV203" s="352"/>
      <c r="AW203" s="352"/>
      <c r="AX203" s="352"/>
      <c r="AY203" s="352"/>
      <c r="AZ203" s="352"/>
      <c r="BA203" s="352"/>
      <c r="BB203" s="352"/>
      <c r="BC203" s="352"/>
      <c r="BD203" s="352"/>
      <c r="BE203" s="352"/>
      <c r="BF203" s="352"/>
      <c r="BG203" s="352"/>
      <c r="BH203" s="352"/>
      <c r="BI203" s="352"/>
      <c r="BJ203" s="352"/>
      <c r="BK203" s="470"/>
      <c r="BL203" s="339"/>
      <c r="BM203" s="339"/>
      <c r="BN203" s="182"/>
      <c r="BO203" s="182"/>
      <c r="BP203" s="182"/>
      <c r="BQ203" s="182"/>
      <c r="BR203" s="182"/>
      <c r="BS203" s="182"/>
      <c r="BT203" s="182"/>
      <c r="BU203" s="182"/>
      <c r="BV203" s="182"/>
      <c r="BW203" s="182"/>
      <c r="BX203" s="182"/>
      <c r="BY203" s="182"/>
      <c r="BZ203" s="182"/>
      <c r="CA203" s="182"/>
      <c r="CB203" s="182"/>
      <c r="CC203" s="182"/>
      <c r="CD203" s="182"/>
      <c r="CE203" s="182"/>
      <c r="CF203" s="182"/>
      <c r="CG203" s="182"/>
      <c r="CH203" s="182"/>
      <c r="CI203" s="182"/>
      <c r="CJ203" s="182"/>
      <c r="CK203" s="618"/>
      <c r="CL203" s="619"/>
      <c r="CM203" s="620"/>
    </row>
    <row r="204" spans="1:91" s="344" customFormat="1">
      <c r="A204" s="335" t="s">
        <v>314</v>
      </c>
      <c r="B204" s="519"/>
      <c r="C204" s="519"/>
      <c r="D204" s="182"/>
      <c r="E204" s="519" t="s">
        <v>100</v>
      </c>
      <c r="F204" s="519" t="s">
        <v>100</v>
      </c>
      <c r="G204" s="519"/>
      <c r="H204" s="519" t="s">
        <v>100</v>
      </c>
      <c r="I204" s="519" t="s">
        <v>100</v>
      </c>
      <c r="J204" s="519" t="s">
        <v>100</v>
      </c>
      <c r="K204" s="519"/>
      <c r="L204" s="519" t="s">
        <v>100</v>
      </c>
      <c r="M204" s="519"/>
      <c r="N204" s="519"/>
      <c r="O204" s="519"/>
      <c r="P204" s="519" t="s">
        <v>100</v>
      </c>
      <c r="Q204" s="519"/>
      <c r="R204" s="519"/>
      <c r="S204" s="519" t="s">
        <v>100</v>
      </c>
      <c r="T204" s="519"/>
      <c r="U204" s="519"/>
      <c r="V204" s="519"/>
      <c r="W204" s="182"/>
      <c r="X204" s="182"/>
      <c r="Y204" s="182"/>
      <c r="Z204" s="182"/>
      <c r="AA204" s="182"/>
      <c r="AB204" s="182"/>
      <c r="AC204" s="182"/>
      <c r="AD204" s="182"/>
      <c r="AE204" s="182"/>
      <c r="AF204" s="182"/>
      <c r="AG204" s="182"/>
      <c r="AH204" s="182"/>
      <c r="AI204" s="167">
        <f t="shared" ref="AI204:AI271" si="47">COUNTIF(B204:AH204,"x")</f>
        <v>8</v>
      </c>
      <c r="AJ204" s="530" t="s">
        <v>113</v>
      </c>
      <c r="AK204" s="341">
        <v>43091</v>
      </c>
      <c r="AL204" s="352"/>
      <c r="AM204" s="352"/>
      <c r="AN204" s="352"/>
      <c r="AO204" s="352"/>
      <c r="AP204" s="352"/>
      <c r="AQ204" s="352"/>
      <c r="AR204" s="352"/>
      <c r="AS204" s="352"/>
      <c r="AT204" s="352"/>
      <c r="AU204" s="352"/>
      <c r="AV204" s="352"/>
      <c r="AW204" s="352"/>
      <c r="AX204" s="352"/>
      <c r="AY204" s="352"/>
      <c r="AZ204" s="352"/>
      <c r="BA204" s="352"/>
      <c r="BB204" s="352"/>
      <c r="BC204" s="352"/>
      <c r="BD204" s="352"/>
      <c r="BE204" s="352"/>
      <c r="BF204" s="352"/>
      <c r="BG204" s="352"/>
      <c r="BH204" s="352"/>
      <c r="BI204" s="352"/>
      <c r="BJ204" s="352"/>
      <c r="BK204" s="470"/>
      <c r="BL204" s="339"/>
      <c r="BM204" s="339"/>
      <c r="BN204" s="182"/>
      <c r="BO204" s="182"/>
      <c r="BP204" s="182"/>
      <c r="BQ204" s="182"/>
      <c r="BR204" s="182"/>
      <c r="BS204" s="182"/>
      <c r="BT204" s="182"/>
      <c r="BU204" s="182"/>
      <c r="BV204" s="182"/>
      <c r="BW204" s="182"/>
      <c r="BX204" s="182"/>
      <c r="BY204" s="182"/>
      <c r="BZ204" s="182"/>
      <c r="CA204" s="182"/>
      <c r="CB204" s="182"/>
      <c r="CC204" s="182"/>
      <c r="CD204" s="182"/>
      <c r="CE204" s="182"/>
      <c r="CF204" s="182"/>
      <c r="CG204" s="182"/>
      <c r="CH204" s="182"/>
      <c r="CI204" s="182"/>
      <c r="CJ204" s="182"/>
      <c r="CK204" s="618"/>
      <c r="CL204" s="619"/>
      <c r="CM204" s="620"/>
    </row>
    <row r="205" spans="1:91" s="344" customFormat="1">
      <c r="A205" s="335" t="s">
        <v>315</v>
      </c>
      <c r="B205" s="519" t="s">
        <v>100</v>
      </c>
      <c r="C205" s="519" t="s">
        <v>100</v>
      </c>
      <c r="D205" s="182"/>
      <c r="E205" s="519" t="s">
        <v>100</v>
      </c>
      <c r="F205" s="519"/>
      <c r="G205" s="519"/>
      <c r="H205" s="519" t="s">
        <v>100</v>
      </c>
      <c r="I205" s="519"/>
      <c r="J205" s="522" t="s">
        <v>100</v>
      </c>
      <c r="K205" s="519"/>
      <c r="L205" s="519"/>
      <c r="M205" s="519"/>
      <c r="N205" s="519"/>
      <c r="O205" s="519"/>
      <c r="P205" s="519"/>
      <c r="Q205" s="519"/>
      <c r="R205" s="519"/>
      <c r="S205" s="519" t="s">
        <v>100</v>
      </c>
      <c r="T205" s="519" t="s">
        <v>100</v>
      </c>
      <c r="U205" s="519"/>
      <c r="V205" s="519" t="s">
        <v>100</v>
      </c>
      <c r="W205" s="182"/>
      <c r="X205" s="182"/>
      <c r="Y205" s="182"/>
      <c r="Z205" s="182"/>
      <c r="AA205" s="182"/>
      <c r="AB205" s="182"/>
      <c r="AC205" s="182"/>
      <c r="AD205" s="182"/>
      <c r="AE205" s="182"/>
      <c r="AF205" s="182"/>
      <c r="AG205" s="182"/>
      <c r="AH205" s="182"/>
      <c r="AI205" s="167">
        <f t="shared" si="47"/>
        <v>8</v>
      </c>
      <c r="AJ205" s="340" t="str">
        <f>HYPERLINK("http://www.sportsnet.ca/590/prime-time-sports/davidi-perkins-talk-jays-granderson-reveal-hall-fame-ballots/","Sportsnet.ca Radio")</f>
        <v>Sportsnet.ca Radio</v>
      </c>
      <c r="AK205" s="341">
        <v>43116</v>
      </c>
      <c r="AL205" s="352"/>
      <c r="AM205" s="352"/>
      <c r="AN205" s="352"/>
      <c r="AO205" s="352"/>
      <c r="AP205" s="352"/>
      <c r="AQ205" s="352"/>
      <c r="AR205" s="352"/>
      <c r="AS205" s="352"/>
      <c r="AT205" s="352"/>
      <c r="AU205" s="352"/>
      <c r="AV205" s="352"/>
      <c r="AW205" s="352"/>
      <c r="AX205" s="352"/>
      <c r="AY205" s="352"/>
      <c r="AZ205" s="352"/>
      <c r="BA205" s="352"/>
      <c r="BB205" s="352"/>
      <c r="BC205" s="352"/>
      <c r="BD205" s="352"/>
      <c r="BE205" s="352"/>
      <c r="BF205" s="352"/>
      <c r="BG205" s="352"/>
      <c r="BH205" s="352"/>
      <c r="BI205" s="352"/>
      <c r="BJ205" s="352"/>
      <c r="BK205" s="470"/>
      <c r="BL205" s="339"/>
      <c r="BM205" s="339"/>
      <c r="BN205" s="182"/>
      <c r="BO205" s="182"/>
      <c r="BP205" s="182"/>
      <c r="BQ205" s="182"/>
      <c r="BR205" s="182"/>
      <c r="BS205" s="182"/>
      <c r="BT205" s="182"/>
      <c r="BU205" s="182"/>
      <c r="BV205" s="182"/>
      <c r="BW205" s="182"/>
      <c r="BX205" s="182"/>
      <c r="BY205" s="182"/>
      <c r="BZ205" s="182"/>
      <c r="CA205" s="182"/>
      <c r="CB205" s="182"/>
      <c r="CC205" s="182"/>
      <c r="CD205" s="182"/>
      <c r="CE205" s="182"/>
      <c r="CF205" s="182"/>
      <c r="CG205" s="182"/>
      <c r="CH205" s="182"/>
      <c r="CI205" s="182"/>
      <c r="CJ205" s="182"/>
      <c r="CK205" s="618"/>
      <c r="CL205" s="619"/>
      <c r="CM205" s="620"/>
    </row>
    <row r="206" spans="1:91" s="344" customFormat="1">
      <c r="A206" s="335" t="s">
        <v>316</v>
      </c>
      <c r="B206" s="519" t="s">
        <v>100</v>
      </c>
      <c r="C206" s="519" t="s">
        <v>100</v>
      </c>
      <c r="D206" s="182"/>
      <c r="E206" s="519"/>
      <c r="F206" s="519" t="s">
        <v>100</v>
      </c>
      <c r="G206" s="519"/>
      <c r="H206" s="519" t="s">
        <v>100</v>
      </c>
      <c r="I206" s="519"/>
      <c r="J206" s="523"/>
      <c r="K206" s="519"/>
      <c r="L206" s="519" t="s">
        <v>100</v>
      </c>
      <c r="M206" s="522" t="s">
        <v>100</v>
      </c>
      <c r="N206" s="519"/>
      <c r="O206" s="519"/>
      <c r="P206" s="522" t="s">
        <v>100</v>
      </c>
      <c r="Q206" s="519"/>
      <c r="R206" s="519"/>
      <c r="S206" s="519" t="s">
        <v>100</v>
      </c>
      <c r="T206" s="519" t="s">
        <v>100</v>
      </c>
      <c r="U206" s="519"/>
      <c r="V206" s="519" t="s">
        <v>100</v>
      </c>
      <c r="W206" s="182"/>
      <c r="X206" s="182"/>
      <c r="Y206" s="182"/>
      <c r="Z206" s="182"/>
      <c r="AA206" s="182"/>
      <c r="AB206" s="182"/>
      <c r="AC206" s="182"/>
      <c r="AD206" s="182"/>
      <c r="AE206" s="182"/>
      <c r="AF206" s="182"/>
      <c r="AG206" s="182"/>
      <c r="AH206" s="182"/>
      <c r="AI206" s="167">
        <f t="shared" si="47"/>
        <v>10</v>
      </c>
      <c r="AJ206" s="340" t="str">
        <f>HYPERLINK("https://twitter.com/JPerrotto/status/947104988957851648","Twitter")</f>
        <v>Twitter</v>
      </c>
      <c r="AK206" s="341">
        <v>43099</v>
      </c>
      <c r="AL206" s="352"/>
      <c r="AM206" s="352"/>
      <c r="AN206" s="352"/>
      <c r="AO206" s="352"/>
      <c r="AP206" s="352"/>
      <c r="AQ206" s="352"/>
      <c r="AR206" s="352"/>
      <c r="AS206" s="352"/>
      <c r="AT206" s="352"/>
      <c r="AU206" s="352"/>
      <c r="AV206" s="352"/>
      <c r="AW206" s="352"/>
      <c r="AX206" s="352"/>
      <c r="AY206" s="352"/>
      <c r="AZ206" s="352"/>
      <c r="BA206" s="352"/>
      <c r="BB206" s="352"/>
      <c r="BC206" s="352"/>
      <c r="BD206" s="352"/>
      <c r="BE206" s="352"/>
      <c r="BF206" s="352"/>
      <c r="BG206" s="352"/>
      <c r="BH206" s="352"/>
      <c r="BI206" s="352"/>
      <c r="BJ206" s="352"/>
      <c r="BK206" s="470"/>
      <c r="BL206" s="339"/>
      <c r="BM206" s="339"/>
      <c r="BN206" s="182"/>
      <c r="BO206" s="182"/>
      <c r="BP206" s="182"/>
      <c r="BQ206" s="182"/>
      <c r="BR206" s="182"/>
      <c r="BS206" s="182"/>
      <c r="BT206" s="182"/>
      <c r="BU206" s="182"/>
      <c r="BV206" s="182"/>
      <c r="BW206" s="182"/>
      <c r="BX206" s="182"/>
      <c r="BY206" s="182"/>
      <c r="BZ206" s="182"/>
      <c r="CA206" s="182"/>
      <c r="CB206" s="182"/>
      <c r="CC206" s="182"/>
      <c r="CD206" s="182"/>
      <c r="CE206" s="182"/>
      <c r="CF206" s="182"/>
      <c r="CG206" s="182"/>
      <c r="CH206" s="182"/>
      <c r="CI206" s="182"/>
      <c r="CJ206" s="182"/>
      <c r="CK206" s="647" t="s">
        <v>161</v>
      </c>
      <c r="CL206" s="648"/>
      <c r="CM206" s="649"/>
    </row>
    <row r="207" spans="1:91" s="344" customFormat="1">
      <c r="A207" s="335" t="s">
        <v>317</v>
      </c>
      <c r="B207" s="519"/>
      <c r="C207" s="519"/>
      <c r="D207" s="182"/>
      <c r="E207" s="519" t="s">
        <v>100</v>
      </c>
      <c r="F207" s="519" t="s">
        <v>100</v>
      </c>
      <c r="G207" s="519"/>
      <c r="H207" s="519" t="s">
        <v>100</v>
      </c>
      <c r="I207" s="523"/>
      <c r="J207" s="519" t="s">
        <v>100</v>
      </c>
      <c r="K207" s="519" t="s">
        <v>100</v>
      </c>
      <c r="L207" s="519" t="s">
        <v>100</v>
      </c>
      <c r="M207" s="519"/>
      <c r="N207" s="519" t="s">
        <v>100</v>
      </c>
      <c r="O207" s="519"/>
      <c r="P207" s="519" t="s">
        <v>100</v>
      </c>
      <c r="Q207" s="519"/>
      <c r="R207" s="519"/>
      <c r="S207" s="519" t="s">
        <v>100</v>
      </c>
      <c r="T207" s="519" t="s">
        <v>100</v>
      </c>
      <c r="U207" s="519"/>
      <c r="V207" s="523"/>
      <c r="W207" s="182"/>
      <c r="X207" s="182"/>
      <c r="Y207" s="182"/>
      <c r="Z207" s="182"/>
      <c r="AA207" s="182"/>
      <c r="AB207" s="182"/>
      <c r="AC207" s="182"/>
      <c r="AD207" s="182"/>
      <c r="AE207" s="182"/>
      <c r="AF207" s="182"/>
      <c r="AG207" s="182"/>
      <c r="AH207" s="182"/>
      <c r="AI207" s="167">
        <f t="shared" si="47"/>
        <v>10</v>
      </c>
      <c r="AJ207" s="530" t="s">
        <v>113</v>
      </c>
      <c r="AK207" s="341">
        <v>43103</v>
      </c>
      <c r="AL207" s="352"/>
      <c r="AM207" s="352"/>
      <c r="AN207" s="352"/>
      <c r="AO207" s="352"/>
      <c r="AP207" s="352"/>
      <c r="AQ207" s="352"/>
      <c r="AR207" s="352"/>
      <c r="AS207" s="352"/>
      <c r="AT207" s="352"/>
      <c r="AU207" s="352"/>
      <c r="AV207" s="352"/>
      <c r="AW207" s="352"/>
      <c r="AX207" s="352"/>
      <c r="AY207" s="352"/>
      <c r="AZ207" s="352"/>
      <c r="BA207" s="352"/>
      <c r="BB207" s="352"/>
      <c r="BC207" s="352"/>
      <c r="BD207" s="352"/>
      <c r="BE207" s="352"/>
      <c r="BF207" s="352"/>
      <c r="BG207" s="352"/>
      <c r="BH207" s="352"/>
      <c r="BI207" s="352"/>
      <c r="BJ207" s="352"/>
      <c r="BK207" s="470"/>
      <c r="BL207" s="339"/>
      <c r="BM207" s="339"/>
      <c r="BN207" s="182"/>
      <c r="BO207" s="182"/>
      <c r="BP207" s="182"/>
      <c r="BQ207" s="182"/>
      <c r="BR207" s="182"/>
      <c r="BS207" s="182"/>
      <c r="BT207" s="182"/>
      <c r="BU207" s="182"/>
      <c r="BV207" s="182"/>
      <c r="BW207" s="182"/>
      <c r="BX207" s="182"/>
      <c r="BY207" s="182"/>
      <c r="BZ207" s="182"/>
      <c r="CA207" s="182"/>
      <c r="CB207" s="182"/>
      <c r="CC207" s="182"/>
      <c r="CD207" s="182"/>
      <c r="CE207" s="182"/>
      <c r="CF207" s="182"/>
      <c r="CG207" s="182"/>
      <c r="CH207" s="182"/>
      <c r="CI207" s="182"/>
      <c r="CJ207" s="182"/>
      <c r="CK207" s="647" t="s">
        <v>318</v>
      </c>
      <c r="CL207" s="648"/>
      <c r="CM207" s="649"/>
    </row>
    <row r="208" spans="1:91" s="344" customFormat="1">
      <c r="A208" s="335" t="s">
        <v>319</v>
      </c>
      <c r="B208" s="519" t="s">
        <v>100</v>
      </c>
      <c r="C208" s="519" t="s">
        <v>100</v>
      </c>
      <c r="D208" s="182"/>
      <c r="E208" s="519" t="s">
        <v>100</v>
      </c>
      <c r="F208" s="519" t="s">
        <v>100</v>
      </c>
      <c r="G208" s="519"/>
      <c r="H208" s="519" t="s">
        <v>100</v>
      </c>
      <c r="I208" s="519"/>
      <c r="J208" s="519" t="s">
        <v>100</v>
      </c>
      <c r="K208" s="519"/>
      <c r="L208" s="522" t="s">
        <v>100</v>
      </c>
      <c r="M208" s="519" t="s">
        <v>100</v>
      </c>
      <c r="N208" s="519"/>
      <c r="O208" s="519"/>
      <c r="P208" s="519"/>
      <c r="Q208" s="519"/>
      <c r="R208" s="519" t="s">
        <v>100</v>
      </c>
      <c r="S208" s="519" t="s">
        <v>100</v>
      </c>
      <c r="T208" s="519"/>
      <c r="U208" s="519"/>
      <c r="V208" s="519"/>
      <c r="W208" s="182"/>
      <c r="X208" s="182"/>
      <c r="Y208" s="182"/>
      <c r="Z208" s="182"/>
      <c r="AA208" s="182"/>
      <c r="AB208" s="182"/>
      <c r="AC208" s="182"/>
      <c r="AD208" s="182"/>
      <c r="AE208" s="182"/>
      <c r="AF208" s="182"/>
      <c r="AG208" s="182"/>
      <c r="AH208" s="182"/>
      <c r="AI208" s="167">
        <f t="shared" si="47"/>
        <v>10</v>
      </c>
      <c r="AJ208" s="340" t="str">
        <f>HYPERLINK("https://twitter.com/npiet_ESPN/status/946018691493322752","Twitter")</f>
        <v>Twitter</v>
      </c>
      <c r="AK208" s="341">
        <v>43096</v>
      </c>
      <c r="AL208" s="352"/>
      <c r="AM208" s="352"/>
      <c r="AN208" s="352"/>
      <c r="AO208" s="352"/>
      <c r="AP208" s="352"/>
      <c r="AQ208" s="352"/>
      <c r="AR208" s="352"/>
      <c r="AS208" s="352"/>
      <c r="AT208" s="352"/>
      <c r="AU208" s="352"/>
      <c r="AV208" s="352"/>
      <c r="AW208" s="352"/>
      <c r="AX208" s="352"/>
      <c r="AY208" s="352"/>
      <c r="AZ208" s="352"/>
      <c r="BA208" s="352"/>
      <c r="BB208" s="352"/>
      <c r="BC208" s="352"/>
      <c r="BD208" s="352"/>
      <c r="BE208" s="352"/>
      <c r="BF208" s="352"/>
      <c r="BG208" s="352"/>
      <c r="BH208" s="352"/>
      <c r="BI208" s="352"/>
      <c r="BJ208" s="352"/>
      <c r="BK208" s="470"/>
      <c r="BL208" s="339"/>
      <c r="BM208" s="339"/>
      <c r="BN208" s="182"/>
      <c r="BO208" s="182"/>
      <c r="BP208" s="182"/>
      <c r="BQ208" s="182"/>
      <c r="BR208" s="182"/>
      <c r="BS208" s="182"/>
      <c r="BT208" s="182"/>
      <c r="BU208" s="182"/>
      <c r="BV208" s="182"/>
      <c r="BW208" s="182"/>
      <c r="BX208" s="182"/>
      <c r="BY208" s="182"/>
      <c r="BZ208" s="182"/>
      <c r="CA208" s="182"/>
      <c r="CB208" s="182"/>
      <c r="CC208" s="182"/>
      <c r="CD208" s="182"/>
      <c r="CE208" s="182"/>
      <c r="CF208" s="182"/>
      <c r="CG208" s="182"/>
      <c r="CH208" s="182"/>
      <c r="CI208" s="182"/>
      <c r="CJ208" s="182"/>
      <c r="CK208" s="618"/>
      <c r="CL208" s="619"/>
      <c r="CM208" s="620"/>
    </row>
    <row r="209" spans="1:91" s="344" customFormat="1">
      <c r="A209" s="335" t="s">
        <v>320</v>
      </c>
      <c r="B209" s="519" t="s">
        <v>100</v>
      </c>
      <c r="C209" s="519" t="s">
        <v>100</v>
      </c>
      <c r="D209" s="182"/>
      <c r="E209" s="519" t="s">
        <v>100</v>
      </c>
      <c r="F209" s="522" t="s">
        <v>100</v>
      </c>
      <c r="G209" s="519"/>
      <c r="H209" s="519" t="s">
        <v>100</v>
      </c>
      <c r="I209" s="519"/>
      <c r="J209" s="519" t="s">
        <v>100</v>
      </c>
      <c r="K209" s="519"/>
      <c r="L209" s="519" t="s">
        <v>100</v>
      </c>
      <c r="M209" s="519"/>
      <c r="N209" s="519"/>
      <c r="O209" s="519"/>
      <c r="P209" s="519" t="s">
        <v>100</v>
      </c>
      <c r="Q209" s="519"/>
      <c r="R209" s="519"/>
      <c r="S209" s="519" t="s">
        <v>100</v>
      </c>
      <c r="T209" s="519"/>
      <c r="U209" s="519"/>
      <c r="V209" s="519" t="s">
        <v>100</v>
      </c>
      <c r="W209" s="182"/>
      <c r="X209" s="182"/>
      <c r="Y209" s="182"/>
      <c r="Z209" s="182"/>
      <c r="AA209" s="182"/>
      <c r="AB209" s="182"/>
      <c r="AC209" s="182"/>
      <c r="AD209" s="182"/>
      <c r="AE209" s="182"/>
      <c r="AF209" s="182"/>
      <c r="AG209" s="182"/>
      <c r="AH209" s="182"/>
      <c r="AI209" s="167">
        <f t="shared" si="47"/>
        <v>10</v>
      </c>
      <c r="AJ209" s="530" t="s">
        <v>113</v>
      </c>
      <c r="AK209" s="341">
        <v>43101</v>
      </c>
      <c r="AL209" s="352"/>
      <c r="AM209" s="352"/>
      <c r="AN209" s="352"/>
      <c r="AO209" s="352"/>
      <c r="AP209" s="352"/>
      <c r="AQ209" s="352"/>
      <c r="AR209" s="352"/>
      <c r="AS209" s="352"/>
      <c r="AT209" s="352"/>
      <c r="AU209" s="352"/>
      <c r="AV209" s="352"/>
      <c r="AW209" s="352"/>
      <c r="AX209" s="352"/>
      <c r="AY209" s="352"/>
      <c r="AZ209" s="352"/>
      <c r="BA209" s="352"/>
      <c r="BB209" s="352"/>
      <c r="BC209" s="352"/>
      <c r="BD209" s="352"/>
      <c r="BE209" s="352"/>
      <c r="BF209" s="352"/>
      <c r="BG209" s="352"/>
      <c r="BH209" s="352"/>
      <c r="BI209" s="352"/>
      <c r="BJ209" s="352"/>
      <c r="BK209" s="470"/>
      <c r="BL209" s="339"/>
      <c r="BM209" s="339"/>
      <c r="BN209" s="182"/>
      <c r="BO209" s="182"/>
      <c r="BP209" s="182"/>
      <c r="BQ209" s="182"/>
      <c r="BR209" s="182"/>
      <c r="BS209" s="182"/>
      <c r="BT209" s="182"/>
      <c r="BU209" s="182"/>
      <c r="BV209" s="182"/>
      <c r="BW209" s="182"/>
      <c r="BX209" s="182"/>
      <c r="BY209" s="182"/>
      <c r="BZ209" s="182"/>
      <c r="CA209" s="182"/>
      <c r="CB209" s="182"/>
      <c r="CC209" s="182"/>
      <c r="CD209" s="182"/>
      <c r="CE209" s="182"/>
      <c r="CF209" s="182"/>
      <c r="CG209" s="182"/>
      <c r="CH209" s="182"/>
      <c r="CI209" s="182"/>
      <c r="CJ209" s="182"/>
      <c r="CK209" s="618"/>
      <c r="CL209" s="619"/>
      <c r="CM209" s="620"/>
    </row>
    <row r="210" spans="1:91" s="344" customFormat="1">
      <c r="A210" s="335" t="s">
        <v>321</v>
      </c>
      <c r="B210" s="519"/>
      <c r="C210" s="519"/>
      <c r="D210" s="182"/>
      <c r="E210" s="519" t="s">
        <v>100</v>
      </c>
      <c r="F210" s="519" t="s">
        <v>100</v>
      </c>
      <c r="G210" s="519"/>
      <c r="H210" s="519" t="s">
        <v>100</v>
      </c>
      <c r="I210" s="523"/>
      <c r="J210" s="519" t="s">
        <v>100</v>
      </c>
      <c r="K210" s="519"/>
      <c r="L210" s="519"/>
      <c r="M210" s="519"/>
      <c r="N210" s="519"/>
      <c r="O210" s="519"/>
      <c r="P210" s="519"/>
      <c r="Q210" s="519" t="s">
        <v>100</v>
      </c>
      <c r="R210" s="519"/>
      <c r="S210" s="519" t="s">
        <v>100</v>
      </c>
      <c r="T210" s="519"/>
      <c r="U210" s="519"/>
      <c r="V210" s="519" t="s">
        <v>100</v>
      </c>
      <c r="W210" s="182"/>
      <c r="X210" s="182"/>
      <c r="Y210" s="182"/>
      <c r="Z210" s="182"/>
      <c r="AA210" s="182"/>
      <c r="AB210" s="182"/>
      <c r="AC210" s="182"/>
      <c r="AD210" s="182"/>
      <c r="AE210" s="182"/>
      <c r="AF210" s="182"/>
      <c r="AG210" s="182"/>
      <c r="AH210" s="182"/>
      <c r="AI210" s="167">
        <f t="shared" si="47"/>
        <v>7</v>
      </c>
      <c r="AJ210" s="530" t="s">
        <v>113</v>
      </c>
      <c r="AK210" s="341">
        <v>43087</v>
      </c>
      <c r="AL210" s="352"/>
      <c r="AM210" s="352"/>
      <c r="AN210" s="352"/>
      <c r="AO210" s="352"/>
      <c r="AP210" s="352"/>
      <c r="AQ210" s="352"/>
      <c r="AR210" s="352"/>
      <c r="AS210" s="352"/>
      <c r="AT210" s="352"/>
      <c r="AU210" s="352"/>
      <c r="AV210" s="352"/>
      <c r="AW210" s="352"/>
      <c r="AX210" s="352"/>
      <c r="AY210" s="352"/>
      <c r="AZ210" s="352"/>
      <c r="BA210" s="352"/>
      <c r="BB210" s="352"/>
      <c r="BC210" s="352"/>
      <c r="BD210" s="352"/>
      <c r="BE210" s="352"/>
      <c r="BF210" s="352"/>
      <c r="BG210" s="352"/>
      <c r="BH210" s="352"/>
      <c r="BI210" s="352"/>
      <c r="BJ210" s="352"/>
      <c r="BK210" s="470"/>
      <c r="BL210" s="339"/>
      <c r="BM210" s="339"/>
      <c r="BN210" s="182"/>
      <c r="BO210" s="182"/>
      <c r="BP210" s="182"/>
      <c r="BQ210" s="182"/>
      <c r="BR210" s="182"/>
      <c r="BS210" s="182"/>
      <c r="BT210" s="182"/>
      <c r="BU210" s="182"/>
      <c r="BV210" s="182"/>
      <c r="BW210" s="182"/>
      <c r="BX210" s="182"/>
      <c r="BY210" s="182"/>
      <c r="BZ210" s="182"/>
      <c r="CA210" s="182"/>
      <c r="CB210" s="182"/>
      <c r="CC210" s="182"/>
      <c r="CD210" s="182"/>
      <c r="CE210" s="182"/>
      <c r="CF210" s="182"/>
      <c r="CG210" s="182"/>
      <c r="CH210" s="182"/>
      <c r="CI210" s="182"/>
      <c r="CJ210" s="182"/>
      <c r="CK210" s="618"/>
      <c r="CL210" s="619"/>
      <c r="CM210" s="620"/>
    </row>
    <row r="211" spans="1:91" s="344" customFormat="1">
      <c r="A211" s="335" t="s">
        <v>322</v>
      </c>
      <c r="B211" s="519"/>
      <c r="C211" s="519"/>
      <c r="D211" s="182"/>
      <c r="E211" s="519" t="s">
        <v>100</v>
      </c>
      <c r="F211" s="519" t="s">
        <v>100</v>
      </c>
      <c r="G211" s="519"/>
      <c r="H211" s="519" t="s">
        <v>100</v>
      </c>
      <c r="I211" s="519"/>
      <c r="J211" s="519" t="s">
        <v>100</v>
      </c>
      <c r="K211" s="519"/>
      <c r="L211" s="519" t="s">
        <v>100</v>
      </c>
      <c r="M211" s="519"/>
      <c r="N211" s="519" t="s">
        <v>100</v>
      </c>
      <c r="O211" s="519"/>
      <c r="P211" s="522" t="s">
        <v>100</v>
      </c>
      <c r="Q211" s="519"/>
      <c r="R211" s="519"/>
      <c r="S211" s="519" t="s">
        <v>100</v>
      </c>
      <c r="T211" s="519" t="s">
        <v>100</v>
      </c>
      <c r="U211" s="522" t="s">
        <v>100</v>
      </c>
      <c r="V211" s="519"/>
      <c r="W211" s="182"/>
      <c r="X211" s="182"/>
      <c r="Y211" s="182"/>
      <c r="Z211" s="182"/>
      <c r="AA211" s="182"/>
      <c r="AB211" s="182"/>
      <c r="AC211" s="182"/>
      <c r="AD211" s="182"/>
      <c r="AE211" s="182"/>
      <c r="AF211" s="182"/>
      <c r="AG211" s="182"/>
      <c r="AH211" s="182"/>
      <c r="AI211" s="167">
        <f t="shared" si="47"/>
        <v>10</v>
      </c>
      <c r="AJ211" s="340" t="str">
        <f>HYPERLINK("http://www.cleveland.com/pluto/index.ssf/2018/01/omar_vizquel_its_awful_that_he.html","Cleveland.com")</f>
        <v>Cleveland.com</v>
      </c>
      <c r="AK211" s="341">
        <v>43124</v>
      </c>
      <c r="AL211" s="352"/>
      <c r="AM211" s="352"/>
      <c r="AN211" s="352"/>
      <c r="AO211" s="352"/>
      <c r="AP211" s="352"/>
      <c r="AQ211" s="352"/>
      <c r="AR211" s="352"/>
      <c r="AS211" s="352"/>
      <c r="AT211" s="352"/>
      <c r="AU211" s="352"/>
      <c r="AV211" s="352"/>
      <c r="AW211" s="352"/>
      <c r="AX211" s="352"/>
      <c r="AY211" s="352"/>
      <c r="AZ211" s="352"/>
      <c r="BA211" s="352"/>
      <c r="BB211" s="352"/>
      <c r="BC211" s="352"/>
      <c r="BD211" s="352"/>
      <c r="BE211" s="352"/>
      <c r="BF211" s="352"/>
      <c r="BG211" s="352"/>
      <c r="BH211" s="352"/>
      <c r="BI211" s="352"/>
      <c r="BJ211" s="352"/>
      <c r="BK211" s="470"/>
      <c r="BL211" s="339"/>
      <c r="BM211" s="339"/>
      <c r="BN211" s="182"/>
      <c r="BO211" s="182"/>
      <c r="BP211" s="182"/>
      <c r="BQ211" s="182"/>
      <c r="BR211" s="182"/>
      <c r="BS211" s="182"/>
      <c r="BT211" s="182"/>
      <c r="BU211" s="182"/>
      <c r="BV211" s="182"/>
      <c r="BW211" s="182"/>
      <c r="BX211" s="182"/>
      <c r="BY211" s="182"/>
      <c r="BZ211" s="182"/>
      <c r="CA211" s="182"/>
      <c r="CB211" s="182"/>
      <c r="CC211" s="182"/>
      <c r="CD211" s="182"/>
      <c r="CE211" s="182"/>
      <c r="CF211" s="182"/>
      <c r="CG211" s="182"/>
      <c r="CH211" s="182"/>
      <c r="CI211" s="182"/>
      <c r="CJ211" s="182"/>
      <c r="CK211" s="618"/>
      <c r="CL211" s="619"/>
      <c r="CM211" s="620"/>
    </row>
    <row r="212" spans="1:91" s="344" customFormat="1">
      <c r="A212" s="335" t="s">
        <v>323</v>
      </c>
      <c r="B212" s="519" t="s">
        <v>100</v>
      </c>
      <c r="C212" s="519" t="s">
        <v>100</v>
      </c>
      <c r="D212" s="182"/>
      <c r="E212" s="522" t="s">
        <v>100</v>
      </c>
      <c r="F212" s="519" t="s">
        <v>100</v>
      </c>
      <c r="G212" s="519"/>
      <c r="H212" s="519" t="s">
        <v>100</v>
      </c>
      <c r="I212" s="523"/>
      <c r="J212" s="519" t="s">
        <v>100</v>
      </c>
      <c r="K212" s="519"/>
      <c r="L212" s="519" t="s">
        <v>100</v>
      </c>
      <c r="M212" s="522" t="s">
        <v>100</v>
      </c>
      <c r="N212" s="519"/>
      <c r="O212" s="519"/>
      <c r="P212" s="522" t="s">
        <v>100</v>
      </c>
      <c r="Q212" s="519"/>
      <c r="R212" s="519"/>
      <c r="S212" s="519" t="s">
        <v>100</v>
      </c>
      <c r="T212" s="519"/>
      <c r="U212" s="519"/>
      <c r="V212" s="519"/>
      <c r="W212" s="182"/>
      <c r="X212" s="182"/>
      <c r="Y212" s="182"/>
      <c r="Z212" s="182"/>
      <c r="AA212" s="182"/>
      <c r="AB212" s="182"/>
      <c r="AC212" s="182"/>
      <c r="AD212" s="182"/>
      <c r="AE212" s="182"/>
      <c r="AF212" s="182"/>
      <c r="AG212" s="182"/>
      <c r="AH212" s="182"/>
      <c r="AI212" s="167">
        <f t="shared" si="47"/>
        <v>10</v>
      </c>
      <c r="AJ212" s="340" t="str">
        <f>HYPERLINK("http://www.nj.com/yankees/index.ssf/2017/12/baseball_hall_of_fame_how_columnist_steve_politi_v_2.html","NJ.com")</f>
        <v>NJ.com</v>
      </c>
      <c r="AK212" s="341">
        <v>43075</v>
      </c>
      <c r="AL212" s="352"/>
      <c r="AM212" s="352"/>
      <c r="AN212" s="352"/>
      <c r="AO212" s="352"/>
      <c r="AP212" s="352"/>
      <c r="AQ212" s="352"/>
      <c r="AR212" s="352"/>
      <c r="AS212" s="352"/>
      <c r="AT212" s="352"/>
      <c r="AU212" s="352"/>
      <c r="AV212" s="352"/>
      <c r="AW212" s="352"/>
      <c r="AX212" s="352"/>
      <c r="AY212" s="352"/>
      <c r="AZ212" s="352"/>
      <c r="BA212" s="352"/>
      <c r="BB212" s="352"/>
      <c r="BC212" s="352"/>
      <c r="BD212" s="352"/>
      <c r="BE212" s="352"/>
      <c r="BF212" s="352"/>
      <c r="BG212" s="352"/>
      <c r="BH212" s="352"/>
      <c r="BI212" s="352"/>
      <c r="BJ212" s="352"/>
      <c r="BK212" s="470"/>
      <c r="BL212" s="339"/>
      <c r="BM212" s="339"/>
      <c r="BN212" s="182"/>
      <c r="BO212" s="182"/>
      <c r="BP212" s="182"/>
      <c r="BQ212" s="182"/>
      <c r="BR212" s="182"/>
      <c r="BS212" s="182"/>
      <c r="BT212" s="182"/>
      <c r="BU212" s="182"/>
      <c r="BV212" s="182"/>
      <c r="BW212" s="182"/>
      <c r="BX212" s="182"/>
      <c r="BY212" s="182"/>
      <c r="BZ212" s="182"/>
      <c r="CA212" s="182"/>
      <c r="CB212" s="182"/>
      <c r="CC212" s="182"/>
      <c r="CD212" s="182"/>
      <c r="CE212" s="182"/>
      <c r="CF212" s="182"/>
      <c r="CG212" s="182"/>
      <c r="CH212" s="182"/>
      <c r="CI212" s="182"/>
      <c r="CJ212" s="182"/>
      <c r="CK212" s="647" t="s">
        <v>324</v>
      </c>
      <c r="CL212" s="648"/>
      <c r="CM212" s="649"/>
    </row>
    <row r="213" spans="1:91" s="344" customFormat="1">
      <c r="A213" s="335" t="s">
        <v>325</v>
      </c>
      <c r="B213" s="519" t="s">
        <v>100</v>
      </c>
      <c r="C213" s="519" t="s">
        <v>100</v>
      </c>
      <c r="D213" s="182"/>
      <c r="E213" s="519" t="s">
        <v>100</v>
      </c>
      <c r="F213" s="522" t="s">
        <v>100</v>
      </c>
      <c r="G213" s="519"/>
      <c r="H213" s="519" t="s">
        <v>100</v>
      </c>
      <c r="I213" s="519"/>
      <c r="J213" s="519" t="s">
        <v>100</v>
      </c>
      <c r="K213" s="519"/>
      <c r="L213" s="519" t="s">
        <v>100</v>
      </c>
      <c r="M213" s="519"/>
      <c r="N213" s="519"/>
      <c r="O213" s="519"/>
      <c r="P213" s="519" t="s">
        <v>100</v>
      </c>
      <c r="Q213" s="519"/>
      <c r="R213" s="519"/>
      <c r="S213" s="519" t="s">
        <v>100</v>
      </c>
      <c r="T213" s="519"/>
      <c r="U213" s="519" t="s">
        <v>100</v>
      </c>
      <c r="V213" s="519"/>
      <c r="W213" s="182"/>
      <c r="X213" s="182"/>
      <c r="Y213" s="182"/>
      <c r="Z213" s="182"/>
      <c r="AA213" s="182"/>
      <c r="AB213" s="182"/>
      <c r="AC213" s="182"/>
      <c r="AD213" s="182"/>
      <c r="AE213" s="182"/>
      <c r="AF213" s="182"/>
      <c r="AG213" s="182"/>
      <c r="AH213" s="182"/>
      <c r="AI213" s="167">
        <f t="shared" si="47"/>
        <v>10</v>
      </c>
      <c r="AJ213" s="340" t="str">
        <f>HYPERLINK("https://twitter.com/StevePopper/status/943859914446901248","Twitter")</f>
        <v>Twitter</v>
      </c>
      <c r="AK213" s="341">
        <v>43090</v>
      </c>
      <c r="AL213" s="352"/>
      <c r="AM213" s="352"/>
      <c r="AN213" s="352"/>
      <c r="AO213" s="352"/>
      <c r="AP213" s="352"/>
      <c r="AQ213" s="352"/>
      <c r="AR213" s="352"/>
      <c r="AS213" s="352"/>
      <c r="AT213" s="352"/>
      <c r="AU213" s="352"/>
      <c r="AV213" s="352"/>
      <c r="AW213" s="352"/>
      <c r="AX213" s="352"/>
      <c r="AY213" s="352"/>
      <c r="AZ213" s="352"/>
      <c r="BA213" s="352"/>
      <c r="BB213" s="352"/>
      <c r="BC213" s="352"/>
      <c r="BD213" s="352"/>
      <c r="BE213" s="352"/>
      <c r="BF213" s="352"/>
      <c r="BG213" s="352"/>
      <c r="BH213" s="352"/>
      <c r="BI213" s="352"/>
      <c r="BJ213" s="352"/>
      <c r="BK213" s="470"/>
      <c r="BL213" s="339"/>
      <c r="BM213" s="339"/>
      <c r="BN213" s="182"/>
      <c r="BO213" s="182"/>
      <c r="BP213" s="182"/>
      <c r="BQ213" s="182"/>
      <c r="BR213" s="182"/>
      <c r="BS213" s="182"/>
      <c r="BT213" s="182"/>
      <c r="BU213" s="182"/>
      <c r="BV213" s="182"/>
      <c r="BW213" s="182"/>
      <c r="BX213" s="182"/>
      <c r="BY213" s="182"/>
      <c r="BZ213" s="182"/>
      <c r="CA213" s="182"/>
      <c r="CB213" s="182"/>
      <c r="CC213" s="182"/>
      <c r="CD213" s="182"/>
      <c r="CE213" s="182"/>
      <c r="CF213" s="182"/>
      <c r="CG213" s="182"/>
      <c r="CH213" s="182"/>
      <c r="CI213" s="182"/>
      <c r="CJ213" s="182"/>
      <c r="CK213" s="621"/>
      <c r="CL213" s="622"/>
      <c r="CM213" s="623"/>
    </row>
    <row r="214" spans="1:91" s="344" customFormat="1">
      <c r="A214" s="335" t="s">
        <v>326</v>
      </c>
      <c r="B214" s="519" t="s">
        <v>100</v>
      </c>
      <c r="C214" s="519" t="s">
        <v>100</v>
      </c>
      <c r="D214" s="182"/>
      <c r="E214" s="522" t="s">
        <v>100</v>
      </c>
      <c r="F214" s="519"/>
      <c r="G214" s="519"/>
      <c r="H214" s="519" t="s">
        <v>100</v>
      </c>
      <c r="I214" s="519"/>
      <c r="J214" s="519" t="s">
        <v>100</v>
      </c>
      <c r="K214" s="519"/>
      <c r="L214" s="519" t="s">
        <v>100</v>
      </c>
      <c r="M214" s="523"/>
      <c r="N214" s="519" t="s">
        <v>100</v>
      </c>
      <c r="O214" s="519"/>
      <c r="P214" s="519" t="s">
        <v>100</v>
      </c>
      <c r="Q214" s="519"/>
      <c r="R214" s="519"/>
      <c r="S214" s="519" t="s">
        <v>100</v>
      </c>
      <c r="T214" s="519"/>
      <c r="U214" s="519"/>
      <c r="V214" s="519" t="s">
        <v>100</v>
      </c>
      <c r="W214" s="182"/>
      <c r="X214" s="182"/>
      <c r="Y214" s="182"/>
      <c r="Z214" s="182"/>
      <c r="AA214" s="182"/>
      <c r="AB214" s="182"/>
      <c r="AC214" s="182"/>
      <c r="AD214" s="182"/>
      <c r="AE214" s="182"/>
      <c r="AF214" s="182"/>
      <c r="AG214" s="182"/>
      <c r="AH214" s="182"/>
      <c r="AI214" s="167">
        <f t="shared" si="47"/>
        <v>10</v>
      </c>
      <c r="AJ214" s="340" t="str">
        <f>HYPERLINK("https://twitter.com/MLBNetwork/status/946396326639497216","MLB Network")</f>
        <v>MLB Network</v>
      </c>
      <c r="AK214" s="341">
        <v>43097</v>
      </c>
      <c r="AL214" s="352"/>
      <c r="AM214" s="352"/>
      <c r="AN214" s="352"/>
      <c r="AO214" s="352"/>
      <c r="AP214" s="352"/>
      <c r="AQ214" s="352"/>
      <c r="AR214" s="352"/>
      <c r="AS214" s="352"/>
      <c r="AT214" s="352"/>
      <c r="AU214" s="352"/>
      <c r="AV214" s="352"/>
      <c r="AW214" s="352"/>
      <c r="AX214" s="352"/>
      <c r="AY214" s="352"/>
      <c r="AZ214" s="352"/>
      <c r="BA214" s="352"/>
      <c r="BB214" s="352"/>
      <c r="BC214" s="352"/>
      <c r="BD214" s="352"/>
      <c r="BE214" s="352"/>
      <c r="BF214" s="352"/>
      <c r="BG214" s="352"/>
      <c r="BH214" s="352"/>
      <c r="BI214" s="352"/>
      <c r="BJ214" s="352"/>
      <c r="BK214" s="470"/>
      <c r="BL214" s="339"/>
      <c r="BM214" s="339"/>
      <c r="BN214" s="182"/>
      <c r="BO214" s="182"/>
      <c r="BP214" s="182"/>
      <c r="BQ214" s="182"/>
      <c r="BR214" s="182"/>
      <c r="BS214" s="182"/>
      <c r="BT214" s="182"/>
      <c r="BU214" s="182"/>
      <c r="BV214" s="182"/>
      <c r="BW214" s="182"/>
      <c r="BX214" s="182"/>
      <c r="BY214" s="182"/>
      <c r="BZ214" s="182"/>
      <c r="CA214" s="182"/>
      <c r="CB214" s="182"/>
      <c r="CC214" s="182"/>
      <c r="CD214" s="182"/>
      <c r="CE214" s="182"/>
      <c r="CF214" s="182"/>
      <c r="CG214" s="182"/>
      <c r="CH214" s="182"/>
      <c r="CI214" s="182"/>
      <c r="CJ214" s="182"/>
      <c r="CK214" s="621"/>
      <c r="CL214" s="622"/>
      <c r="CM214" s="623"/>
    </row>
    <row r="215" spans="1:91" s="344" customFormat="1">
      <c r="A215" s="335" t="s">
        <v>327</v>
      </c>
      <c r="B215" s="519" t="s">
        <v>100</v>
      </c>
      <c r="C215" s="519" t="s">
        <v>100</v>
      </c>
      <c r="D215" s="182"/>
      <c r="E215" s="519" t="s">
        <v>100</v>
      </c>
      <c r="F215" s="519"/>
      <c r="G215" s="519"/>
      <c r="H215" s="519" t="s">
        <v>100</v>
      </c>
      <c r="I215" s="519"/>
      <c r="J215" s="519" t="s">
        <v>100</v>
      </c>
      <c r="K215" s="519"/>
      <c r="L215" s="519" t="s">
        <v>100</v>
      </c>
      <c r="M215" s="519" t="s">
        <v>100</v>
      </c>
      <c r="N215" s="519"/>
      <c r="O215" s="519"/>
      <c r="P215" s="519" t="s">
        <v>100</v>
      </c>
      <c r="Q215" s="519"/>
      <c r="R215" s="519"/>
      <c r="S215" s="519" t="s">
        <v>100</v>
      </c>
      <c r="T215" s="519"/>
      <c r="U215" s="519"/>
      <c r="V215" s="522" t="s">
        <v>100</v>
      </c>
      <c r="W215" s="182"/>
      <c r="X215" s="182"/>
      <c r="Y215" s="182"/>
      <c r="Z215" s="182"/>
      <c r="AA215" s="182"/>
      <c r="AB215" s="182"/>
      <c r="AC215" s="182"/>
      <c r="AD215" s="182"/>
      <c r="AE215" s="182"/>
      <c r="AF215" s="182"/>
      <c r="AG215" s="182"/>
      <c r="AH215" s="182"/>
      <c r="AI215" s="167">
        <f t="shared" si="47"/>
        <v>10</v>
      </c>
      <c r="AJ215" s="340" t="str">
        <f>HYPERLINK("https://twitter.com/spriestle/status/943204170378686464","Twitter")</f>
        <v>Twitter</v>
      </c>
      <c r="AK215" s="341">
        <v>43088</v>
      </c>
      <c r="AL215" s="352"/>
      <c r="AM215" s="352"/>
      <c r="AN215" s="352"/>
      <c r="AO215" s="352"/>
      <c r="AP215" s="352"/>
      <c r="AQ215" s="352"/>
      <c r="AR215" s="352"/>
      <c r="AS215" s="352"/>
      <c r="AT215" s="352"/>
      <c r="AU215" s="352"/>
      <c r="AV215" s="352"/>
      <c r="AW215" s="352"/>
      <c r="AX215" s="352"/>
      <c r="AY215" s="352"/>
      <c r="AZ215" s="352"/>
      <c r="BA215" s="352"/>
      <c r="BB215" s="352"/>
      <c r="BC215" s="352"/>
      <c r="BD215" s="352"/>
      <c r="BE215" s="352"/>
      <c r="BF215" s="352"/>
      <c r="BG215" s="352"/>
      <c r="BH215" s="352"/>
      <c r="BI215" s="352"/>
      <c r="BJ215" s="352"/>
      <c r="BK215" s="470"/>
      <c r="BL215" s="339"/>
      <c r="BM215" s="339"/>
      <c r="BN215" s="182"/>
      <c r="BO215" s="182"/>
      <c r="BP215" s="182"/>
      <c r="BQ215" s="182"/>
      <c r="BR215" s="182"/>
      <c r="BS215" s="182"/>
      <c r="BT215" s="182"/>
      <c r="BU215" s="182"/>
      <c r="BV215" s="182"/>
      <c r="BW215" s="182"/>
      <c r="BX215" s="182"/>
      <c r="BY215" s="182"/>
      <c r="BZ215" s="182"/>
      <c r="CA215" s="182"/>
      <c r="CB215" s="182"/>
      <c r="CC215" s="182"/>
      <c r="CD215" s="182"/>
      <c r="CE215" s="182"/>
      <c r="CF215" s="182"/>
      <c r="CG215" s="182"/>
      <c r="CH215" s="182"/>
      <c r="CI215" s="182"/>
      <c r="CJ215" s="182"/>
      <c r="CK215" s="647" t="s">
        <v>328</v>
      </c>
      <c r="CL215" s="648"/>
      <c r="CM215" s="649"/>
    </row>
    <row r="216" spans="1:91" s="344" customFormat="1">
      <c r="A216" s="331" t="s">
        <v>329</v>
      </c>
      <c r="B216" s="519" t="s">
        <v>100</v>
      </c>
      <c r="C216" s="519" t="s">
        <v>100</v>
      </c>
      <c r="D216" s="182"/>
      <c r="E216" s="519" t="s">
        <v>100</v>
      </c>
      <c r="F216" s="519" t="s">
        <v>100</v>
      </c>
      <c r="G216" s="519"/>
      <c r="H216" s="519" t="s">
        <v>100</v>
      </c>
      <c r="I216" s="519"/>
      <c r="J216" s="519"/>
      <c r="K216" s="519"/>
      <c r="L216" s="519" t="s">
        <v>100</v>
      </c>
      <c r="M216" s="519" t="s">
        <v>100</v>
      </c>
      <c r="N216" s="519"/>
      <c r="O216" s="519" t="s">
        <v>100</v>
      </c>
      <c r="P216" s="519"/>
      <c r="Q216" s="519" t="s">
        <v>100</v>
      </c>
      <c r="R216" s="519"/>
      <c r="S216" s="519" t="s">
        <v>100</v>
      </c>
      <c r="T216" s="519"/>
      <c r="U216" s="519"/>
      <c r="V216" s="519"/>
      <c r="W216" s="182"/>
      <c r="X216" s="182"/>
      <c r="Y216" s="182"/>
      <c r="Z216" s="182"/>
      <c r="AA216" s="182"/>
      <c r="AB216" s="182"/>
      <c r="AC216" s="182"/>
      <c r="AD216" s="182"/>
      <c r="AE216" s="182"/>
      <c r="AF216" s="182"/>
      <c r="AG216" s="182"/>
      <c r="AH216" s="182"/>
      <c r="AI216" s="167">
        <f t="shared" si="47"/>
        <v>10</v>
      </c>
      <c r="AJ216" s="340" t="str">
        <f>HYPERLINK("https://twitter.com/BrendanPrunty/status/944710722734485504","Twitter")</f>
        <v>Twitter</v>
      </c>
      <c r="AK216" s="341">
        <v>43092</v>
      </c>
      <c r="AL216" s="352"/>
      <c r="AM216" s="352"/>
      <c r="AN216" s="352"/>
      <c r="AO216" s="352"/>
      <c r="AP216" s="352"/>
      <c r="AQ216" s="352"/>
      <c r="AR216" s="352"/>
      <c r="AS216" s="352"/>
      <c r="AT216" s="352"/>
      <c r="AU216" s="352"/>
      <c r="AV216" s="352"/>
      <c r="AW216" s="352"/>
      <c r="AX216" s="352"/>
      <c r="AY216" s="352"/>
      <c r="AZ216" s="352"/>
      <c r="BA216" s="352"/>
      <c r="BB216" s="352"/>
      <c r="BC216" s="352"/>
      <c r="BD216" s="352"/>
      <c r="BE216" s="352"/>
      <c r="BF216" s="352"/>
      <c r="BG216" s="352"/>
      <c r="BH216" s="352"/>
      <c r="BI216" s="352"/>
      <c r="BJ216" s="352"/>
      <c r="BK216" s="470"/>
      <c r="BL216" s="339"/>
      <c r="BM216" s="339"/>
      <c r="BN216" s="182"/>
      <c r="BO216" s="182"/>
      <c r="BP216" s="182"/>
      <c r="BQ216" s="182"/>
      <c r="BR216" s="182"/>
      <c r="BS216" s="182"/>
      <c r="BT216" s="182"/>
      <c r="BU216" s="182"/>
      <c r="BV216" s="182"/>
      <c r="BW216" s="182"/>
      <c r="BX216" s="182"/>
      <c r="BY216" s="182"/>
      <c r="BZ216" s="182"/>
      <c r="CA216" s="182"/>
      <c r="CB216" s="182"/>
      <c r="CC216" s="182"/>
      <c r="CD216" s="182"/>
      <c r="CE216" s="182"/>
      <c r="CF216" s="182"/>
      <c r="CG216" s="182"/>
      <c r="CH216" s="182"/>
      <c r="CI216" s="182"/>
      <c r="CJ216" s="182"/>
      <c r="CK216" s="647" t="s">
        <v>330</v>
      </c>
      <c r="CL216" s="648"/>
      <c r="CM216" s="649"/>
    </row>
    <row r="217" spans="1:91" s="344" customFormat="1">
      <c r="A217" s="335" t="s">
        <v>331</v>
      </c>
      <c r="B217" s="519" t="s">
        <v>100</v>
      </c>
      <c r="C217" s="519" t="s">
        <v>100</v>
      </c>
      <c r="D217" s="182"/>
      <c r="E217" s="519" t="s">
        <v>100</v>
      </c>
      <c r="F217" s="522" t="s">
        <v>100</v>
      </c>
      <c r="G217" s="519"/>
      <c r="H217" s="519" t="s">
        <v>100</v>
      </c>
      <c r="I217" s="519"/>
      <c r="J217" s="519" t="s">
        <v>100</v>
      </c>
      <c r="K217" s="519"/>
      <c r="L217" s="519" t="s">
        <v>100</v>
      </c>
      <c r="M217" s="519"/>
      <c r="N217" s="519"/>
      <c r="O217" s="519"/>
      <c r="P217" s="519" t="s">
        <v>100</v>
      </c>
      <c r="Q217" s="519"/>
      <c r="R217" s="519"/>
      <c r="S217" s="519" t="s">
        <v>100</v>
      </c>
      <c r="T217" s="519"/>
      <c r="U217" s="519" t="s">
        <v>100</v>
      </c>
      <c r="V217" s="519"/>
      <c r="W217" s="182"/>
      <c r="X217" s="182"/>
      <c r="Y217" s="182"/>
      <c r="Z217" s="182"/>
      <c r="AA217" s="182"/>
      <c r="AB217" s="182"/>
      <c r="AC217" s="182"/>
      <c r="AD217" s="182"/>
      <c r="AE217" s="182"/>
      <c r="AF217" s="182"/>
      <c r="AG217" s="182"/>
      <c r="AH217" s="182"/>
      <c r="AI217" s="167">
        <f t="shared" si="47"/>
        <v>10</v>
      </c>
      <c r="AJ217" s="340" t="str">
        <f>HYPERLINK("https://twitter.com/NYPost_Mets/status/946774479656620032","Twitter")</f>
        <v>Twitter</v>
      </c>
      <c r="AK217" s="341">
        <v>43098</v>
      </c>
      <c r="AL217" s="352"/>
      <c r="AM217" s="352"/>
      <c r="AN217" s="352"/>
      <c r="AO217" s="352"/>
      <c r="AP217" s="352"/>
      <c r="AQ217" s="352"/>
      <c r="AR217" s="352"/>
      <c r="AS217" s="352"/>
      <c r="AT217" s="352"/>
      <c r="AU217" s="352"/>
      <c r="AV217" s="352"/>
      <c r="AW217" s="352"/>
      <c r="AX217" s="352"/>
      <c r="AY217" s="352"/>
      <c r="AZ217" s="352"/>
      <c r="BA217" s="352"/>
      <c r="BB217" s="352"/>
      <c r="BC217" s="352"/>
      <c r="BD217" s="352"/>
      <c r="BE217" s="352"/>
      <c r="BF217" s="352"/>
      <c r="BG217" s="352"/>
      <c r="BH217" s="352"/>
      <c r="BI217" s="352"/>
      <c r="BJ217" s="352"/>
      <c r="BK217" s="470"/>
      <c r="BL217" s="339"/>
      <c r="BM217" s="339"/>
      <c r="BN217" s="182"/>
      <c r="BO217" s="182"/>
      <c r="BP217" s="182"/>
      <c r="BQ217" s="182"/>
      <c r="BR217" s="182"/>
      <c r="BS217" s="182"/>
      <c r="BT217" s="182"/>
      <c r="BU217" s="182"/>
      <c r="BV217" s="182"/>
      <c r="BW217" s="182"/>
      <c r="BX217" s="182"/>
      <c r="BY217" s="182"/>
      <c r="BZ217" s="182"/>
      <c r="CA217" s="182"/>
      <c r="CB217" s="182"/>
      <c r="CC217" s="182"/>
      <c r="CD217" s="182"/>
      <c r="CE217" s="182"/>
      <c r="CF217" s="182"/>
      <c r="CG217" s="182"/>
      <c r="CH217" s="182"/>
      <c r="CI217" s="182"/>
      <c r="CJ217" s="182"/>
      <c r="CK217" s="621"/>
      <c r="CL217" s="622"/>
      <c r="CM217" s="623"/>
    </row>
    <row r="218" spans="1:91" s="344" customFormat="1">
      <c r="A218" s="335" t="s">
        <v>332</v>
      </c>
      <c r="B218" s="519"/>
      <c r="C218" s="519"/>
      <c r="D218" s="182"/>
      <c r="E218" s="519" t="s">
        <v>100</v>
      </c>
      <c r="F218" s="522" t="s">
        <v>100</v>
      </c>
      <c r="G218" s="519"/>
      <c r="H218" s="519"/>
      <c r="I218" s="519"/>
      <c r="J218" s="519"/>
      <c r="K218" s="519"/>
      <c r="L218" s="519"/>
      <c r="M218" s="519"/>
      <c r="N218" s="519"/>
      <c r="O218" s="519"/>
      <c r="P218" s="519"/>
      <c r="Q218" s="519"/>
      <c r="R218" s="519"/>
      <c r="S218" s="519"/>
      <c r="T218" s="519" t="s">
        <v>100</v>
      </c>
      <c r="U218" s="519"/>
      <c r="V218" s="519"/>
      <c r="W218" s="182"/>
      <c r="X218" s="182"/>
      <c r="Y218" s="182"/>
      <c r="Z218" s="182"/>
      <c r="AA218" s="182"/>
      <c r="AB218" s="182"/>
      <c r="AC218" s="182"/>
      <c r="AD218" s="182"/>
      <c r="AE218" s="182"/>
      <c r="AF218" s="182"/>
      <c r="AG218" s="182"/>
      <c r="AH218" s="182"/>
      <c r="AI218" s="167">
        <f t="shared" si="47"/>
        <v>3</v>
      </c>
      <c r="AJ218" s="530" t="s">
        <v>115</v>
      </c>
      <c r="AK218" s="341">
        <v>43106</v>
      </c>
      <c r="AL218" s="352"/>
      <c r="AM218" s="352"/>
      <c r="AN218" s="352"/>
      <c r="AO218" s="352"/>
      <c r="AP218" s="352"/>
      <c r="AQ218" s="352"/>
      <c r="AR218" s="352"/>
      <c r="AS218" s="352"/>
      <c r="AT218" s="352"/>
      <c r="AU218" s="352"/>
      <c r="AV218" s="352"/>
      <c r="AW218" s="352"/>
      <c r="AX218" s="352"/>
      <c r="AY218" s="352"/>
      <c r="AZ218" s="352"/>
      <c r="BA218" s="352"/>
      <c r="BB218" s="352"/>
      <c r="BC218" s="352"/>
      <c r="BD218" s="352"/>
      <c r="BE218" s="352"/>
      <c r="BF218" s="352"/>
      <c r="BG218" s="352"/>
      <c r="BH218" s="352"/>
      <c r="BI218" s="352"/>
      <c r="BJ218" s="352"/>
      <c r="BK218" s="470"/>
      <c r="BL218" s="339"/>
      <c r="BM218" s="339"/>
      <c r="BN218" s="182"/>
      <c r="BO218" s="182"/>
      <c r="BP218" s="182"/>
      <c r="BQ218" s="182"/>
      <c r="BR218" s="182"/>
      <c r="BS218" s="182"/>
      <c r="BT218" s="182"/>
      <c r="BU218" s="182"/>
      <c r="BV218" s="182"/>
      <c r="BW218" s="182"/>
      <c r="BX218" s="182"/>
      <c r="BY218" s="182"/>
      <c r="BZ218" s="182"/>
      <c r="CA218" s="182"/>
      <c r="CB218" s="182"/>
      <c r="CC218" s="182"/>
      <c r="CD218" s="182"/>
      <c r="CE218" s="182"/>
      <c r="CF218" s="182"/>
      <c r="CG218" s="182"/>
      <c r="CH218" s="182"/>
      <c r="CI218" s="182"/>
      <c r="CJ218" s="182"/>
      <c r="CK218" s="621"/>
      <c r="CL218" s="622"/>
      <c r="CM218" s="623"/>
    </row>
    <row r="219" spans="1:91" s="344" customFormat="1">
      <c r="A219" s="335" t="s">
        <v>333</v>
      </c>
      <c r="B219" s="519"/>
      <c r="C219" s="519"/>
      <c r="D219" s="182"/>
      <c r="E219" s="522" t="s">
        <v>100</v>
      </c>
      <c r="F219" s="519" t="s">
        <v>100</v>
      </c>
      <c r="G219" s="519"/>
      <c r="H219" s="519" t="s">
        <v>100</v>
      </c>
      <c r="I219" s="519"/>
      <c r="J219" s="519"/>
      <c r="K219" s="519"/>
      <c r="L219" s="519"/>
      <c r="M219" s="519"/>
      <c r="N219" s="519"/>
      <c r="O219" s="519"/>
      <c r="P219" s="519"/>
      <c r="Q219" s="519"/>
      <c r="R219" s="519"/>
      <c r="S219" s="519" t="s">
        <v>100</v>
      </c>
      <c r="T219" s="519"/>
      <c r="U219" s="519"/>
      <c r="V219" s="519"/>
      <c r="W219" s="182"/>
      <c r="X219" s="182"/>
      <c r="Y219" s="182"/>
      <c r="Z219" s="182"/>
      <c r="AA219" s="182"/>
      <c r="AB219" s="182"/>
      <c r="AC219" s="182"/>
      <c r="AD219" s="182"/>
      <c r="AE219" s="182"/>
      <c r="AF219" s="182"/>
      <c r="AG219" s="182"/>
      <c r="AH219" s="182"/>
      <c r="AI219" s="167">
        <f t="shared" si="47"/>
        <v>4</v>
      </c>
      <c r="AJ219" s="340" t="str">
        <f>HYPERLINK("https://twitter.com/RobRains/status/955491712377540608","Twitter")</f>
        <v>Twitter</v>
      </c>
      <c r="AK219" s="341">
        <v>43122</v>
      </c>
      <c r="AL219" s="352"/>
      <c r="AM219" s="352"/>
      <c r="AN219" s="352"/>
      <c r="AO219" s="352"/>
      <c r="AP219" s="352"/>
      <c r="AQ219" s="352"/>
      <c r="AR219" s="352"/>
      <c r="AS219" s="352"/>
      <c r="AT219" s="352"/>
      <c r="AU219" s="352"/>
      <c r="AV219" s="352"/>
      <c r="AW219" s="352"/>
      <c r="AX219" s="352"/>
      <c r="AY219" s="352"/>
      <c r="AZ219" s="352"/>
      <c r="BA219" s="352"/>
      <c r="BB219" s="352"/>
      <c r="BC219" s="352"/>
      <c r="BD219" s="352"/>
      <c r="BE219" s="352"/>
      <c r="BF219" s="352"/>
      <c r="BG219" s="352"/>
      <c r="BH219" s="352"/>
      <c r="BI219" s="352"/>
      <c r="BJ219" s="352"/>
      <c r="BK219" s="470"/>
      <c r="BL219" s="339"/>
      <c r="BM219" s="339"/>
      <c r="BN219" s="182"/>
      <c r="BO219" s="182"/>
      <c r="BP219" s="182"/>
      <c r="BQ219" s="182"/>
      <c r="BR219" s="182"/>
      <c r="BS219" s="182"/>
      <c r="BT219" s="182"/>
      <c r="BU219" s="182"/>
      <c r="BV219" s="182"/>
      <c r="BW219" s="182"/>
      <c r="BX219" s="182"/>
      <c r="BY219" s="182"/>
      <c r="BZ219" s="182"/>
      <c r="CA219" s="182"/>
      <c r="CB219" s="182"/>
      <c r="CC219" s="182"/>
      <c r="CD219" s="182"/>
      <c r="CE219" s="182"/>
      <c r="CF219" s="182"/>
      <c r="CG219" s="182"/>
      <c r="CH219" s="182"/>
      <c r="CI219" s="182"/>
      <c r="CJ219" s="182"/>
      <c r="CK219" s="621"/>
      <c r="CL219" s="622"/>
      <c r="CM219" s="623"/>
    </row>
    <row r="220" spans="1:91" s="344" customFormat="1">
      <c r="A220" s="331" t="s">
        <v>334</v>
      </c>
      <c r="B220" s="519" t="s">
        <v>100</v>
      </c>
      <c r="C220" s="519" t="s">
        <v>100</v>
      </c>
      <c r="D220" s="182"/>
      <c r="E220" s="519" t="s">
        <v>100</v>
      </c>
      <c r="F220" s="519" t="s">
        <v>100</v>
      </c>
      <c r="G220" s="519"/>
      <c r="H220" s="519" t="s">
        <v>100</v>
      </c>
      <c r="I220" s="519"/>
      <c r="J220" s="519" t="s">
        <v>100</v>
      </c>
      <c r="K220" s="519"/>
      <c r="L220" s="519"/>
      <c r="M220" s="519" t="s">
        <v>100</v>
      </c>
      <c r="N220" s="519"/>
      <c r="O220" s="519"/>
      <c r="P220" s="519" t="s">
        <v>100</v>
      </c>
      <c r="Q220" s="519"/>
      <c r="R220" s="519" t="s">
        <v>100</v>
      </c>
      <c r="S220" s="519" t="s">
        <v>100</v>
      </c>
      <c r="T220" s="519"/>
      <c r="U220" s="519"/>
      <c r="V220" s="519"/>
      <c r="W220" s="182"/>
      <c r="X220" s="182"/>
      <c r="Y220" s="182"/>
      <c r="Z220" s="182"/>
      <c r="AA220" s="182"/>
      <c r="AB220" s="182"/>
      <c r="AC220" s="182"/>
      <c r="AD220" s="182"/>
      <c r="AE220" s="182"/>
      <c r="AF220" s="182"/>
      <c r="AG220" s="182"/>
      <c r="AH220" s="182"/>
      <c r="AI220" s="167">
        <f t="shared" si="47"/>
        <v>10</v>
      </c>
      <c r="AJ220" s="340" t="str">
        <f>HYPERLINK("https://twitter.com/luirangel/status/938761781639630848","Twitter")</f>
        <v>Twitter</v>
      </c>
      <c r="AK220" s="341">
        <v>43076</v>
      </c>
      <c r="AL220" s="352"/>
      <c r="AM220" s="352"/>
      <c r="AN220" s="352"/>
      <c r="AO220" s="352"/>
      <c r="AP220" s="352"/>
      <c r="AQ220" s="352"/>
      <c r="AR220" s="352"/>
      <c r="AS220" s="352"/>
      <c r="AT220" s="352"/>
      <c r="AU220" s="352"/>
      <c r="AV220" s="352"/>
      <c r="AW220" s="352"/>
      <c r="AX220" s="352"/>
      <c r="AY220" s="352"/>
      <c r="AZ220" s="352"/>
      <c r="BA220" s="352"/>
      <c r="BB220" s="352"/>
      <c r="BC220" s="352"/>
      <c r="BD220" s="352"/>
      <c r="BE220" s="352"/>
      <c r="BF220" s="352"/>
      <c r="BG220" s="352"/>
      <c r="BH220" s="352"/>
      <c r="BI220" s="352"/>
      <c r="BJ220" s="352"/>
      <c r="BK220" s="470"/>
      <c r="BL220" s="339"/>
      <c r="BM220" s="339"/>
      <c r="BN220" s="182"/>
      <c r="BO220" s="182"/>
      <c r="BP220" s="182"/>
      <c r="BQ220" s="182"/>
      <c r="BR220" s="182"/>
      <c r="BS220" s="182"/>
      <c r="BT220" s="182"/>
      <c r="BU220" s="182"/>
      <c r="BV220" s="182"/>
      <c r="BW220" s="182"/>
      <c r="BX220" s="182"/>
      <c r="BY220" s="182"/>
      <c r="BZ220" s="182"/>
      <c r="CA220" s="182"/>
      <c r="CB220" s="182"/>
      <c r="CC220" s="182"/>
      <c r="CD220" s="182"/>
      <c r="CE220" s="182"/>
      <c r="CF220" s="182"/>
      <c r="CG220" s="182"/>
      <c r="CH220" s="182"/>
      <c r="CI220" s="182"/>
      <c r="CJ220" s="182"/>
      <c r="CK220" s="647" t="s">
        <v>335</v>
      </c>
      <c r="CL220" s="648"/>
      <c r="CM220" s="649"/>
    </row>
    <row r="221" spans="1:91" s="344" customFormat="1">
      <c r="A221" s="335" t="s">
        <v>336</v>
      </c>
      <c r="B221" s="519"/>
      <c r="C221" s="519"/>
      <c r="D221" s="182"/>
      <c r="E221" s="519" t="s">
        <v>100</v>
      </c>
      <c r="F221" s="519" t="s">
        <v>100</v>
      </c>
      <c r="G221" s="519"/>
      <c r="H221" s="519" t="s">
        <v>100</v>
      </c>
      <c r="I221" s="522" t="s">
        <v>100</v>
      </c>
      <c r="J221" s="519" t="s">
        <v>100</v>
      </c>
      <c r="K221" s="519"/>
      <c r="L221" s="519" t="s">
        <v>100</v>
      </c>
      <c r="M221" s="519"/>
      <c r="N221" s="519"/>
      <c r="O221" s="519"/>
      <c r="P221" s="519" t="s">
        <v>100</v>
      </c>
      <c r="Q221" s="519"/>
      <c r="R221" s="519"/>
      <c r="S221" s="519" t="s">
        <v>100</v>
      </c>
      <c r="T221" s="519" t="s">
        <v>100</v>
      </c>
      <c r="U221" s="519"/>
      <c r="V221" s="519" t="s">
        <v>100</v>
      </c>
      <c r="W221" s="182"/>
      <c r="X221" s="182"/>
      <c r="Y221" s="182"/>
      <c r="Z221" s="182"/>
      <c r="AA221" s="182"/>
      <c r="AB221" s="182"/>
      <c r="AC221" s="182"/>
      <c r="AD221" s="182"/>
      <c r="AE221" s="182"/>
      <c r="AF221" s="182"/>
      <c r="AG221" s="182"/>
      <c r="AH221" s="182"/>
      <c r="AI221" s="167">
        <f t="shared" si="47"/>
        <v>10</v>
      </c>
      <c r="AJ221" s="340" t="str">
        <f>HYPERLINK("https://twitter.com/TroyRenck/status/956163386215157760","Twitter")</f>
        <v>Twitter</v>
      </c>
      <c r="AK221" s="341" t="s">
        <v>337</v>
      </c>
      <c r="AL221" s="352"/>
      <c r="AM221" s="352"/>
      <c r="AN221" s="352"/>
      <c r="AO221" s="352"/>
      <c r="AP221" s="352"/>
      <c r="AQ221" s="352"/>
      <c r="AR221" s="352"/>
      <c r="AS221" s="352"/>
      <c r="AT221" s="352"/>
      <c r="AU221" s="352"/>
      <c r="AV221" s="352"/>
      <c r="AW221" s="352"/>
      <c r="AX221" s="352"/>
      <c r="AY221" s="352"/>
      <c r="AZ221" s="352"/>
      <c r="BA221" s="352"/>
      <c r="BB221" s="352"/>
      <c r="BC221" s="352"/>
      <c r="BD221" s="352"/>
      <c r="BE221" s="352"/>
      <c r="BF221" s="352"/>
      <c r="BG221" s="352"/>
      <c r="BH221" s="352"/>
      <c r="BI221" s="352"/>
      <c r="BJ221" s="352"/>
      <c r="BK221" s="470"/>
      <c r="BL221" s="339"/>
      <c r="BM221" s="339"/>
      <c r="BN221" s="182"/>
      <c r="BO221" s="182"/>
      <c r="BP221" s="182"/>
      <c r="BQ221" s="182"/>
      <c r="BR221" s="182"/>
      <c r="BS221" s="182"/>
      <c r="BT221" s="182"/>
      <c r="BU221" s="182"/>
      <c r="BV221" s="182"/>
      <c r="BW221" s="182"/>
      <c r="BX221" s="182"/>
      <c r="BY221" s="182"/>
      <c r="BZ221" s="182"/>
      <c r="CA221" s="182"/>
      <c r="CB221" s="182"/>
      <c r="CC221" s="182"/>
      <c r="CD221" s="182"/>
      <c r="CE221" s="182"/>
      <c r="CF221" s="182"/>
      <c r="CG221" s="182"/>
      <c r="CH221" s="182"/>
      <c r="CI221" s="182"/>
      <c r="CJ221" s="182"/>
      <c r="CK221" s="621"/>
      <c r="CL221" s="622"/>
      <c r="CM221" s="623"/>
    </row>
    <row r="222" spans="1:91" s="344" customFormat="1">
      <c r="A222" s="335" t="s">
        <v>338</v>
      </c>
      <c r="B222" s="519"/>
      <c r="C222" s="519"/>
      <c r="D222" s="182"/>
      <c r="E222" s="519" t="s">
        <v>100</v>
      </c>
      <c r="F222" s="519" t="s">
        <v>100</v>
      </c>
      <c r="G222" s="519"/>
      <c r="H222" s="519" t="s">
        <v>100</v>
      </c>
      <c r="I222" s="522" t="s">
        <v>100</v>
      </c>
      <c r="J222" s="519" t="s">
        <v>100</v>
      </c>
      <c r="K222" s="519"/>
      <c r="L222" s="519" t="s">
        <v>100</v>
      </c>
      <c r="M222" s="519"/>
      <c r="N222" s="519"/>
      <c r="O222" s="519"/>
      <c r="P222" s="519" t="s">
        <v>100</v>
      </c>
      <c r="Q222" s="519"/>
      <c r="R222" s="519"/>
      <c r="S222" s="519" t="s">
        <v>100</v>
      </c>
      <c r="T222" s="519" t="s">
        <v>100</v>
      </c>
      <c r="U222" s="519"/>
      <c r="V222" s="519" t="s">
        <v>100</v>
      </c>
      <c r="W222" s="182"/>
      <c r="X222" s="182"/>
      <c r="Y222" s="182"/>
      <c r="Z222" s="182"/>
      <c r="AA222" s="182"/>
      <c r="AB222" s="182"/>
      <c r="AC222" s="182"/>
      <c r="AD222" s="182"/>
      <c r="AE222" s="182"/>
      <c r="AF222" s="182"/>
      <c r="AG222" s="182"/>
      <c r="AH222" s="182"/>
      <c r="AI222" s="167">
        <f t="shared" si="47"/>
        <v>10</v>
      </c>
      <c r="AJ222" s="530" t="s">
        <v>113</v>
      </c>
      <c r="AK222" s="341">
        <v>43104</v>
      </c>
      <c r="AL222" s="352"/>
      <c r="AM222" s="352"/>
      <c r="AN222" s="352"/>
      <c r="AO222" s="352"/>
      <c r="AP222" s="352"/>
      <c r="AQ222" s="352"/>
      <c r="AR222" s="352"/>
      <c r="AS222" s="352"/>
      <c r="AT222" s="352"/>
      <c r="AU222" s="352"/>
      <c r="AV222" s="352"/>
      <c r="AW222" s="352"/>
      <c r="AX222" s="352"/>
      <c r="AY222" s="352"/>
      <c r="AZ222" s="352"/>
      <c r="BA222" s="352"/>
      <c r="BB222" s="352"/>
      <c r="BC222" s="352"/>
      <c r="BD222" s="352"/>
      <c r="BE222" s="352"/>
      <c r="BF222" s="352"/>
      <c r="BG222" s="352"/>
      <c r="BH222" s="352"/>
      <c r="BI222" s="352"/>
      <c r="BJ222" s="352"/>
      <c r="BK222" s="470"/>
      <c r="BL222" s="339"/>
      <c r="BM222" s="339"/>
      <c r="BN222" s="182"/>
      <c r="BO222" s="182"/>
      <c r="BP222" s="182"/>
      <c r="BQ222" s="182"/>
      <c r="BR222" s="182"/>
      <c r="BS222" s="182"/>
      <c r="BT222" s="182"/>
      <c r="BU222" s="182"/>
      <c r="BV222" s="182"/>
      <c r="BW222" s="182"/>
      <c r="BX222" s="182"/>
      <c r="BY222" s="182"/>
      <c r="BZ222" s="182"/>
      <c r="CA222" s="182"/>
      <c r="CB222" s="182"/>
      <c r="CC222" s="182"/>
      <c r="CD222" s="182"/>
      <c r="CE222" s="182"/>
      <c r="CF222" s="182"/>
      <c r="CG222" s="182"/>
      <c r="CH222" s="182"/>
      <c r="CI222" s="182"/>
      <c r="CJ222" s="182"/>
      <c r="CK222" s="621"/>
      <c r="CL222" s="622"/>
      <c r="CM222" s="623"/>
    </row>
    <row r="223" spans="1:91" s="344" customFormat="1">
      <c r="A223" s="335" t="s">
        <v>339</v>
      </c>
      <c r="B223" s="519" t="s">
        <v>100</v>
      </c>
      <c r="C223" s="519" t="s">
        <v>100</v>
      </c>
      <c r="D223" s="182"/>
      <c r="E223" s="522" t="s">
        <v>100</v>
      </c>
      <c r="F223" s="519" t="s">
        <v>100</v>
      </c>
      <c r="G223" s="519"/>
      <c r="H223" s="519" t="s">
        <v>100</v>
      </c>
      <c r="I223" s="519"/>
      <c r="J223" s="519" t="s">
        <v>100</v>
      </c>
      <c r="K223" s="519"/>
      <c r="L223" s="522" t="s">
        <v>100</v>
      </c>
      <c r="M223" s="519" t="s">
        <v>100</v>
      </c>
      <c r="N223" s="519"/>
      <c r="O223" s="519"/>
      <c r="P223" s="519"/>
      <c r="Q223" s="519"/>
      <c r="R223" s="519"/>
      <c r="S223" s="519" t="s">
        <v>100</v>
      </c>
      <c r="T223" s="519"/>
      <c r="U223" s="519"/>
      <c r="V223" s="519" t="s">
        <v>100</v>
      </c>
      <c r="W223" s="182"/>
      <c r="X223" s="182"/>
      <c r="Y223" s="182"/>
      <c r="Z223" s="182"/>
      <c r="AA223" s="182"/>
      <c r="AB223" s="182"/>
      <c r="AC223" s="182"/>
      <c r="AD223" s="182"/>
      <c r="AE223" s="182"/>
      <c r="AF223" s="182"/>
      <c r="AG223" s="182"/>
      <c r="AH223" s="182"/>
      <c r="AI223" s="167">
        <f t="shared" si="47"/>
        <v>10</v>
      </c>
      <c r="AJ223" s="340" t="str">
        <f>HYPERLINK("https://twitter.com/ByTimReynolds/status/947130603840901122","Twitter")</f>
        <v>Twitter</v>
      </c>
      <c r="AK223" s="341">
        <v>43099</v>
      </c>
      <c r="AL223" s="352"/>
      <c r="AM223" s="352"/>
      <c r="AN223" s="352"/>
      <c r="AO223" s="352"/>
      <c r="AP223" s="352"/>
      <c r="AQ223" s="352"/>
      <c r="AR223" s="352"/>
      <c r="AS223" s="352"/>
      <c r="AT223" s="352"/>
      <c r="AU223" s="352"/>
      <c r="AV223" s="352"/>
      <c r="AW223" s="352"/>
      <c r="AX223" s="352"/>
      <c r="AY223" s="352"/>
      <c r="AZ223" s="352"/>
      <c r="BA223" s="352"/>
      <c r="BB223" s="352"/>
      <c r="BC223" s="352"/>
      <c r="BD223" s="352"/>
      <c r="BE223" s="352"/>
      <c r="BF223" s="352"/>
      <c r="BG223" s="352"/>
      <c r="BH223" s="352"/>
      <c r="BI223" s="352"/>
      <c r="BJ223" s="352"/>
      <c r="BK223" s="470"/>
      <c r="BL223" s="339"/>
      <c r="BM223" s="339"/>
      <c r="BN223" s="182"/>
      <c r="BO223" s="182"/>
      <c r="BP223" s="182"/>
      <c r="BQ223" s="182"/>
      <c r="BR223" s="182"/>
      <c r="BS223" s="182"/>
      <c r="BT223" s="182"/>
      <c r="BU223" s="182"/>
      <c r="BV223" s="182"/>
      <c r="BW223" s="182"/>
      <c r="BX223" s="182"/>
      <c r="BY223" s="182"/>
      <c r="BZ223" s="182"/>
      <c r="CA223" s="182"/>
      <c r="CB223" s="182"/>
      <c r="CC223" s="182"/>
      <c r="CD223" s="182"/>
      <c r="CE223" s="182"/>
      <c r="CF223" s="182"/>
      <c r="CG223" s="182"/>
      <c r="CH223" s="182"/>
      <c r="CI223" s="182"/>
      <c r="CJ223" s="182"/>
      <c r="CK223" s="647"/>
      <c r="CL223" s="648"/>
      <c r="CM223" s="649"/>
    </row>
    <row r="224" spans="1:91" s="344" customFormat="1" ht="12.75" customHeight="1">
      <c r="A224" s="335" t="s">
        <v>340</v>
      </c>
      <c r="B224" s="519" t="s">
        <v>100</v>
      </c>
      <c r="C224" s="519" t="s">
        <v>100</v>
      </c>
      <c r="D224" s="182"/>
      <c r="E224" s="519" t="s">
        <v>100</v>
      </c>
      <c r="F224" s="519" t="s">
        <v>100</v>
      </c>
      <c r="G224" s="519"/>
      <c r="H224" s="519" t="s">
        <v>100</v>
      </c>
      <c r="I224" s="523"/>
      <c r="J224" s="519"/>
      <c r="K224" s="519"/>
      <c r="L224" s="519" t="s">
        <v>100</v>
      </c>
      <c r="M224" s="519" t="s">
        <v>100</v>
      </c>
      <c r="N224" s="519"/>
      <c r="O224" s="519"/>
      <c r="P224" s="519" t="s">
        <v>100</v>
      </c>
      <c r="Q224" s="519"/>
      <c r="R224" s="519"/>
      <c r="S224" s="519" t="s">
        <v>100</v>
      </c>
      <c r="T224" s="519" t="s">
        <v>100</v>
      </c>
      <c r="U224" s="519"/>
      <c r="V224" s="519"/>
      <c r="W224" s="182"/>
      <c r="X224" s="182"/>
      <c r="Y224" s="182"/>
      <c r="Z224" s="182"/>
      <c r="AA224" s="182"/>
      <c r="AB224" s="182"/>
      <c r="AC224" s="182"/>
      <c r="AD224" s="182"/>
      <c r="AE224" s="182"/>
      <c r="AF224" s="182"/>
      <c r="AG224" s="182"/>
      <c r="AH224" s="182"/>
      <c r="AI224" s="167">
        <f t="shared" si="47"/>
        <v>10</v>
      </c>
      <c r="AJ224" s="340" t="str">
        <f>HYPERLINK("https://www.newsday.com/sports/baseball/2018-baseball-hall-of-fame-ballot-by-newsday-s-anthony-rieber-1.15102317?utm_content=buffer65f25&amp;utm_medium=social&amp;utm_source=twitter.com&amp;utm_campaign=buffer","Newsday")</f>
        <v>Newsday</v>
      </c>
      <c r="AK224" s="341">
        <v>43061</v>
      </c>
      <c r="AL224" s="352"/>
      <c r="AM224" s="352"/>
      <c r="AN224" s="352"/>
      <c r="AO224" s="352"/>
      <c r="AP224" s="352"/>
      <c r="AQ224" s="352"/>
      <c r="AR224" s="352"/>
      <c r="AS224" s="352"/>
      <c r="AT224" s="352"/>
      <c r="AU224" s="352"/>
      <c r="AV224" s="352"/>
      <c r="AW224" s="352"/>
      <c r="AX224" s="352"/>
      <c r="AY224" s="352"/>
      <c r="AZ224" s="352"/>
      <c r="BA224" s="352"/>
      <c r="BB224" s="352"/>
      <c r="BC224" s="352"/>
      <c r="BD224" s="352"/>
      <c r="BE224" s="352"/>
      <c r="BF224" s="352"/>
      <c r="BG224" s="352"/>
      <c r="BH224" s="352"/>
      <c r="BI224" s="352"/>
      <c r="BJ224" s="352"/>
      <c r="BK224" s="470"/>
      <c r="BL224" s="339"/>
      <c r="BM224" s="339"/>
      <c r="BN224" s="182"/>
      <c r="BO224" s="182"/>
      <c r="BP224" s="182"/>
      <c r="BQ224" s="182"/>
      <c r="BR224" s="182"/>
      <c r="BS224" s="182"/>
      <c r="BT224" s="182"/>
      <c r="BU224" s="182"/>
      <c r="BV224" s="182"/>
      <c r="BW224" s="182"/>
      <c r="BX224" s="182"/>
      <c r="BY224" s="182"/>
      <c r="BZ224" s="182"/>
      <c r="CA224" s="182"/>
      <c r="CB224" s="182"/>
      <c r="CC224" s="182"/>
      <c r="CD224" s="182"/>
      <c r="CE224" s="182"/>
      <c r="CF224" s="182"/>
      <c r="CG224" s="182"/>
      <c r="CH224" s="182"/>
      <c r="CI224" s="182"/>
      <c r="CJ224" s="182"/>
      <c r="CK224" s="618"/>
      <c r="CL224" s="619"/>
      <c r="CM224" s="620"/>
    </row>
    <row r="225" spans="1:91" s="344" customFormat="1" ht="12.75" customHeight="1">
      <c r="A225" s="335" t="s">
        <v>341</v>
      </c>
      <c r="B225" s="519" t="s">
        <v>100</v>
      </c>
      <c r="C225" s="519" t="s">
        <v>100</v>
      </c>
      <c r="D225" s="182"/>
      <c r="E225" s="522" t="s">
        <v>100</v>
      </c>
      <c r="F225" s="519" t="s">
        <v>100</v>
      </c>
      <c r="G225" s="519"/>
      <c r="H225" s="519" t="s">
        <v>100</v>
      </c>
      <c r="I225" s="519"/>
      <c r="J225" s="522" t="s">
        <v>100</v>
      </c>
      <c r="K225" s="523"/>
      <c r="L225" s="519" t="s">
        <v>100</v>
      </c>
      <c r="M225" s="519"/>
      <c r="N225" s="519"/>
      <c r="O225" s="519"/>
      <c r="P225" s="519"/>
      <c r="Q225" s="519"/>
      <c r="R225" s="519"/>
      <c r="S225" s="519" t="s">
        <v>100</v>
      </c>
      <c r="T225" s="519"/>
      <c r="U225" s="519"/>
      <c r="V225" s="519" t="s">
        <v>100</v>
      </c>
      <c r="W225" s="182"/>
      <c r="X225" s="182"/>
      <c r="Y225" s="182"/>
      <c r="Z225" s="182"/>
      <c r="AA225" s="182"/>
      <c r="AB225" s="182"/>
      <c r="AC225" s="182"/>
      <c r="AD225" s="182"/>
      <c r="AE225" s="182"/>
      <c r="AF225" s="182"/>
      <c r="AG225" s="182"/>
      <c r="AH225" s="182"/>
      <c r="AI225" s="167">
        <f t="shared" si="47"/>
        <v>9</v>
      </c>
      <c r="AJ225" s="340" t="str">
        <f>HYPERLINK("http://insidetheseams.com/hof-my-ballot-walker-gaining-ground/","InsideTheSeams.com")</f>
        <v>InsideTheSeams.com</v>
      </c>
      <c r="AK225" s="341">
        <v>43101</v>
      </c>
      <c r="AL225" s="352"/>
      <c r="AM225" s="352"/>
      <c r="AN225" s="352"/>
      <c r="AO225" s="352"/>
      <c r="AP225" s="352"/>
      <c r="AQ225" s="352"/>
      <c r="AR225" s="352"/>
      <c r="AS225" s="352"/>
      <c r="AT225" s="352"/>
      <c r="AU225" s="352"/>
      <c r="AV225" s="352"/>
      <c r="AW225" s="352"/>
      <c r="AX225" s="352"/>
      <c r="AY225" s="352"/>
      <c r="AZ225" s="352"/>
      <c r="BA225" s="352"/>
      <c r="BB225" s="352"/>
      <c r="BC225" s="352"/>
      <c r="BD225" s="352"/>
      <c r="BE225" s="352"/>
      <c r="BF225" s="352"/>
      <c r="BG225" s="352"/>
      <c r="BH225" s="352"/>
      <c r="BI225" s="352"/>
      <c r="BJ225" s="352"/>
      <c r="BK225" s="470"/>
      <c r="BL225" s="339"/>
      <c r="BM225" s="339"/>
      <c r="BN225" s="182"/>
      <c r="BO225" s="182"/>
      <c r="BP225" s="182"/>
      <c r="BQ225" s="182"/>
      <c r="BR225" s="182"/>
      <c r="BS225" s="182"/>
      <c r="BT225" s="182"/>
      <c r="BU225" s="182"/>
      <c r="BV225" s="182"/>
      <c r="BW225" s="182"/>
      <c r="BX225" s="182"/>
      <c r="BY225" s="182"/>
      <c r="BZ225" s="182"/>
      <c r="CA225" s="182"/>
      <c r="CB225" s="182"/>
      <c r="CC225" s="182"/>
      <c r="CD225" s="182"/>
      <c r="CE225" s="182"/>
      <c r="CF225" s="182"/>
      <c r="CG225" s="182"/>
      <c r="CH225" s="182"/>
      <c r="CI225" s="182"/>
      <c r="CJ225" s="182"/>
      <c r="CK225" s="618"/>
      <c r="CL225" s="619"/>
      <c r="CM225" s="620"/>
    </row>
    <row r="226" spans="1:91" s="344" customFormat="1" ht="12.75" customHeight="1">
      <c r="A226" s="335" t="s">
        <v>342</v>
      </c>
      <c r="B226" s="519"/>
      <c r="C226" s="519"/>
      <c r="D226" s="182"/>
      <c r="E226" s="522" t="s">
        <v>100</v>
      </c>
      <c r="F226" s="519"/>
      <c r="G226" s="519"/>
      <c r="H226" s="519" t="s">
        <v>100</v>
      </c>
      <c r="I226" s="519"/>
      <c r="J226" s="519"/>
      <c r="K226" s="519"/>
      <c r="L226" s="519" t="s">
        <v>100</v>
      </c>
      <c r="M226" s="519"/>
      <c r="N226" s="519"/>
      <c r="O226" s="519"/>
      <c r="P226" s="519" t="s">
        <v>100</v>
      </c>
      <c r="Q226" s="519"/>
      <c r="R226" s="519"/>
      <c r="S226" s="519" t="s">
        <v>100</v>
      </c>
      <c r="T226" s="519" t="s">
        <v>100</v>
      </c>
      <c r="U226" s="519"/>
      <c r="V226" s="519" t="s">
        <v>100</v>
      </c>
      <c r="W226" s="182"/>
      <c r="X226" s="182"/>
      <c r="Y226" s="182"/>
      <c r="Z226" s="182"/>
      <c r="AA226" s="182"/>
      <c r="AB226" s="182"/>
      <c r="AC226" s="182"/>
      <c r="AD226" s="182"/>
      <c r="AE226" s="182"/>
      <c r="AF226" s="182"/>
      <c r="AG226" s="182"/>
      <c r="AH226" s="182"/>
      <c r="AI226" s="167">
        <f t="shared" si="47"/>
        <v>7</v>
      </c>
      <c r="AJ226" s="340" t="str">
        <f>HYPERLINK("https://twitter.com/philgrogers/status/946076505616076800","Twitter")</f>
        <v>Twitter</v>
      </c>
      <c r="AK226" s="341">
        <v>43096</v>
      </c>
      <c r="AL226" s="352"/>
      <c r="AM226" s="352"/>
      <c r="AN226" s="352"/>
      <c r="AO226" s="352"/>
      <c r="AP226" s="352"/>
      <c r="AQ226" s="352"/>
      <c r="AR226" s="352"/>
      <c r="AS226" s="352"/>
      <c r="AT226" s="352"/>
      <c r="AU226" s="352"/>
      <c r="AV226" s="352"/>
      <c r="AW226" s="352"/>
      <c r="AX226" s="352"/>
      <c r="AY226" s="352"/>
      <c r="AZ226" s="352"/>
      <c r="BA226" s="352"/>
      <c r="BB226" s="352"/>
      <c r="BC226" s="352"/>
      <c r="BD226" s="352"/>
      <c r="BE226" s="352"/>
      <c r="BF226" s="352"/>
      <c r="BG226" s="352"/>
      <c r="BH226" s="352"/>
      <c r="BI226" s="352"/>
      <c r="BJ226" s="352"/>
      <c r="BK226" s="470"/>
      <c r="BL226" s="339"/>
      <c r="BM226" s="339"/>
      <c r="BN226" s="182"/>
      <c r="BO226" s="182"/>
      <c r="BP226" s="182"/>
      <c r="BQ226" s="182"/>
      <c r="BR226" s="182"/>
      <c r="BS226" s="182"/>
      <c r="BT226" s="182"/>
      <c r="BU226" s="182"/>
      <c r="BV226" s="182"/>
      <c r="BW226" s="182"/>
      <c r="BX226" s="182"/>
      <c r="BY226" s="182"/>
      <c r="BZ226" s="182"/>
      <c r="CA226" s="182"/>
      <c r="CB226" s="182"/>
      <c r="CC226" s="182"/>
      <c r="CD226" s="182"/>
      <c r="CE226" s="182"/>
      <c r="CF226" s="182"/>
      <c r="CG226" s="182"/>
      <c r="CH226" s="182"/>
      <c r="CI226" s="182"/>
      <c r="CJ226" s="182"/>
      <c r="CK226" s="618"/>
      <c r="CL226" s="619"/>
      <c r="CM226" s="620"/>
    </row>
    <row r="227" spans="1:91" s="344" customFormat="1">
      <c r="A227" s="335" t="s">
        <v>343</v>
      </c>
      <c r="B227" s="519" t="s">
        <v>100</v>
      </c>
      <c r="C227" s="519" t="s">
        <v>100</v>
      </c>
      <c r="D227" s="182"/>
      <c r="E227" s="522" t="s">
        <v>100</v>
      </c>
      <c r="F227" s="522" t="s">
        <v>100</v>
      </c>
      <c r="G227" s="519"/>
      <c r="H227" s="519" t="s">
        <v>100</v>
      </c>
      <c r="I227" s="519"/>
      <c r="J227" s="519" t="s">
        <v>100</v>
      </c>
      <c r="K227" s="523"/>
      <c r="L227" s="519" t="s">
        <v>100</v>
      </c>
      <c r="M227" s="519" t="s">
        <v>100</v>
      </c>
      <c r="N227" s="519"/>
      <c r="O227" s="519"/>
      <c r="P227" s="519" t="s">
        <v>100</v>
      </c>
      <c r="Q227" s="519"/>
      <c r="R227" s="519"/>
      <c r="S227" s="519" t="s">
        <v>100</v>
      </c>
      <c r="T227" s="519"/>
      <c r="U227" s="519"/>
      <c r="V227" s="519"/>
      <c r="W227" s="182"/>
      <c r="X227" s="182"/>
      <c r="Y227" s="182"/>
      <c r="Z227" s="182"/>
      <c r="AA227" s="182"/>
      <c r="AB227" s="182"/>
      <c r="AC227" s="182"/>
      <c r="AD227" s="182"/>
      <c r="AE227" s="182"/>
      <c r="AF227" s="182"/>
      <c r="AG227" s="182"/>
      <c r="AH227" s="182"/>
      <c r="AI227" s="167">
        <f t="shared" si="47"/>
        <v>10</v>
      </c>
      <c r="AJ227" s="530" t="s">
        <v>344</v>
      </c>
      <c r="AK227" s="341">
        <v>43089</v>
      </c>
      <c r="AL227" s="352"/>
      <c r="AM227" s="352"/>
      <c r="AN227" s="352"/>
      <c r="AO227" s="352"/>
      <c r="AP227" s="352"/>
      <c r="AQ227" s="352"/>
      <c r="AR227" s="352"/>
      <c r="AS227" s="352"/>
      <c r="AT227" s="352"/>
      <c r="AU227" s="352"/>
      <c r="AV227" s="352"/>
      <c r="AW227" s="352"/>
      <c r="AX227" s="352"/>
      <c r="AY227" s="352"/>
      <c r="AZ227" s="352"/>
      <c r="BA227" s="352"/>
      <c r="BB227" s="352"/>
      <c r="BC227" s="352"/>
      <c r="BD227" s="352"/>
      <c r="BE227" s="352"/>
      <c r="BF227" s="352"/>
      <c r="BG227" s="352"/>
      <c r="BH227" s="352"/>
      <c r="BI227" s="352"/>
      <c r="BJ227" s="352"/>
      <c r="BK227" s="470"/>
      <c r="BL227" s="339"/>
      <c r="BM227" s="339"/>
      <c r="BN227" s="182"/>
      <c r="BO227" s="182"/>
      <c r="BP227" s="182"/>
      <c r="BQ227" s="182"/>
      <c r="BR227" s="182"/>
      <c r="BS227" s="182"/>
      <c r="BT227" s="182"/>
      <c r="BU227" s="182"/>
      <c r="BV227" s="182"/>
      <c r="BW227" s="182"/>
      <c r="BX227" s="182"/>
      <c r="BY227" s="182"/>
      <c r="BZ227" s="182"/>
      <c r="CA227" s="182"/>
      <c r="CB227" s="182"/>
      <c r="CC227" s="182"/>
      <c r="CD227" s="182"/>
      <c r="CE227" s="182"/>
      <c r="CF227" s="182"/>
      <c r="CG227" s="182"/>
      <c r="CH227" s="182"/>
      <c r="CI227" s="182"/>
      <c r="CJ227" s="182"/>
      <c r="CK227" s="618"/>
      <c r="CL227" s="619"/>
      <c r="CM227" s="620"/>
    </row>
    <row r="228" spans="1:91" s="344" customFormat="1">
      <c r="A228" s="335" t="s">
        <v>345</v>
      </c>
      <c r="B228" s="519" t="s">
        <v>100</v>
      </c>
      <c r="C228" s="519" t="s">
        <v>100</v>
      </c>
      <c r="D228" s="182"/>
      <c r="E228" s="522" t="s">
        <v>100</v>
      </c>
      <c r="F228" s="519"/>
      <c r="G228" s="519"/>
      <c r="H228" s="519" t="s">
        <v>100</v>
      </c>
      <c r="I228" s="519"/>
      <c r="J228" s="519" t="s">
        <v>100</v>
      </c>
      <c r="K228" s="519"/>
      <c r="L228" s="519" t="s">
        <v>100</v>
      </c>
      <c r="M228" s="519" t="s">
        <v>100</v>
      </c>
      <c r="N228" s="519"/>
      <c r="O228" s="519"/>
      <c r="P228" s="519" t="s">
        <v>100</v>
      </c>
      <c r="Q228" s="519"/>
      <c r="R228" s="519"/>
      <c r="S228" s="519" t="s">
        <v>100</v>
      </c>
      <c r="T228" s="519"/>
      <c r="U228" s="519"/>
      <c r="V228" s="519" t="s">
        <v>100</v>
      </c>
      <c r="W228" s="182"/>
      <c r="X228" s="182"/>
      <c r="Y228" s="182"/>
      <c r="Z228" s="182"/>
      <c r="AA228" s="182"/>
      <c r="AB228" s="182"/>
      <c r="AC228" s="182"/>
      <c r="AD228" s="182"/>
      <c r="AE228" s="182"/>
      <c r="AF228" s="182"/>
      <c r="AG228" s="182"/>
      <c r="AH228" s="182"/>
      <c r="AI228" s="167">
        <f t="shared" si="47"/>
        <v>10</v>
      </c>
      <c r="AJ228" s="340" t="str">
        <f>HYPERLINK("https://www.cincinnati.com/story/sports/mlb/reds/2017/12/25/rosecrans-hall-fame-voting-has-no-easy-answers/974583001/","Cincinnati Enquirer")</f>
        <v>Cincinnati Enquirer</v>
      </c>
      <c r="AK228" s="341">
        <v>43094</v>
      </c>
      <c r="AL228" s="352"/>
      <c r="AM228" s="352"/>
      <c r="AN228" s="352"/>
      <c r="AO228" s="352"/>
      <c r="AP228" s="352"/>
      <c r="AQ228" s="352"/>
      <c r="AR228" s="352"/>
      <c r="AS228" s="352"/>
      <c r="AT228" s="352"/>
      <c r="AU228" s="352"/>
      <c r="AV228" s="352"/>
      <c r="AW228" s="352"/>
      <c r="AX228" s="352"/>
      <c r="AY228" s="352"/>
      <c r="AZ228" s="352"/>
      <c r="BA228" s="352"/>
      <c r="BB228" s="352"/>
      <c r="BC228" s="352"/>
      <c r="BD228" s="352"/>
      <c r="BE228" s="352"/>
      <c r="BF228" s="352"/>
      <c r="BG228" s="352"/>
      <c r="BH228" s="352"/>
      <c r="BI228" s="352"/>
      <c r="BJ228" s="352"/>
      <c r="BK228" s="470"/>
      <c r="BL228" s="339"/>
      <c r="BM228" s="339"/>
      <c r="BN228" s="182"/>
      <c r="BO228" s="182"/>
      <c r="BP228" s="182"/>
      <c r="BQ228" s="182"/>
      <c r="BR228" s="182"/>
      <c r="BS228" s="182"/>
      <c r="BT228" s="182"/>
      <c r="BU228" s="182"/>
      <c r="BV228" s="182"/>
      <c r="BW228" s="182"/>
      <c r="BX228" s="182"/>
      <c r="BY228" s="182"/>
      <c r="BZ228" s="182"/>
      <c r="CA228" s="182"/>
      <c r="CB228" s="182"/>
      <c r="CC228" s="182"/>
      <c r="CD228" s="182"/>
      <c r="CE228" s="182"/>
      <c r="CF228" s="182"/>
      <c r="CG228" s="182"/>
      <c r="CH228" s="182"/>
      <c r="CI228" s="182"/>
      <c r="CJ228" s="182"/>
      <c r="CK228" s="647" t="s">
        <v>136</v>
      </c>
      <c r="CL228" s="648"/>
      <c r="CM228" s="649"/>
    </row>
    <row r="229" spans="1:91" s="344" customFormat="1">
      <c r="A229" s="335" t="s">
        <v>346</v>
      </c>
      <c r="B229" s="519" t="s">
        <v>100</v>
      </c>
      <c r="C229" s="519" t="s">
        <v>100</v>
      </c>
      <c r="D229" s="182"/>
      <c r="E229" s="522" t="s">
        <v>100</v>
      </c>
      <c r="F229" s="519" t="s">
        <v>100</v>
      </c>
      <c r="G229" s="519"/>
      <c r="H229" s="519" t="s">
        <v>100</v>
      </c>
      <c r="I229" s="519"/>
      <c r="J229" s="519" t="s">
        <v>100</v>
      </c>
      <c r="K229" s="519"/>
      <c r="L229" s="519" t="s">
        <v>100</v>
      </c>
      <c r="M229" s="519"/>
      <c r="N229" s="519"/>
      <c r="O229" s="519"/>
      <c r="P229" s="519" t="s">
        <v>100</v>
      </c>
      <c r="Q229" s="519"/>
      <c r="R229" s="519"/>
      <c r="S229" s="519" t="s">
        <v>100</v>
      </c>
      <c r="T229" s="519"/>
      <c r="U229" s="519" t="s">
        <v>100</v>
      </c>
      <c r="V229" s="519"/>
      <c r="W229" s="182"/>
      <c r="X229" s="182"/>
      <c r="Y229" s="182"/>
      <c r="Z229" s="182"/>
      <c r="AA229" s="182"/>
      <c r="AB229" s="182"/>
      <c r="AC229" s="182"/>
      <c r="AD229" s="182"/>
      <c r="AE229" s="182"/>
      <c r="AF229" s="182"/>
      <c r="AG229" s="182"/>
      <c r="AH229" s="182"/>
      <c r="AI229" s="167">
        <f t="shared" si="47"/>
        <v>10</v>
      </c>
      <c r="AJ229" s="340" t="str">
        <f>HYPERLINK("https://theathletic.com/187946/2017/12/18/its-time-for-the-heavy-handed-hall-of-fame-to-be-more-open-minded/","The Athletic")</f>
        <v>The Athletic</v>
      </c>
      <c r="AK229" s="341">
        <v>43087</v>
      </c>
      <c r="AL229" s="352"/>
      <c r="AM229" s="352"/>
      <c r="AN229" s="352"/>
      <c r="AO229" s="352"/>
      <c r="AP229" s="352"/>
      <c r="AQ229" s="352"/>
      <c r="AR229" s="352"/>
      <c r="AS229" s="352"/>
      <c r="AT229" s="352"/>
      <c r="AU229" s="352"/>
      <c r="AV229" s="352"/>
      <c r="AW229" s="352"/>
      <c r="AX229" s="352"/>
      <c r="AY229" s="352"/>
      <c r="AZ229" s="352"/>
      <c r="BA229" s="352"/>
      <c r="BB229" s="352"/>
      <c r="BC229" s="352"/>
      <c r="BD229" s="352"/>
      <c r="BE229" s="352"/>
      <c r="BF229" s="352"/>
      <c r="BG229" s="352"/>
      <c r="BH229" s="352"/>
      <c r="BI229" s="352"/>
      <c r="BJ229" s="352"/>
      <c r="BK229" s="470"/>
      <c r="BL229" s="339"/>
      <c r="BM229" s="339"/>
      <c r="BN229" s="182"/>
      <c r="BO229" s="182"/>
      <c r="BP229" s="182"/>
      <c r="BQ229" s="182"/>
      <c r="BR229" s="182"/>
      <c r="BS229" s="182"/>
      <c r="BT229" s="182"/>
      <c r="BU229" s="182"/>
      <c r="BV229" s="182"/>
      <c r="BW229" s="182"/>
      <c r="BX229" s="182"/>
      <c r="BY229" s="182"/>
      <c r="BZ229" s="182"/>
      <c r="CA229" s="182"/>
      <c r="CB229" s="182"/>
      <c r="CC229" s="182"/>
      <c r="CD229" s="182"/>
      <c r="CE229" s="182"/>
      <c r="CF229" s="182"/>
      <c r="CG229" s="182"/>
      <c r="CH229" s="182"/>
      <c r="CI229" s="182"/>
      <c r="CJ229" s="182"/>
      <c r="CK229" s="647" t="s">
        <v>347</v>
      </c>
      <c r="CL229" s="648"/>
      <c r="CM229" s="649"/>
    </row>
    <row r="230" spans="1:91" s="344" customFormat="1">
      <c r="A230" s="335" t="s">
        <v>348</v>
      </c>
      <c r="B230" s="519"/>
      <c r="C230" s="519"/>
      <c r="D230" s="182"/>
      <c r="E230" s="519" t="s">
        <v>100</v>
      </c>
      <c r="F230" s="519" t="s">
        <v>100</v>
      </c>
      <c r="G230" s="519"/>
      <c r="H230" s="519" t="s">
        <v>100</v>
      </c>
      <c r="I230" s="519"/>
      <c r="J230" s="519" t="s">
        <v>100</v>
      </c>
      <c r="K230" s="519"/>
      <c r="L230" s="519"/>
      <c r="M230" s="519"/>
      <c r="N230" s="519"/>
      <c r="O230" s="519"/>
      <c r="P230" s="519" t="s">
        <v>100</v>
      </c>
      <c r="Q230" s="519"/>
      <c r="R230" s="519"/>
      <c r="S230" s="519"/>
      <c r="T230" s="519"/>
      <c r="U230" s="519"/>
      <c r="V230" s="519"/>
      <c r="W230" s="182"/>
      <c r="X230" s="182"/>
      <c r="Y230" s="182"/>
      <c r="Z230" s="182"/>
      <c r="AA230" s="182"/>
      <c r="AB230" s="182"/>
      <c r="AC230" s="182"/>
      <c r="AD230" s="182"/>
      <c r="AE230" s="182"/>
      <c r="AF230" s="182"/>
      <c r="AG230" s="182"/>
      <c r="AH230" s="182"/>
      <c r="AI230" s="167">
        <f t="shared" si="47"/>
        <v>5</v>
      </c>
      <c r="AJ230" s="340" t="str">
        <f>HYPERLINK("https://www.northjersey.com/story/sports/mlb/yankees/2018/01/22/mlb-baseball-hall-fame-2018-voting-barry-bonds-roger-clemens-curt-schilling/1044746001/","NorthJersey.com")</f>
        <v>NorthJersey.com</v>
      </c>
      <c r="AK230" s="341">
        <v>43122</v>
      </c>
      <c r="AL230" s="352"/>
      <c r="AM230" s="352"/>
      <c r="AN230" s="352"/>
      <c r="AO230" s="352"/>
      <c r="AP230" s="352"/>
      <c r="AQ230" s="352"/>
      <c r="AR230" s="352"/>
      <c r="AS230" s="352"/>
      <c r="AT230" s="352"/>
      <c r="AU230" s="352"/>
      <c r="AV230" s="352"/>
      <c r="AW230" s="352"/>
      <c r="AX230" s="352"/>
      <c r="AY230" s="352"/>
      <c r="AZ230" s="352"/>
      <c r="BA230" s="352"/>
      <c r="BB230" s="352"/>
      <c r="BC230" s="352"/>
      <c r="BD230" s="352"/>
      <c r="BE230" s="352"/>
      <c r="BF230" s="352"/>
      <c r="BG230" s="352"/>
      <c r="BH230" s="352"/>
      <c r="BI230" s="352"/>
      <c r="BJ230" s="352"/>
      <c r="BK230" s="470"/>
      <c r="BL230" s="339"/>
      <c r="BM230" s="339"/>
      <c r="BN230" s="182"/>
      <c r="BO230" s="182"/>
      <c r="BP230" s="182"/>
      <c r="BQ230" s="182"/>
      <c r="BR230" s="182"/>
      <c r="BS230" s="182"/>
      <c r="BT230" s="182"/>
      <c r="BU230" s="182"/>
      <c r="BV230" s="182"/>
      <c r="BW230" s="182"/>
      <c r="BX230" s="182"/>
      <c r="BY230" s="182"/>
      <c r="BZ230" s="182"/>
      <c r="CA230" s="182"/>
      <c r="CB230" s="182"/>
      <c r="CC230" s="182"/>
      <c r="CD230" s="182"/>
      <c r="CE230" s="182"/>
      <c r="CF230" s="182"/>
      <c r="CG230" s="182"/>
      <c r="CH230" s="182"/>
      <c r="CI230" s="182"/>
      <c r="CJ230" s="182"/>
      <c r="CK230" s="621"/>
      <c r="CL230" s="622"/>
      <c r="CM230" s="623"/>
    </row>
    <row r="231" spans="1:91" s="344" customFormat="1">
      <c r="A231" s="335" t="s">
        <v>349</v>
      </c>
      <c r="B231" s="519" t="s">
        <v>100</v>
      </c>
      <c r="C231" s="519" t="s">
        <v>100</v>
      </c>
      <c r="D231" s="182"/>
      <c r="E231" s="522" t="s">
        <v>100</v>
      </c>
      <c r="F231" s="519" t="s">
        <v>100</v>
      </c>
      <c r="G231" s="519"/>
      <c r="H231" s="519" t="s">
        <v>100</v>
      </c>
      <c r="I231" s="519" t="s">
        <v>100</v>
      </c>
      <c r="J231" s="519"/>
      <c r="K231" s="519"/>
      <c r="L231" s="519" t="s">
        <v>100</v>
      </c>
      <c r="M231" s="519"/>
      <c r="N231" s="519"/>
      <c r="O231" s="519"/>
      <c r="P231" s="519" t="s">
        <v>100</v>
      </c>
      <c r="Q231" s="519"/>
      <c r="R231" s="519"/>
      <c r="S231" s="519" t="s">
        <v>100</v>
      </c>
      <c r="T231" s="519"/>
      <c r="U231" s="519"/>
      <c r="V231" s="519"/>
      <c r="W231" s="182"/>
      <c r="X231" s="182"/>
      <c r="Y231" s="182"/>
      <c r="Z231" s="182"/>
      <c r="AA231" s="182"/>
      <c r="AB231" s="182"/>
      <c r="AC231" s="182"/>
      <c r="AD231" s="182"/>
      <c r="AE231" s="182"/>
      <c r="AF231" s="182"/>
      <c r="AG231" s="182"/>
      <c r="AH231" s="182"/>
      <c r="AI231" s="167">
        <f t="shared" si="47"/>
        <v>9</v>
      </c>
      <c r="AJ231" s="340" t="str">
        <f>HYPERLINK("http://www.dailyherald.com/sports/20171230/why-white-sox-slugger-jim-thome-deserves-to-be-a-first-ballot-hall-of-famer","Daily Herald")</f>
        <v>Daily Herald</v>
      </c>
      <c r="AK231" s="341">
        <v>43099</v>
      </c>
      <c r="AL231" s="352"/>
      <c r="AM231" s="352"/>
      <c r="AN231" s="352"/>
      <c r="AO231" s="352"/>
      <c r="AP231" s="352"/>
      <c r="AQ231" s="352"/>
      <c r="AR231" s="352"/>
      <c r="AS231" s="352"/>
      <c r="AT231" s="352"/>
      <c r="AU231" s="352"/>
      <c r="AV231" s="352"/>
      <c r="AW231" s="352"/>
      <c r="AX231" s="352"/>
      <c r="AY231" s="352"/>
      <c r="AZ231" s="352"/>
      <c r="BA231" s="352"/>
      <c r="BB231" s="352"/>
      <c r="BC231" s="352"/>
      <c r="BD231" s="352"/>
      <c r="BE231" s="352"/>
      <c r="BF231" s="352"/>
      <c r="BG231" s="352"/>
      <c r="BH231" s="352"/>
      <c r="BI231" s="352"/>
      <c r="BJ231" s="352"/>
      <c r="BK231" s="470"/>
      <c r="BL231" s="339"/>
      <c r="BM231" s="339"/>
      <c r="BN231" s="182"/>
      <c r="BO231" s="182"/>
      <c r="BP231" s="182"/>
      <c r="BQ231" s="182"/>
      <c r="BR231" s="182"/>
      <c r="BS231" s="182"/>
      <c r="BT231" s="182"/>
      <c r="BU231" s="182"/>
      <c r="BV231" s="182"/>
      <c r="BW231" s="182"/>
      <c r="BX231" s="182"/>
      <c r="BY231" s="182"/>
      <c r="BZ231" s="182"/>
      <c r="CA231" s="182"/>
      <c r="CB231" s="182"/>
      <c r="CC231" s="182"/>
      <c r="CD231" s="182"/>
      <c r="CE231" s="182"/>
      <c r="CF231" s="182"/>
      <c r="CG231" s="182"/>
      <c r="CH231" s="182"/>
      <c r="CI231" s="182"/>
      <c r="CJ231" s="182"/>
      <c r="CK231" s="621"/>
      <c r="CL231" s="622"/>
      <c r="CM231" s="623"/>
    </row>
    <row r="232" spans="1:91" s="344" customFormat="1">
      <c r="A232" s="335" t="s">
        <v>350</v>
      </c>
      <c r="B232" s="519" t="s">
        <v>100</v>
      </c>
      <c r="C232" s="519" t="s">
        <v>100</v>
      </c>
      <c r="D232" s="182"/>
      <c r="E232" s="519" t="s">
        <v>100</v>
      </c>
      <c r="F232" s="519" t="s">
        <v>100</v>
      </c>
      <c r="G232" s="519"/>
      <c r="H232" s="519" t="s">
        <v>100</v>
      </c>
      <c r="I232" s="519"/>
      <c r="J232" s="519" t="s">
        <v>100</v>
      </c>
      <c r="K232" s="519"/>
      <c r="L232" s="519"/>
      <c r="M232" s="519"/>
      <c r="N232" s="519"/>
      <c r="O232" s="519"/>
      <c r="P232" s="519" t="s">
        <v>100</v>
      </c>
      <c r="Q232" s="519"/>
      <c r="R232" s="519"/>
      <c r="S232" s="519" t="s">
        <v>100</v>
      </c>
      <c r="T232" s="519"/>
      <c r="U232" s="519"/>
      <c r="V232" s="519"/>
      <c r="W232" s="182"/>
      <c r="X232" s="182"/>
      <c r="Y232" s="182"/>
      <c r="Z232" s="182"/>
      <c r="AA232" s="182"/>
      <c r="AB232" s="182"/>
      <c r="AC232" s="182"/>
      <c r="AD232" s="182"/>
      <c r="AE232" s="182"/>
      <c r="AF232" s="182"/>
      <c r="AG232" s="182"/>
      <c r="AH232" s="182"/>
      <c r="AI232" s="167">
        <f t="shared" si="47"/>
        <v>8</v>
      </c>
      <c r="AJ232" s="340" t="str">
        <f>HYPERLINK("https://twitter.com/RogRubin/status/944737113169416192","Twitter")</f>
        <v>Twitter</v>
      </c>
      <c r="AK232" s="341">
        <v>43092</v>
      </c>
      <c r="AL232" s="352"/>
      <c r="AM232" s="352"/>
      <c r="AN232" s="352"/>
      <c r="AO232" s="352"/>
      <c r="AP232" s="352"/>
      <c r="AQ232" s="352"/>
      <c r="AR232" s="352"/>
      <c r="AS232" s="352"/>
      <c r="AT232" s="352"/>
      <c r="AU232" s="352"/>
      <c r="AV232" s="352"/>
      <c r="AW232" s="352"/>
      <c r="AX232" s="352"/>
      <c r="AY232" s="352"/>
      <c r="AZ232" s="352"/>
      <c r="BA232" s="352"/>
      <c r="BB232" s="352"/>
      <c r="BC232" s="352"/>
      <c r="BD232" s="352"/>
      <c r="BE232" s="352"/>
      <c r="BF232" s="352"/>
      <c r="BG232" s="352"/>
      <c r="BH232" s="352"/>
      <c r="BI232" s="352"/>
      <c r="BJ232" s="352"/>
      <c r="BK232" s="470"/>
      <c r="BL232" s="339"/>
      <c r="BM232" s="339"/>
      <c r="BN232" s="182"/>
      <c r="BO232" s="182"/>
      <c r="BP232" s="182"/>
      <c r="BQ232" s="182"/>
      <c r="BR232" s="182"/>
      <c r="BS232" s="182"/>
      <c r="BT232" s="182"/>
      <c r="BU232" s="182"/>
      <c r="BV232" s="182"/>
      <c r="BW232" s="182"/>
      <c r="BX232" s="182"/>
      <c r="BY232" s="182"/>
      <c r="BZ232" s="182"/>
      <c r="CA232" s="182"/>
      <c r="CB232" s="182"/>
      <c r="CC232" s="182"/>
      <c r="CD232" s="182"/>
      <c r="CE232" s="182"/>
      <c r="CF232" s="182"/>
      <c r="CG232" s="182"/>
      <c r="CH232" s="182"/>
      <c r="CI232" s="182"/>
      <c r="CJ232" s="182"/>
      <c r="CK232" s="621"/>
      <c r="CL232" s="622"/>
      <c r="CM232" s="623"/>
    </row>
    <row r="233" spans="1:91" s="344" customFormat="1">
      <c r="A233" s="335" t="s">
        <v>351</v>
      </c>
      <c r="B233" s="519" t="s">
        <v>100</v>
      </c>
      <c r="C233" s="519" t="s">
        <v>100</v>
      </c>
      <c r="D233" s="182"/>
      <c r="E233" s="519" t="s">
        <v>100</v>
      </c>
      <c r="F233" s="519" t="s">
        <v>100</v>
      </c>
      <c r="G233" s="519"/>
      <c r="H233" s="519" t="s">
        <v>100</v>
      </c>
      <c r="I233" s="519"/>
      <c r="J233" s="522" t="s">
        <v>100</v>
      </c>
      <c r="K233" s="519"/>
      <c r="L233" s="522" t="s">
        <v>100</v>
      </c>
      <c r="M233" s="519"/>
      <c r="N233" s="519"/>
      <c r="O233" s="519"/>
      <c r="P233" s="519"/>
      <c r="Q233" s="519"/>
      <c r="R233" s="519"/>
      <c r="S233" s="519" t="s">
        <v>100</v>
      </c>
      <c r="T233" s="519" t="s">
        <v>100</v>
      </c>
      <c r="U233" s="519"/>
      <c r="V233" s="519"/>
      <c r="W233" s="182"/>
      <c r="X233" s="182"/>
      <c r="Y233" s="182"/>
      <c r="Z233" s="182"/>
      <c r="AA233" s="182"/>
      <c r="AB233" s="182"/>
      <c r="AC233" s="182"/>
      <c r="AD233" s="182"/>
      <c r="AE233" s="182"/>
      <c r="AF233" s="182"/>
      <c r="AG233" s="182"/>
      <c r="AH233" s="182"/>
      <c r="AI233" s="167">
        <f t="shared" si="47"/>
        <v>9</v>
      </c>
      <c r="AJ233" s="340" t="str">
        <f>HYPERLINK("https://twitter.com/tribjoerutter/status/956179168634593280","Twitter")</f>
        <v>Twitter</v>
      </c>
      <c r="AK233" s="341">
        <v>43124</v>
      </c>
      <c r="AL233" s="352"/>
      <c r="AM233" s="352"/>
      <c r="AN233" s="352"/>
      <c r="AO233" s="352"/>
      <c r="AP233" s="352"/>
      <c r="AQ233" s="352"/>
      <c r="AR233" s="352"/>
      <c r="AS233" s="352"/>
      <c r="AT233" s="352"/>
      <c r="AU233" s="352"/>
      <c r="AV233" s="352"/>
      <c r="AW233" s="352"/>
      <c r="AX233" s="352"/>
      <c r="AY233" s="352"/>
      <c r="AZ233" s="352"/>
      <c r="BA233" s="352"/>
      <c r="BB233" s="352"/>
      <c r="BC233" s="352"/>
      <c r="BD233" s="352"/>
      <c r="BE233" s="352"/>
      <c r="BF233" s="352"/>
      <c r="BG233" s="352"/>
      <c r="BH233" s="352"/>
      <c r="BI233" s="352"/>
      <c r="BJ233" s="352"/>
      <c r="BK233" s="470"/>
      <c r="BL233" s="339"/>
      <c r="BM233" s="339"/>
      <c r="BN233" s="182"/>
      <c r="BO233" s="182"/>
      <c r="BP233" s="182"/>
      <c r="BQ233" s="182"/>
      <c r="BR233" s="182"/>
      <c r="BS233" s="182"/>
      <c r="BT233" s="182"/>
      <c r="BU233" s="182"/>
      <c r="BV233" s="182"/>
      <c r="BW233" s="182"/>
      <c r="BX233" s="182"/>
      <c r="BY233" s="182"/>
      <c r="BZ233" s="182"/>
      <c r="CA233" s="182"/>
      <c r="CB233" s="182"/>
      <c r="CC233" s="182"/>
      <c r="CD233" s="182"/>
      <c r="CE233" s="182"/>
      <c r="CF233" s="182"/>
      <c r="CG233" s="182"/>
      <c r="CH233" s="182"/>
      <c r="CI233" s="182"/>
      <c r="CJ233" s="182"/>
      <c r="CK233" s="621"/>
      <c r="CL233" s="622"/>
      <c r="CM233" s="623"/>
    </row>
    <row r="234" spans="1:91" s="344" customFormat="1">
      <c r="A234" s="335" t="s">
        <v>352</v>
      </c>
      <c r="B234" s="539"/>
      <c r="C234" s="539"/>
      <c r="D234" s="539"/>
      <c r="E234" s="538" t="s">
        <v>100</v>
      </c>
      <c r="F234" s="538"/>
      <c r="G234" s="539"/>
      <c r="H234" s="538" t="s">
        <v>100</v>
      </c>
      <c r="I234" s="539"/>
      <c r="J234" s="538" t="s">
        <v>100</v>
      </c>
      <c r="K234" s="539"/>
      <c r="L234" s="538" t="s">
        <v>100</v>
      </c>
      <c r="M234" s="539"/>
      <c r="N234" s="539"/>
      <c r="O234" s="539"/>
      <c r="P234" s="538" t="s">
        <v>100</v>
      </c>
      <c r="Q234" s="539"/>
      <c r="R234" s="539"/>
      <c r="S234" s="538" t="s">
        <v>100</v>
      </c>
      <c r="T234" s="538" t="s">
        <v>100</v>
      </c>
      <c r="U234" s="539"/>
      <c r="V234" s="539"/>
      <c r="W234" s="137"/>
      <c r="X234" s="137"/>
      <c r="Y234" s="137"/>
      <c r="Z234" s="137"/>
      <c r="AA234" s="137"/>
      <c r="AB234" s="137"/>
      <c r="AC234" s="137"/>
      <c r="AD234" s="137"/>
      <c r="AE234" s="137"/>
      <c r="AF234" s="137"/>
      <c r="AG234" s="137"/>
      <c r="AH234" s="137"/>
      <c r="AI234" s="167">
        <f t="shared" si="47"/>
        <v>7</v>
      </c>
      <c r="AJ234" s="340" t="str">
        <f t="shared" ref="AJ234" si="48">HYPERLINK("http://apps.bostonglobe.com/sports/graphics/2018/01/baseball-hof-2018/","Boston Globe")</f>
        <v>Boston Globe</v>
      </c>
      <c r="AK234" s="471">
        <v>43108</v>
      </c>
      <c r="AL234" s="352"/>
      <c r="AM234" s="352"/>
      <c r="AN234" s="352"/>
      <c r="AO234" s="352"/>
      <c r="AP234" s="352"/>
      <c r="AQ234" s="352"/>
      <c r="AR234" s="352"/>
      <c r="AS234" s="352"/>
      <c r="AT234" s="352"/>
      <c r="AU234" s="352"/>
      <c r="AV234" s="352"/>
      <c r="AW234" s="352"/>
      <c r="AX234" s="352"/>
      <c r="AY234" s="352"/>
      <c r="AZ234" s="352"/>
      <c r="BA234" s="352"/>
      <c r="BB234" s="352"/>
      <c r="BC234" s="352"/>
      <c r="BD234" s="352"/>
      <c r="BE234" s="352"/>
      <c r="BF234" s="352"/>
      <c r="BG234" s="352"/>
      <c r="BH234" s="352"/>
      <c r="BI234" s="352"/>
      <c r="BJ234" s="352"/>
      <c r="BK234" s="470"/>
      <c r="BL234" s="339"/>
      <c r="BM234" s="339"/>
      <c r="BN234" s="182"/>
      <c r="BO234" s="182"/>
      <c r="BP234" s="182"/>
      <c r="BQ234" s="182"/>
      <c r="BR234" s="182"/>
      <c r="BS234" s="182"/>
      <c r="BT234" s="182"/>
      <c r="BU234" s="182"/>
      <c r="BV234" s="182"/>
      <c r="BW234" s="182"/>
      <c r="BX234" s="182"/>
      <c r="BY234" s="182"/>
      <c r="BZ234" s="182"/>
      <c r="CA234" s="182"/>
      <c r="CB234" s="182"/>
      <c r="CC234" s="182"/>
      <c r="CD234" s="182"/>
      <c r="CE234" s="182"/>
      <c r="CF234" s="182"/>
      <c r="CG234" s="182"/>
      <c r="CH234" s="182"/>
      <c r="CI234" s="182"/>
      <c r="CJ234" s="182"/>
      <c r="CK234" s="621"/>
      <c r="CL234" s="622"/>
      <c r="CM234" s="623"/>
    </row>
    <row r="235" spans="1:91" s="344" customFormat="1">
      <c r="A235" s="335" t="s">
        <v>353</v>
      </c>
      <c r="B235" s="519" t="s">
        <v>100</v>
      </c>
      <c r="C235" s="519" t="s">
        <v>100</v>
      </c>
      <c r="D235" s="182"/>
      <c r="E235" s="519" t="s">
        <v>100</v>
      </c>
      <c r="F235" s="519" t="s">
        <v>100</v>
      </c>
      <c r="G235" s="519"/>
      <c r="H235" s="519" t="s">
        <v>100</v>
      </c>
      <c r="I235" s="519"/>
      <c r="J235" s="519" t="s">
        <v>100</v>
      </c>
      <c r="K235" s="519"/>
      <c r="L235" s="519" t="s">
        <v>100</v>
      </c>
      <c r="M235" s="519" t="s">
        <v>100</v>
      </c>
      <c r="N235" s="519"/>
      <c r="O235" s="519"/>
      <c r="P235" s="519" t="s">
        <v>100</v>
      </c>
      <c r="Q235" s="519"/>
      <c r="R235" s="519"/>
      <c r="S235" s="519" t="s">
        <v>100</v>
      </c>
      <c r="T235" s="519"/>
      <c r="U235" s="519"/>
      <c r="V235" s="519"/>
      <c r="W235" s="182"/>
      <c r="X235" s="182"/>
      <c r="Y235" s="182"/>
      <c r="Z235" s="182"/>
      <c r="AA235" s="182"/>
      <c r="AB235" s="182"/>
      <c r="AC235" s="182"/>
      <c r="AD235" s="182"/>
      <c r="AE235" s="182"/>
      <c r="AF235" s="182"/>
      <c r="AG235" s="182"/>
      <c r="AH235" s="182"/>
      <c r="AI235" s="167">
        <f t="shared" si="47"/>
        <v>10</v>
      </c>
      <c r="AJ235" s="340" t="str">
        <f>HYPERLINK("http://thebsblog.com/2017/12/14/jimbob-sports-jam-18-chuck-foreman-tommy-kramer-al-newman-kelly-vegas/","BS Podcast")</f>
        <v>BS Podcast</v>
      </c>
      <c r="AK235" s="341">
        <v>43083</v>
      </c>
      <c r="AL235" s="352"/>
      <c r="AM235" s="352"/>
      <c r="AN235" s="352"/>
      <c r="AO235" s="352"/>
      <c r="AP235" s="352"/>
      <c r="AQ235" s="352"/>
      <c r="AR235" s="352"/>
      <c r="AS235" s="352"/>
      <c r="AT235" s="352"/>
      <c r="AU235" s="352"/>
      <c r="AV235" s="352"/>
      <c r="AW235" s="352"/>
      <c r="AX235" s="352"/>
      <c r="AY235" s="352"/>
      <c r="AZ235" s="352"/>
      <c r="BA235" s="352"/>
      <c r="BB235" s="352"/>
      <c r="BC235" s="352"/>
      <c r="BD235" s="352"/>
      <c r="BE235" s="352"/>
      <c r="BF235" s="352"/>
      <c r="BG235" s="352"/>
      <c r="BH235" s="352"/>
      <c r="BI235" s="352"/>
      <c r="BJ235" s="352"/>
      <c r="BK235" s="470"/>
      <c r="BL235" s="339"/>
      <c r="BM235" s="339"/>
      <c r="BN235" s="182"/>
      <c r="BO235" s="182"/>
      <c r="BP235" s="182"/>
      <c r="BQ235" s="182"/>
      <c r="BR235" s="182"/>
      <c r="BS235" s="182"/>
      <c r="BT235" s="182"/>
      <c r="BU235" s="182"/>
      <c r="BV235" s="182"/>
      <c r="BW235" s="182"/>
      <c r="BX235" s="182"/>
      <c r="BY235" s="182"/>
      <c r="BZ235" s="182"/>
      <c r="CA235" s="182"/>
      <c r="CB235" s="182"/>
      <c r="CC235" s="182"/>
      <c r="CD235" s="182"/>
      <c r="CE235" s="182"/>
      <c r="CF235" s="182"/>
      <c r="CG235" s="182"/>
      <c r="CH235" s="182"/>
      <c r="CI235" s="182"/>
      <c r="CJ235" s="182"/>
      <c r="CK235" s="647" t="s">
        <v>260</v>
      </c>
      <c r="CL235" s="648"/>
      <c r="CM235" s="649"/>
    </row>
    <row r="236" spans="1:91" s="344" customFormat="1">
      <c r="A236" s="335" t="s">
        <v>354</v>
      </c>
      <c r="B236" s="519" t="s">
        <v>100</v>
      </c>
      <c r="C236" s="519" t="s">
        <v>100</v>
      </c>
      <c r="D236" s="182"/>
      <c r="E236" s="519" t="s">
        <v>100</v>
      </c>
      <c r="F236" s="519"/>
      <c r="G236" s="519"/>
      <c r="H236" s="519" t="s">
        <v>100</v>
      </c>
      <c r="I236" s="519" t="s">
        <v>100</v>
      </c>
      <c r="J236" s="519" t="s">
        <v>100</v>
      </c>
      <c r="K236" s="519"/>
      <c r="L236" s="519" t="s">
        <v>100</v>
      </c>
      <c r="M236" s="519" t="s">
        <v>100</v>
      </c>
      <c r="N236" s="519"/>
      <c r="O236" s="519"/>
      <c r="P236" s="519"/>
      <c r="Q236" s="519"/>
      <c r="R236" s="519"/>
      <c r="S236" s="519" t="s">
        <v>100</v>
      </c>
      <c r="T236" s="519" t="s">
        <v>100</v>
      </c>
      <c r="U236" s="519"/>
      <c r="V236" s="519"/>
      <c r="W236" s="182"/>
      <c r="X236" s="182"/>
      <c r="Y236" s="182"/>
      <c r="Z236" s="182"/>
      <c r="AA236" s="182"/>
      <c r="AB236" s="182"/>
      <c r="AC236" s="182"/>
      <c r="AD236" s="182"/>
      <c r="AE236" s="182"/>
      <c r="AF236" s="182"/>
      <c r="AG236" s="182"/>
      <c r="AH236" s="182"/>
      <c r="AI236" s="339">
        <f t="shared" si="47"/>
        <v>10</v>
      </c>
      <c r="AJ236" s="340" t="str">
        <f>HYPERLINK("https://twitter.com/markasaxon/status/942854396777500672","Twitter")</f>
        <v>Twitter</v>
      </c>
      <c r="AK236" s="341">
        <v>43087</v>
      </c>
      <c r="AL236" s="352"/>
      <c r="AM236" s="352"/>
      <c r="AN236" s="352"/>
      <c r="AO236" s="352"/>
      <c r="AP236" s="352"/>
      <c r="AQ236" s="352"/>
      <c r="AR236" s="352"/>
      <c r="AS236" s="352"/>
      <c r="AT236" s="352"/>
      <c r="AU236" s="352"/>
      <c r="AV236" s="352"/>
      <c r="AW236" s="352"/>
      <c r="AX236" s="352"/>
      <c r="AY236" s="352"/>
      <c r="AZ236" s="352"/>
      <c r="BA236" s="352"/>
      <c r="BB236" s="352"/>
      <c r="BC236" s="352"/>
      <c r="BD236" s="352"/>
      <c r="BE236" s="352"/>
      <c r="BF236" s="352"/>
      <c r="BG236" s="352"/>
      <c r="BH236" s="352"/>
      <c r="BI236" s="352"/>
      <c r="BJ236" s="352"/>
      <c r="BK236" s="470"/>
      <c r="BL236" s="339"/>
      <c r="BM236" s="339"/>
      <c r="BN236" s="182"/>
      <c r="BO236" s="182"/>
      <c r="BP236" s="182"/>
      <c r="BQ236" s="182"/>
      <c r="BR236" s="182"/>
      <c r="BS236" s="182"/>
      <c r="BT236" s="182"/>
      <c r="BU236" s="182"/>
      <c r="BV236" s="182"/>
      <c r="BW236" s="182"/>
      <c r="BX236" s="182"/>
      <c r="BY236" s="182"/>
      <c r="BZ236" s="182"/>
      <c r="CA236" s="182"/>
      <c r="CB236" s="182"/>
      <c r="CC236" s="182"/>
      <c r="CD236" s="182"/>
      <c r="CE236" s="182"/>
      <c r="CF236" s="182"/>
      <c r="CG236" s="182"/>
      <c r="CH236" s="182"/>
      <c r="CI236" s="182"/>
      <c r="CJ236" s="182"/>
      <c r="CK236" s="621"/>
      <c r="CL236" s="622"/>
      <c r="CM236" s="623"/>
    </row>
    <row r="237" spans="1:91" s="344" customFormat="1">
      <c r="A237" s="335" t="s">
        <v>355</v>
      </c>
      <c r="B237" s="519" t="s">
        <v>100</v>
      </c>
      <c r="C237" s="519" t="s">
        <v>100</v>
      </c>
      <c r="D237" s="182"/>
      <c r="E237" s="522" t="s">
        <v>100</v>
      </c>
      <c r="F237" s="519" t="s">
        <v>100</v>
      </c>
      <c r="G237" s="519"/>
      <c r="H237" s="519" t="s">
        <v>100</v>
      </c>
      <c r="I237" s="519"/>
      <c r="J237" s="519" t="s">
        <v>100</v>
      </c>
      <c r="K237" s="519"/>
      <c r="L237" s="519" t="s">
        <v>100</v>
      </c>
      <c r="M237" s="519"/>
      <c r="N237" s="519"/>
      <c r="O237" s="519"/>
      <c r="P237" s="519" t="s">
        <v>100</v>
      </c>
      <c r="Q237" s="523"/>
      <c r="R237" s="519"/>
      <c r="S237" s="519" t="s">
        <v>100</v>
      </c>
      <c r="T237" s="519" t="s">
        <v>100</v>
      </c>
      <c r="U237" s="519"/>
      <c r="V237" s="519"/>
      <c r="W237" s="182"/>
      <c r="X237" s="182"/>
      <c r="Y237" s="182"/>
      <c r="Z237" s="182"/>
      <c r="AA237" s="182"/>
      <c r="AB237" s="182"/>
      <c r="AC237" s="182"/>
      <c r="AD237" s="182"/>
      <c r="AE237" s="182"/>
      <c r="AF237" s="182"/>
      <c r="AG237" s="182"/>
      <c r="AH237" s="182"/>
      <c r="AI237" s="339">
        <f t="shared" si="47"/>
        <v>10</v>
      </c>
      <c r="AJ237" s="340" t="str">
        <f>HYPERLINK("https://twitter.com/hankschulman/status/948340309146058752","Twitter")</f>
        <v>Twitter</v>
      </c>
      <c r="AK237" s="341">
        <v>43102</v>
      </c>
      <c r="AL237" s="352"/>
      <c r="AM237" s="352"/>
      <c r="AN237" s="352"/>
      <c r="AO237" s="352"/>
      <c r="AP237" s="352"/>
      <c r="AQ237" s="352"/>
      <c r="AR237" s="352"/>
      <c r="AS237" s="352"/>
      <c r="AT237" s="352"/>
      <c r="AU237" s="352"/>
      <c r="AV237" s="352"/>
      <c r="AW237" s="352"/>
      <c r="AX237" s="352"/>
      <c r="AY237" s="352"/>
      <c r="AZ237" s="352"/>
      <c r="BA237" s="352"/>
      <c r="BB237" s="352"/>
      <c r="BC237" s="352"/>
      <c r="BD237" s="352"/>
      <c r="BE237" s="352"/>
      <c r="BF237" s="352"/>
      <c r="BG237" s="352"/>
      <c r="BH237" s="352"/>
      <c r="BI237" s="352"/>
      <c r="BJ237" s="352"/>
      <c r="BK237" s="470"/>
      <c r="BL237" s="339"/>
      <c r="BM237" s="339"/>
      <c r="BN237" s="182"/>
      <c r="BO237" s="182"/>
      <c r="BP237" s="182"/>
      <c r="BQ237" s="182"/>
      <c r="BR237" s="182"/>
      <c r="BS237" s="182"/>
      <c r="BT237" s="182"/>
      <c r="BU237" s="182"/>
      <c r="BV237" s="182"/>
      <c r="BW237" s="182"/>
      <c r="BX237" s="182"/>
      <c r="BY237" s="182"/>
      <c r="BZ237" s="182"/>
      <c r="CA237" s="182"/>
      <c r="CB237" s="182"/>
      <c r="CC237" s="182"/>
      <c r="CD237" s="182"/>
      <c r="CE237" s="182"/>
      <c r="CF237" s="182"/>
      <c r="CG237" s="182"/>
      <c r="CH237" s="182"/>
      <c r="CI237" s="182"/>
      <c r="CJ237" s="182"/>
      <c r="CK237" s="621"/>
      <c r="CL237" s="622"/>
      <c r="CM237" s="623"/>
    </row>
    <row r="238" spans="1:91" s="344" customFormat="1">
      <c r="A238" s="335" t="s">
        <v>356</v>
      </c>
      <c r="B238" s="519"/>
      <c r="C238" s="519"/>
      <c r="D238" s="182"/>
      <c r="E238" s="519" t="s">
        <v>100</v>
      </c>
      <c r="F238" s="519" t="s">
        <v>100</v>
      </c>
      <c r="G238" s="519"/>
      <c r="H238" s="519" t="s">
        <v>100</v>
      </c>
      <c r="I238" s="519" t="s">
        <v>100</v>
      </c>
      <c r="J238" s="519"/>
      <c r="K238" s="519"/>
      <c r="L238" s="519" t="s">
        <v>100</v>
      </c>
      <c r="M238" s="519"/>
      <c r="N238" s="519"/>
      <c r="O238" s="519"/>
      <c r="P238" s="519"/>
      <c r="Q238" s="519"/>
      <c r="R238" s="519"/>
      <c r="S238" s="519"/>
      <c r="T238" s="519"/>
      <c r="U238" s="519"/>
      <c r="V238" s="519"/>
      <c r="W238" s="182"/>
      <c r="X238" s="182"/>
      <c r="Y238" s="182"/>
      <c r="Z238" s="182"/>
      <c r="AA238" s="182"/>
      <c r="AB238" s="182"/>
      <c r="AC238" s="182"/>
      <c r="AD238" s="182"/>
      <c r="AE238" s="182"/>
      <c r="AF238" s="182"/>
      <c r="AG238" s="182"/>
      <c r="AH238" s="182"/>
      <c r="AI238" s="339">
        <f t="shared" si="47"/>
        <v>5</v>
      </c>
      <c r="AJ238" s="530" t="s">
        <v>113</v>
      </c>
      <c r="AK238" s="341">
        <v>43105</v>
      </c>
      <c r="AL238" s="352"/>
      <c r="AM238" s="352"/>
      <c r="AN238" s="352"/>
      <c r="AO238" s="352"/>
      <c r="AP238" s="352"/>
      <c r="AQ238" s="352"/>
      <c r="AR238" s="352"/>
      <c r="AS238" s="352"/>
      <c r="AT238" s="352"/>
      <c r="AU238" s="352"/>
      <c r="AV238" s="352"/>
      <c r="AW238" s="352"/>
      <c r="AX238" s="352"/>
      <c r="AY238" s="352"/>
      <c r="AZ238" s="352"/>
      <c r="BA238" s="352"/>
      <c r="BB238" s="352"/>
      <c r="BC238" s="352"/>
      <c r="BD238" s="352"/>
      <c r="BE238" s="352"/>
      <c r="BF238" s="352"/>
      <c r="BG238" s="352"/>
      <c r="BH238" s="352"/>
      <c r="BI238" s="352"/>
      <c r="BJ238" s="352"/>
      <c r="BK238" s="470"/>
      <c r="BL238" s="339"/>
      <c r="BM238" s="339"/>
      <c r="BN238" s="182"/>
      <c r="BO238" s="182"/>
      <c r="BP238" s="182"/>
      <c r="BQ238" s="182"/>
      <c r="BR238" s="182"/>
      <c r="BS238" s="182"/>
      <c r="BT238" s="182"/>
      <c r="BU238" s="182"/>
      <c r="BV238" s="182"/>
      <c r="BW238" s="182"/>
      <c r="BX238" s="182"/>
      <c r="BY238" s="182"/>
      <c r="BZ238" s="182"/>
      <c r="CA238" s="182"/>
      <c r="CB238" s="182"/>
      <c r="CC238" s="182"/>
      <c r="CD238" s="182"/>
      <c r="CE238" s="182"/>
      <c r="CF238" s="182"/>
      <c r="CG238" s="182"/>
      <c r="CH238" s="182"/>
      <c r="CI238" s="182"/>
      <c r="CJ238" s="182"/>
      <c r="CK238" s="621"/>
      <c r="CL238" s="622"/>
      <c r="CM238" s="623"/>
    </row>
    <row r="239" spans="1:91" s="344" customFormat="1">
      <c r="A239" s="335" t="s">
        <v>357</v>
      </c>
      <c r="B239" s="519" t="s">
        <v>100</v>
      </c>
      <c r="C239" s="519" t="s">
        <v>100</v>
      </c>
      <c r="D239" s="182"/>
      <c r="E239" s="519" t="s">
        <v>100</v>
      </c>
      <c r="F239" s="519"/>
      <c r="G239" s="519"/>
      <c r="H239" s="519" t="s">
        <v>100</v>
      </c>
      <c r="I239" s="519"/>
      <c r="J239" s="519" t="s">
        <v>100</v>
      </c>
      <c r="K239" s="519"/>
      <c r="L239" s="523"/>
      <c r="M239" s="522" t="s">
        <v>100</v>
      </c>
      <c r="N239" s="519"/>
      <c r="O239" s="519"/>
      <c r="P239" s="522" t="s">
        <v>100</v>
      </c>
      <c r="Q239" s="519"/>
      <c r="R239" s="519" t="s">
        <v>100</v>
      </c>
      <c r="S239" s="519"/>
      <c r="T239" s="519" t="s">
        <v>100</v>
      </c>
      <c r="U239" s="519"/>
      <c r="V239" s="519" t="s">
        <v>100</v>
      </c>
      <c r="W239" s="182"/>
      <c r="X239" s="182"/>
      <c r="Y239" s="182"/>
      <c r="Z239" s="182"/>
      <c r="AA239" s="182"/>
      <c r="AB239" s="182"/>
      <c r="AC239" s="182"/>
      <c r="AD239" s="182"/>
      <c r="AE239" s="182"/>
      <c r="AF239" s="182"/>
      <c r="AG239" s="182"/>
      <c r="AH239" s="182"/>
      <c r="AI239" s="339">
        <f t="shared" si="47"/>
        <v>10</v>
      </c>
      <c r="AJ239" s="530" t="s">
        <v>138</v>
      </c>
      <c r="AK239" s="341">
        <v>43094</v>
      </c>
      <c r="AL239" s="352"/>
      <c r="AM239" s="352"/>
      <c r="AN239" s="352"/>
      <c r="AO239" s="352"/>
      <c r="AP239" s="352"/>
      <c r="AQ239" s="352"/>
      <c r="AR239" s="352"/>
      <c r="AS239" s="352"/>
      <c r="AT239" s="352"/>
      <c r="AU239" s="352"/>
      <c r="AV239" s="352"/>
      <c r="AW239" s="352"/>
      <c r="AX239" s="352"/>
      <c r="AY239" s="352"/>
      <c r="AZ239" s="352"/>
      <c r="BA239" s="352"/>
      <c r="BB239" s="352"/>
      <c r="BC239" s="352"/>
      <c r="BD239" s="352"/>
      <c r="BE239" s="352"/>
      <c r="BF239" s="352"/>
      <c r="BG239" s="352"/>
      <c r="BH239" s="352"/>
      <c r="BI239" s="352"/>
      <c r="BJ239" s="352"/>
      <c r="BK239" s="470"/>
      <c r="BL239" s="339"/>
      <c r="BM239" s="339"/>
      <c r="BN239" s="182"/>
      <c r="BO239" s="182"/>
      <c r="BP239" s="182"/>
      <c r="BQ239" s="182"/>
      <c r="BR239" s="182"/>
      <c r="BS239" s="182"/>
      <c r="BT239" s="182"/>
      <c r="BU239" s="182"/>
      <c r="BV239" s="182"/>
      <c r="BW239" s="182"/>
      <c r="BX239" s="182"/>
      <c r="BY239" s="182"/>
      <c r="BZ239" s="182"/>
      <c r="CA239" s="182"/>
      <c r="CB239" s="182"/>
      <c r="CC239" s="182"/>
      <c r="CD239" s="182"/>
      <c r="CE239" s="182"/>
      <c r="CF239" s="182"/>
      <c r="CG239" s="182"/>
      <c r="CH239" s="182"/>
      <c r="CI239" s="182"/>
      <c r="CJ239" s="182"/>
      <c r="CK239" s="621"/>
      <c r="CL239" s="622"/>
      <c r="CM239" s="623"/>
    </row>
    <row r="240" spans="1:91" s="344" customFormat="1">
      <c r="A240" s="335" t="s">
        <v>358</v>
      </c>
      <c r="B240" s="539"/>
      <c r="C240" s="539"/>
      <c r="D240" s="539"/>
      <c r="E240" s="538" t="s">
        <v>100</v>
      </c>
      <c r="F240" s="539"/>
      <c r="G240" s="539"/>
      <c r="H240" s="538" t="s">
        <v>100</v>
      </c>
      <c r="I240" s="539"/>
      <c r="J240" s="539"/>
      <c r="K240" s="539"/>
      <c r="L240" s="539"/>
      <c r="M240" s="539"/>
      <c r="N240" s="539"/>
      <c r="O240" s="539"/>
      <c r="P240" s="539"/>
      <c r="Q240" s="539"/>
      <c r="R240" s="539"/>
      <c r="S240" s="538" t="s">
        <v>100</v>
      </c>
      <c r="T240" s="539"/>
      <c r="U240" s="539"/>
      <c r="V240" s="539"/>
      <c r="W240" s="137"/>
      <c r="X240" s="137"/>
      <c r="Y240" s="137"/>
      <c r="Z240" s="137"/>
      <c r="AA240" s="137"/>
      <c r="AB240" s="137"/>
      <c r="AC240" s="137"/>
      <c r="AD240" s="137"/>
      <c r="AE240" s="137"/>
      <c r="AF240" s="137"/>
      <c r="AG240" s="137"/>
      <c r="AH240" s="137"/>
      <c r="AI240" s="167">
        <f t="shared" si="47"/>
        <v>3</v>
      </c>
      <c r="AJ240" s="340" t="str">
        <f t="shared" ref="AJ240" si="49">HYPERLINK("http://apps.bostonglobe.com/sports/graphics/2018/01/baseball-hof-2018/","Boston Globe")</f>
        <v>Boston Globe</v>
      </c>
      <c r="AK240" s="471">
        <v>43108</v>
      </c>
      <c r="AL240" s="352"/>
      <c r="AM240" s="352"/>
      <c r="AN240" s="352"/>
      <c r="AO240" s="352"/>
      <c r="AP240" s="352"/>
      <c r="AQ240" s="352"/>
      <c r="AR240" s="352"/>
      <c r="AS240" s="352"/>
      <c r="AT240" s="352"/>
      <c r="AU240" s="352"/>
      <c r="AV240" s="352"/>
      <c r="AW240" s="352"/>
      <c r="AX240" s="352"/>
      <c r="AY240" s="352"/>
      <c r="AZ240" s="352"/>
      <c r="BA240" s="352"/>
      <c r="BB240" s="352"/>
      <c r="BC240" s="352"/>
      <c r="BD240" s="352"/>
      <c r="BE240" s="352"/>
      <c r="BF240" s="352"/>
      <c r="BG240" s="352"/>
      <c r="BH240" s="352"/>
      <c r="BI240" s="352"/>
      <c r="BJ240" s="352"/>
      <c r="BK240" s="470"/>
      <c r="BL240" s="339"/>
      <c r="BM240" s="339"/>
      <c r="BN240" s="182"/>
      <c r="BO240" s="182"/>
      <c r="BP240" s="182"/>
      <c r="BQ240" s="182"/>
      <c r="BR240" s="182"/>
      <c r="BS240" s="182"/>
      <c r="BT240" s="182"/>
      <c r="BU240" s="182"/>
      <c r="BV240" s="182"/>
      <c r="BW240" s="182"/>
      <c r="BX240" s="182"/>
      <c r="BY240" s="182"/>
      <c r="BZ240" s="182"/>
      <c r="CA240" s="182"/>
      <c r="CB240" s="182"/>
      <c r="CC240" s="182"/>
      <c r="CD240" s="182"/>
      <c r="CE240" s="182"/>
      <c r="CF240" s="182"/>
      <c r="CG240" s="182"/>
      <c r="CH240" s="182"/>
      <c r="CI240" s="182"/>
      <c r="CJ240" s="182"/>
      <c r="CK240" s="621"/>
      <c r="CL240" s="622"/>
      <c r="CM240" s="623"/>
    </row>
    <row r="241" spans="1:91" s="344" customFormat="1">
      <c r="A241" s="335" t="s">
        <v>359</v>
      </c>
      <c r="B241" s="519" t="s">
        <v>100</v>
      </c>
      <c r="C241" s="519" t="s">
        <v>100</v>
      </c>
      <c r="D241" s="182"/>
      <c r="E241" s="519" t="s">
        <v>100</v>
      </c>
      <c r="F241" s="519" t="s">
        <v>100</v>
      </c>
      <c r="G241" s="519"/>
      <c r="H241" s="519" t="s">
        <v>100</v>
      </c>
      <c r="I241" s="519" t="s">
        <v>100</v>
      </c>
      <c r="J241" s="519" t="s">
        <v>100</v>
      </c>
      <c r="K241" s="519"/>
      <c r="L241" s="522" t="s">
        <v>100</v>
      </c>
      <c r="M241" s="519"/>
      <c r="N241" s="519"/>
      <c r="O241" s="519"/>
      <c r="P241" s="519"/>
      <c r="Q241" s="519"/>
      <c r="R241" s="519"/>
      <c r="S241" s="519" t="s">
        <v>100</v>
      </c>
      <c r="T241" s="519" t="s">
        <v>100</v>
      </c>
      <c r="U241" s="519"/>
      <c r="V241" s="519"/>
      <c r="W241" s="182"/>
      <c r="X241" s="182"/>
      <c r="Y241" s="182"/>
      <c r="Z241" s="182"/>
      <c r="AA241" s="182"/>
      <c r="AB241" s="182"/>
      <c r="AC241" s="182"/>
      <c r="AD241" s="182"/>
      <c r="AE241" s="182"/>
      <c r="AF241" s="182"/>
      <c r="AG241" s="182"/>
      <c r="AH241" s="182"/>
      <c r="AI241" s="339">
        <f t="shared" ref="AI241:AI242" si="50">COUNTIF(B241:AH241,"x")</f>
        <v>10</v>
      </c>
      <c r="AJ241" s="340" t="str">
        <f>HYPERLINK("http://www.sfchronicle.com/giants/shea/article/A-Hall-of-Fame-ballot-and-some-thoughts-12485743.php","SF Chronicle")</f>
        <v>SF Chronicle</v>
      </c>
      <c r="AK241" s="471">
        <v>43109</v>
      </c>
      <c r="AL241" s="352"/>
      <c r="AM241" s="352"/>
      <c r="AN241" s="352"/>
      <c r="AO241" s="352"/>
      <c r="AP241" s="352"/>
      <c r="AQ241" s="352"/>
      <c r="AR241" s="352"/>
      <c r="AS241" s="352"/>
      <c r="AT241" s="352"/>
      <c r="AU241" s="352"/>
      <c r="AV241" s="352"/>
      <c r="AW241" s="352"/>
      <c r="AX241" s="352"/>
      <c r="AY241" s="352"/>
      <c r="AZ241" s="352"/>
      <c r="BA241" s="352"/>
      <c r="BB241" s="352"/>
      <c r="BC241" s="352"/>
      <c r="BD241" s="352"/>
      <c r="BE241" s="352"/>
      <c r="BF241" s="352"/>
      <c r="BG241" s="352"/>
      <c r="BH241" s="352"/>
      <c r="BI241" s="352"/>
      <c r="BJ241" s="352"/>
      <c r="BK241" s="470"/>
      <c r="BL241" s="339"/>
      <c r="BM241" s="339"/>
      <c r="BN241" s="182"/>
      <c r="BO241" s="182"/>
      <c r="BP241" s="182"/>
      <c r="BQ241" s="182"/>
      <c r="BR241" s="182"/>
      <c r="BS241" s="182"/>
      <c r="BT241" s="182"/>
      <c r="BU241" s="182"/>
      <c r="BV241" s="182"/>
      <c r="BW241" s="182"/>
      <c r="BX241" s="182"/>
      <c r="BY241" s="182"/>
      <c r="BZ241" s="182"/>
      <c r="CA241" s="182"/>
      <c r="CB241" s="182"/>
      <c r="CC241" s="182"/>
      <c r="CD241" s="182"/>
      <c r="CE241" s="182"/>
      <c r="CF241" s="182"/>
      <c r="CG241" s="182"/>
      <c r="CH241" s="182"/>
      <c r="CI241" s="182"/>
      <c r="CJ241" s="182"/>
      <c r="CK241" s="621"/>
      <c r="CL241" s="622"/>
      <c r="CM241" s="623"/>
    </row>
    <row r="242" spans="1:91" s="344" customFormat="1">
      <c r="A242" s="335" t="s">
        <v>360</v>
      </c>
      <c r="B242" s="519" t="s">
        <v>100</v>
      </c>
      <c r="C242" s="519" t="s">
        <v>100</v>
      </c>
      <c r="D242" s="182"/>
      <c r="E242" s="519" t="s">
        <v>100</v>
      </c>
      <c r="F242" s="519"/>
      <c r="G242" s="519"/>
      <c r="H242" s="519" t="s">
        <v>100</v>
      </c>
      <c r="I242" s="519"/>
      <c r="J242" s="519" t="s">
        <v>100</v>
      </c>
      <c r="K242" s="519"/>
      <c r="L242" s="519" t="s">
        <v>100</v>
      </c>
      <c r="M242" s="519"/>
      <c r="N242" s="519"/>
      <c r="O242" s="519"/>
      <c r="P242" s="519" t="s">
        <v>100</v>
      </c>
      <c r="Q242" s="519"/>
      <c r="R242" s="519"/>
      <c r="S242" s="519" t="s">
        <v>100</v>
      </c>
      <c r="T242" s="519"/>
      <c r="U242" s="519"/>
      <c r="V242" s="519"/>
      <c r="W242" s="182"/>
      <c r="X242" s="182"/>
      <c r="Y242" s="182"/>
      <c r="Z242" s="182"/>
      <c r="AA242" s="182"/>
      <c r="AB242" s="182"/>
      <c r="AC242" s="182"/>
      <c r="AD242" s="182"/>
      <c r="AE242" s="182"/>
      <c r="AF242" s="182"/>
      <c r="AG242" s="182"/>
      <c r="AH242" s="182"/>
      <c r="AI242" s="339">
        <f t="shared" si="50"/>
        <v>8</v>
      </c>
      <c r="AJ242" s="340" t="str">
        <f>HYPERLINK("https://nypost.com/2018/01/23/posts-11-hall-of-fame-voters-would-produce-a-historic-class/","New York Post")</f>
        <v>New York Post</v>
      </c>
      <c r="AK242" s="532">
        <v>43123</v>
      </c>
      <c r="AL242" s="352"/>
      <c r="AM242" s="352"/>
      <c r="AN242" s="352"/>
      <c r="AO242" s="352"/>
      <c r="AP242" s="352"/>
      <c r="AQ242" s="352"/>
      <c r="AR242" s="352"/>
      <c r="AS242" s="352"/>
      <c r="AT242" s="352"/>
      <c r="AU242" s="352"/>
      <c r="AV242" s="352"/>
      <c r="AW242" s="352"/>
      <c r="AX242" s="352"/>
      <c r="AY242" s="352"/>
      <c r="AZ242" s="352"/>
      <c r="BA242" s="352"/>
      <c r="BB242" s="352"/>
      <c r="BC242" s="352"/>
      <c r="BD242" s="352"/>
      <c r="BE242" s="352"/>
      <c r="BF242" s="352"/>
      <c r="BG242" s="352"/>
      <c r="BH242" s="352"/>
      <c r="BI242" s="352"/>
      <c r="BJ242" s="352"/>
      <c r="BK242" s="470"/>
      <c r="BL242" s="339"/>
      <c r="BM242" s="339"/>
      <c r="BN242" s="182"/>
      <c r="BO242" s="182"/>
      <c r="BP242" s="182"/>
      <c r="BQ242" s="182"/>
      <c r="BR242" s="182"/>
      <c r="BS242" s="182"/>
      <c r="BT242" s="182"/>
      <c r="BU242" s="182"/>
      <c r="BV242" s="182"/>
      <c r="BW242" s="182"/>
      <c r="BX242" s="182"/>
      <c r="BY242" s="182"/>
      <c r="BZ242" s="182"/>
      <c r="CA242" s="182"/>
      <c r="CB242" s="182"/>
      <c r="CC242" s="182"/>
      <c r="CD242" s="182"/>
      <c r="CE242" s="182"/>
      <c r="CF242" s="182"/>
      <c r="CG242" s="182"/>
      <c r="CH242" s="182"/>
      <c r="CI242" s="182"/>
      <c r="CJ242" s="182"/>
      <c r="CK242" s="621"/>
      <c r="CL242" s="622"/>
      <c r="CM242" s="623"/>
    </row>
    <row r="243" spans="1:91" s="344" customFormat="1">
      <c r="A243" s="335" t="s">
        <v>361</v>
      </c>
      <c r="B243" s="519"/>
      <c r="C243" s="519"/>
      <c r="D243" s="182"/>
      <c r="E243" s="519" t="s">
        <v>100</v>
      </c>
      <c r="F243" s="519" t="s">
        <v>100</v>
      </c>
      <c r="G243" s="519"/>
      <c r="H243" s="519" t="s">
        <v>100</v>
      </c>
      <c r="I243" s="519" t="s">
        <v>100</v>
      </c>
      <c r="J243" s="519" t="s">
        <v>100</v>
      </c>
      <c r="K243" s="519"/>
      <c r="L243" s="519" t="s">
        <v>100</v>
      </c>
      <c r="M243" s="519"/>
      <c r="N243" s="519"/>
      <c r="O243" s="519"/>
      <c r="P243" s="519"/>
      <c r="Q243" s="519"/>
      <c r="R243" s="519"/>
      <c r="S243" s="519" t="s">
        <v>100</v>
      </c>
      <c r="T243" s="519" t="s">
        <v>100</v>
      </c>
      <c r="U243" s="519"/>
      <c r="V243" s="519"/>
      <c r="W243" s="182"/>
      <c r="X243" s="182"/>
      <c r="Y243" s="182"/>
      <c r="Z243" s="182"/>
      <c r="AA243" s="182"/>
      <c r="AB243" s="182"/>
      <c r="AC243" s="182"/>
      <c r="AD243" s="182"/>
      <c r="AE243" s="182"/>
      <c r="AF243" s="182" t="s">
        <v>100</v>
      </c>
      <c r="AG243" s="182"/>
      <c r="AH243" s="182"/>
      <c r="AI243" s="339">
        <f t="shared" si="47"/>
        <v>9</v>
      </c>
      <c r="AJ243" s="340" t="str">
        <f>HYPERLINK("http://www.golferswest.com/all-sports-opinions/hof-blend-of-old-with-solid-new-class/","Golfers West")</f>
        <v>Golfers West</v>
      </c>
      <c r="AK243" s="341">
        <v>43105</v>
      </c>
      <c r="AL243" s="352"/>
      <c r="AM243" s="352"/>
      <c r="AN243" s="352"/>
      <c r="AO243" s="352"/>
      <c r="AP243" s="352"/>
      <c r="AQ243" s="352"/>
      <c r="AR243" s="352"/>
      <c r="AS243" s="352"/>
      <c r="AT243" s="352"/>
      <c r="AU243" s="352"/>
      <c r="AV243" s="352"/>
      <c r="AW243" s="352"/>
      <c r="AX243" s="352"/>
      <c r="AY243" s="352"/>
      <c r="AZ243" s="352"/>
      <c r="BA243" s="352"/>
      <c r="BB243" s="352"/>
      <c r="BC243" s="352"/>
      <c r="BD243" s="352"/>
      <c r="BE243" s="352"/>
      <c r="BF243" s="352"/>
      <c r="BG243" s="352"/>
      <c r="BH243" s="352"/>
      <c r="BI243" s="352"/>
      <c r="BJ243" s="352"/>
      <c r="BK243" s="470"/>
      <c r="BL243" s="339"/>
      <c r="BM243" s="339"/>
      <c r="BN243" s="182"/>
      <c r="BO243" s="182"/>
      <c r="BP243" s="182"/>
      <c r="BQ243" s="182"/>
      <c r="BR243" s="182"/>
      <c r="BS243" s="182"/>
      <c r="BT243" s="182"/>
      <c r="BU243" s="182"/>
      <c r="BV243" s="182"/>
      <c r="BW243" s="182"/>
      <c r="BX243" s="182"/>
      <c r="BY243" s="182"/>
      <c r="BZ243" s="182"/>
      <c r="CA243" s="182"/>
      <c r="CB243" s="182"/>
      <c r="CC243" s="182"/>
      <c r="CD243" s="182"/>
      <c r="CE243" s="182"/>
      <c r="CF243" s="182"/>
      <c r="CG243" s="182"/>
      <c r="CH243" s="182"/>
      <c r="CI243" s="182"/>
      <c r="CJ243" s="182"/>
      <c r="CK243" s="621"/>
      <c r="CL243" s="622"/>
      <c r="CM243" s="623"/>
    </row>
    <row r="244" spans="1:91" s="344" customFormat="1">
      <c r="A244" s="335" t="s">
        <v>362</v>
      </c>
      <c r="B244" s="519" t="s">
        <v>100</v>
      </c>
      <c r="C244" s="519" t="s">
        <v>100</v>
      </c>
      <c r="D244" s="182"/>
      <c r="E244" s="522" t="s">
        <v>100</v>
      </c>
      <c r="F244" s="519"/>
      <c r="G244" s="519"/>
      <c r="H244" s="519" t="s">
        <v>100</v>
      </c>
      <c r="I244" s="519"/>
      <c r="J244" s="519" t="s">
        <v>100</v>
      </c>
      <c r="K244" s="519"/>
      <c r="L244" s="519" t="s">
        <v>100</v>
      </c>
      <c r="M244" s="519" t="s">
        <v>100</v>
      </c>
      <c r="N244" s="519" t="s">
        <v>100</v>
      </c>
      <c r="O244" s="519"/>
      <c r="P244" s="519" t="s">
        <v>100</v>
      </c>
      <c r="Q244" s="519"/>
      <c r="R244" s="519"/>
      <c r="S244" s="519"/>
      <c r="T244" s="519"/>
      <c r="U244" s="519"/>
      <c r="V244" s="519" t="s">
        <v>100</v>
      </c>
      <c r="W244" s="182"/>
      <c r="X244" s="182"/>
      <c r="Y244" s="182"/>
      <c r="Z244" s="182"/>
      <c r="AA244" s="182"/>
      <c r="AB244" s="182"/>
      <c r="AC244" s="182"/>
      <c r="AD244" s="182"/>
      <c r="AE244" s="182"/>
      <c r="AF244" s="182"/>
      <c r="AG244" s="182"/>
      <c r="AH244" s="182"/>
      <c r="AI244" s="339">
        <f t="shared" si="47"/>
        <v>10</v>
      </c>
      <c r="AJ244" s="340" t="str">
        <f>HYPERLINK("http://www.bostonherald.com/sports/red_sox/2017/12/silverman_stupid_baseball_hall_of_fame_rule_makes_for_high_voting_ten_sion","Boston Herald")</f>
        <v>Boston Herald</v>
      </c>
      <c r="AK244" s="341">
        <v>43099</v>
      </c>
      <c r="AL244" s="352"/>
      <c r="AM244" s="352"/>
      <c r="AN244" s="352"/>
      <c r="AO244" s="352"/>
      <c r="AP244" s="352"/>
      <c r="AQ244" s="352"/>
      <c r="AR244" s="352"/>
      <c r="AS244" s="352"/>
      <c r="AT244" s="352"/>
      <c r="AU244" s="352"/>
      <c r="AV244" s="352"/>
      <c r="AW244" s="352"/>
      <c r="AX244" s="352"/>
      <c r="AY244" s="352"/>
      <c r="AZ244" s="352"/>
      <c r="BA244" s="352"/>
      <c r="BB244" s="352"/>
      <c r="BC244" s="352"/>
      <c r="BD244" s="352"/>
      <c r="BE244" s="352"/>
      <c r="BF244" s="352"/>
      <c r="BG244" s="352"/>
      <c r="BH244" s="352"/>
      <c r="BI244" s="352"/>
      <c r="BJ244" s="352"/>
      <c r="BK244" s="470"/>
      <c r="BL244" s="339"/>
      <c r="BM244" s="339"/>
      <c r="BN244" s="182"/>
      <c r="BO244" s="182"/>
      <c r="BP244" s="182"/>
      <c r="BQ244" s="182"/>
      <c r="BR244" s="182"/>
      <c r="BS244" s="182"/>
      <c r="BT244" s="182"/>
      <c r="BU244" s="182"/>
      <c r="BV244" s="182"/>
      <c r="BW244" s="182"/>
      <c r="BX244" s="182"/>
      <c r="BY244" s="182"/>
      <c r="BZ244" s="182"/>
      <c r="CA244" s="182"/>
      <c r="CB244" s="182"/>
      <c r="CC244" s="182"/>
      <c r="CD244" s="182"/>
      <c r="CE244" s="182"/>
      <c r="CF244" s="182"/>
      <c r="CG244" s="182"/>
      <c r="CH244" s="182"/>
      <c r="CI244" s="182"/>
      <c r="CJ244" s="182"/>
      <c r="CK244" s="647" t="s">
        <v>363</v>
      </c>
      <c r="CL244" s="648"/>
      <c r="CM244" s="649"/>
    </row>
    <row r="245" spans="1:91" s="344" customFormat="1">
      <c r="A245" s="335" t="s">
        <v>364</v>
      </c>
      <c r="B245" s="519"/>
      <c r="C245" s="519"/>
      <c r="D245" s="182"/>
      <c r="E245" s="519" t="s">
        <v>100</v>
      </c>
      <c r="F245" s="519" t="s">
        <v>100</v>
      </c>
      <c r="G245" s="519"/>
      <c r="H245" s="519" t="s">
        <v>100</v>
      </c>
      <c r="I245" s="519"/>
      <c r="J245" s="519" t="s">
        <v>100</v>
      </c>
      <c r="K245" s="519"/>
      <c r="L245" s="519" t="s">
        <v>100</v>
      </c>
      <c r="M245" s="519"/>
      <c r="N245" s="519"/>
      <c r="O245" s="519"/>
      <c r="P245" s="519" t="s">
        <v>100</v>
      </c>
      <c r="Q245" s="519"/>
      <c r="R245" s="519"/>
      <c r="S245" s="519" t="s">
        <v>100</v>
      </c>
      <c r="T245" s="519" t="s">
        <v>100</v>
      </c>
      <c r="U245" s="519"/>
      <c r="V245" s="519" t="s">
        <v>100</v>
      </c>
      <c r="W245" s="182"/>
      <c r="X245" s="182"/>
      <c r="Y245" s="182"/>
      <c r="Z245" s="182"/>
      <c r="AA245" s="182"/>
      <c r="AB245" s="182"/>
      <c r="AC245" s="182"/>
      <c r="AD245" s="182"/>
      <c r="AE245" s="182"/>
      <c r="AF245" s="182"/>
      <c r="AG245" s="182"/>
      <c r="AH245" s="182"/>
      <c r="AI245" s="339">
        <f t="shared" si="47"/>
        <v>9</v>
      </c>
      <c r="AJ245" s="340" t="str">
        <f>HYPERLINK("http://torontosun.com/sports/hockey/simmons-says-johnny-bower-was-chosen-leaf-which-puzzled-even-him","Toronto Sun")</f>
        <v>Toronto Sun</v>
      </c>
      <c r="AK245" s="341">
        <v>43099</v>
      </c>
      <c r="AL245" s="352"/>
      <c r="AM245" s="352"/>
      <c r="AN245" s="352"/>
      <c r="AO245" s="352"/>
      <c r="AP245" s="352"/>
      <c r="AQ245" s="352"/>
      <c r="AR245" s="352"/>
      <c r="AS245" s="352"/>
      <c r="AT245" s="352"/>
      <c r="AU245" s="352"/>
      <c r="AV245" s="352"/>
      <c r="AW245" s="352"/>
      <c r="AX245" s="352"/>
      <c r="AY245" s="352"/>
      <c r="AZ245" s="352"/>
      <c r="BA245" s="352"/>
      <c r="BB245" s="352"/>
      <c r="BC245" s="352"/>
      <c r="BD245" s="352"/>
      <c r="BE245" s="352"/>
      <c r="BF245" s="352"/>
      <c r="BG245" s="352"/>
      <c r="BH245" s="352"/>
      <c r="BI245" s="352"/>
      <c r="BJ245" s="352"/>
      <c r="BK245" s="470"/>
      <c r="BL245" s="339"/>
      <c r="BM245" s="339"/>
      <c r="BN245" s="182"/>
      <c r="BO245" s="182"/>
      <c r="BP245" s="182"/>
      <c r="BQ245" s="182"/>
      <c r="BR245" s="182"/>
      <c r="BS245" s="182"/>
      <c r="BT245" s="182"/>
      <c r="BU245" s="182"/>
      <c r="BV245" s="182"/>
      <c r="BW245" s="182"/>
      <c r="BX245" s="182"/>
      <c r="BY245" s="182"/>
      <c r="BZ245" s="182"/>
      <c r="CA245" s="182"/>
      <c r="CB245" s="182"/>
      <c r="CC245" s="182"/>
      <c r="CD245" s="182"/>
      <c r="CE245" s="182"/>
      <c r="CF245" s="182"/>
      <c r="CG245" s="182"/>
      <c r="CH245" s="182"/>
      <c r="CI245" s="182"/>
      <c r="CJ245" s="182"/>
      <c r="CK245" s="621"/>
      <c r="CL245" s="622"/>
      <c r="CM245" s="623"/>
    </row>
    <row r="246" spans="1:91" s="344" customFormat="1">
      <c r="A246" s="335" t="s">
        <v>365</v>
      </c>
      <c r="B246" s="519" t="s">
        <v>100</v>
      </c>
      <c r="C246" s="519" t="s">
        <v>100</v>
      </c>
      <c r="D246" s="182"/>
      <c r="E246" s="519" t="s">
        <v>100</v>
      </c>
      <c r="F246" s="519" t="s">
        <v>100</v>
      </c>
      <c r="G246" s="519"/>
      <c r="H246" s="519" t="s">
        <v>100</v>
      </c>
      <c r="I246" s="519"/>
      <c r="J246" s="519" t="s">
        <v>100</v>
      </c>
      <c r="K246" s="519"/>
      <c r="L246" s="519" t="s">
        <v>100</v>
      </c>
      <c r="M246" s="519"/>
      <c r="N246" s="519" t="s">
        <v>100</v>
      </c>
      <c r="O246" s="519"/>
      <c r="P246" s="523"/>
      <c r="Q246" s="519"/>
      <c r="R246" s="519"/>
      <c r="S246" s="519" t="s">
        <v>100</v>
      </c>
      <c r="T246" s="519"/>
      <c r="U246" s="519"/>
      <c r="V246" s="522" t="s">
        <v>100</v>
      </c>
      <c r="W246" s="182"/>
      <c r="X246" s="182"/>
      <c r="Y246" s="182"/>
      <c r="Z246" s="182"/>
      <c r="AA246" s="182"/>
      <c r="AB246" s="182"/>
      <c r="AC246" s="182"/>
      <c r="AD246" s="182"/>
      <c r="AE246" s="182"/>
      <c r="AF246" s="182"/>
      <c r="AG246" s="182"/>
      <c r="AH246" s="182"/>
      <c r="AI246" s="339">
        <f t="shared" si="47"/>
        <v>10</v>
      </c>
      <c r="AJ246" s="340" t="str">
        <f>HYPERLINK("http://www.sfchronicle.com/sports/article/Baseball-Hall-of-Fame-How-6-Chronicle-writers-12519201.php","SF Chronicle")</f>
        <v>SF Chronicle</v>
      </c>
      <c r="AK246" s="341">
        <v>43123</v>
      </c>
      <c r="AL246" s="352"/>
      <c r="AM246" s="352"/>
      <c r="AN246" s="352"/>
      <c r="AO246" s="352"/>
      <c r="AP246" s="352"/>
      <c r="AQ246" s="352"/>
      <c r="AR246" s="352"/>
      <c r="AS246" s="352"/>
      <c r="AT246" s="352"/>
      <c r="AU246" s="352"/>
      <c r="AV246" s="352"/>
      <c r="AW246" s="352"/>
      <c r="AX246" s="352"/>
      <c r="AY246" s="352"/>
      <c r="AZ246" s="352"/>
      <c r="BA246" s="352"/>
      <c r="BB246" s="352"/>
      <c r="BC246" s="352"/>
      <c r="BD246" s="352"/>
      <c r="BE246" s="352"/>
      <c r="BF246" s="352"/>
      <c r="BG246" s="352"/>
      <c r="BH246" s="352"/>
      <c r="BI246" s="352"/>
      <c r="BJ246" s="352"/>
      <c r="BK246" s="470"/>
      <c r="BL246" s="339"/>
      <c r="BM246" s="339"/>
      <c r="BN246" s="182"/>
      <c r="BO246" s="182"/>
      <c r="BP246" s="182"/>
      <c r="BQ246" s="182"/>
      <c r="BR246" s="182"/>
      <c r="BS246" s="182"/>
      <c r="BT246" s="182"/>
      <c r="BU246" s="182"/>
      <c r="BV246" s="182"/>
      <c r="BW246" s="182"/>
      <c r="BX246" s="182"/>
      <c r="BY246" s="182"/>
      <c r="BZ246" s="182"/>
      <c r="CA246" s="182"/>
      <c r="CB246" s="182"/>
      <c r="CC246" s="182"/>
      <c r="CD246" s="182"/>
      <c r="CE246" s="182"/>
      <c r="CF246" s="182"/>
      <c r="CG246" s="182"/>
      <c r="CH246" s="182"/>
      <c r="CI246" s="182"/>
      <c r="CJ246" s="182"/>
      <c r="CK246" s="647" t="s">
        <v>158</v>
      </c>
      <c r="CL246" s="648"/>
      <c r="CM246" s="649"/>
    </row>
    <row r="247" spans="1:91" s="344" customFormat="1">
      <c r="A247" s="335" t="s">
        <v>366</v>
      </c>
      <c r="B247" s="519" t="s">
        <v>100</v>
      </c>
      <c r="C247" s="519" t="s">
        <v>100</v>
      </c>
      <c r="D247" s="182"/>
      <c r="E247" s="519" t="s">
        <v>100</v>
      </c>
      <c r="F247" s="519" t="s">
        <v>100</v>
      </c>
      <c r="G247" s="519"/>
      <c r="H247" s="519" t="s">
        <v>100</v>
      </c>
      <c r="I247" s="519"/>
      <c r="J247" s="519" t="s">
        <v>100</v>
      </c>
      <c r="K247" s="519"/>
      <c r="L247" s="519"/>
      <c r="M247" s="519"/>
      <c r="N247" s="519"/>
      <c r="O247" s="519"/>
      <c r="P247" s="519" t="s">
        <v>100</v>
      </c>
      <c r="Q247" s="519"/>
      <c r="R247" s="519" t="s">
        <v>100</v>
      </c>
      <c r="S247" s="519" t="s">
        <v>100</v>
      </c>
      <c r="T247" s="519" t="s">
        <v>100</v>
      </c>
      <c r="U247" s="519"/>
      <c r="V247" s="519"/>
      <c r="W247" s="182"/>
      <c r="X247" s="182"/>
      <c r="Y247" s="182"/>
      <c r="Z247" s="182"/>
      <c r="AA247" s="182"/>
      <c r="AB247" s="182"/>
      <c r="AC247" s="182"/>
      <c r="AD247" s="182"/>
      <c r="AE247" s="182"/>
      <c r="AF247" s="182"/>
      <c r="AG247" s="182"/>
      <c r="AH247" s="182"/>
      <c r="AI247" s="339">
        <f t="shared" si="47"/>
        <v>10</v>
      </c>
      <c r="AJ247" s="340" t="str">
        <f>HYPERLINK("https://twitter.com/MzCSmith/status/946554113722081282","Twitter")</f>
        <v>Twitter</v>
      </c>
      <c r="AK247" s="341">
        <v>43097</v>
      </c>
      <c r="AL247" s="352"/>
      <c r="AM247" s="352"/>
      <c r="AN247" s="352"/>
      <c r="AO247" s="352"/>
      <c r="AP247" s="352"/>
      <c r="AQ247" s="352"/>
      <c r="AR247" s="352"/>
      <c r="AS247" s="352"/>
      <c r="AT247" s="352"/>
      <c r="AU247" s="352"/>
      <c r="AV247" s="352"/>
      <c r="AW247" s="352"/>
      <c r="AX247" s="352"/>
      <c r="AY247" s="352"/>
      <c r="AZ247" s="352"/>
      <c r="BA247" s="352"/>
      <c r="BB247" s="352"/>
      <c r="BC247" s="352"/>
      <c r="BD247" s="352"/>
      <c r="BE247" s="352"/>
      <c r="BF247" s="352"/>
      <c r="BG247" s="352"/>
      <c r="BH247" s="352"/>
      <c r="BI247" s="352"/>
      <c r="BJ247" s="352"/>
      <c r="BK247" s="470"/>
      <c r="BL247" s="339"/>
      <c r="BM247" s="339"/>
      <c r="BN247" s="182"/>
      <c r="BO247" s="182"/>
      <c r="BP247" s="182"/>
      <c r="BQ247" s="182"/>
      <c r="BR247" s="182"/>
      <c r="BS247" s="182"/>
      <c r="BT247" s="182"/>
      <c r="BU247" s="182"/>
      <c r="BV247" s="182"/>
      <c r="BW247" s="182"/>
      <c r="BX247" s="182"/>
      <c r="BY247" s="182"/>
      <c r="BZ247" s="182"/>
      <c r="CA247" s="182"/>
      <c r="CB247" s="182"/>
      <c r="CC247" s="182"/>
      <c r="CD247" s="182"/>
      <c r="CE247" s="182"/>
      <c r="CF247" s="182"/>
      <c r="CG247" s="182"/>
      <c r="CH247" s="182"/>
      <c r="CI247" s="182"/>
      <c r="CJ247" s="182"/>
      <c r="CK247" s="621"/>
      <c r="CL247" s="622"/>
      <c r="CM247" s="623"/>
    </row>
    <row r="248" spans="1:91" s="344" customFormat="1">
      <c r="A248" s="331" t="s">
        <v>367</v>
      </c>
      <c r="B248" s="519" t="s">
        <v>100</v>
      </c>
      <c r="C248" s="519" t="s">
        <v>100</v>
      </c>
      <c r="D248" s="182"/>
      <c r="E248" s="519" t="s">
        <v>100</v>
      </c>
      <c r="F248" s="519" t="s">
        <v>100</v>
      </c>
      <c r="G248" s="519"/>
      <c r="H248" s="519" t="s">
        <v>100</v>
      </c>
      <c r="I248" s="519"/>
      <c r="J248" s="519" t="s">
        <v>100</v>
      </c>
      <c r="K248" s="519" t="s">
        <v>100</v>
      </c>
      <c r="L248" s="519" t="s">
        <v>100</v>
      </c>
      <c r="M248" s="519"/>
      <c r="N248" s="519" t="s">
        <v>100</v>
      </c>
      <c r="O248" s="519"/>
      <c r="P248" s="519"/>
      <c r="Q248" s="519"/>
      <c r="R248" s="519"/>
      <c r="S248" s="519" t="s">
        <v>100</v>
      </c>
      <c r="T248" s="519"/>
      <c r="U248" s="519"/>
      <c r="V248" s="519"/>
      <c r="W248" s="182"/>
      <c r="X248" s="182"/>
      <c r="Y248" s="182"/>
      <c r="Z248" s="182"/>
      <c r="AA248" s="182"/>
      <c r="AB248" s="182"/>
      <c r="AC248" s="182"/>
      <c r="AD248" s="182"/>
      <c r="AE248" s="182"/>
      <c r="AF248" s="182"/>
      <c r="AG248" s="182"/>
      <c r="AH248" s="182"/>
      <c r="AI248" s="339">
        <f t="shared" si="47"/>
        <v>10</v>
      </c>
      <c r="AJ248" s="340" t="str">
        <f>HYPERLINK("http://www.tampabay.com/blogs/rays/2018/01/23/getting-into-baseballs-hall-of-fame-is-hard-voting-isnt-easy-either/","Tampa Bay Times")</f>
        <v>Tampa Bay Times</v>
      </c>
      <c r="AK248" s="341">
        <v>43123</v>
      </c>
      <c r="AL248" s="352"/>
      <c r="AM248" s="352"/>
      <c r="AN248" s="352"/>
      <c r="AO248" s="352"/>
      <c r="AP248" s="352"/>
      <c r="AQ248" s="352"/>
      <c r="AR248" s="352"/>
      <c r="AS248" s="352"/>
      <c r="AT248" s="352"/>
      <c r="AU248" s="352"/>
      <c r="AV248" s="352"/>
      <c r="AW248" s="352"/>
      <c r="AX248" s="352"/>
      <c r="AY248" s="352"/>
      <c r="AZ248" s="352"/>
      <c r="BA248" s="352"/>
      <c r="BB248" s="352"/>
      <c r="BC248" s="352"/>
      <c r="BD248" s="352"/>
      <c r="BE248" s="352"/>
      <c r="BF248" s="352"/>
      <c r="BG248" s="352"/>
      <c r="BH248" s="352"/>
      <c r="BI248" s="352"/>
      <c r="BJ248" s="352"/>
      <c r="BK248" s="470"/>
      <c r="BL248" s="339"/>
      <c r="BM248" s="339"/>
      <c r="BN248" s="182"/>
      <c r="BO248" s="182"/>
      <c r="BP248" s="182"/>
      <c r="BQ248" s="182"/>
      <c r="BR248" s="182"/>
      <c r="BS248" s="182"/>
      <c r="BT248" s="182"/>
      <c r="BU248" s="182"/>
      <c r="BV248" s="182"/>
      <c r="BW248" s="182"/>
      <c r="BX248" s="182"/>
      <c r="BY248" s="182"/>
      <c r="BZ248" s="182"/>
      <c r="CA248" s="182"/>
      <c r="CB248" s="182"/>
      <c r="CC248" s="182"/>
      <c r="CD248" s="182"/>
      <c r="CE248" s="182"/>
      <c r="CF248" s="182"/>
      <c r="CG248" s="182"/>
      <c r="CH248" s="182"/>
      <c r="CI248" s="182"/>
      <c r="CJ248" s="182"/>
      <c r="CK248" s="621"/>
      <c r="CL248" s="622"/>
      <c r="CM248" s="623"/>
    </row>
    <row r="249" spans="1:91" s="344" customFormat="1">
      <c r="A249" s="335" t="s">
        <v>368</v>
      </c>
      <c r="B249" s="519" t="s">
        <v>100</v>
      </c>
      <c r="C249" s="519" t="s">
        <v>100</v>
      </c>
      <c r="D249" s="182"/>
      <c r="E249" s="522" t="s">
        <v>100</v>
      </c>
      <c r="F249" s="522" t="s">
        <v>100</v>
      </c>
      <c r="G249" s="519"/>
      <c r="H249" s="519" t="s">
        <v>100</v>
      </c>
      <c r="I249" s="519"/>
      <c r="J249" s="519" t="s">
        <v>100</v>
      </c>
      <c r="K249" s="519"/>
      <c r="L249" s="523"/>
      <c r="M249" s="519" t="s">
        <v>100</v>
      </c>
      <c r="N249" s="519"/>
      <c r="O249" s="519"/>
      <c r="P249" s="519"/>
      <c r="Q249" s="519"/>
      <c r="R249" s="522" t="s">
        <v>100</v>
      </c>
      <c r="S249" s="519" t="s">
        <v>100</v>
      </c>
      <c r="T249" s="519" t="s">
        <v>100</v>
      </c>
      <c r="U249" s="523"/>
      <c r="V249" s="519"/>
      <c r="W249" s="182"/>
      <c r="X249" s="182"/>
      <c r="Y249" s="182"/>
      <c r="Z249" s="182"/>
      <c r="AA249" s="182"/>
      <c r="AB249" s="182"/>
      <c r="AC249" s="182"/>
      <c r="AD249" s="182"/>
      <c r="AE249" s="182"/>
      <c r="AF249" s="182"/>
      <c r="AG249" s="182"/>
      <c r="AH249" s="182"/>
      <c r="AI249" s="339">
        <f t="shared" si="47"/>
        <v>10</v>
      </c>
      <c r="AJ249" s="340" t="str">
        <f>HYPERLINK("https://twitter.com/willie_t_smith/status/938099689282523136","Twitter")</f>
        <v>Twitter</v>
      </c>
      <c r="AK249" s="341">
        <v>43074</v>
      </c>
      <c r="AL249" s="352"/>
      <c r="AM249" s="352"/>
      <c r="AN249" s="352"/>
      <c r="AO249" s="352"/>
      <c r="AP249" s="352"/>
      <c r="AQ249" s="352"/>
      <c r="AR249" s="352"/>
      <c r="AS249" s="352"/>
      <c r="AT249" s="352"/>
      <c r="AU249" s="352"/>
      <c r="AV249" s="352"/>
      <c r="AW249" s="352"/>
      <c r="AX249" s="352"/>
      <c r="AY249" s="352"/>
      <c r="AZ249" s="352"/>
      <c r="BA249" s="352"/>
      <c r="BB249" s="352"/>
      <c r="BC249" s="352"/>
      <c r="BD249" s="352"/>
      <c r="BE249" s="352"/>
      <c r="BF249" s="352"/>
      <c r="BG249" s="352"/>
      <c r="BH249" s="352"/>
      <c r="BI249" s="352"/>
      <c r="BJ249" s="352"/>
      <c r="BK249" s="470"/>
      <c r="BL249" s="339"/>
      <c r="BM249" s="339"/>
      <c r="BN249" s="182"/>
      <c r="BO249" s="182"/>
      <c r="BP249" s="182"/>
      <c r="BQ249" s="182"/>
      <c r="BR249" s="182"/>
      <c r="BS249" s="182"/>
      <c r="BT249" s="182"/>
      <c r="BU249" s="182"/>
      <c r="BV249" s="182"/>
      <c r="BW249" s="182"/>
      <c r="BX249" s="182"/>
      <c r="BY249" s="182"/>
      <c r="BZ249" s="182"/>
      <c r="CA249" s="182"/>
      <c r="CB249" s="182"/>
      <c r="CC249" s="182"/>
      <c r="CD249" s="182"/>
      <c r="CE249" s="182"/>
      <c r="CF249" s="182"/>
      <c r="CG249" s="182"/>
      <c r="CH249" s="182"/>
      <c r="CI249" s="182"/>
      <c r="CJ249" s="182"/>
      <c r="CK249" s="618"/>
      <c r="CL249" s="619"/>
      <c r="CM249" s="620"/>
    </row>
    <row r="250" spans="1:91" s="344" customFormat="1">
      <c r="A250" s="335" t="s">
        <v>369</v>
      </c>
      <c r="B250" s="519" t="s">
        <v>100</v>
      </c>
      <c r="C250" s="519" t="s">
        <v>100</v>
      </c>
      <c r="D250" s="182"/>
      <c r="E250" s="519"/>
      <c r="F250" s="519"/>
      <c r="G250" s="519"/>
      <c r="H250" s="519" t="s">
        <v>100</v>
      </c>
      <c r="I250" s="519"/>
      <c r="J250" s="522" t="s">
        <v>100</v>
      </c>
      <c r="K250" s="519"/>
      <c r="L250" s="519"/>
      <c r="M250" s="519" t="s">
        <v>100</v>
      </c>
      <c r="N250" s="519"/>
      <c r="O250" s="519"/>
      <c r="P250" s="519"/>
      <c r="Q250" s="519"/>
      <c r="R250" s="519"/>
      <c r="S250" s="519" t="s">
        <v>100</v>
      </c>
      <c r="T250" s="519"/>
      <c r="U250" s="519"/>
      <c r="V250" s="519"/>
      <c r="W250" s="182"/>
      <c r="X250" s="182"/>
      <c r="Y250" s="182"/>
      <c r="Z250" s="182"/>
      <c r="AA250" s="182"/>
      <c r="AB250" s="182"/>
      <c r="AC250" s="182"/>
      <c r="AD250" s="182"/>
      <c r="AE250" s="182"/>
      <c r="AF250" s="182"/>
      <c r="AG250" s="182"/>
      <c r="AH250" s="182"/>
      <c r="AI250" s="339">
        <f t="shared" si="47"/>
        <v>6</v>
      </c>
      <c r="AJ250" s="530" t="s">
        <v>113</v>
      </c>
      <c r="AK250" s="341">
        <v>43085</v>
      </c>
      <c r="AL250" s="352"/>
      <c r="AM250" s="352"/>
      <c r="AN250" s="352"/>
      <c r="AO250" s="352"/>
      <c r="AP250" s="352"/>
      <c r="AQ250" s="352"/>
      <c r="AR250" s="352"/>
      <c r="AS250" s="352"/>
      <c r="AT250" s="352"/>
      <c r="AU250" s="352"/>
      <c r="AV250" s="352"/>
      <c r="AW250" s="352"/>
      <c r="AX250" s="352"/>
      <c r="AY250" s="352"/>
      <c r="AZ250" s="352"/>
      <c r="BA250" s="352"/>
      <c r="BB250" s="352"/>
      <c r="BC250" s="352"/>
      <c r="BD250" s="352"/>
      <c r="BE250" s="352"/>
      <c r="BF250" s="352"/>
      <c r="BG250" s="352"/>
      <c r="BH250" s="352"/>
      <c r="BI250" s="352"/>
      <c r="BJ250" s="352"/>
      <c r="BK250" s="470"/>
      <c r="BL250" s="339"/>
      <c r="BM250" s="339"/>
      <c r="BN250" s="182"/>
      <c r="BO250" s="182"/>
      <c r="BP250" s="182"/>
      <c r="BQ250" s="182"/>
      <c r="BR250" s="182"/>
      <c r="BS250" s="182"/>
      <c r="BT250" s="182"/>
      <c r="BU250" s="182"/>
      <c r="BV250" s="182"/>
      <c r="BW250" s="182"/>
      <c r="BX250" s="182"/>
      <c r="BY250" s="182"/>
      <c r="BZ250" s="182"/>
      <c r="CA250" s="182"/>
      <c r="CB250" s="182"/>
      <c r="CC250" s="182"/>
      <c r="CD250" s="182"/>
      <c r="CE250" s="182"/>
      <c r="CF250" s="182"/>
      <c r="CG250" s="182"/>
      <c r="CH250" s="182"/>
      <c r="CI250" s="182"/>
      <c r="CJ250" s="182"/>
      <c r="CK250" s="618"/>
      <c r="CL250" s="619"/>
      <c r="CM250" s="620"/>
    </row>
    <row r="251" spans="1:91" s="344" customFormat="1">
      <c r="A251" s="335" t="s">
        <v>370</v>
      </c>
      <c r="B251" s="519"/>
      <c r="C251" s="519"/>
      <c r="D251" s="182"/>
      <c r="E251" s="519" t="s">
        <v>100</v>
      </c>
      <c r="F251" s="523"/>
      <c r="G251" s="519"/>
      <c r="H251" s="519" t="s">
        <v>100</v>
      </c>
      <c r="I251" s="519"/>
      <c r="J251" s="519" t="s">
        <v>100</v>
      </c>
      <c r="K251" s="519"/>
      <c r="L251" s="519" t="s">
        <v>100</v>
      </c>
      <c r="M251" s="519"/>
      <c r="N251" s="519"/>
      <c r="O251" s="519"/>
      <c r="P251" s="519" t="s">
        <v>100</v>
      </c>
      <c r="Q251" s="519"/>
      <c r="R251" s="519"/>
      <c r="S251" s="519" t="s">
        <v>100</v>
      </c>
      <c r="T251" s="519"/>
      <c r="U251" s="519"/>
      <c r="V251" s="519" t="s">
        <v>100</v>
      </c>
      <c r="W251" s="182"/>
      <c r="X251" s="182"/>
      <c r="Y251" s="182"/>
      <c r="Z251" s="182"/>
      <c r="AA251" s="182"/>
      <c r="AB251" s="182"/>
      <c r="AC251" s="182"/>
      <c r="AD251" s="182"/>
      <c r="AE251" s="182"/>
      <c r="AF251" s="182"/>
      <c r="AG251" s="182"/>
      <c r="AH251" s="182"/>
      <c r="AI251" s="339">
        <f t="shared" si="47"/>
        <v>7</v>
      </c>
      <c r="AJ251" s="530" t="s">
        <v>138</v>
      </c>
      <c r="AK251" s="341">
        <v>43075</v>
      </c>
      <c r="AL251" s="352"/>
      <c r="AM251" s="352"/>
      <c r="AN251" s="352"/>
      <c r="AO251" s="352"/>
      <c r="AP251" s="352"/>
      <c r="AQ251" s="352"/>
      <c r="AR251" s="352"/>
      <c r="AS251" s="352"/>
      <c r="AT251" s="352"/>
      <c r="AU251" s="352"/>
      <c r="AV251" s="352"/>
      <c r="AW251" s="352"/>
      <c r="AX251" s="352"/>
      <c r="AY251" s="352"/>
      <c r="AZ251" s="352"/>
      <c r="BA251" s="352"/>
      <c r="BB251" s="352"/>
      <c r="BC251" s="352"/>
      <c r="BD251" s="352"/>
      <c r="BE251" s="352"/>
      <c r="BF251" s="352"/>
      <c r="BG251" s="352"/>
      <c r="BH251" s="352"/>
      <c r="BI251" s="352"/>
      <c r="BJ251" s="352"/>
      <c r="BK251" s="470"/>
      <c r="BL251" s="339"/>
      <c r="BM251" s="339"/>
      <c r="BN251" s="182"/>
      <c r="BO251" s="182"/>
      <c r="BP251" s="182"/>
      <c r="BQ251" s="182"/>
      <c r="BR251" s="182"/>
      <c r="BS251" s="182"/>
      <c r="BT251" s="182"/>
      <c r="BU251" s="182"/>
      <c r="BV251" s="182"/>
      <c r="BW251" s="182"/>
      <c r="BX251" s="182"/>
      <c r="BY251" s="182"/>
      <c r="BZ251" s="182"/>
      <c r="CA251" s="182"/>
      <c r="CB251" s="182"/>
      <c r="CC251" s="182"/>
      <c r="CD251" s="182"/>
      <c r="CE251" s="182"/>
      <c r="CF251" s="182"/>
      <c r="CG251" s="182"/>
      <c r="CH251" s="182"/>
      <c r="CI251" s="182"/>
      <c r="CJ251" s="182"/>
      <c r="CK251" s="618"/>
      <c r="CL251" s="619"/>
      <c r="CM251" s="620"/>
    </row>
    <row r="252" spans="1:91" s="344" customFormat="1">
      <c r="A252" s="335" t="s">
        <v>371</v>
      </c>
      <c r="B252" s="519"/>
      <c r="C252" s="519"/>
      <c r="D252" s="182"/>
      <c r="E252" s="522" t="s">
        <v>100</v>
      </c>
      <c r="F252" s="519" t="s">
        <v>100</v>
      </c>
      <c r="G252" s="519"/>
      <c r="H252" s="519" t="s">
        <v>100</v>
      </c>
      <c r="I252" s="519"/>
      <c r="J252" s="519" t="s">
        <v>100</v>
      </c>
      <c r="K252" s="519"/>
      <c r="L252" s="519"/>
      <c r="M252" s="519"/>
      <c r="N252" s="519"/>
      <c r="O252" s="519"/>
      <c r="P252" s="519"/>
      <c r="Q252" s="519"/>
      <c r="R252" s="519"/>
      <c r="S252" s="519" t="s">
        <v>100</v>
      </c>
      <c r="T252" s="519" t="s">
        <v>100</v>
      </c>
      <c r="U252" s="519"/>
      <c r="V252" s="519"/>
      <c r="W252" s="182"/>
      <c r="X252" s="182"/>
      <c r="Y252" s="182"/>
      <c r="Z252" s="182"/>
      <c r="AA252" s="182"/>
      <c r="AB252" s="182"/>
      <c r="AC252" s="182"/>
      <c r="AD252" s="182"/>
      <c r="AE252" s="182"/>
      <c r="AF252" s="182"/>
      <c r="AG252" s="182"/>
      <c r="AH252" s="182"/>
      <c r="AI252" s="167">
        <f t="shared" si="47"/>
        <v>6</v>
      </c>
      <c r="AJ252" s="340" t="str">
        <f>HYPERLINK("http://www.espn.com/mlb/story/_/id/22119468/espn-2018-hall-fame-ballot-did-our-voters-pick","ESPN group reveal")</f>
        <v>ESPN group reveal</v>
      </c>
      <c r="AK252" s="341">
        <v>43123</v>
      </c>
      <c r="AL252" s="352"/>
      <c r="AM252" s="352"/>
      <c r="AN252" s="352"/>
      <c r="AO252" s="352"/>
      <c r="AP252" s="352"/>
      <c r="AQ252" s="352"/>
      <c r="AR252" s="352"/>
      <c r="AS252" s="352"/>
      <c r="AT252" s="352"/>
      <c r="AU252" s="352"/>
      <c r="AV252" s="352"/>
      <c r="AW252" s="352"/>
      <c r="AX252" s="352"/>
      <c r="AY252" s="352"/>
      <c r="AZ252" s="352"/>
      <c r="BA252" s="352"/>
      <c r="BB252" s="352"/>
      <c r="BC252" s="352"/>
      <c r="BD252" s="352"/>
      <c r="BE252" s="352"/>
      <c r="BF252" s="352"/>
      <c r="BG252" s="352"/>
      <c r="BH252" s="352"/>
      <c r="BI252" s="352"/>
      <c r="BJ252" s="352"/>
      <c r="BK252" s="470"/>
      <c r="BL252" s="339"/>
      <c r="BM252" s="339"/>
      <c r="BN252" s="182"/>
      <c r="BO252" s="182"/>
      <c r="BP252" s="182"/>
      <c r="BQ252" s="182"/>
      <c r="BR252" s="182"/>
      <c r="BS252" s="182"/>
      <c r="BT252" s="182"/>
      <c r="BU252" s="182"/>
      <c r="BV252" s="182"/>
      <c r="BW252" s="182"/>
      <c r="BX252" s="182"/>
      <c r="BY252" s="182"/>
      <c r="BZ252" s="182"/>
      <c r="CA252" s="182"/>
      <c r="CB252" s="182"/>
      <c r="CC252" s="182"/>
      <c r="CD252" s="182"/>
      <c r="CE252" s="182"/>
      <c r="CF252" s="182"/>
      <c r="CG252" s="182"/>
      <c r="CH252" s="182"/>
      <c r="CI252" s="182"/>
      <c r="CJ252" s="182"/>
      <c r="CK252" s="618"/>
      <c r="CL252" s="619"/>
      <c r="CM252" s="620"/>
    </row>
    <row r="253" spans="1:91" s="344" customFormat="1">
      <c r="A253" s="335" t="s">
        <v>372</v>
      </c>
      <c r="B253" s="519"/>
      <c r="C253" s="519"/>
      <c r="D253" s="182"/>
      <c r="E253" s="519" t="s">
        <v>100</v>
      </c>
      <c r="F253" s="519" t="s">
        <v>100</v>
      </c>
      <c r="G253" s="519"/>
      <c r="H253" s="519" t="s">
        <v>100</v>
      </c>
      <c r="I253" s="519"/>
      <c r="J253" s="519" t="s">
        <v>100</v>
      </c>
      <c r="K253" s="519"/>
      <c r="L253" s="519" t="s">
        <v>100</v>
      </c>
      <c r="M253" s="519"/>
      <c r="N253" s="519"/>
      <c r="O253" s="519"/>
      <c r="P253" s="519" t="s">
        <v>100</v>
      </c>
      <c r="Q253" s="519"/>
      <c r="R253" s="519"/>
      <c r="S253" s="519" t="s">
        <v>100</v>
      </c>
      <c r="T253" s="519"/>
      <c r="U253" s="519"/>
      <c r="V253" s="522" t="s">
        <v>100</v>
      </c>
      <c r="W253" s="182"/>
      <c r="X253" s="182"/>
      <c r="Y253" s="182"/>
      <c r="Z253" s="182"/>
      <c r="AA253" s="182"/>
      <c r="AB253" s="182"/>
      <c r="AC253" s="182"/>
      <c r="AD253" s="182"/>
      <c r="AE253" s="182"/>
      <c r="AF253" s="182"/>
      <c r="AG253" s="182"/>
      <c r="AH253" s="182"/>
      <c r="AI253" s="339">
        <f t="shared" si="47"/>
        <v>8</v>
      </c>
      <c r="AJ253" s="340" t="str">
        <f>HYPERLINK("https://twitter.com/arniestapleton/status/946939324779569152","Twitter")</f>
        <v>Twitter</v>
      </c>
      <c r="AK253" s="341">
        <v>43098</v>
      </c>
      <c r="AL253" s="352"/>
      <c r="AM253" s="352"/>
      <c r="AN253" s="352"/>
      <c r="AO253" s="352"/>
      <c r="AP253" s="352"/>
      <c r="AQ253" s="352"/>
      <c r="AR253" s="352"/>
      <c r="AS253" s="352"/>
      <c r="AT253" s="352"/>
      <c r="AU253" s="352"/>
      <c r="AV253" s="352"/>
      <c r="AW253" s="352"/>
      <c r="AX253" s="352"/>
      <c r="AY253" s="352"/>
      <c r="AZ253" s="352"/>
      <c r="BA253" s="352"/>
      <c r="BB253" s="352"/>
      <c r="BC253" s="352"/>
      <c r="BD253" s="352"/>
      <c r="BE253" s="352"/>
      <c r="BF253" s="352"/>
      <c r="BG253" s="352"/>
      <c r="BH253" s="352"/>
      <c r="BI253" s="352"/>
      <c r="BJ253" s="352"/>
      <c r="BK253" s="470"/>
      <c r="BL253" s="339"/>
      <c r="BM253" s="339"/>
      <c r="BN253" s="182"/>
      <c r="BO253" s="182"/>
      <c r="BP253" s="182"/>
      <c r="BQ253" s="182"/>
      <c r="BR253" s="182"/>
      <c r="BS253" s="182"/>
      <c r="BT253" s="182"/>
      <c r="BU253" s="182"/>
      <c r="BV253" s="182"/>
      <c r="BW253" s="182"/>
      <c r="BX253" s="182"/>
      <c r="BY253" s="182"/>
      <c r="BZ253" s="182"/>
      <c r="CA253" s="182"/>
      <c r="CB253" s="182"/>
      <c r="CC253" s="182"/>
      <c r="CD253" s="182"/>
      <c r="CE253" s="182"/>
      <c r="CF253" s="182"/>
      <c r="CG253" s="182"/>
      <c r="CH253" s="182"/>
      <c r="CI253" s="182"/>
      <c r="CJ253" s="182"/>
      <c r="CK253" s="618"/>
      <c r="CL253" s="619"/>
      <c r="CM253" s="620"/>
    </row>
    <row r="254" spans="1:91" s="344" customFormat="1" ht="12.75" customHeight="1">
      <c r="A254" s="335" t="s">
        <v>373</v>
      </c>
      <c r="B254" s="519" t="s">
        <v>100</v>
      </c>
      <c r="C254" s="519" t="s">
        <v>100</v>
      </c>
      <c r="D254" s="182"/>
      <c r="E254" s="519" t="s">
        <v>100</v>
      </c>
      <c r="F254" s="519" t="s">
        <v>100</v>
      </c>
      <c r="G254" s="519"/>
      <c r="H254" s="519" t="s">
        <v>100</v>
      </c>
      <c r="I254" s="519"/>
      <c r="J254" s="519" t="s">
        <v>100</v>
      </c>
      <c r="K254" s="519"/>
      <c r="L254" s="519" t="s">
        <v>100</v>
      </c>
      <c r="M254" s="519"/>
      <c r="N254" s="519"/>
      <c r="O254" s="519"/>
      <c r="P254" s="519" t="s">
        <v>100</v>
      </c>
      <c r="Q254" s="519"/>
      <c r="R254" s="519"/>
      <c r="S254" s="519" t="s">
        <v>100</v>
      </c>
      <c r="T254" s="519"/>
      <c r="U254" s="519"/>
      <c r="V254" s="522" t="s">
        <v>100</v>
      </c>
      <c r="W254" s="182"/>
      <c r="X254" s="182"/>
      <c r="Y254" s="182"/>
      <c r="Z254" s="182"/>
      <c r="AA254" s="182"/>
      <c r="AB254" s="182"/>
      <c r="AC254" s="182"/>
      <c r="AD254" s="182"/>
      <c r="AE254" s="182"/>
      <c r="AF254" s="182"/>
      <c r="AG254" s="182"/>
      <c r="AH254" s="182"/>
      <c r="AI254" s="167">
        <f t="shared" si="47"/>
        <v>10</v>
      </c>
      <c r="AJ254" s="340" t="str">
        <f>HYPERLINK("https://www.facebook.com/notes/jayson-stark/my-2018-hall-of-fame-ballot/10155274989162759/","Facebook")</f>
        <v>Facebook</v>
      </c>
      <c r="AK254" s="341" t="s">
        <v>374</v>
      </c>
      <c r="AL254" s="352"/>
      <c r="AM254" s="352"/>
      <c r="AN254" s="352"/>
      <c r="AO254" s="352"/>
      <c r="AP254" s="352"/>
      <c r="AQ254" s="352"/>
      <c r="AR254" s="352"/>
      <c r="AS254" s="352"/>
      <c r="AT254" s="352"/>
      <c r="AU254" s="352"/>
      <c r="AV254" s="352"/>
      <c r="AW254" s="352"/>
      <c r="AX254" s="352"/>
      <c r="AY254" s="352"/>
      <c r="AZ254" s="352"/>
      <c r="BA254" s="352"/>
      <c r="BB254" s="352"/>
      <c r="BC254" s="352"/>
      <c r="BD254" s="352"/>
      <c r="BE254" s="352"/>
      <c r="BF254" s="352"/>
      <c r="BG254" s="352"/>
      <c r="BH254" s="352"/>
      <c r="BI254" s="352"/>
      <c r="BJ254" s="352"/>
      <c r="BK254" s="470"/>
      <c r="BL254" s="339"/>
      <c r="BM254" s="339"/>
      <c r="BN254" s="182"/>
      <c r="BO254" s="182"/>
      <c r="BP254" s="182"/>
      <c r="BQ254" s="182"/>
      <c r="BR254" s="182"/>
      <c r="BS254" s="182"/>
      <c r="BT254" s="182"/>
      <c r="BU254" s="182"/>
      <c r="BV254" s="182"/>
      <c r="BW254" s="182"/>
      <c r="BX254" s="182"/>
      <c r="BY254" s="182"/>
      <c r="BZ254" s="182"/>
      <c r="CA254" s="182"/>
      <c r="CB254" s="182"/>
      <c r="CC254" s="182"/>
      <c r="CD254" s="182"/>
      <c r="CE254" s="182"/>
      <c r="CF254" s="182"/>
      <c r="CG254" s="182"/>
      <c r="CH254" s="182"/>
      <c r="CI254" s="182"/>
      <c r="CJ254" s="182"/>
      <c r="CK254" s="647" t="s">
        <v>375</v>
      </c>
      <c r="CL254" s="648"/>
      <c r="CM254" s="649"/>
    </row>
    <row r="255" spans="1:91" s="344" customFormat="1">
      <c r="A255" s="335" t="s">
        <v>376</v>
      </c>
      <c r="B255" s="519" t="s">
        <v>100</v>
      </c>
      <c r="C255" s="519" t="s">
        <v>100</v>
      </c>
      <c r="D255" s="182"/>
      <c r="E255" s="519" t="s">
        <v>100</v>
      </c>
      <c r="F255" s="519" t="s">
        <v>100</v>
      </c>
      <c r="G255" s="519"/>
      <c r="H255" s="519" t="s">
        <v>100</v>
      </c>
      <c r="I255" s="519"/>
      <c r="J255" s="522" t="s">
        <v>100</v>
      </c>
      <c r="K255" s="519"/>
      <c r="L255" s="519" t="s">
        <v>100</v>
      </c>
      <c r="M255" s="519"/>
      <c r="N255" s="519"/>
      <c r="O255" s="519"/>
      <c r="P255" s="519" t="s">
        <v>100</v>
      </c>
      <c r="Q255" s="519"/>
      <c r="R255" s="519"/>
      <c r="S255" s="519" t="s">
        <v>100</v>
      </c>
      <c r="T255" s="519"/>
      <c r="U255" s="519"/>
      <c r="V255" s="519"/>
      <c r="W255" s="182"/>
      <c r="X255" s="182"/>
      <c r="Y255" s="182"/>
      <c r="Z255" s="182"/>
      <c r="AA255" s="182"/>
      <c r="AB255" s="182"/>
      <c r="AC255" s="182"/>
      <c r="AD255" s="182"/>
      <c r="AE255" s="182"/>
      <c r="AF255" s="182"/>
      <c r="AG255" s="182"/>
      <c r="AH255" s="182"/>
      <c r="AI255" s="339">
        <f t="shared" ref="AI255" si="51">COUNTIF(B255:AH255,"x")</f>
        <v>9</v>
      </c>
      <c r="AJ255" s="340" t="str">
        <f>HYPERLINK("http://www.mercurynews.com/2017/12/01/steward-itll-be-a-free-fall-drop-if-giants-giancarlo-stanton-quest-flops/","SJ Mercury News")</f>
        <v>SJ Mercury News</v>
      </c>
      <c r="AK255" s="341">
        <v>43070</v>
      </c>
      <c r="AL255" s="352"/>
      <c r="AM255" s="352"/>
      <c r="AN255" s="352"/>
      <c r="AO255" s="352"/>
      <c r="AP255" s="352"/>
      <c r="AQ255" s="352"/>
      <c r="AR255" s="352"/>
      <c r="AS255" s="352"/>
      <c r="AT255" s="352"/>
      <c r="AU255" s="352"/>
      <c r="AV255" s="352"/>
      <c r="AW255" s="352"/>
      <c r="AX255" s="352"/>
      <c r="AY255" s="352"/>
      <c r="AZ255" s="352"/>
      <c r="BA255" s="352"/>
      <c r="BB255" s="352"/>
      <c r="BC255" s="352"/>
      <c r="BD255" s="352"/>
      <c r="BE255" s="352"/>
      <c r="BF255" s="352"/>
      <c r="BG255" s="352"/>
      <c r="BH255" s="352"/>
      <c r="BI255" s="352"/>
      <c r="BJ255" s="352"/>
      <c r="BK255" s="470"/>
      <c r="BL255" s="339"/>
      <c r="BM255" s="339"/>
      <c r="BN255" s="182"/>
      <c r="BO255" s="182"/>
      <c r="BP255" s="182"/>
      <c r="BQ255" s="182"/>
      <c r="BR255" s="182"/>
      <c r="BS255" s="182"/>
      <c r="BT255" s="182"/>
      <c r="BU255" s="182"/>
      <c r="BV255" s="182"/>
      <c r="BW255" s="182"/>
      <c r="BX255" s="182"/>
      <c r="BY255" s="182"/>
      <c r="BZ255" s="182"/>
      <c r="CA255" s="182"/>
      <c r="CB255" s="182"/>
      <c r="CC255" s="182"/>
      <c r="CD255" s="182"/>
      <c r="CE255" s="182"/>
      <c r="CF255" s="182"/>
      <c r="CG255" s="182"/>
      <c r="CH255" s="182"/>
      <c r="CI255" s="182"/>
      <c r="CJ255" s="182"/>
      <c r="CK255" s="618"/>
      <c r="CL255" s="619"/>
      <c r="CM255" s="620"/>
    </row>
    <row r="256" spans="1:91" s="344" customFormat="1" ht="12.75" customHeight="1">
      <c r="A256" s="335" t="s">
        <v>377</v>
      </c>
      <c r="B256" s="519" t="s">
        <v>100</v>
      </c>
      <c r="C256" s="519" t="s">
        <v>100</v>
      </c>
      <c r="D256" s="182"/>
      <c r="E256" s="519" t="s">
        <v>100</v>
      </c>
      <c r="F256" s="519" t="s">
        <v>100</v>
      </c>
      <c r="G256" s="519"/>
      <c r="H256" s="519" t="s">
        <v>100</v>
      </c>
      <c r="I256" s="519"/>
      <c r="J256" s="522" t="s">
        <v>100</v>
      </c>
      <c r="K256" s="519"/>
      <c r="L256" s="519"/>
      <c r="M256" s="519"/>
      <c r="N256" s="519"/>
      <c r="O256" s="519"/>
      <c r="P256" s="519" t="s">
        <v>100</v>
      </c>
      <c r="Q256" s="519"/>
      <c r="R256" s="519"/>
      <c r="S256" s="519" t="s">
        <v>100</v>
      </c>
      <c r="T256" s="519"/>
      <c r="U256" s="519"/>
      <c r="V256" s="519"/>
      <c r="W256" s="182"/>
      <c r="X256" s="182"/>
      <c r="Y256" s="182"/>
      <c r="Z256" s="182"/>
      <c r="AA256" s="182"/>
      <c r="AB256" s="182"/>
      <c r="AC256" s="182"/>
      <c r="AD256" s="182"/>
      <c r="AE256" s="182"/>
      <c r="AF256" s="182"/>
      <c r="AG256" s="182"/>
      <c r="AH256" s="182"/>
      <c r="AI256" s="167">
        <f t="shared" si="47"/>
        <v>8</v>
      </c>
      <c r="AJ256" s="340" t="str">
        <f>HYPERLINK("https://sports.yahoo.com/why-joe-stiglich-gave-edgar-213337785.html","NBC Sports")</f>
        <v>NBC Sports</v>
      </c>
      <c r="AK256" s="341">
        <v>43092</v>
      </c>
      <c r="AL256" s="352"/>
      <c r="AM256" s="352"/>
      <c r="AN256" s="352"/>
      <c r="AO256" s="352"/>
      <c r="AP256" s="352"/>
      <c r="AQ256" s="352"/>
      <c r="AR256" s="352"/>
      <c r="AS256" s="352"/>
      <c r="AT256" s="352"/>
      <c r="AU256" s="352"/>
      <c r="AV256" s="352"/>
      <c r="AW256" s="352"/>
      <c r="AX256" s="352"/>
      <c r="AY256" s="352"/>
      <c r="AZ256" s="352"/>
      <c r="BA256" s="352"/>
      <c r="BB256" s="352"/>
      <c r="BC256" s="352"/>
      <c r="BD256" s="352"/>
      <c r="BE256" s="352"/>
      <c r="BF256" s="352"/>
      <c r="BG256" s="352"/>
      <c r="BH256" s="352"/>
      <c r="BI256" s="352"/>
      <c r="BJ256" s="352"/>
      <c r="BK256" s="470"/>
      <c r="BL256" s="339"/>
      <c r="BM256" s="339"/>
      <c r="BN256" s="182"/>
      <c r="BO256" s="182"/>
      <c r="BP256" s="182"/>
      <c r="BQ256" s="182"/>
      <c r="BR256" s="182"/>
      <c r="BS256" s="182"/>
      <c r="BT256" s="182"/>
      <c r="BU256" s="182"/>
      <c r="BV256" s="182"/>
      <c r="BW256" s="182"/>
      <c r="BX256" s="182"/>
      <c r="BY256" s="182"/>
      <c r="BZ256" s="182"/>
      <c r="CA256" s="182"/>
      <c r="CB256" s="182"/>
      <c r="CC256" s="182"/>
      <c r="CD256" s="182"/>
      <c r="CE256" s="182"/>
      <c r="CF256" s="182"/>
      <c r="CG256" s="182"/>
      <c r="CH256" s="182"/>
      <c r="CI256" s="182"/>
      <c r="CJ256" s="182"/>
      <c r="CK256" s="618"/>
      <c r="CL256" s="619"/>
      <c r="CM256" s="620"/>
    </row>
    <row r="257" spans="1:91" s="344" customFormat="1">
      <c r="A257" s="335" t="s">
        <v>378</v>
      </c>
      <c r="B257" s="519" t="s">
        <v>100</v>
      </c>
      <c r="C257" s="519" t="s">
        <v>100</v>
      </c>
      <c r="D257" s="182"/>
      <c r="E257" s="519" t="s">
        <v>100</v>
      </c>
      <c r="F257" s="519" t="s">
        <v>100</v>
      </c>
      <c r="G257" s="519"/>
      <c r="H257" s="519" t="s">
        <v>100</v>
      </c>
      <c r="I257" s="519"/>
      <c r="J257" s="519" t="s">
        <v>100</v>
      </c>
      <c r="K257" s="519"/>
      <c r="L257" s="519" t="s">
        <v>100</v>
      </c>
      <c r="M257" s="519"/>
      <c r="N257" s="519"/>
      <c r="O257" s="519"/>
      <c r="P257" s="519" t="s">
        <v>100</v>
      </c>
      <c r="Q257" s="519"/>
      <c r="R257" s="519"/>
      <c r="S257" s="519" t="s">
        <v>100</v>
      </c>
      <c r="T257" s="519"/>
      <c r="U257" s="519"/>
      <c r="V257" s="522" t="s">
        <v>100</v>
      </c>
      <c r="W257" s="182"/>
      <c r="X257" s="182"/>
      <c r="Y257" s="182"/>
      <c r="Z257" s="182"/>
      <c r="AA257" s="182"/>
      <c r="AB257" s="182"/>
      <c r="AC257" s="182"/>
      <c r="AD257" s="182"/>
      <c r="AE257" s="182"/>
      <c r="AF257" s="182"/>
      <c r="AG257" s="182"/>
      <c r="AH257" s="182"/>
      <c r="AI257" s="167">
        <f t="shared" si="47"/>
        <v>10</v>
      </c>
      <c r="AJ257" s="340" t="str">
        <f>HYPERLINK("https://twitter.com/StoneLarry/status/943567518861373440","Twitter")</f>
        <v>Twitter</v>
      </c>
      <c r="AK257" s="341">
        <v>43089</v>
      </c>
      <c r="AL257" s="352"/>
      <c r="AM257" s="352"/>
      <c r="AN257" s="352"/>
      <c r="AO257" s="352"/>
      <c r="AP257" s="352"/>
      <c r="AQ257" s="352"/>
      <c r="AR257" s="352"/>
      <c r="AS257" s="352"/>
      <c r="AT257" s="352"/>
      <c r="AU257" s="352"/>
      <c r="AV257" s="352"/>
      <c r="AW257" s="352"/>
      <c r="AX257" s="352"/>
      <c r="AY257" s="352"/>
      <c r="AZ257" s="352"/>
      <c r="BA257" s="352"/>
      <c r="BB257" s="352"/>
      <c r="BC257" s="352"/>
      <c r="BD257" s="352"/>
      <c r="BE257" s="352"/>
      <c r="BF257" s="352"/>
      <c r="BG257" s="352"/>
      <c r="BH257" s="352"/>
      <c r="BI257" s="352"/>
      <c r="BJ257" s="352"/>
      <c r="BK257" s="470"/>
      <c r="BL257" s="339"/>
      <c r="BM257" s="339"/>
      <c r="BN257" s="182"/>
      <c r="BO257" s="182"/>
      <c r="BP257" s="182"/>
      <c r="BQ257" s="182"/>
      <c r="BR257" s="182"/>
      <c r="BS257" s="182"/>
      <c r="BT257" s="182"/>
      <c r="BU257" s="182"/>
      <c r="BV257" s="182"/>
      <c r="BW257" s="182"/>
      <c r="BX257" s="182"/>
      <c r="BY257" s="182"/>
      <c r="BZ257" s="182"/>
      <c r="CA257" s="182"/>
      <c r="CB257" s="182"/>
      <c r="CC257" s="182"/>
      <c r="CD257" s="182"/>
      <c r="CE257" s="182"/>
      <c r="CF257" s="182"/>
      <c r="CG257" s="182"/>
      <c r="CH257" s="182"/>
      <c r="CI257" s="182"/>
      <c r="CJ257" s="182"/>
      <c r="CK257" s="647" t="s">
        <v>379</v>
      </c>
      <c r="CL257" s="648"/>
      <c r="CM257" s="649"/>
    </row>
    <row r="258" spans="1:91" s="344" customFormat="1">
      <c r="A258" s="335" t="s">
        <v>380</v>
      </c>
      <c r="B258" s="519"/>
      <c r="C258" s="519"/>
      <c r="D258" s="182"/>
      <c r="E258" s="522" t="s">
        <v>100</v>
      </c>
      <c r="F258" s="519" t="s">
        <v>100</v>
      </c>
      <c r="G258" s="519"/>
      <c r="H258" s="519" t="s">
        <v>100</v>
      </c>
      <c r="I258" s="519"/>
      <c r="J258" s="519" t="s">
        <v>100</v>
      </c>
      <c r="K258" s="519"/>
      <c r="L258" s="519"/>
      <c r="M258" s="519"/>
      <c r="N258" s="519"/>
      <c r="O258" s="519"/>
      <c r="P258" s="519"/>
      <c r="Q258" s="519"/>
      <c r="R258" s="519"/>
      <c r="S258" s="519" t="s">
        <v>100</v>
      </c>
      <c r="T258" s="519" t="s">
        <v>100</v>
      </c>
      <c r="U258" s="519"/>
      <c r="V258" s="519"/>
      <c r="W258" s="182"/>
      <c r="X258" s="182"/>
      <c r="Y258" s="182"/>
      <c r="Z258" s="182"/>
      <c r="AA258" s="182"/>
      <c r="AB258" s="182"/>
      <c r="AC258" s="182"/>
      <c r="AD258" s="182"/>
      <c r="AE258" s="182"/>
      <c r="AF258" s="182"/>
      <c r="AG258" s="182"/>
      <c r="AH258" s="182"/>
      <c r="AI258" s="167">
        <f t="shared" si="47"/>
        <v>6</v>
      </c>
      <c r="AJ258" s="340" t="str">
        <f>HYPERLINK("http://www.golferswest.com/all-sports-opinions/six-make-final-cut-on-my-hof-ballot/","Golfers West")</f>
        <v>Golfers West</v>
      </c>
      <c r="AK258" s="341">
        <v>43105</v>
      </c>
      <c r="AL258" s="352"/>
      <c r="AM258" s="352"/>
      <c r="AN258" s="352"/>
      <c r="AO258" s="352"/>
      <c r="AP258" s="352"/>
      <c r="AQ258" s="352"/>
      <c r="AR258" s="352"/>
      <c r="AS258" s="352"/>
      <c r="AT258" s="352"/>
      <c r="AU258" s="352"/>
      <c r="AV258" s="352"/>
      <c r="AW258" s="352"/>
      <c r="AX258" s="352"/>
      <c r="AY258" s="352"/>
      <c r="AZ258" s="352"/>
      <c r="BA258" s="352"/>
      <c r="BB258" s="352"/>
      <c r="BC258" s="352"/>
      <c r="BD258" s="352"/>
      <c r="BE258" s="352"/>
      <c r="BF258" s="352"/>
      <c r="BG258" s="352"/>
      <c r="BH258" s="352"/>
      <c r="BI258" s="352"/>
      <c r="BJ258" s="352"/>
      <c r="BK258" s="470"/>
      <c r="BL258" s="339"/>
      <c r="BM258" s="339"/>
      <c r="BN258" s="182"/>
      <c r="BO258" s="182"/>
      <c r="BP258" s="182"/>
      <c r="BQ258" s="182"/>
      <c r="BR258" s="182"/>
      <c r="BS258" s="182"/>
      <c r="BT258" s="182"/>
      <c r="BU258" s="182"/>
      <c r="BV258" s="182"/>
      <c r="BW258" s="182"/>
      <c r="BX258" s="182"/>
      <c r="BY258" s="182"/>
      <c r="BZ258" s="182"/>
      <c r="CA258" s="182"/>
      <c r="CB258" s="182"/>
      <c r="CC258" s="182"/>
      <c r="CD258" s="182"/>
      <c r="CE258" s="182"/>
      <c r="CF258" s="182"/>
      <c r="CG258" s="182"/>
      <c r="CH258" s="182"/>
      <c r="CI258" s="182"/>
      <c r="CJ258" s="182"/>
      <c r="CK258" s="621"/>
      <c r="CL258" s="622"/>
      <c r="CM258" s="623"/>
    </row>
    <row r="259" spans="1:91" s="344" customFormat="1">
      <c r="A259" s="335" t="s">
        <v>381</v>
      </c>
      <c r="B259" s="519"/>
      <c r="C259" s="519"/>
      <c r="D259" s="182"/>
      <c r="E259" s="519" t="s">
        <v>100</v>
      </c>
      <c r="F259" s="519" t="s">
        <v>100</v>
      </c>
      <c r="G259" s="519"/>
      <c r="H259" s="519" t="s">
        <v>100</v>
      </c>
      <c r="I259" s="519"/>
      <c r="J259" s="519"/>
      <c r="K259" s="519"/>
      <c r="L259" s="522" t="s">
        <v>100</v>
      </c>
      <c r="M259" s="519"/>
      <c r="N259" s="519"/>
      <c r="O259" s="519"/>
      <c r="P259" s="519"/>
      <c r="Q259" s="519"/>
      <c r="R259" s="519"/>
      <c r="S259" s="519" t="s">
        <v>100</v>
      </c>
      <c r="T259" s="519"/>
      <c r="U259" s="519"/>
      <c r="V259" s="519"/>
      <c r="W259" s="182"/>
      <c r="X259" s="182"/>
      <c r="Y259" s="182"/>
      <c r="Z259" s="182"/>
      <c r="AA259" s="182"/>
      <c r="AB259" s="182"/>
      <c r="AC259" s="182"/>
      <c r="AD259" s="182"/>
      <c r="AE259" s="182"/>
      <c r="AF259" s="182"/>
      <c r="AG259" s="182"/>
      <c r="AH259" s="182"/>
      <c r="AI259" s="167">
        <f t="shared" si="47"/>
        <v>5</v>
      </c>
      <c r="AJ259" s="340" t="str">
        <f>HYPERLINK("http://www.chicagotribune.com/sports/baseball/ct-spt-steroids-hall-of-fame-vote-sullivan-20180120-story.html","Chicago Tribune")</f>
        <v>Chicago Tribune</v>
      </c>
      <c r="AK259" s="341">
        <v>43118</v>
      </c>
      <c r="AL259" s="352"/>
      <c r="AM259" s="352"/>
      <c r="AN259" s="352"/>
      <c r="AO259" s="352"/>
      <c r="AP259" s="352"/>
      <c r="AQ259" s="352"/>
      <c r="AR259" s="352"/>
      <c r="AS259" s="352"/>
      <c r="AT259" s="352"/>
      <c r="AU259" s="352"/>
      <c r="AV259" s="352"/>
      <c r="AW259" s="352"/>
      <c r="AX259" s="352"/>
      <c r="AY259" s="352"/>
      <c r="AZ259" s="352"/>
      <c r="BA259" s="352"/>
      <c r="BB259" s="352"/>
      <c r="BC259" s="352"/>
      <c r="BD259" s="352"/>
      <c r="BE259" s="352"/>
      <c r="BF259" s="352"/>
      <c r="BG259" s="352"/>
      <c r="BH259" s="352"/>
      <c r="BI259" s="352"/>
      <c r="BJ259" s="352"/>
      <c r="BK259" s="470"/>
      <c r="BL259" s="339"/>
      <c r="BM259" s="339"/>
      <c r="BN259" s="182"/>
      <c r="BO259" s="182"/>
      <c r="BP259" s="182"/>
      <c r="BQ259" s="182"/>
      <c r="BR259" s="182"/>
      <c r="BS259" s="182"/>
      <c r="BT259" s="182"/>
      <c r="BU259" s="182"/>
      <c r="BV259" s="182"/>
      <c r="BW259" s="182"/>
      <c r="BX259" s="182"/>
      <c r="BY259" s="182"/>
      <c r="BZ259" s="182"/>
      <c r="CA259" s="182"/>
      <c r="CB259" s="182"/>
      <c r="CC259" s="182"/>
      <c r="CD259" s="182"/>
      <c r="CE259" s="182"/>
      <c r="CF259" s="182"/>
      <c r="CG259" s="182"/>
      <c r="CH259" s="182"/>
      <c r="CI259" s="182"/>
      <c r="CJ259" s="182"/>
      <c r="CK259" s="621"/>
      <c r="CL259" s="622"/>
      <c r="CM259" s="623"/>
    </row>
    <row r="260" spans="1:91" s="344" customFormat="1">
      <c r="A260" s="335" t="s">
        <v>382</v>
      </c>
      <c r="B260" s="519" t="s">
        <v>100</v>
      </c>
      <c r="C260" s="519" t="s">
        <v>100</v>
      </c>
      <c r="D260" s="182"/>
      <c r="E260" s="519" t="s">
        <v>100</v>
      </c>
      <c r="F260" s="519" t="s">
        <v>100</v>
      </c>
      <c r="G260" s="519"/>
      <c r="H260" s="519" t="s">
        <v>100</v>
      </c>
      <c r="I260" s="519"/>
      <c r="J260" s="522" t="s">
        <v>100</v>
      </c>
      <c r="K260" s="523"/>
      <c r="L260" s="519" t="s">
        <v>100</v>
      </c>
      <c r="M260" s="523"/>
      <c r="N260" s="519" t="s">
        <v>100</v>
      </c>
      <c r="O260" s="519"/>
      <c r="P260" s="519"/>
      <c r="Q260" s="519"/>
      <c r="R260" s="519"/>
      <c r="S260" s="519" t="s">
        <v>100</v>
      </c>
      <c r="T260" s="519"/>
      <c r="U260" s="519"/>
      <c r="V260" s="522" t="s">
        <v>100</v>
      </c>
      <c r="W260" s="182"/>
      <c r="X260" s="182"/>
      <c r="Y260" s="182"/>
      <c r="Z260" s="182"/>
      <c r="AA260" s="182"/>
      <c r="AB260" s="182"/>
      <c r="AC260" s="182"/>
      <c r="AD260" s="182"/>
      <c r="AE260" s="182"/>
      <c r="AF260" s="182"/>
      <c r="AG260" s="182"/>
      <c r="AH260" s="182"/>
      <c r="AI260" s="167">
        <f t="shared" si="47"/>
        <v>10</v>
      </c>
      <c r="AJ260" s="340" t="str">
        <f>HYPERLINK("http://www.baseballthinkfactory.org/newsstand/discussion/ryan_thibs_has_his_hof_ballot_tracker_up_and_running/P100","Comment 131")</f>
        <v>Comment 131</v>
      </c>
      <c r="AK260" s="341">
        <v>43066</v>
      </c>
      <c r="AL260" s="352"/>
      <c r="AM260" s="352"/>
      <c r="AN260" s="352"/>
      <c r="AO260" s="352"/>
      <c r="AP260" s="352"/>
      <c r="AQ260" s="352"/>
      <c r="AR260" s="352"/>
      <c r="AS260" s="352"/>
      <c r="AT260" s="352"/>
      <c r="AU260" s="352"/>
      <c r="AV260" s="352"/>
      <c r="AW260" s="352"/>
      <c r="AX260" s="352"/>
      <c r="AY260" s="352"/>
      <c r="AZ260" s="352"/>
      <c r="BA260" s="352"/>
      <c r="BB260" s="352"/>
      <c r="BC260" s="352"/>
      <c r="BD260" s="352"/>
      <c r="BE260" s="352"/>
      <c r="BF260" s="352"/>
      <c r="BG260" s="352"/>
      <c r="BH260" s="352"/>
      <c r="BI260" s="352"/>
      <c r="BJ260" s="352"/>
      <c r="BK260" s="470"/>
      <c r="BL260" s="339"/>
      <c r="BM260" s="339"/>
      <c r="BN260" s="182"/>
      <c r="BO260" s="182"/>
      <c r="BP260" s="182"/>
      <c r="BQ260" s="182"/>
      <c r="BR260" s="182"/>
      <c r="BS260" s="182"/>
      <c r="BT260" s="182"/>
      <c r="BU260" s="182"/>
      <c r="BV260" s="182"/>
      <c r="BW260" s="182"/>
      <c r="BX260" s="182"/>
      <c r="BY260" s="182"/>
      <c r="BZ260" s="182"/>
      <c r="CA260" s="182"/>
      <c r="CB260" s="182"/>
      <c r="CC260" s="182"/>
      <c r="CD260" s="182"/>
      <c r="CE260" s="182"/>
      <c r="CF260" s="182"/>
      <c r="CG260" s="182"/>
      <c r="CH260" s="182"/>
      <c r="CI260" s="182"/>
      <c r="CJ260" s="182"/>
      <c r="CK260" s="680"/>
      <c r="CL260" s="681"/>
      <c r="CM260" s="682"/>
    </row>
    <row r="261" spans="1:91" s="344" customFormat="1">
      <c r="A261" s="335" t="s">
        <v>383</v>
      </c>
      <c r="B261" s="519" t="s">
        <v>100</v>
      </c>
      <c r="C261" s="519" t="s">
        <v>100</v>
      </c>
      <c r="D261" s="182"/>
      <c r="E261" s="523"/>
      <c r="F261" s="519" t="s">
        <v>100</v>
      </c>
      <c r="G261" s="519"/>
      <c r="H261" s="519" t="s">
        <v>100</v>
      </c>
      <c r="I261" s="519"/>
      <c r="J261" s="519" t="s">
        <v>100</v>
      </c>
      <c r="K261" s="522" t="s">
        <v>100</v>
      </c>
      <c r="L261" s="519" t="s">
        <v>100</v>
      </c>
      <c r="M261" s="519"/>
      <c r="N261" s="519"/>
      <c r="O261" s="519"/>
      <c r="P261" s="522" t="s">
        <v>100</v>
      </c>
      <c r="Q261" s="519"/>
      <c r="R261" s="519"/>
      <c r="S261" s="519" t="s">
        <v>100</v>
      </c>
      <c r="T261" s="519"/>
      <c r="U261" s="519"/>
      <c r="V261" s="522" t="s">
        <v>100</v>
      </c>
      <c r="W261" s="182"/>
      <c r="X261" s="182"/>
      <c r="Y261" s="182"/>
      <c r="Z261" s="182"/>
      <c r="AA261" s="182"/>
      <c r="AB261" s="182"/>
      <c r="AC261" s="182"/>
      <c r="AD261" s="182"/>
      <c r="AE261" s="182"/>
      <c r="AF261" s="182"/>
      <c r="AG261" s="182"/>
      <c r="AH261" s="182"/>
      <c r="AI261" s="167">
        <f t="shared" si="47"/>
        <v>10</v>
      </c>
      <c r="AJ261" s="340" t="str">
        <f>HYPERLINK("https://twitter.com/JJT_Journalist/status/956207998308880385","Twitter")</f>
        <v>Twitter</v>
      </c>
      <c r="AK261" s="341">
        <v>43124</v>
      </c>
      <c r="AL261" s="352"/>
      <c r="AM261" s="352"/>
      <c r="AN261" s="352"/>
      <c r="AO261" s="352"/>
      <c r="AP261" s="352"/>
      <c r="AQ261" s="352"/>
      <c r="AR261" s="352"/>
      <c r="AS261" s="352"/>
      <c r="AT261" s="352"/>
      <c r="AU261" s="352"/>
      <c r="AV261" s="352"/>
      <c r="AW261" s="352"/>
      <c r="AX261" s="352"/>
      <c r="AY261" s="352"/>
      <c r="AZ261" s="352"/>
      <c r="BA261" s="352"/>
      <c r="BB261" s="352"/>
      <c r="BC261" s="352"/>
      <c r="BD261" s="352"/>
      <c r="BE261" s="352"/>
      <c r="BF261" s="352"/>
      <c r="BG261" s="352"/>
      <c r="BH261" s="352"/>
      <c r="BI261" s="352"/>
      <c r="BJ261" s="352"/>
      <c r="BK261" s="470"/>
      <c r="BL261" s="339"/>
      <c r="BM261" s="339"/>
      <c r="BN261" s="182"/>
      <c r="BO261" s="182"/>
      <c r="BP261" s="182"/>
      <c r="BQ261" s="182"/>
      <c r="BR261" s="182"/>
      <c r="BS261" s="182"/>
      <c r="BT261" s="182"/>
      <c r="BU261" s="182"/>
      <c r="BV261" s="182"/>
      <c r="BW261" s="182"/>
      <c r="BX261" s="182"/>
      <c r="BY261" s="182"/>
      <c r="BZ261" s="182"/>
      <c r="CA261" s="182"/>
      <c r="CB261" s="182"/>
      <c r="CC261" s="182"/>
      <c r="CD261" s="182"/>
      <c r="CE261" s="182"/>
      <c r="CF261" s="182"/>
      <c r="CG261" s="182"/>
      <c r="CH261" s="182"/>
      <c r="CI261" s="182"/>
      <c r="CJ261" s="182"/>
      <c r="CK261" s="647" t="s">
        <v>384</v>
      </c>
      <c r="CL261" s="648"/>
      <c r="CM261" s="649"/>
    </row>
    <row r="262" spans="1:91" s="344" customFormat="1">
      <c r="A262" s="335" t="s">
        <v>385</v>
      </c>
      <c r="B262" s="519"/>
      <c r="C262" s="519"/>
      <c r="D262" s="182" t="s">
        <v>100</v>
      </c>
      <c r="E262" s="519" t="s">
        <v>100</v>
      </c>
      <c r="F262" s="519" t="s">
        <v>100</v>
      </c>
      <c r="G262" s="519"/>
      <c r="H262" s="519" t="s">
        <v>100</v>
      </c>
      <c r="I262" s="519"/>
      <c r="J262" s="519" t="s">
        <v>100</v>
      </c>
      <c r="K262" s="519"/>
      <c r="L262" s="519" t="s">
        <v>100</v>
      </c>
      <c r="M262" s="519"/>
      <c r="N262" s="519"/>
      <c r="O262" s="519"/>
      <c r="P262" s="519" t="s">
        <v>100</v>
      </c>
      <c r="Q262" s="519"/>
      <c r="R262" s="519"/>
      <c r="S262" s="519" t="s">
        <v>100</v>
      </c>
      <c r="T262" s="519" t="s">
        <v>100</v>
      </c>
      <c r="U262" s="519"/>
      <c r="V262" s="519"/>
      <c r="W262" s="182"/>
      <c r="X262" s="182"/>
      <c r="Y262" s="182"/>
      <c r="Z262" s="182"/>
      <c r="AA262" s="182"/>
      <c r="AB262" s="182"/>
      <c r="AC262" s="182"/>
      <c r="AD262" s="182"/>
      <c r="AE262" s="182"/>
      <c r="AF262" s="182"/>
      <c r="AG262" s="182"/>
      <c r="AH262" s="182"/>
      <c r="AI262" s="167">
        <f t="shared" si="47"/>
        <v>9</v>
      </c>
      <c r="AJ262" s="340" t="str">
        <f>HYPERLINK("https://chicago.suntimes.com/sports/rick-telander-baseball-hall-of-fame-ballot/","Chicago Sun Times")</f>
        <v>Chicago Sun Times</v>
      </c>
      <c r="AK262" s="341">
        <v>43091</v>
      </c>
      <c r="AL262" s="352"/>
      <c r="AM262" s="352"/>
      <c r="AN262" s="352"/>
      <c r="AO262" s="352"/>
      <c r="AP262" s="352"/>
      <c r="AQ262" s="352"/>
      <c r="AR262" s="352"/>
      <c r="AS262" s="352"/>
      <c r="AT262" s="352"/>
      <c r="AU262" s="352"/>
      <c r="AV262" s="352"/>
      <c r="AW262" s="352"/>
      <c r="AX262" s="352"/>
      <c r="AY262" s="352"/>
      <c r="AZ262" s="352"/>
      <c r="BA262" s="352"/>
      <c r="BB262" s="352"/>
      <c r="BC262" s="352"/>
      <c r="BD262" s="352"/>
      <c r="BE262" s="352"/>
      <c r="BF262" s="352"/>
      <c r="BG262" s="352"/>
      <c r="BH262" s="352"/>
      <c r="BI262" s="352"/>
      <c r="BJ262" s="352"/>
      <c r="BK262" s="470"/>
      <c r="BL262" s="339"/>
      <c r="BM262" s="339"/>
      <c r="BN262" s="182"/>
      <c r="BO262" s="182"/>
      <c r="BP262" s="182"/>
      <c r="BQ262" s="182"/>
      <c r="BR262" s="182"/>
      <c r="BS262" s="182"/>
      <c r="BT262" s="182"/>
      <c r="BU262" s="182"/>
      <c r="BV262" s="182"/>
      <c r="BW262" s="182"/>
      <c r="BX262" s="182"/>
      <c r="BY262" s="182"/>
      <c r="BZ262" s="182"/>
      <c r="CA262" s="182"/>
      <c r="CB262" s="182"/>
      <c r="CC262" s="182"/>
      <c r="CD262" s="182"/>
      <c r="CE262" s="182"/>
      <c r="CF262" s="182"/>
      <c r="CG262" s="182"/>
      <c r="CH262" s="182"/>
      <c r="CI262" s="182"/>
      <c r="CJ262" s="182"/>
      <c r="CK262" s="618"/>
      <c r="CL262" s="619"/>
      <c r="CM262" s="620"/>
    </row>
    <row r="263" spans="1:91" s="344" customFormat="1">
      <c r="A263" s="335" t="s">
        <v>386</v>
      </c>
      <c r="B263" s="519" t="s">
        <v>100</v>
      </c>
      <c r="C263" s="519" t="s">
        <v>100</v>
      </c>
      <c r="D263" s="182"/>
      <c r="E263" s="519" t="s">
        <v>100</v>
      </c>
      <c r="F263" s="519"/>
      <c r="G263" s="519"/>
      <c r="H263" s="519" t="s">
        <v>100</v>
      </c>
      <c r="I263" s="519"/>
      <c r="J263" s="519" t="s">
        <v>100</v>
      </c>
      <c r="K263" s="519"/>
      <c r="L263" s="519"/>
      <c r="M263" s="519"/>
      <c r="N263" s="519"/>
      <c r="O263" s="519"/>
      <c r="P263" s="519" t="s">
        <v>100</v>
      </c>
      <c r="Q263" s="519" t="s">
        <v>100</v>
      </c>
      <c r="R263" s="519"/>
      <c r="S263" s="519" t="s">
        <v>100</v>
      </c>
      <c r="T263" s="519"/>
      <c r="U263" s="519"/>
      <c r="V263" s="519"/>
      <c r="W263" s="182"/>
      <c r="X263" s="182"/>
      <c r="Y263" s="182"/>
      <c r="Z263" s="182"/>
      <c r="AA263" s="182"/>
      <c r="AB263" s="182"/>
      <c r="AC263" s="182"/>
      <c r="AD263" s="182"/>
      <c r="AE263" s="182"/>
      <c r="AF263" s="182"/>
      <c r="AG263" s="182"/>
      <c r="AH263" s="182"/>
      <c r="AI263" s="339">
        <f t="shared" si="47"/>
        <v>8</v>
      </c>
      <c r="AJ263" s="340" t="str">
        <f>HYPERLINK("http://www.weei.com/articles/column/tomase-why-it-doesnt-take-perfect-sat-scores-see-were-going-about-hall-fame-voting","WEEI")</f>
        <v>WEEI</v>
      </c>
      <c r="AK263" s="341">
        <v>43070</v>
      </c>
      <c r="AL263" s="352"/>
      <c r="AM263" s="352"/>
      <c r="AN263" s="352"/>
      <c r="AO263" s="352"/>
      <c r="AP263" s="352"/>
      <c r="AQ263" s="352"/>
      <c r="AR263" s="352"/>
      <c r="AS263" s="352"/>
      <c r="AT263" s="352"/>
      <c r="AU263" s="352"/>
      <c r="AV263" s="352"/>
      <c r="AW263" s="352"/>
      <c r="AX263" s="352"/>
      <c r="AY263" s="352"/>
      <c r="AZ263" s="352"/>
      <c r="BA263" s="352"/>
      <c r="BB263" s="352"/>
      <c r="BC263" s="352"/>
      <c r="BD263" s="352"/>
      <c r="BE263" s="352"/>
      <c r="BF263" s="352"/>
      <c r="BG263" s="352"/>
      <c r="BH263" s="352"/>
      <c r="BI263" s="352"/>
      <c r="BJ263" s="352"/>
      <c r="BK263" s="470"/>
      <c r="BL263" s="339"/>
      <c r="BM263" s="339"/>
      <c r="BN263" s="182"/>
      <c r="BO263" s="182"/>
      <c r="BP263" s="182"/>
      <c r="BQ263" s="182"/>
      <c r="BR263" s="182"/>
      <c r="BS263" s="182"/>
      <c r="BT263" s="182"/>
      <c r="BU263" s="182"/>
      <c r="BV263" s="182"/>
      <c r="BW263" s="182"/>
      <c r="BX263" s="182"/>
      <c r="BY263" s="182"/>
      <c r="BZ263" s="182"/>
      <c r="CA263" s="182"/>
      <c r="CB263" s="182"/>
      <c r="CC263" s="182"/>
      <c r="CD263" s="182"/>
      <c r="CE263" s="182"/>
      <c r="CF263" s="182"/>
      <c r="CG263" s="182"/>
      <c r="CH263" s="182"/>
      <c r="CI263" s="182"/>
      <c r="CJ263" s="182"/>
      <c r="CK263" s="680"/>
      <c r="CL263" s="681"/>
      <c r="CM263" s="682"/>
    </row>
    <row r="264" spans="1:91" s="344" customFormat="1">
      <c r="A264" s="335" t="s">
        <v>387</v>
      </c>
      <c r="B264" s="519" t="s">
        <v>100</v>
      </c>
      <c r="C264" s="519" t="s">
        <v>100</v>
      </c>
      <c r="D264" s="182"/>
      <c r="E264" s="522" t="s">
        <v>100</v>
      </c>
      <c r="F264" s="519" t="s">
        <v>100</v>
      </c>
      <c r="G264" s="519"/>
      <c r="H264" s="519" t="s">
        <v>100</v>
      </c>
      <c r="I264" s="519"/>
      <c r="J264" s="519"/>
      <c r="K264" s="519" t="s">
        <v>100</v>
      </c>
      <c r="L264" s="522" t="s">
        <v>100</v>
      </c>
      <c r="M264" s="519"/>
      <c r="N264" s="519"/>
      <c r="O264" s="519"/>
      <c r="P264" s="519"/>
      <c r="Q264" s="519" t="s">
        <v>100</v>
      </c>
      <c r="R264" s="519"/>
      <c r="S264" s="519" t="s">
        <v>100</v>
      </c>
      <c r="T264" s="519"/>
      <c r="U264" s="522" t="s">
        <v>100</v>
      </c>
      <c r="V264" s="519"/>
      <c r="W264" s="182"/>
      <c r="X264" s="182"/>
      <c r="Y264" s="182"/>
      <c r="Z264" s="182"/>
      <c r="AA264" s="182"/>
      <c r="AB264" s="182"/>
      <c r="AC264" s="182"/>
      <c r="AD264" s="182"/>
      <c r="AE264" s="182"/>
      <c r="AF264" s="182"/>
      <c r="AG264" s="182"/>
      <c r="AH264" s="182"/>
      <c r="AI264" s="339">
        <f t="shared" si="47"/>
        <v>10</v>
      </c>
      <c r="AJ264" s="340" t="str">
        <f>HYPERLINK("http://www.tampabay.com/blogs/rays/2018/01/23/getting-into-baseballs-hall-of-fame-is-hard-voting-isnt-easy-either/","Tampa Bay Times")</f>
        <v>Tampa Bay Times</v>
      </c>
      <c r="AK264" s="341">
        <v>43123</v>
      </c>
      <c r="AL264" s="352"/>
      <c r="AM264" s="352"/>
      <c r="AN264" s="352"/>
      <c r="AO264" s="352"/>
      <c r="AP264" s="352"/>
      <c r="AQ264" s="352"/>
      <c r="AR264" s="352"/>
      <c r="AS264" s="352"/>
      <c r="AT264" s="352"/>
      <c r="AU264" s="352"/>
      <c r="AV264" s="352"/>
      <c r="AW264" s="352"/>
      <c r="AX264" s="352"/>
      <c r="AY264" s="352"/>
      <c r="AZ264" s="352"/>
      <c r="BA264" s="352"/>
      <c r="BB264" s="352"/>
      <c r="BC264" s="352"/>
      <c r="BD264" s="352"/>
      <c r="BE264" s="352"/>
      <c r="BF264" s="352"/>
      <c r="BG264" s="352"/>
      <c r="BH264" s="352"/>
      <c r="BI264" s="352"/>
      <c r="BJ264" s="352"/>
      <c r="BK264" s="470"/>
      <c r="BL264" s="339"/>
      <c r="BM264" s="339"/>
      <c r="BN264" s="182"/>
      <c r="BO264" s="182"/>
      <c r="BP264" s="182"/>
      <c r="BQ264" s="182"/>
      <c r="BR264" s="182"/>
      <c r="BS264" s="182"/>
      <c r="BT264" s="182"/>
      <c r="BU264" s="182"/>
      <c r="BV264" s="182"/>
      <c r="BW264" s="182"/>
      <c r="BX264" s="182"/>
      <c r="BY264" s="182"/>
      <c r="BZ264" s="182"/>
      <c r="CA264" s="182"/>
      <c r="CB264" s="182"/>
      <c r="CC264" s="182"/>
      <c r="CD264" s="182"/>
      <c r="CE264" s="182"/>
      <c r="CF264" s="182"/>
      <c r="CG264" s="182"/>
      <c r="CH264" s="182"/>
      <c r="CI264" s="182"/>
      <c r="CJ264" s="182"/>
      <c r="CK264" s="618"/>
      <c r="CL264" s="619"/>
      <c r="CM264" s="620"/>
    </row>
    <row r="265" spans="1:91" s="344" customFormat="1">
      <c r="A265" s="335" t="s">
        <v>388</v>
      </c>
      <c r="B265" s="519" t="s">
        <v>100</v>
      </c>
      <c r="C265" s="519" t="s">
        <v>100</v>
      </c>
      <c r="D265" s="182"/>
      <c r="E265" s="519" t="s">
        <v>100</v>
      </c>
      <c r="F265" s="522" t="s">
        <v>100</v>
      </c>
      <c r="G265" s="519"/>
      <c r="H265" s="519" t="s">
        <v>100</v>
      </c>
      <c r="I265" s="519"/>
      <c r="J265" s="519" t="s">
        <v>100</v>
      </c>
      <c r="K265" s="519"/>
      <c r="L265" s="519" t="s">
        <v>100</v>
      </c>
      <c r="M265" s="523"/>
      <c r="N265" s="519"/>
      <c r="O265" s="519"/>
      <c r="P265" s="522" t="s">
        <v>100</v>
      </c>
      <c r="Q265" s="519"/>
      <c r="R265" s="519"/>
      <c r="S265" s="519" t="s">
        <v>100</v>
      </c>
      <c r="T265" s="519"/>
      <c r="U265" s="523"/>
      <c r="V265" s="522" t="s">
        <v>100</v>
      </c>
      <c r="W265" s="182"/>
      <c r="X265" s="182"/>
      <c r="Y265" s="182"/>
      <c r="Z265" s="182"/>
      <c r="AA265" s="182"/>
      <c r="AB265" s="182"/>
      <c r="AC265" s="182"/>
      <c r="AD265" s="182"/>
      <c r="AE265" s="182"/>
      <c r="AF265" s="182"/>
      <c r="AG265" s="182"/>
      <c r="AH265" s="182"/>
      <c r="AI265" s="339">
        <f t="shared" si="47"/>
        <v>10</v>
      </c>
      <c r="AJ265" s="340" t="str">
        <f>HYPERLINK("https://twitter.com/MikeVacc/status/942749352086433792","Twitter")</f>
        <v>Twitter</v>
      </c>
      <c r="AK265" s="341">
        <v>43087</v>
      </c>
      <c r="AL265" s="352"/>
      <c r="AM265" s="352"/>
      <c r="AN265" s="352"/>
      <c r="AO265" s="352"/>
      <c r="AP265" s="352"/>
      <c r="AQ265" s="352"/>
      <c r="AR265" s="352"/>
      <c r="AS265" s="352"/>
      <c r="AT265" s="352"/>
      <c r="AU265" s="352"/>
      <c r="AV265" s="352"/>
      <c r="AW265" s="352"/>
      <c r="AX265" s="352"/>
      <c r="AY265" s="352"/>
      <c r="AZ265" s="352"/>
      <c r="BA265" s="352"/>
      <c r="BB265" s="352"/>
      <c r="BC265" s="352"/>
      <c r="BD265" s="352"/>
      <c r="BE265" s="352"/>
      <c r="BF265" s="352"/>
      <c r="BG265" s="352"/>
      <c r="BH265" s="352"/>
      <c r="BI265" s="352"/>
      <c r="BJ265" s="352"/>
      <c r="BK265" s="470"/>
      <c r="BL265" s="339"/>
      <c r="BM265" s="339"/>
      <c r="BN265" s="182"/>
      <c r="BO265" s="182"/>
      <c r="BP265" s="182"/>
      <c r="BQ265" s="182"/>
      <c r="BR265" s="182"/>
      <c r="BS265" s="182"/>
      <c r="BT265" s="182"/>
      <c r="BU265" s="182"/>
      <c r="BV265" s="182"/>
      <c r="BW265" s="182"/>
      <c r="BX265" s="182"/>
      <c r="BY265" s="182"/>
      <c r="BZ265" s="182"/>
      <c r="CA265" s="182"/>
      <c r="CB265" s="182"/>
      <c r="CC265" s="182"/>
      <c r="CD265" s="182"/>
      <c r="CE265" s="182"/>
      <c r="CF265" s="182"/>
      <c r="CG265" s="182"/>
      <c r="CH265" s="182"/>
      <c r="CI265" s="182"/>
      <c r="CJ265" s="182"/>
      <c r="CK265" s="647" t="s">
        <v>389</v>
      </c>
      <c r="CL265" s="648"/>
      <c r="CM265" s="649"/>
    </row>
    <row r="266" spans="1:91" s="344" customFormat="1">
      <c r="A266" s="335" t="s">
        <v>390</v>
      </c>
      <c r="B266" s="519"/>
      <c r="C266" s="519"/>
      <c r="D266" s="182"/>
      <c r="E266" s="519" t="s">
        <v>100</v>
      </c>
      <c r="F266" s="522" t="s">
        <v>100</v>
      </c>
      <c r="G266" s="519"/>
      <c r="H266" s="519" t="s">
        <v>100</v>
      </c>
      <c r="I266" s="519"/>
      <c r="J266" s="519"/>
      <c r="K266" s="519" t="s">
        <v>100</v>
      </c>
      <c r="L266" s="519"/>
      <c r="M266" s="519"/>
      <c r="N266" s="519"/>
      <c r="O266" s="519"/>
      <c r="P266" s="519"/>
      <c r="Q266" s="519"/>
      <c r="R266" s="519"/>
      <c r="S266" s="519" t="s">
        <v>100</v>
      </c>
      <c r="T266" s="519"/>
      <c r="U266" s="519"/>
      <c r="V266" s="519"/>
      <c r="W266" s="182"/>
      <c r="X266" s="182"/>
      <c r="Y266" s="182"/>
      <c r="Z266" s="182"/>
      <c r="AA266" s="182"/>
      <c r="AB266" s="182"/>
      <c r="AC266" s="182"/>
      <c r="AD266" s="182"/>
      <c r="AE266" s="182"/>
      <c r="AF266" s="182"/>
      <c r="AG266" s="182"/>
      <c r="AH266" s="182"/>
      <c r="AI266" s="339">
        <f t="shared" si="47"/>
        <v>5</v>
      </c>
      <c r="AJ266" s="340" t="str">
        <f>HYPERLINK("http://juanvene.com/?p=4680","JuanVene.com")</f>
        <v>JuanVene.com</v>
      </c>
      <c r="AK266" s="341">
        <v>43074</v>
      </c>
      <c r="AL266" s="352"/>
      <c r="AM266" s="352"/>
      <c r="AN266" s="352"/>
      <c r="AO266" s="352"/>
      <c r="AP266" s="352"/>
      <c r="AQ266" s="352"/>
      <c r="AR266" s="352"/>
      <c r="AS266" s="352"/>
      <c r="AT266" s="352"/>
      <c r="AU266" s="352"/>
      <c r="AV266" s="352"/>
      <c r="AW266" s="352"/>
      <c r="AX266" s="352"/>
      <c r="AY266" s="352"/>
      <c r="AZ266" s="352"/>
      <c r="BA266" s="352"/>
      <c r="BB266" s="352"/>
      <c r="BC266" s="352"/>
      <c r="BD266" s="352"/>
      <c r="BE266" s="352"/>
      <c r="BF266" s="352"/>
      <c r="BG266" s="352"/>
      <c r="BH266" s="352"/>
      <c r="BI266" s="352"/>
      <c r="BJ266" s="352"/>
      <c r="BK266" s="470"/>
      <c r="BL266" s="339"/>
      <c r="BM266" s="339"/>
      <c r="BN266" s="182"/>
      <c r="BO266" s="182"/>
      <c r="BP266" s="182"/>
      <c r="BQ266" s="182"/>
      <c r="BR266" s="182"/>
      <c r="BS266" s="182"/>
      <c r="BT266" s="182"/>
      <c r="BU266" s="182"/>
      <c r="BV266" s="182"/>
      <c r="BW266" s="182"/>
      <c r="BX266" s="182"/>
      <c r="BY266" s="182"/>
      <c r="BZ266" s="182"/>
      <c r="CA266" s="182"/>
      <c r="CB266" s="182"/>
      <c r="CC266" s="182"/>
      <c r="CD266" s="182"/>
      <c r="CE266" s="182"/>
      <c r="CF266" s="182"/>
      <c r="CG266" s="182"/>
      <c r="CH266" s="182"/>
      <c r="CI266" s="182"/>
      <c r="CJ266" s="182"/>
      <c r="CK266" s="680"/>
      <c r="CL266" s="681"/>
      <c r="CM266" s="682"/>
    </row>
    <row r="267" spans="1:91" s="344" customFormat="1">
      <c r="A267" s="335" t="s">
        <v>391</v>
      </c>
      <c r="B267" s="543"/>
      <c r="C267" s="543"/>
      <c r="D267" s="543"/>
      <c r="E267" s="538" t="s">
        <v>100</v>
      </c>
      <c r="F267" s="538" t="s">
        <v>100</v>
      </c>
      <c r="G267" s="538"/>
      <c r="H267" s="538" t="s">
        <v>100</v>
      </c>
      <c r="I267" s="538" t="s">
        <v>100</v>
      </c>
      <c r="J267" s="538" t="s">
        <v>100</v>
      </c>
      <c r="K267" s="538" t="s">
        <v>100</v>
      </c>
      <c r="L267" s="538" t="s">
        <v>100</v>
      </c>
      <c r="M267" s="543"/>
      <c r="N267" s="538"/>
      <c r="O267" s="543"/>
      <c r="P267" s="538" t="s">
        <v>100</v>
      </c>
      <c r="Q267" s="543"/>
      <c r="R267" s="543"/>
      <c r="S267" s="538" t="s">
        <v>100</v>
      </c>
      <c r="T267" s="543"/>
      <c r="U267" s="543"/>
      <c r="V267" s="538"/>
      <c r="AI267" s="339">
        <f t="shared" si="47"/>
        <v>9</v>
      </c>
      <c r="AJ267" s="530" t="s">
        <v>392</v>
      </c>
      <c r="AK267" s="341">
        <v>43116</v>
      </c>
      <c r="AL267" s="352"/>
      <c r="AM267" s="352"/>
      <c r="AN267" s="352"/>
      <c r="AO267" s="352"/>
      <c r="AP267" s="352"/>
      <c r="AQ267" s="352"/>
      <c r="AR267" s="352"/>
      <c r="AS267" s="352"/>
      <c r="AT267" s="352"/>
      <c r="AU267" s="352"/>
      <c r="AV267" s="352"/>
      <c r="AW267" s="352"/>
      <c r="AX267" s="352"/>
      <c r="AY267" s="352"/>
      <c r="AZ267" s="352"/>
      <c r="BA267" s="352"/>
      <c r="BB267" s="352"/>
      <c r="BC267" s="352"/>
      <c r="BD267" s="352"/>
      <c r="BE267" s="352"/>
      <c r="BF267" s="352"/>
      <c r="BG267" s="352"/>
      <c r="BH267" s="352"/>
      <c r="BI267" s="352"/>
      <c r="BJ267" s="352"/>
      <c r="BK267" s="470"/>
      <c r="BL267" s="339"/>
      <c r="BM267" s="339"/>
      <c r="BN267" s="182"/>
      <c r="BO267" s="182"/>
      <c r="BP267" s="182"/>
      <c r="BQ267" s="182"/>
      <c r="BR267" s="182"/>
      <c r="BS267" s="182"/>
      <c r="BT267" s="182"/>
      <c r="BU267" s="182"/>
      <c r="BV267" s="182"/>
      <c r="BW267" s="182"/>
      <c r="BX267" s="182"/>
      <c r="BY267" s="182"/>
      <c r="BZ267" s="182"/>
      <c r="CA267" s="182"/>
      <c r="CB267" s="182"/>
      <c r="CC267" s="182"/>
      <c r="CD267" s="182"/>
      <c r="CE267" s="182"/>
      <c r="CF267" s="182"/>
      <c r="CG267" s="182"/>
      <c r="CH267" s="182"/>
      <c r="CI267" s="182"/>
      <c r="CJ267" s="182"/>
      <c r="CK267" s="618"/>
      <c r="CL267" s="619"/>
      <c r="CM267" s="620"/>
    </row>
    <row r="268" spans="1:91" s="344" customFormat="1">
      <c r="A268" s="335" t="s">
        <v>393</v>
      </c>
      <c r="B268" s="519"/>
      <c r="C268" s="519"/>
      <c r="D268" s="182"/>
      <c r="E268" s="519" t="s">
        <v>100</v>
      </c>
      <c r="F268" s="519" t="s">
        <v>100</v>
      </c>
      <c r="G268" s="519"/>
      <c r="H268" s="519" t="s">
        <v>100</v>
      </c>
      <c r="I268" s="519"/>
      <c r="J268" s="519" t="s">
        <v>100</v>
      </c>
      <c r="K268" s="519"/>
      <c r="L268" s="519" t="s">
        <v>100</v>
      </c>
      <c r="M268" s="519"/>
      <c r="N268" s="519" t="s">
        <v>100</v>
      </c>
      <c r="O268" s="519"/>
      <c r="P268" s="519" t="s">
        <v>100</v>
      </c>
      <c r="Q268" s="519"/>
      <c r="R268" s="519"/>
      <c r="S268" s="519" t="s">
        <v>100</v>
      </c>
      <c r="T268" s="519" t="s">
        <v>100</v>
      </c>
      <c r="U268" s="519"/>
      <c r="V268" s="519" t="s">
        <v>100</v>
      </c>
      <c r="W268" s="182"/>
      <c r="X268" s="182"/>
      <c r="Y268" s="182"/>
      <c r="Z268" s="182"/>
      <c r="AA268" s="182"/>
      <c r="AB268" s="182"/>
      <c r="AC268" s="182"/>
      <c r="AD268" s="182"/>
      <c r="AE268" s="182"/>
      <c r="AF268" s="182"/>
      <c r="AG268" s="182"/>
      <c r="AH268" s="182"/>
      <c r="AI268" s="339">
        <f t="shared" si="47"/>
        <v>10</v>
      </c>
      <c r="AJ268" s="340" t="str">
        <f>HYPERLINK("http://www.pjstar.com/sports/20180111/listen-jim-thome-and-baseball-hall-of-fame","Peoria JS Podcast")</f>
        <v>Peoria JS Podcast</v>
      </c>
      <c r="AK268" s="341">
        <v>43111</v>
      </c>
      <c r="AL268" s="352"/>
      <c r="AM268" s="352"/>
      <c r="AN268" s="352"/>
      <c r="AO268" s="352"/>
      <c r="AP268" s="352"/>
      <c r="AQ268" s="352"/>
      <c r="AR268" s="352"/>
      <c r="AS268" s="352"/>
      <c r="AT268" s="352"/>
      <c r="AU268" s="352"/>
      <c r="AV268" s="352"/>
      <c r="AW268" s="352"/>
      <c r="AX268" s="352"/>
      <c r="AY268" s="352"/>
      <c r="AZ268" s="352"/>
      <c r="BA268" s="352"/>
      <c r="BB268" s="352"/>
      <c r="BC268" s="352"/>
      <c r="BD268" s="352"/>
      <c r="BE268" s="352"/>
      <c r="BF268" s="352"/>
      <c r="BG268" s="352"/>
      <c r="BH268" s="352"/>
      <c r="BI268" s="352"/>
      <c r="BJ268" s="352"/>
      <c r="BK268" s="470"/>
      <c r="BL268" s="339"/>
      <c r="BM268" s="339"/>
      <c r="BN268" s="182"/>
      <c r="BO268" s="182"/>
      <c r="BP268" s="182"/>
      <c r="BQ268" s="182"/>
      <c r="BR268" s="182"/>
      <c r="BS268" s="182"/>
      <c r="BT268" s="182"/>
      <c r="BU268" s="182"/>
      <c r="BV268" s="182"/>
      <c r="BW268" s="182"/>
      <c r="BX268" s="182"/>
      <c r="BY268" s="182"/>
      <c r="BZ268" s="182"/>
      <c r="CA268" s="182"/>
      <c r="CB268" s="182"/>
      <c r="CC268" s="182"/>
      <c r="CD268" s="182"/>
      <c r="CE268" s="182"/>
      <c r="CF268" s="182"/>
      <c r="CG268" s="182"/>
      <c r="CH268" s="182"/>
      <c r="CI268" s="182"/>
      <c r="CJ268" s="182"/>
      <c r="CK268" s="618"/>
      <c r="CL268" s="619"/>
      <c r="CM268" s="620"/>
    </row>
    <row r="269" spans="1:91" s="344" customFormat="1">
      <c r="A269" s="335" t="s">
        <v>394</v>
      </c>
      <c r="B269" s="519"/>
      <c r="C269" s="519"/>
      <c r="D269" s="182"/>
      <c r="E269" s="519" t="s">
        <v>100</v>
      </c>
      <c r="F269" s="519" t="s">
        <v>100</v>
      </c>
      <c r="G269" s="519"/>
      <c r="H269" s="519" t="s">
        <v>100</v>
      </c>
      <c r="I269" s="519"/>
      <c r="J269" s="519" t="s">
        <v>100</v>
      </c>
      <c r="K269" s="519"/>
      <c r="L269" s="519" t="s">
        <v>100</v>
      </c>
      <c r="M269" s="519"/>
      <c r="N269" s="519"/>
      <c r="O269" s="519"/>
      <c r="P269" s="519" t="s">
        <v>100</v>
      </c>
      <c r="Q269" s="519" t="s">
        <v>100</v>
      </c>
      <c r="R269" s="519"/>
      <c r="S269" s="519" t="s">
        <v>100</v>
      </c>
      <c r="T269" s="519"/>
      <c r="U269" s="519" t="s">
        <v>100</v>
      </c>
      <c r="V269" s="519" t="s">
        <v>100</v>
      </c>
      <c r="W269" s="182"/>
      <c r="X269" s="182"/>
      <c r="Y269" s="182"/>
      <c r="Z269" s="182"/>
      <c r="AA269" s="182"/>
      <c r="AB269" s="182"/>
      <c r="AC269" s="182"/>
      <c r="AD269" s="182"/>
      <c r="AE269" s="182"/>
      <c r="AF269" s="182"/>
      <c r="AG269" s="182"/>
      <c r="AH269" s="182"/>
      <c r="AI269" s="339">
        <f t="shared" si="47"/>
        <v>10</v>
      </c>
      <c r="AJ269" s="530" t="s">
        <v>113</v>
      </c>
      <c r="AK269" s="341">
        <v>43080</v>
      </c>
      <c r="AL269" s="352"/>
      <c r="AM269" s="352"/>
      <c r="AN269" s="352"/>
      <c r="AO269" s="352"/>
      <c r="AP269" s="352"/>
      <c r="AQ269" s="352"/>
      <c r="AR269" s="352"/>
      <c r="AS269" s="352"/>
      <c r="AT269" s="352"/>
      <c r="AU269" s="352"/>
      <c r="AV269" s="352"/>
      <c r="AW269" s="352"/>
      <c r="AX269" s="352"/>
      <c r="AY269" s="352"/>
      <c r="AZ269" s="352"/>
      <c r="BA269" s="352"/>
      <c r="BB269" s="352"/>
      <c r="BC269" s="352"/>
      <c r="BD269" s="352"/>
      <c r="BE269" s="352"/>
      <c r="BF269" s="352"/>
      <c r="BG269" s="352"/>
      <c r="BH269" s="352"/>
      <c r="BI269" s="352"/>
      <c r="BJ269" s="352"/>
      <c r="BK269" s="470"/>
      <c r="BL269" s="339"/>
      <c r="BM269" s="339"/>
      <c r="BN269" s="182"/>
      <c r="BO269" s="182"/>
      <c r="BP269" s="182"/>
      <c r="BQ269" s="182"/>
      <c r="BR269" s="182"/>
      <c r="BS269" s="182"/>
      <c r="BT269" s="182"/>
      <c r="BU269" s="182"/>
      <c r="BV269" s="182"/>
      <c r="BW269" s="182"/>
      <c r="BX269" s="182"/>
      <c r="BY269" s="182"/>
      <c r="BZ269" s="182"/>
      <c r="CA269" s="182"/>
      <c r="CB269" s="182"/>
      <c r="CC269" s="182"/>
      <c r="CD269" s="182"/>
      <c r="CE269" s="182"/>
      <c r="CF269" s="182"/>
      <c r="CG269" s="182"/>
      <c r="CH269" s="182"/>
      <c r="CI269" s="182"/>
      <c r="CJ269" s="182"/>
      <c r="CK269" s="680"/>
      <c r="CL269" s="681"/>
      <c r="CM269" s="682"/>
    </row>
    <row r="270" spans="1:91" s="344" customFormat="1">
      <c r="A270" s="335" t="s">
        <v>395</v>
      </c>
      <c r="B270" s="519"/>
      <c r="C270" s="519"/>
      <c r="D270" s="182"/>
      <c r="E270" s="519" t="s">
        <v>100</v>
      </c>
      <c r="F270" s="519" t="s">
        <v>100</v>
      </c>
      <c r="G270" s="519"/>
      <c r="H270" s="519" t="s">
        <v>100</v>
      </c>
      <c r="I270" s="519"/>
      <c r="J270" s="522" t="s">
        <v>100</v>
      </c>
      <c r="K270" s="519" t="s">
        <v>100</v>
      </c>
      <c r="L270" s="519" t="s">
        <v>100</v>
      </c>
      <c r="M270" s="519"/>
      <c r="N270" s="519"/>
      <c r="O270" s="519"/>
      <c r="P270" s="519"/>
      <c r="Q270" s="519"/>
      <c r="R270" s="519"/>
      <c r="S270" s="519" t="s">
        <v>100</v>
      </c>
      <c r="T270" s="519" t="s">
        <v>100</v>
      </c>
      <c r="U270" s="519" t="s">
        <v>100</v>
      </c>
      <c r="V270" s="519"/>
      <c r="W270" s="182"/>
      <c r="X270" s="182"/>
      <c r="Y270" s="182"/>
      <c r="Z270" s="182"/>
      <c r="AA270" s="182"/>
      <c r="AB270" s="182"/>
      <c r="AC270" s="182"/>
      <c r="AD270" s="182"/>
      <c r="AE270" s="182"/>
      <c r="AF270" s="519" t="s">
        <v>100</v>
      </c>
      <c r="AG270" s="182"/>
      <c r="AH270" s="182"/>
      <c r="AI270" s="339">
        <f t="shared" si="47"/>
        <v>10</v>
      </c>
      <c r="AJ270" s="340" t="str">
        <f>HYPERLINK("https://twitter.com/DavidMWilhelm/status/955929055362207744","Twitter")</f>
        <v>Twitter</v>
      </c>
      <c r="AK270" s="341">
        <v>43123</v>
      </c>
      <c r="AL270" s="352"/>
      <c r="AM270" s="352"/>
      <c r="AN270" s="352"/>
      <c r="AO270" s="352"/>
      <c r="AP270" s="352"/>
      <c r="AQ270" s="352"/>
      <c r="AR270" s="352"/>
      <c r="AS270" s="352"/>
      <c r="AT270" s="352"/>
      <c r="AU270" s="352"/>
      <c r="AV270" s="352"/>
      <c r="AW270" s="352"/>
      <c r="AX270" s="352"/>
      <c r="AY270" s="352"/>
      <c r="AZ270" s="352"/>
      <c r="BA270" s="352"/>
      <c r="BB270" s="352"/>
      <c r="BC270" s="352"/>
      <c r="BD270" s="352"/>
      <c r="BE270" s="352"/>
      <c r="BF270" s="352"/>
      <c r="BG270" s="352"/>
      <c r="BH270" s="352"/>
      <c r="BI270" s="352"/>
      <c r="BJ270" s="352"/>
      <c r="BK270" s="470"/>
      <c r="BL270" s="339"/>
      <c r="BM270" s="339"/>
      <c r="BN270" s="182"/>
      <c r="BO270" s="182"/>
      <c r="BP270" s="182"/>
      <c r="BQ270" s="182"/>
      <c r="BR270" s="182"/>
      <c r="BS270" s="182"/>
      <c r="BT270" s="182"/>
      <c r="BU270" s="182"/>
      <c r="BV270" s="182"/>
      <c r="BW270" s="182"/>
      <c r="BX270" s="182"/>
      <c r="BY270" s="182"/>
      <c r="BZ270" s="182"/>
      <c r="CA270" s="182"/>
      <c r="CB270" s="182"/>
      <c r="CC270" s="182"/>
      <c r="CD270" s="182"/>
      <c r="CE270" s="182"/>
      <c r="CF270" s="182"/>
      <c r="CG270" s="182"/>
      <c r="CH270" s="182"/>
      <c r="CI270" s="182"/>
      <c r="CJ270" s="182"/>
      <c r="CK270" s="618"/>
      <c r="CL270" s="619"/>
      <c r="CM270" s="620"/>
    </row>
    <row r="271" spans="1:91" s="344" customFormat="1">
      <c r="A271" s="335" t="s">
        <v>396</v>
      </c>
      <c r="B271" s="522" t="s">
        <v>100</v>
      </c>
      <c r="C271" s="522" t="s">
        <v>100</v>
      </c>
      <c r="D271" s="182"/>
      <c r="E271" s="519" t="s">
        <v>100</v>
      </c>
      <c r="F271" s="522" t="s">
        <v>100</v>
      </c>
      <c r="G271" s="519"/>
      <c r="H271" s="519" t="s">
        <v>100</v>
      </c>
      <c r="I271" s="519" t="s">
        <v>100</v>
      </c>
      <c r="J271" s="519" t="s">
        <v>100</v>
      </c>
      <c r="K271" s="519" t="s">
        <v>100</v>
      </c>
      <c r="L271" s="519" t="s">
        <v>100</v>
      </c>
      <c r="M271" s="519"/>
      <c r="N271" s="519"/>
      <c r="O271" s="519"/>
      <c r="P271" s="519"/>
      <c r="Q271" s="519" t="s">
        <v>100</v>
      </c>
      <c r="R271" s="519"/>
      <c r="S271" s="519"/>
      <c r="T271" s="519"/>
      <c r="U271" s="519"/>
      <c r="V271" s="519"/>
      <c r="W271" s="182"/>
      <c r="X271" s="182"/>
      <c r="Y271" s="182"/>
      <c r="Z271" s="182"/>
      <c r="AA271" s="182"/>
      <c r="AB271" s="182"/>
      <c r="AC271" s="182"/>
      <c r="AD271" s="182"/>
      <c r="AE271" s="182"/>
      <c r="AF271" s="182"/>
      <c r="AG271" s="182"/>
      <c r="AH271" s="182"/>
      <c r="AI271" s="339">
        <f t="shared" si="47"/>
        <v>10</v>
      </c>
      <c r="AJ271" s="530" t="s">
        <v>138</v>
      </c>
      <c r="AK271" s="341">
        <v>43089</v>
      </c>
      <c r="AL271" s="352"/>
      <c r="AM271" s="352"/>
      <c r="AN271" s="352"/>
      <c r="AO271" s="352"/>
      <c r="AP271" s="352"/>
      <c r="AQ271" s="352"/>
      <c r="AR271" s="352"/>
      <c r="AS271" s="352"/>
      <c r="AT271" s="352"/>
      <c r="AU271" s="352"/>
      <c r="AV271" s="352"/>
      <c r="AW271" s="352"/>
      <c r="AX271" s="352"/>
      <c r="AY271" s="352"/>
      <c r="AZ271" s="352"/>
      <c r="BA271" s="352"/>
      <c r="BB271" s="352"/>
      <c r="BC271" s="352"/>
      <c r="BD271" s="352"/>
      <c r="BE271" s="352"/>
      <c r="BF271" s="352"/>
      <c r="BG271" s="352"/>
      <c r="BH271" s="352"/>
      <c r="BI271" s="352"/>
      <c r="BJ271" s="352"/>
      <c r="BK271" s="470"/>
      <c r="BL271" s="339"/>
      <c r="BM271" s="339"/>
      <c r="BN271" s="182"/>
      <c r="BO271" s="182"/>
      <c r="BP271" s="182"/>
      <c r="BQ271" s="182"/>
      <c r="BR271" s="182"/>
      <c r="BS271" s="182"/>
      <c r="BT271" s="182"/>
      <c r="BU271" s="182"/>
      <c r="BV271" s="182"/>
      <c r="BW271" s="182"/>
      <c r="BX271" s="182"/>
      <c r="BY271" s="182"/>
      <c r="BZ271" s="182"/>
      <c r="CA271" s="182"/>
      <c r="CB271" s="182"/>
      <c r="CC271" s="182"/>
      <c r="CD271" s="182"/>
      <c r="CE271" s="182"/>
      <c r="CF271" s="182"/>
      <c r="CG271" s="182"/>
      <c r="CH271" s="182"/>
      <c r="CI271" s="182"/>
      <c r="CJ271" s="182"/>
      <c r="CK271" s="647" t="s">
        <v>397</v>
      </c>
      <c r="CL271" s="648"/>
      <c r="CM271" s="649"/>
    </row>
    <row r="272" spans="1:91" s="344" customFormat="1">
      <c r="A272" s="335" t="s">
        <v>398</v>
      </c>
      <c r="B272" s="519" t="s">
        <v>100</v>
      </c>
      <c r="C272" s="519" t="s">
        <v>100</v>
      </c>
      <c r="D272" s="182"/>
      <c r="E272" s="519" t="s">
        <v>100</v>
      </c>
      <c r="F272" s="519" t="s">
        <v>100</v>
      </c>
      <c r="G272" s="519"/>
      <c r="H272" s="519" t="s">
        <v>100</v>
      </c>
      <c r="I272" s="519"/>
      <c r="J272" s="519" t="s">
        <v>100</v>
      </c>
      <c r="K272" s="522" t="s">
        <v>100</v>
      </c>
      <c r="L272" s="522" t="s">
        <v>100</v>
      </c>
      <c r="M272" s="519"/>
      <c r="N272" s="519"/>
      <c r="O272" s="519"/>
      <c r="P272" s="519"/>
      <c r="Q272" s="519"/>
      <c r="R272" s="519"/>
      <c r="S272" s="519" t="s">
        <v>100</v>
      </c>
      <c r="T272" s="519"/>
      <c r="U272" s="519"/>
      <c r="V272" s="519" t="s">
        <v>100</v>
      </c>
      <c r="W272" s="182"/>
      <c r="X272" s="182"/>
      <c r="Y272" s="182"/>
      <c r="Z272" s="182"/>
      <c r="AA272" s="182"/>
      <c r="AB272" s="182"/>
      <c r="AC272" s="182"/>
      <c r="AD272" s="182"/>
      <c r="AE272" s="182"/>
      <c r="AF272" s="182"/>
      <c r="AG272" s="182"/>
      <c r="AH272" s="182"/>
      <c r="AI272" s="339">
        <f t="shared" ref="AI272:AI345" si="52">COUNTIF(B272:AH272,"x")</f>
        <v>10</v>
      </c>
      <c r="AJ272" s="340" t="str">
        <f>HYPERLINK("https://twitter.com/berniewilson/status/943608391636619264","Twitter")</f>
        <v>Twitter</v>
      </c>
      <c r="AK272" s="341">
        <v>43089</v>
      </c>
      <c r="AL272" s="352"/>
      <c r="AM272" s="352"/>
      <c r="AN272" s="352"/>
      <c r="AO272" s="352"/>
      <c r="AP272" s="352"/>
      <c r="AQ272" s="352"/>
      <c r="AR272" s="352"/>
      <c r="AS272" s="352"/>
      <c r="AT272" s="352"/>
      <c r="AU272" s="352"/>
      <c r="AV272" s="352"/>
      <c r="AW272" s="352"/>
      <c r="AX272" s="352"/>
      <c r="AY272" s="352"/>
      <c r="AZ272" s="352"/>
      <c r="BA272" s="352"/>
      <c r="BB272" s="352"/>
      <c r="BC272" s="352"/>
      <c r="BD272" s="352"/>
      <c r="BE272" s="352"/>
      <c r="BF272" s="352"/>
      <c r="BG272" s="352"/>
      <c r="BH272" s="352"/>
      <c r="BI272" s="352"/>
      <c r="BJ272" s="352"/>
      <c r="BK272" s="470"/>
      <c r="BL272" s="339"/>
      <c r="BM272" s="339"/>
      <c r="BN272" s="182"/>
      <c r="BO272" s="182"/>
      <c r="BP272" s="182"/>
      <c r="BQ272" s="182"/>
      <c r="BR272" s="182"/>
      <c r="BS272" s="182"/>
      <c r="BT272" s="182"/>
      <c r="BU272" s="182"/>
      <c r="BV272" s="182"/>
      <c r="BW272" s="182"/>
      <c r="BX272" s="182"/>
      <c r="BY272" s="182"/>
      <c r="BZ272" s="182"/>
      <c r="CA272" s="182"/>
      <c r="CB272" s="182"/>
      <c r="CC272" s="182"/>
      <c r="CD272" s="182"/>
      <c r="CE272" s="182"/>
      <c r="CF272" s="182"/>
      <c r="CG272" s="182"/>
      <c r="CH272" s="182"/>
      <c r="CI272" s="182"/>
      <c r="CJ272" s="182"/>
      <c r="CK272" s="680"/>
      <c r="CL272" s="681"/>
      <c r="CM272" s="682"/>
    </row>
    <row r="273" spans="1:91" s="344" customFormat="1">
      <c r="A273" s="331" t="s">
        <v>399</v>
      </c>
      <c r="B273" s="519" t="s">
        <v>100</v>
      </c>
      <c r="C273" s="519" t="s">
        <v>100</v>
      </c>
      <c r="D273" s="182"/>
      <c r="E273" s="519" t="s">
        <v>100</v>
      </c>
      <c r="F273" s="519" t="s">
        <v>100</v>
      </c>
      <c r="G273" s="519"/>
      <c r="H273" s="519" t="s">
        <v>100</v>
      </c>
      <c r="I273" s="519"/>
      <c r="J273" s="519" t="s">
        <v>100</v>
      </c>
      <c r="K273" s="519" t="s">
        <v>100</v>
      </c>
      <c r="L273" s="519" t="s">
        <v>100</v>
      </c>
      <c r="M273" s="519"/>
      <c r="N273" s="519"/>
      <c r="O273" s="519"/>
      <c r="P273" s="519" t="s">
        <v>100</v>
      </c>
      <c r="Q273" s="519"/>
      <c r="R273" s="519"/>
      <c r="S273" s="519" t="s">
        <v>100</v>
      </c>
      <c r="T273" s="519"/>
      <c r="U273" s="519"/>
      <c r="V273" s="519"/>
      <c r="W273" s="182"/>
      <c r="X273" s="182"/>
      <c r="Y273" s="182"/>
      <c r="Z273" s="182"/>
      <c r="AA273" s="182"/>
      <c r="AB273" s="182"/>
      <c r="AC273" s="182"/>
      <c r="AD273" s="182"/>
      <c r="AE273" s="182"/>
      <c r="AF273" s="182"/>
      <c r="AG273" s="182"/>
      <c r="AH273" s="182"/>
      <c r="AI273" s="339">
        <f t="shared" si="52"/>
        <v>10</v>
      </c>
      <c r="AJ273" s="340" t="str">
        <f>HYPERLINK("http://www.star-telegram.com/sports/mlb/texas-rangers/article192215249.html","Twitter/IG, then FWST")</f>
        <v>Twitter/IG, then FWST</v>
      </c>
      <c r="AK273" s="341">
        <v>43098</v>
      </c>
      <c r="AL273" s="352"/>
      <c r="AM273" s="352"/>
      <c r="AN273" s="352"/>
      <c r="AO273" s="352"/>
      <c r="AP273" s="352"/>
      <c r="AQ273" s="352"/>
      <c r="AR273" s="352"/>
      <c r="AS273" s="352"/>
      <c r="AT273" s="352"/>
      <c r="AU273" s="352"/>
      <c r="AV273" s="352"/>
      <c r="AW273" s="352"/>
      <c r="AX273" s="352"/>
      <c r="AY273" s="352"/>
      <c r="AZ273" s="352"/>
      <c r="BA273" s="352"/>
      <c r="BB273" s="352"/>
      <c r="BC273" s="352"/>
      <c r="BD273" s="352"/>
      <c r="BE273" s="352"/>
      <c r="BF273" s="352"/>
      <c r="BG273" s="352"/>
      <c r="BH273" s="352"/>
      <c r="BI273" s="352"/>
      <c r="BJ273" s="352"/>
      <c r="BK273" s="470"/>
      <c r="BL273" s="339"/>
      <c r="BM273" s="339"/>
      <c r="BN273" s="182"/>
      <c r="BO273" s="182"/>
      <c r="BP273" s="182"/>
      <c r="BQ273" s="182"/>
      <c r="BR273" s="182"/>
      <c r="BS273" s="182"/>
      <c r="BT273" s="182"/>
      <c r="BU273" s="182"/>
      <c r="BV273" s="182"/>
      <c r="BW273" s="182"/>
      <c r="BX273" s="182"/>
      <c r="BY273" s="182"/>
      <c r="BZ273" s="182"/>
      <c r="CA273" s="182"/>
      <c r="CB273" s="182"/>
      <c r="CC273" s="182"/>
      <c r="CD273" s="182"/>
      <c r="CE273" s="182"/>
      <c r="CF273" s="182"/>
      <c r="CG273" s="182"/>
      <c r="CH273" s="182"/>
      <c r="CI273" s="182"/>
      <c r="CJ273" s="182"/>
      <c r="CK273" s="647" t="s">
        <v>400</v>
      </c>
      <c r="CL273" s="648"/>
      <c r="CM273" s="649"/>
    </row>
    <row r="274" spans="1:91" s="344" customFormat="1" ht="13.5" thickBot="1">
      <c r="A274" s="335" t="s">
        <v>401</v>
      </c>
      <c r="B274" s="569" t="s">
        <v>100</v>
      </c>
      <c r="C274" s="569" t="s">
        <v>100</v>
      </c>
      <c r="D274" s="570"/>
      <c r="E274" s="569" t="s">
        <v>100</v>
      </c>
      <c r="F274" s="569"/>
      <c r="G274" s="569"/>
      <c r="H274" s="569" t="s">
        <v>100</v>
      </c>
      <c r="I274" s="569"/>
      <c r="J274" s="569"/>
      <c r="K274" s="569"/>
      <c r="L274" s="569"/>
      <c r="M274" s="569" t="s">
        <v>100</v>
      </c>
      <c r="N274" s="569"/>
      <c r="O274" s="569"/>
      <c r="P274" s="569"/>
      <c r="Q274" s="569"/>
      <c r="R274" s="569" t="s">
        <v>100</v>
      </c>
      <c r="S274" s="569" t="s">
        <v>100</v>
      </c>
      <c r="T274" s="569"/>
      <c r="U274" s="569"/>
      <c r="V274" s="569"/>
      <c r="W274" s="182"/>
      <c r="X274" s="182"/>
      <c r="Y274" s="182"/>
      <c r="Z274" s="182"/>
      <c r="AA274" s="182"/>
      <c r="AB274" s="182"/>
      <c r="AC274" s="182"/>
      <c r="AD274" s="182"/>
      <c r="AE274" s="182"/>
      <c r="AF274" s="182"/>
      <c r="AG274" s="182"/>
      <c r="AH274" s="182"/>
      <c r="AI274" s="339">
        <f t="shared" si="52"/>
        <v>7</v>
      </c>
      <c r="AJ274" s="530" t="s">
        <v>113</v>
      </c>
      <c r="AK274" s="341">
        <v>43097</v>
      </c>
      <c r="AL274" s="352"/>
      <c r="AM274" s="352"/>
      <c r="AN274" s="352"/>
      <c r="AO274" s="352"/>
      <c r="AP274" s="352"/>
      <c r="AQ274" s="352"/>
      <c r="AR274" s="352"/>
      <c r="AS274" s="352"/>
      <c r="AT274" s="352"/>
      <c r="AU274" s="352"/>
      <c r="AV274" s="352"/>
      <c r="AW274" s="352"/>
      <c r="AX274" s="352"/>
      <c r="AY274" s="352"/>
      <c r="AZ274" s="352"/>
      <c r="BA274" s="352"/>
      <c r="BB274" s="352"/>
      <c r="BC274" s="352"/>
      <c r="BD274" s="352"/>
      <c r="BE274" s="352"/>
      <c r="BF274" s="352"/>
      <c r="BG274" s="352"/>
      <c r="BH274" s="352"/>
      <c r="BI274" s="352"/>
      <c r="BJ274" s="352"/>
      <c r="BK274" s="470"/>
      <c r="BL274" s="339"/>
      <c r="BM274" s="339"/>
      <c r="BN274" s="182"/>
      <c r="BO274" s="182"/>
      <c r="BP274" s="182"/>
      <c r="BQ274" s="182"/>
      <c r="BR274" s="182"/>
      <c r="BS274" s="182"/>
      <c r="BT274" s="182"/>
      <c r="BU274" s="182"/>
      <c r="BV274" s="182"/>
      <c r="BW274" s="182"/>
      <c r="BX274" s="182"/>
      <c r="BY274" s="182"/>
      <c r="BZ274" s="182"/>
      <c r="CA274" s="182"/>
      <c r="CB274" s="182"/>
      <c r="CC274" s="182"/>
      <c r="CD274" s="182"/>
      <c r="CE274" s="182"/>
      <c r="CF274" s="182"/>
      <c r="CG274" s="182"/>
      <c r="CH274" s="182"/>
      <c r="CI274" s="182"/>
      <c r="CJ274" s="182"/>
      <c r="CK274" s="680"/>
      <c r="CL274" s="681"/>
      <c r="CM274" s="682"/>
    </row>
    <row r="275" spans="1:91" ht="30" customHeight="1" thickBot="1">
      <c r="A275" s="562"/>
      <c r="B275" s="752" t="s">
        <v>402</v>
      </c>
      <c r="C275" s="753"/>
      <c r="D275" s="753"/>
      <c r="E275" s="573">
        <f>COUNTA(A275:A346)</f>
        <v>70</v>
      </c>
      <c r="F275" s="757" t="s">
        <v>403</v>
      </c>
      <c r="G275" s="758"/>
      <c r="H275" s="758"/>
      <c r="I275" s="565">
        <f>AVERAGE(AI276:AI345)</f>
        <v>8.4285714285714288</v>
      </c>
      <c r="J275" s="752" t="s">
        <v>404</v>
      </c>
      <c r="K275" s="753"/>
      <c r="L275" s="753"/>
      <c r="M275" s="753"/>
      <c r="N275" s="753"/>
      <c r="O275" s="753"/>
      <c r="P275" s="753"/>
      <c r="Q275" s="753"/>
      <c r="R275" s="753"/>
      <c r="S275" s="753"/>
      <c r="T275" s="753"/>
      <c r="U275" s="753"/>
      <c r="V275" s="760"/>
      <c r="W275" s="567"/>
      <c r="X275" s="567"/>
      <c r="Y275" s="567"/>
      <c r="Z275" s="567"/>
      <c r="AA275" s="567"/>
      <c r="AB275" s="567"/>
      <c r="AC275" s="567"/>
      <c r="AD275" s="567"/>
      <c r="AE275" s="567"/>
      <c r="AF275" s="567"/>
      <c r="AG275" s="567"/>
      <c r="AH275" s="568"/>
      <c r="AI275" s="193"/>
      <c r="AJ275" s="428"/>
      <c r="AK275" s="194"/>
      <c r="AL275" s="194"/>
      <c r="AM275" s="187">
        <f>IF(B275=1,0,0)</f>
        <v>0</v>
      </c>
      <c r="AN275" s="187" t="e">
        <f>IF(#REF!=1,13,0)</f>
        <v>#REF!</v>
      </c>
      <c r="AO275" s="187">
        <f>IF(E275=1,8,0)</f>
        <v>0</v>
      </c>
      <c r="AP275" s="187">
        <f>IF(G275=1,8,0)</f>
        <v>0</v>
      </c>
      <c r="AQ275" s="187">
        <f t="shared" ref="AQ275:AS276" si="53">IF(I275=1,0,0)</f>
        <v>0</v>
      </c>
      <c r="AR275" s="187">
        <f t="shared" si="53"/>
        <v>0</v>
      </c>
      <c r="AS275" s="187">
        <f t="shared" si="53"/>
        <v>0</v>
      </c>
      <c r="AT275" s="187">
        <f>IF(L275=1,19,0)</f>
        <v>0</v>
      </c>
      <c r="AU275" s="187">
        <f>IF(O275=1,13,0)</f>
        <v>0</v>
      </c>
      <c r="AV275" s="187">
        <f>IF(P275=1,0,0)</f>
        <v>0</v>
      </c>
      <c r="AW275" s="187">
        <f>IF(Q275=1,3,0)</f>
        <v>0</v>
      </c>
      <c r="AX275" s="187">
        <f>IF(S275=1,8,0)</f>
        <v>0</v>
      </c>
      <c r="AY275" s="187">
        <f>IF(T275=1,4,0)</f>
        <v>0</v>
      </c>
      <c r="AZ275" s="187">
        <f>IF(U275=1,2,0)</f>
        <v>0</v>
      </c>
      <c r="BA275" s="187" t="e">
        <f>IF(#REF!=1,8,0)</f>
        <v>#REF!</v>
      </c>
      <c r="BB275" s="187">
        <f>IF(X275=1,16,0)</f>
        <v>0</v>
      </c>
      <c r="BC275" s="187">
        <f>IF(Y275=1,13,0)</f>
        <v>0</v>
      </c>
      <c r="BD275" s="187">
        <f>IF(Z275=1,10,0)</f>
        <v>0</v>
      </c>
      <c r="BE275" s="187" t="e">
        <f>IF(#REF!=1,2,0)</f>
        <v>#REF!</v>
      </c>
      <c r="BF275" s="187">
        <f>IF(AB275=1,6,0)</f>
        <v>0</v>
      </c>
      <c r="BG275" s="187">
        <f>IF(AD275=1,1,0)</f>
        <v>0</v>
      </c>
      <c r="BH275" s="187" t="e">
        <f>IF(#REF!=1,8,0)</f>
        <v>#REF!</v>
      </c>
      <c r="BI275" s="187">
        <f t="shared" ref="BI275:BI276" si="54">IF(AG275=1,2,0)</f>
        <v>0</v>
      </c>
      <c r="BJ275" s="187">
        <f t="shared" ref="BJ275:BJ276" si="55">IF(AH275=1,3,0)</f>
        <v>0</v>
      </c>
      <c r="BK275" s="273" t="e">
        <f t="shared" ref="BK275:BK276" si="56">LARGE(AM275:BJ275,1)+LARGE(AM275:BJ275,2)+LARGE(AM275:BJ275,3)+LARGE(AM275:BJ275,4)+LARGE(AM275:BJ275,5)+LARGE(AM275:BJ275,6)+LARGE(AM275:BJ275,7)+LARGE(AM275:BJ275,8)</f>
        <v>#REF!</v>
      </c>
      <c r="BL275" s="641"/>
      <c r="BM275" s="195"/>
      <c r="BN275" s="641"/>
      <c r="BO275" s="641"/>
      <c r="BP275" s="641"/>
      <c r="BQ275" s="641"/>
      <c r="BR275" s="641"/>
      <c r="BS275" s="641"/>
      <c r="BT275" s="641"/>
      <c r="BU275" s="641"/>
      <c r="BV275" s="641"/>
      <c r="BW275" s="641"/>
      <c r="BX275" s="641"/>
      <c r="BY275" s="641"/>
      <c r="BZ275" s="641"/>
      <c r="CA275" s="641"/>
      <c r="CB275" s="641"/>
      <c r="CC275" s="641"/>
      <c r="CD275" s="641"/>
      <c r="CE275" s="641"/>
      <c r="CF275" s="641"/>
      <c r="CG275" s="641"/>
      <c r="CH275" s="641"/>
      <c r="CI275" s="641"/>
      <c r="CJ275" s="641"/>
      <c r="CK275" s="754"/>
      <c r="CL275" s="755"/>
      <c r="CM275" s="756"/>
    </row>
    <row r="276" spans="1:91" s="344" customFormat="1">
      <c r="A276" s="374" t="s">
        <v>405</v>
      </c>
      <c r="B276" s="571"/>
      <c r="C276" s="571"/>
      <c r="D276" s="571"/>
      <c r="E276" s="572" t="s">
        <v>100</v>
      </c>
      <c r="F276" s="572" t="s">
        <v>100</v>
      </c>
      <c r="G276" s="572"/>
      <c r="H276" s="572" t="s">
        <v>100</v>
      </c>
      <c r="I276" s="571"/>
      <c r="J276" s="572"/>
      <c r="K276" s="571"/>
      <c r="L276" s="572" t="s">
        <v>100</v>
      </c>
      <c r="M276" s="572"/>
      <c r="N276" s="571"/>
      <c r="O276" s="571"/>
      <c r="P276" s="572" t="s">
        <v>100</v>
      </c>
      <c r="Q276" s="610" t="s">
        <v>100</v>
      </c>
      <c r="R276" s="571"/>
      <c r="S276" s="572" t="s">
        <v>100</v>
      </c>
      <c r="T276" s="572" t="s">
        <v>100</v>
      </c>
      <c r="U276" s="572" t="s">
        <v>100</v>
      </c>
      <c r="V276" s="572"/>
      <c r="W276" s="189"/>
      <c r="X276" s="189"/>
      <c r="Y276" s="189"/>
      <c r="Z276" s="189"/>
      <c r="AA276" s="189"/>
      <c r="AB276" s="189"/>
      <c r="AC276" s="189"/>
      <c r="AD276" s="189"/>
      <c r="AE276" s="189"/>
      <c r="AF276" s="189"/>
      <c r="AG276" s="189"/>
      <c r="AH276" s="189"/>
      <c r="AI276" s="339">
        <f t="shared" si="52"/>
        <v>9</v>
      </c>
      <c r="AJ276" s="530" t="s">
        <v>115</v>
      </c>
      <c r="AK276" s="370">
        <v>43132</v>
      </c>
      <c r="AL276" s="352"/>
      <c r="AM276" s="187">
        <f>IF(B276=1,0,0)</f>
        <v>0</v>
      </c>
      <c r="AN276" s="187" t="e">
        <f>IF(#REF!=1,13,0)</f>
        <v>#REF!</v>
      </c>
      <c r="AO276" s="187">
        <f>IF(E276=1,8,0)</f>
        <v>0</v>
      </c>
      <c r="AP276" s="187">
        <f>IF(G276=1,8,0)</f>
        <v>0</v>
      </c>
      <c r="AQ276" s="187">
        <f t="shared" si="53"/>
        <v>0</v>
      </c>
      <c r="AR276" s="187">
        <f t="shared" si="53"/>
        <v>0</v>
      </c>
      <c r="AS276" s="187">
        <f t="shared" si="53"/>
        <v>0</v>
      </c>
      <c r="AT276" s="187">
        <f>IF(L276=1,19,0)</f>
        <v>0</v>
      </c>
      <c r="AU276" s="187">
        <f>IF(O276=1,13,0)</f>
        <v>0</v>
      </c>
      <c r="AV276" s="187">
        <f>IF(P276=1,0,0)</f>
        <v>0</v>
      </c>
      <c r="AW276" s="187">
        <f>IF(Q276=1,3,0)</f>
        <v>0</v>
      </c>
      <c r="AX276" s="187">
        <f>IF(S276=1,8,0)</f>
        <v>0</v>
      </c>
      <c r="AY276" s="187">
        <f>IF(T276=1,4,0)</f>
        <v>0</v>
      </c>
      <c r="AZ276" s="187">
        <f>IF(U276=1,2,0)</f>
        <v>0</v>
      </c>
      <c r="BA276" s="187" t="e">
        <f>IF(#REF!=1,8,0)</f>
        <v>#REF!</v>
      </c>
      <c r="BB276" s="187">
        <f>IF(X276=1,16,0)</f>
        <v>0</v>
      </c>
      <c r="BC276" s="187">
        <f>IF(Y276=1,13,0)</f>
        <v>0</v>
      </c>
      <c r="BD276" s="187">
        <f>IF(Z276=1,10,0)</f>
        <v>0</v>
      </c>
      <c r="BE276" s="187" t="e">
        <f>IF(#REF!=1,2,0)</f>
        <v>#REF!</v>
      </c>
      <c r="BF276" s="187">
        <f>IF(AB276=1,6,0)</f>
        <v>0</v>
      </c>
      <c r="BG276" s="187">
        <f>IF(AD276=1,1,0)</f>
        <v>0</v>
      </c>
      <c r="BH276" s="187" t="e">
        <f>IF(#REF!=1,8,0)</f>
        <v>#REF!</v>
      </c>
      <c r="BI276" s="187">
        <f t="shared" si="54"/>
        <v>0</v>
      </c>
      <c r="BJ276" s="187">
        <f t="shared" si="55"/>
        <v>0</v>
      </c>
      <c r="BK276" s="273" t="e">
        <f t="shared" si="56"/>
        <v>#REF!</v>
      </c>
      <c r="BL276" s="339" t="e">
        <f t="shared" ref="BL276" si="57">BK276</f>
        <v>#REF!</v>
      </c>
      <c r="BM276" s="339"/>
      <c r="BN276" s="182"/>
      <c r="BO276" s="182"/>
      <c r="BP276" s="182"/>
      <c r="BQ276" s="182"/>
      <c r="BR276" s="182"/>
      <c r="BS276" s="182"/>
      <c r="BT276" s="182"/>
      <c r="BU276" s="182"/>
      <c r="BV276" s="182"/>
      <c r="BW276" s="182"/>
      <c r="BX276" s="182"/>
      <c r="BY276" s="182"/>
      <c r="BZ276" s="182"/>
      <c r="CA276" s="182"/>
      <c r="CB276" s="182"/>
      <c r="CC276" s="182"/>
      <c r="CD276" s="182"/>
      <c r="CE276" s="182"/>
      <c r="CF276" s="182"/>
      <c r="CG276" s="182"/>
      <c r="CH276" s="182"/>
      <c r="CI276" s="182"/>
      <c r="CJ276" s="182"/>
      <c r="CK276" s="680"/>
      <c r="CL276" s="681"/>
      <c r="CM276" s="682"/>
    </row>
    <row r="277" spans="1:91" s="326" customFormat="1">
      <c r="A277" s="614" t="s">
        <v>406</v>
      </c>
      <c r="B277" s="607"/>
      <c r="C277" s="602" t="s">
        <v>100</v>
      </c>
      <c r="D277" s="602"/>
      <c r="E277" s="608" t="s">
        <v>100</v>
      </c>
      <c r="F277" s="603" t="s">
        <v>100</v>
      </c>
      <c r="G277" s="603"/>
      <c r="H277" s="603" t="s">
        <v>100</v>
      </c>
      <c r="I277" s="602" t="s">
        <v>100</v>
      </c>
      <c r="J277" s="608" t="s">
        <v>100</v>
      </c>
      <c r="K277" s="602"/>
      <c r="L277" s="603" t="s">
        <v>100</v>
      </c>
      <c r="M277" s="603"/>
      <c r="N277" s="602"/>
      <c r="O277" s="602"/>
      <c r="P277" s="603"/>
      <c r="Q277" s="602"/>
      <c r="R277" s="602"/>
      <c r="S277" s="603" t="s">
        <v>100</v>
      </c>
      <c r="T277" s="603" t="s">
        <v>100</v>
      </c>
      <c r="U277" s="603" t="s">
        <v>100</v>
      </c>
      <c r="V277" s="603"/>
      <c r="W277" s="594"/>
      <c r="X277" s="594"/>
      <c r="Y277" s="594"/>
      <c r="Z277" s="594"/>
      <c r="AA277" s="594"/>
      <c r="AB277" s="594"/>
      <c r="AC277" s="594"/>
      <c r="AD277" s="594"/>
      <c r="AE277" s="594"/>
      <c r="AF277" s="594"/>
      <c r="AG277" s="594"/>
      <c r="AH277" s="594"/>
      <c r="AI277" s="339">
        <f t="shared" si="52"/>
        <v>10</v>
      </c>
      <c r="AJ277" s="330" t="str">
        <f>HYPERLINK("http://www.bbwaa.com/18-hof-ballots","BBWAA.com")</f>
        <v>BBWAA.com</v>
      </c>
      <c r="AK277" s="595">
        <v>43138</v>
      </c>
      <c r="AL277" s="596"/>
      <c r="AM277" s="596"/>
      <c r="AN277" s="596"/>
      <c r="AO277" s="596"/>
      <c r="AP277" s="596"/>
      <c r="AQ277" s="596"/>
      <c r="AR277" s="596"/>
      <c r="AS277" s="596"/>
      <c r="AT277" s="596"/>
      <c r="AU277" s="596"/>
      <c r="AV277" s="596"/>
      <c r="AW277" s="596"/>
      <c r="AX277" s="596"/>
      <c r="AY277" s="596"/>
      <c r="AZ277" s="596"/>
      <c r="BA277" s="596"/>
      <c r="BB277" s="596"/>
      <c r="BC277" s="596"/>
      <c r="BD277" s="596"/>
      <c r="BE277" s="596"/>
      <c r="BF277" s="596"/>
      <c r="BG277" s="596"/>
      <c r="BH277" s="596"/>
      <c r="BI277" s="596"/>
      <c r="BJ277" s="596"/>
      <c r="BK277" s="597"/>
      <c r="BL277" s="321"/>
      <c r="BM277" s="321"/>
      <c r="BN277" s="315"/>
      <c r="BO277" s="315"/>
      <c r="BP277" s="315"/>
      <c r="BQ277" s="315"/>
      <c r="BR277" s="315"/>
      <c r="BS277" s="315"/>
      <c r="BT277" s="315"/>
      <c r="BU277" s="315"/>
      <c r="BV277" s="315"/>
      <c r="BW277" s="315"/>
      <c r="BX277" s="315"/>
      <c r="BY277" s="315"/>
      <c r="BZ277" s="315"/>
      <c r="CA277" s="315"/>
      <c r="CB277" s="315"/>
      <c r="CC277" s="315"/>
      <c r="CD277" s="315"/>
      <c r="CE277" s="315"/>
      <c r="CF277" s="315"/>
      <c r="CG277" s="315"/>
      <c r="CH277" s="315"/>
      <c r="CI277" s="315"/>
      <c r="CJ277" s="315"/>
      <c r="CK277" s="604"/>
      <c r="CL277" s="605"/>
      <c r="CM277" s="606"/>
    </row>
    <row r="278" spans="1:91" s="344" customFormat="1">
      <c r="A278" s="374" t="s">
        <v>407</v>
      </c>
      <c r="B278" s="571" t="s">
        <v>100</v>
      </c>
      <c r="C278" s="571" t="s">
        <v>100</v>
      </c>
      <c r="D278" s="571"/>
      <c r="E278" s="572" t="s">
        <v>100</v>
      </c>
      <c r="F278" s="572"/>
      <c r="G278" s="572"/>
      <c r="H278" s="572" t="s">
        <v>100</v>
      </c>
      <c r="I278" s="571" t="s">
        <v>100</v>
      </c>
      <c r="J278" s="572" t="s">
        <v>100</v>
      </c>
      <c r="K278" s="571"/>
      <c r="L278" s="572"/>
      <c r="M278" s="572" t="s">
        <v>100</v>
      </c>
      <c r="N278" s="571"/>
      <c r="O278" s="571"/>
      <c r="P278" s="572" t="s">
        <v>100</v>
      </c>
      <c r="Q278" s="571"/>
      <c r="R278" s="571"/>
      <c r="S278" s="572" t="s">
        <v>100</v>
      </c>
      <c r="T278" s="572"/>
      <c r="U278" s="572"/>
      <c r="V278" s="572" t="s">
        <v>100</v>
      </c>
      <c r="W278" s="189"/>
      <c r="X278" s="189"/>
      <c r="Y278" s="189"/>
      <c r="Z278" s="189"/>
      <c r="AA278" s="189"/>
      <c r="AB278" s="189"/>
      <c r="AC278" s="189"/>
      <c r="AD278" s="189"/>
      <c r="AE278" s="189"/>
      <c r="AF278" s="189"/>
      <c r="AG278" s="189"/>
      <c r="AH278" s="189"/>
      <c r="AI278" s="339">
        <f t="shared" ref="AI278:AI279" si="58">COUNTIF(B278:AH278,"x")</f>
        <v>10</v>
      </c>
      <c r="AJ278" s="530" t="s">
        <v>113</v>
      </c>
      <c r="AK278" s="370">
        <v>43124</v>
      </c>
      <c r="AL278" s="352"/>
      <c r="AM278" s="187"/>
      <c r="AN278" s="187"/>
      <c r="AO278" s="187"/>
      <c r="AP278" s="187"/>
      <c r="AQ278" s="187"/>
      <c r="AR278" s="187"/>
      <c r="AS278" s="187"/>
      <c r="AT278" s="187"/>
      <c r="AU278" s="187"/>
      <c r="AV278" s="187"/>
      <c r="AW278" s="187"/>
      <c r="AX278" s="187"/>
      <c r="AY278" s="187"/>
      <c r="AZ278" s="187"/>
      <c r="BA278" s="187"/>
      <c r="BB278" s="187"/>
      <c r="BC278" s="187"/>
      <c r="BD278" s="187"/>
      <c r="BE278" s="187"/>
      <c r="BF278" s="187"/>
      <c r="BG278" s="187"/>
      <c r="BH278" s="187"/>
      <c r="BI278" s="187"/>
      <c r="BJ278" s="187"/>
      <c r="BK278" s="273"/>
      <c r="BL278" s="339"/>
      <c r="BM278" s="339"/>
      <c r="BN278" s="182"/>
      <c r="BO278" s="182"/>
      <c r="BP278" s="182"/>
      <c r="BQ278" s="182"/>
      <c r="BR278" s="182"/>
      <c r="BS278" s="182"/>
      <c r="BT278" s="182"/>
      <c r="BU278" s="182"/>
      <c r="BV278" s="182"/>
      <c r="BW278" s="182"/>
      <c r="BX278" s="182"/>
      <c r="BY278" s="182"/>
      <c r="BZ278" s="182"/>
      <c r="CA278" s="182"/>
      <c r="CB278" s="182"/>
      <c r="CC278" s="182"/>
      <c r="CD278" s="182"/>
      <c r="CE278" s="182"/>
      <c r="CF278" s="182"/>
      <c r="CG278" s="182"/>
      <c r="CH278" s="182"/>
      <c r="CI278" s="182"/>
      <c r="CJ278" s="182"/>
      <c r="CK278" s="618"/>
      <c r="CL278" s="619"/>
      <c r="CM278" s="620"/>
    </row>
    <row r="279" spans="1:91" s="326" customFormat="1">
      <c r="A279" s="614" t="s">
        <v>408</v>
      </c>
      <c r="B279" s="602" t="s">
        <v>100</v>
      </c>
      <c r="C279" s="602" t="s">
        <v>100</v>
      </c>
      <c r="D279" s="602"/>
      <c r="E279" s="603" t="s">
        <v>100</v>
      </c>
      <c r="F279" s="603" t="s">
        <v>100</v>
      </c>
      <c r="G279" s="603"/>
      <c r="H279" s="603" t="s">
        <v>100</v>
      </c>
      <c r="I279" s="602"/>
      <c r="J279" s="603"/>
      <c r="K279" s="602"/>
      <c r="L279" s="603"/>
      <c r="M279" s="603"/>
      <c r="N279" s="602"/>
      <c r="O279" s="602"/>
      <c r="P279" s="603"/>
      <c r="Q279" s="602"/>
      <c r="R279" s="602" t="s">
        <v>100</v>
      </c>
      <c r="S279" s="603" t="s">
        <v>100</v>
      </c>
      <c r="T279" s="603"/>
      <c r="U279" s="603"/>
      <c r="V279" s="603"/>
      <c r="W279" s="594"/>
      <c r="X279" s="594"/>
      <c r="Y279" s="594"/>
      <c r="Z279" s="594"/>
      <c r="AA279" s="594"/>
      <c r="AB279" s="594"/>
      <c r="AC279" s="594"/>
      <c r="AD279" s="594"/>
      <c r="AE279" s="594"/>
      <c r="AF279" s="594"/>
      <c r="AG279" s="594"/>
      <c r="AH279" s="594"/>
      <c r="AI279" s="339">
        <f t="shared" si="58"/>
        <v>7</v>
      </c>
      <c r="AJ279" s="330" t="str">
        <f>HYPERLINK("http://www.bbwaa.com/18-hof-ballots","BBWAA.com")</f>
        <v>BBWAA.com</v>
      </c>
      <c r="AK279" s="595">
        <v>43138</v>
      </c>
      <c r="AL279" s="596"/>
      <c r="AM279" s="596"/>
      <c r="AN279" s="596"/>
      <c r="AO279" s="596"/>
      <c r="AP279" s="596"/>
      <c r="AQ279" s="596"/>
      <c r="AR279" s="596"/>
      <c r="AS279" s="596"/>
      <c r="AT279" s="596"/>
      <c r="AU279" s="596"/>
      <c r="AV279" s="596"/>
      <c r="AW279" s="596"/>
      <c r="AX279" s="596"/>
      <c r="AY279" s="596"/>
      <c r="AZ279" s="596"/>
      <c r="BA279" s="596"/>
      <c r="BB279" s="596"/>
      <c r="BC279" s="596"/>
      <c r="BD279" s="596"/>
      <c r="BE279" s="596"/>
      <c r="BF279" s="596"/>
      <c r="BG279" s="596"/>
      <c r="BH279" s="596"/>
      <c r="BI279" s="596"/>
      <c r="BJ279" s="596"/>
      <c r="BK279" s="597"/>
      <c r="BL279" s="321"/>
      <c r="BM279" s="321"/>
      <c r="BN279" s="315"/>
      <c r="BO279" s="315"/>
      <c r="BP279" s="315"/>
      <c r="BQ279" s="315"/>
      <c r="BR279" s="315"/>
      <c r="BS279" s="315"/>
      <c r="BT279" s="315"/>
      <c r="BU279" s="315"/>
      <c r="BV279" s="315"/>
      <c r="BW279" s="315"/>
      <c r="BX279" s="315"/>
      <c r="BY279" s="315"/>
      <c r="BZ279" s="315"/>
      <c r="CA279" s="315"/>
      <c r="CB279" s="315"/>
      <c r="CC279" s="315"/>
      <c r="CD279" s="315"/>
      <c r="CE279" s="315"/>
      <c r="CF279" s="315"/>
      <c r="CG279" s="315"/>
      <c r="CH279" s="315"/>
      <c r="CI279" s="315"/>
      <c r="CJ279" s="315"/>
      <c r="CK279" s="604"/>
      <c r="CL279" s="605"/>
      <c r="CM279" s="606"/>
    </row>
    <row r="280" spans="1:91" s="326" customFormat="1">
      <c r="A280" s="614" t="s">
        <v>409</v>
      </c>
      <c r="B280" s="602"/>
      <c r="C280" s="602"/>
      <c r="D280" s="602"/>
      <c r="E280" s="603" t="s">
        <v>100</v>
      </c>
      <c r="F280" s="603" t="s">
        <v>100</v>
      </c>
      <c r="G280" s="603"/>
      <c r="H280" s="603" t="s">
        <v>100</v>
      </c>
      <c r="I280" s="602"/>
      <c r="J280" s="603"/>
      <c r="K280" s="602"/>
      <c r="L280" s="608" t="s">
        <v>100</v>
      </c>
      <c r="M280" s="603"/>
      <c r="N280" s="602"/>
      <c r="O280" s="602"/>
      <c r="P280" s="603"/>
      <c r="Q280" s="602"/>
      <c r="R280" s="602"/>
      <c r="S280" s="603" t="s">
        <v>100</v>
      </c>
      <c r="T280" s="603"/>
      <c r="U280" s="603"/>
      <c r="V280" s="603"/>
      <c r="W280" s="594"/>
      <c r="X280" s="594"/>
      <c r="Y280" s="594"/>
      <c r="Z280" s="594"/>
      <c r="AA280" s="594"/>
      <c r="AB280" s="594"/>
      <c r="AC280" s="594"/>
      <c r="AD280" s="594"/>
      <c r="AE280" s="594"/>
      <c r="AF280" s="594"/>
      <c r="AG280" s="594"/>
      <c r="AH280" s="594"/>
      <c r="AI280" s="339">
        <f t="shared" ref="AI280:AI281" si="59">COUNTIF(B280:AH280,"x")</f>
        <v>5</v>
      </c>
      <c r="AJ280" s="330" t="str">
        <f>HYPERLINK("http://www.bbwaa.com/18-hof-ballots","BBWAA.com")</f>
        <v>BBWAA.com</v>
      </c>
      <c r="AK280" s="595">
        <v>43138</v>
      </c>
      <c r="AL280" s="596"/>
      <c r="AM280" s="596"/>
      <c r="AN280" s="596"/>
      <c r="AO280" s="596"/>
      <c r="AP280" s="596"/>
      <c r="AQ280" s="596"/>
      <c r="AR280" s="596"/>
      <c r="AS280" s="596"/>
      <c r="AT280" s="596"/>
      <c r="AU280" s="596"/>
      <c r="AV280" s="596"/>
      <c r="AW280" s="596"/>
      <c r="AX280" s="596"/>
      <c r="AY280" s="596"/>
      <c r="AZ280" s="596"/>
      <c r="BA280" s="596"/>
      <c r="BB280" s="596"/>
      <c r="BC280" s="596"/>
      <c r="BD280" s="596"/>
      <c r="BE280" s="596"/>
      <c r="BF280" s="596"/>
      <c r="BG280" s="596"/>
      <c r="BH280" s="596"/>
      <c r="BI280" s="596"/>
      <c r="BJ280" s="596"/>
      <c r="BK280" s="597"/>
      <c r="BL280" s="321"/>
      <c r="BM280" s="321"/>
      <c r="BN280" s="315"/>
      <c r="BO280" s="315"/>
      <c r="BP280" s="315"/>
      <c r="BQ280" s="315"/>
      <c r="BR280" s="315"/>
      <c r="BS280" s="315"/>
      <c r="BT280" s="315"/>
      <c r="BU280" s="315"/>
      <c r="BV280" s="315"/>
      <c r="BW280" s="315"/>
      <c r="BX280" s="315"/>
      <c r="BY280" s="315"/>
      <c r="BZ280" s="315"/>
      <c r="CA280" s="315"/>
      <c r="CB280" s="315"/>
      <c r="CC280" s="315"/>
      <c r="CD280" s="315"/>
      <c r="CE280" s="315"/>
      <c r="CF280" s="315"/>
      <c r="CG280" s="315"/>
      <c r="CH280" s="315"/>
      <c r="CI280" s="315"/>
      <c r="CJ280" s="315"/>
      <c r="CK280" s="604"/>
      <c r="CL280" s="605"/>
      <c r="CM280" s="606"/>
    </row>
    <row r="281" spans="1:91" s="326" customFormat="1">
      <c r="A281" s="614" t="s">
        <v>410</v>
      </c>
      <c r="B281" s="602" t="s">
        <v>100</v>
      </c>
      <c r="C281" s="602" t="s">
        <v>100</v>
      </c>
      <c r="D281" s="602"/>
      <c r="E281" s="603" t="s">
        <v>100</v>
      </c>
      <c r="F281" s="603" t="s">
        <v>100</v>
      </c>
      <c r="G281" s="603"/>
      <c r="H281" s="603" t="s">
        <v>100</v>
      </c>
      <c r="I281" s="602"/>
      <c r="J281" s="603" t="s">
        <v>100</v>
      </c>
      <c r="K281" s="602" t="s">
        <v>100</v>
      </c>
      <c r="L281" s="603" t="s">
        <v>100</v>
      </c>
      <c r="M281" s="603" t="s">
        <v>100</v>
      </c>
      <c r="N281" s="602"/>
      <c r="O281" s="602"/>
      <c r="P281" s="603"/>
      <c r="Q281" s="602"/>
      <c r="R281" s="602"/>
      <c r="S281" s="603"/>
      <c r="T281" s="603"/>
      <c r="U281" s="603"/>
      <c r="V281" s="603" t="s">
        <v>100</v>
      </c>
      <c r="W281" s="594"/>
      <c r="X281" s="594"/>
      <c r="Y281" s="594"/>
      <c r="Z281" s="594"/>
      <c r="AA281" s="594"/>
      <c r="AB281" s="594"/>
      <c r="AC281" s="594"/>
      <c r="AD281" s="594"/>
      <c r="AE281" s="594"/>
      <c r="AF281" s="594"/>
      <c r="AG281" s="594"/>
      <c r="AH281" s="594"/>
      <c r="AI281" s="339">
        <f t="shared" si="59"/>
        <v>10</v>
      </c>
      <c r="AJ281" s="330" t="str">
        <f>HYPERLINK("http://www.bbwaa.com/18-hof-ballots","BBWAA.com")</f>
        <v>BBWAA.com</v>
      </c>
      <c r="AK281" s="595">
        <v>43138</v>
      </c>
      <c r="AL281" s="596"/>
      <c r="AM281" s="596"/>
      <c r="AN281" s="596"/>
      <c r="AO281" s="596"/>
      <c r="AP281" s="596"/>
      <c r="AQ281" s="596"/>
      <c r="AR281" s="596"/>
      <c r="AS281" s="596"/>
      <c r="AT281" s="596"/>
      <c r="AU281" s="596"/>
      <c r="AV281" s="596"/>
      <c r="AW281" s="596"/>
      <c r="AX281" s="596"/>
      <c r="AY281" s="596"/>
      <c r="AZ281" s="596"/>
      <c r="BA281" s="596"/>
      <c r="BB281" s="596"/>
      <c r="BC281" s="596"/>
      <c r="BD281" s="596"/>
      <c r="BE281" s="596"/>
      <c r="BF281" s="596"/>
      <c r="BG281" s="596"/>
      <c r="BH281" s="596"/>
      <c r="BI281" s="596"/>
      <c r="BJ281" s="596"/>
      <c r="BK281" s="597"/>
      <c r="BL281" s="321"/>
      <c r="BM281" s="321"/>
      <c r="BN281" s="315"/>
      <c r="BO281" s="315"/>
      <c r="BP281" s="315"/>
      <c r="BQ281" s="315"/>
      <c r="BR281" s="315"/>
      <c r="BS281" s="315"/>
      <c r="BT281" s="315"/>
      <c r="BU281" s="315"/>
      <c r="BV281" s="315"/>
      <c r="BW281" s="315"/>
      <c r="BX281" s="315"/>
      <c r="BY281" s="315"/>
      <c r="BZ281" s="315"/>
      <c r="CA281" s="315"/>
      <c r="CB281" s="315"/>
      <c r="CC281" s="315"/>
      <c r="CD281" s="315"/>
      <c r="CE281" s="315"/>
      <c r="CF281" s="315"/>
      <c r="CG281" s="315"/>
      <c r="CH281" s="315"/>
      <c r="CI281" s="315"/>
      <c r="CJ281" s="315"/>
      <c r="CK281" s="604"/>
      <c r="CL281" s="605"/>
      <c r="CM281" s="606"/>
    </row>
    <row r="282" spans="1:91" s="326" customFormat="1">
      <c r="A282" s="614" t="s">
        <v>411</v>
      </c>
      <c r="B282" s="602"/>
      <c r="C282" s="602" t="s">
        <v>100</v>
      </c>
      <c r="D282" s="602"/>
      <c r="E282" s="608" t="s">
        <v>100</v>
      </c>
      <c r="F282" s="608" t="s">
        <v>100</v>
      </c>
      <c r="G282" s="603"/>
      <c r="H282" s="603" t="s">
        <v>100</v>
      </c>
      <c r="I282" s="602"/>
      <c r="J282" s="603" t="s">
        <v>100</v>
      </c>
      <c r="K282" s="602"/>
      <c r="L282" s="608" t="s">
        <v>100</v>
      </c>
      <c r="M282" s="603"/>
      <c r="N282" s="602"/>
      <c r="O282" s="602"/>
      <c r="P282" s="609"/>
      <c r="Q282" s="602"/>
      <c r="R282" s="602"/>
      <c r="S282" s="603" t="s">
        <v>100</v>
      </c>
      <c r="T282" s="603"/>
      <c r="U282" s="603"/>
      <c r="V282" s="603"/>
      <c r="W282" s="594"/>
      <c r="X282" s="594"/>
      <c r="Y282" s="594"/>
      <c r="Z282" s="594"/>
      <c r="AA282" s="594"/>
      <c r="AB282" s="594"/>
      <c r="AC282" s="594"/>
      <c r="AD282" s="594"/>
      <c r="AE282" s="594"/>
      <c r="AF282" s="594"/>
      <c r="AG282" s="594"/>
      <c r="AH282" s="594"/>
      <c r="AI282" s="339">
        <f t="shared" ref="AI282" si="60">COUNTIF(B282:AH282,"x")</f>
        <v>7</v>
      </c>
      <c r="AJ282" s="330" t="str">
        <f>HYPERLINK("http://www.bbwaa.com/18-hof-ballots","BBWAA.com")</f>
        <v>BBWAA.com</v>
      </c>
      <c r="AK282" s="595">
        <v>43138</v>
      </c>
      <c r="AL282" s="596"/>
      <c r="AM282" s="596"/>
      <c r="AN282" s="596"/>
      <c r="AO282" s="596"/>
      <c r="AP282" s="596"/>
      <c r="AQ282" s="596"/>
      <c r="AR282" s="596"/>
      <c r="AS282" s="596"/>
      <c r="AT282" s="596"/>
      <c r="AU282" s="596"/>
      <c r="AV282" s="596"/>
      <c r="AW282" s="596"/>
      <c r="AX282" s="596"/>
      <c r="AY282" s="596"/>
      <c r="AZ282" s="596"/>
      <c r="BA282" s="596"/>
      <c r="BB282" s="596"/>
      <c r="BC282" s="596"/>
      <c r="BD282" s="596"/>
      <c r="BE282" s="596"/>
      <c r="BF282" s="596"/>
      <c r="BG282" s="596"/>
      <c r="BH282" s="596"/>
      <c r="BI282" s="596"/>
      <c r="BJ282" s="596"/>
      <c r="BK282" s="597"/>
      <c r="BL282" s="321"/>
      <c r="BM282" s="321"/>
      <c r="BN282" s="315"/>
      <c r="BO282" s="315"/>
      <c r="BP282" s="315"/>
      <c r="BQ282" s="315"/>
      <c r="BR282" s="315"/>
      <c r="BS282" s="315"/>
      <c r="BT282" s="315"/>
      <c r="BU282" s="315"/>
      <c r="BV282" s="315"/>
      <c r="BW282" s="315"/>
      <c r="BX282" s="315"/>
      <c r="BY282" s="315"/>
      <c r="BZ282" s="315"/>
      <c r="CA282" s="315"/>
      <c r="CB282" s="315"/>
      <c r="CC282" s="315"/>
      <c r="CD282" s="315"/>
      <c r="CE282" s="315"/>
      <c r="CF282" s="315"/>
      <c r="CG282" s="315"/>
      <c r="CH282" s="315"/>
      <c r="CI282" s="315"/>
      <c r="CJ282" s="315"/>
      <c r="CK282" s="604"/>
      <c r="CL282" s="605"/>
      <c r="CM282" s="606"/>
    </row>
    <row r="283" spans="1:91" s="344" customFormat="1">
      <c r="A283" s="374" t="s">
        <v>412</v>
      </c>
      <c r="B283" s="189" t="s">
        <v>100</v>
      </c>
      <c r="C283" s="189" t="s">
        <v>100</v>
      </c>
      <c r="D283" s="189"/>
      <c r="E283" s="302" t="s">
        <v>100</v>
      </c>
      <c r="F283" s="182" t="s">
        <v>100</v>
      </c>
      <c r="G283" s="182"/>
      <c r="H283" s="182" t="s">
        <v>100</v>
      </c>
      <c r="I283" s="189"/>
      <c r="J283" s="182" t="s">
        <v>100</v>
      </c>
      <c r="K283" s="367"/>
      <c r="L283" s="182" t="s">
        <v>100</v>
      </c>
      <c r="M283" s="302" t="s">
        <v>100</v>
      </c>
      <c r="N283" s="189"/>
      <c r="O283" s="189"/>
      <c r="P283" s="182"/>
      <c r="Q283" s="367"/>
      <c r="R283" s="189"/>
      <c r="S283" s="182"/>
      <c r="T283" s="182"/>
      <c r="U283" s="182"/>
      <c r="V283" s="182"/>
      <c r="W283" s="189"/>
      <c r="X283" s="189"/>
      <c r="Y283" s="189"/>
      <c r="Z283" s="189"/>
      <c r="AA283" s="189"/>
      <c r="AB283" s="189"/>
      <c r="AC283" s="189"/>
      <c r="AD283" s="189"/>
      <c r="AE283" s="189"/>
      <c r="AF283" s="189"/>
      <c r="AG283" s="189"/>
      <c r="AH283" s="189"/>
      <c r="AI283" s="339">
        <f t="shared" ref="AI283:AI322" si="61">COUNTIF(B283:AH283,"x")</f>
        <v>8</v>
      </c>
      <c r="AJ283" s="340" t="str">
        <f>HYPERLINK("https://twitter.com/johncanzanobft/status/956364313890967553","Twitter")</f>
        <v>Twitter</v>
      </c>
      <c r="AK283" s="370">
        <v>43124</v>
      </c>
      <c r="AL283" s="352"/>
      <c r="AM283" s="352"/>
      <c r="AN283" s="352"/>
      <c r="AO283" s="352"/>
      <c r="AP283" s="352"/>
      <c r="AQ283" s="352"/>
      <c r="AR283" s="352"/>
      <c r="AS283" s="352"/>
      <c r="AT283" s="352"/>
      <c r="AU283" s="352"/>
      <c r="AV283" s="352"/>
      <c r="AW283" s="352"/>
      <c r="AX283" s="352"/>
      <c r="AY283" s="352"/>
      <c r="AZ283" s="352"/>
      <c r="BA283" s="352"/>
      <c r="BB283" s="352"/>
      <c r="BC283" s="352"/>
      <c r="BD283" s="352"/>
      <c r="BE283" s="352"/>
      <c r="BF283" s="352"/>
      <c r="BG283" s="352"/>
      <c r="BH283" s="352"/>
      <c r="BI283" s="352"/>
      <c r="BJ283" s="352"/>
      <c r="BK283" s="470"/>
      <c r="BL283" s="339"/>
      <c r="BM283" s="339"/>
      <c r="BN283" s="182"/>
      <c r="BO283" s="182"/>
      <c r="BP283" s="182"/>
      <c r="BQ283" s="182"/>
      <c r="BR283" s="182"/>
      <c r="BS283" s="182"/>
      <c r="BT283" s="182"/>
      <c r="BU283" s="182"/>
      <c r="BV283" s="182"/>
      <c r="BW283" s="182"/>
      <c r="BX283" s="182"/>
      <c r="BY283" s="182"/>
      <c r="BZ283" s="182"/>
      <c r="CA283" s="182"/>
      <c r="CB283" s="182"/>
      <c r="CC283" s="182"/>
      <c r="CD283" s="182"/>
      <c r="CE283" s="182"/>
      <c r="CF283" s="182"/>
      <c r="CG283" s="182"/>
      <c r="CH283" s="182"/>
      <c r="CI283" s="182"/>
      <c r="CJ283" s="182"/>
      <c r="CK283" s="618"/>
      <c r="CL283" s="619"/>
      <c r="CM283" s="620"/>
    </row>
    <row r="284" spans="1:91" s="326" customFormat="1">
      <c r="A284" s="614" t="s">
        <v>413</v>
      </c>
      <c r="B284" s="594" t="s">
        <v>100</v>
      </c>
      <c r="C284" s="594" t="s">
        <v>100</v>
      </c>
      <c r="D284" s="594"/>
      <c r="E284" s="315"/>
      <c r="F284" s="315" t="s">
        <v>100</v>
      </c>
      <c r="G284" s="315"/>
      <c r="H284" s="315" t="s">
        <v>100</v>
      </c>
      <c r="I284" s="594"/>
      <c r="J284" s="302" t="s">
        <v>100</v>
      </c>
      <c r="K284" s="594"/>
      <c r="L284" s="315" t="s">
        <v>100</v>
      </c>
      <c r="M284" s="315"/>
      <c r="N284" s="594" t="s">
        <v>100</v>
      </c>
      <c r="O284" s="594"/>
      <c r="P284" s="315" t="s">
        <v>100</v>
      </c>
      <c r="Q284" s="367"/>
      <c r="R284" s="594"/>
      <c r="S284" s="315" t="s">
        <v>100</v>
      </c>
      <c r="T284" s="315"/>
      <c r="U284" s="315"/>
      <c r="V284" s="315" t="s">
        <v>100</v>
      </c>
      <c r="W284" s="594"/>
      <c r="X284" s="594"/>
      <c r="Y284" s="594"/>
      <c r="Z284" s="594"/>
      <c r="AA284" s="594"/>
      <c r="AB284" s="594"/>
      <c r="AC284" s="594"/>
      <c r="AD284" s="594"/>
      <c r="AE284" s="594"/>
      <c r="AF284" s="594"/>
      <c r="AG284" s="594"/>
      <c r="AH284" s="594"/>
      <c r="AI284" s="339">
        <f t="shared" si="61"/>
        <v>10</v>
      </c>
      <c r="AJ284" s="330" t="str">
        <f>HYPERLINK("http://www.bbwaa.com/18-hof-ballots","BBWAA.com")</f>
        <v>BBWAA.com</v>
      </c>
      <c r="AK284" s="595">
        <v>43138</v>
      </c>
      <c r="AL284" s="596"/>
      <c r="AM284" s="596"/>
      <c r="AN284" s="596"/>
      <c r="AO284" s="596"/>
      <c r="AP284" s="596"/>
      <c r="AQ284" s="596"/>
      <c r="AR284" s="596"/>
      <c r="AS284" s="596"/>
      <c r="AT284" s="596"/>
      <c r="AU284" s="596"/>
      <c r="AV284" s="596"/>
      <c r="AW284" s="596"/>
      <c r="AX284" s="596"/>
      <c r="AY284" s="596"/>
      <c r="AZ284" s="596"/>
      <c r="BA284" s="596"/>
      <c r="BB284" s="596"/>
      <c r="BC284" s="596"/>
      <c r="BD284" s="596"/>
      <c r="BE284" s="596"/>
      <c r="BF284" s="596"/>
      <c r="BG284" s="596"/>
      <c r="BH284" s="596"/>
      <c r="BI284" s="596"/>
      <c r="BJ284" s="596"/>
      <c r="BK284" s="597"/>
      <c r="BL284" s="321"/>
      <c r="BM284" s="321"/>
      <c r="BN284" s="315"/>
      <c r="BO284" s="315"/>
      <c r="BP284" s="315"/>
      <c r="BQ284" s="315"/>
      <c r="BR284" s="315"/>
      <c r="BS284" s="315"/>
      <c r="BT284" s="315"/>
      <c r="BU284" s="315"/>
      <c r="BV284" s="315"/>
      <c r="BW284" s="315"/>
      <c r="BX284" s="315"/>
      <c r="BY284" s="315"/>
      <c r="BZ284" s="315"/>
      <c r="CA284" s="315"/>
      <c r="CB284" s="315"/>
      <c r="CC284" s="315"/>
      <c r="CD284" s="315"/>
      <c r="CE284" s="315"/>
      <c r="CF284" s="315"/>
      <c r="CG284" s="315"/>
      <c r="CH284" s="315"/>
      <c r="CI284" s="315"/>
      <c r="CJ284" s="315"/>
      <c r="CK284" s="604"/>
      <c r="CL284" s="605"/>
      <c r="CM284" s="606"/>
    </row>
    <row r="285" spans="1:91" s="326" customFormat="1">
      <c r="A285" s="614" t="s">
        <v>414</v>
      </c>
      <c r="B285" s="594" t="s">
        <v>100</v>
      </c>
      <c r="C285" s="594" t="s">
        <v>100</v>
      </c>
      <c r="D285" s="594"/>
      <c r="E285" s="315" t="s">
        <v>100</v>
      </c>
      <c r="F285" s="315"/>
      <c r="G285" s="315"/>
      <c r="H285" s="315" t="s">
        <v>100</v>
      </c>
      <c r="I285" s="594"/>
      <c r="J285" s="302" t="s">
        <v>100</v>
      </c>
      <c r="K285" s="594"/>
      <c r="L285" s="315" t="s">
        <v>100</v>
      </c>
      <c r="M285" s="315"/>
      <c r="N285" s="594"/>
      <c r="O285" s="594"/>
      <c r="P285" s="315" t="s">
        <v>100</v>
      </c>
      <c r="Q285" s="367"/>
      <c r="R285" s="594"/>
      <c r="S285" s="315" t="s">
        <v>100</v>
      </c>
      <c r="T285" s="315" t="s">
        <v>100</v>
      </c>
      <c r="U285" s="315"/>
      <c r="V285" s="315" t="s">
        <v>100</v>
      </c>
      <c r="W285" s="594"/>
      <c r="X285" s="594"/>
      <c r="Y285" s="594"/>
      <c r="Z285" s="594"/>
      <c r="AA285" s="594"/>
      <c r="AB285" s="594"/>
      <c r="AC285" s="594"/>
      <c r="AD285" s="594"/>
      <c r="AE285" s="594"/>
      <c r="AF285" s="594"/>
      <c r="AG285" s="594"/>
      <c r="AH285" s="594"/>
      <c r="AI285" s="339">
        <f t="shared" si="61"/>
        <v>10</v>
      </c>
      <c r="AJ285" s="330" t="str">
        <f>HYPERLINK("http://www.bbwaa.com/18-hof-ballots","BBWAA.com")</f>
        <v>BBWAA.com</v>
      </c>
      <c r="AK285" s="595">
        <v>43138</v>
      </c>
      <c r="AL285" s="596"/>
      <c r="AM285" s="596"/>
      <c r="AN285" s="596"/>
      <c r="AO285" s="596"/>
      <c r="AP285" s="596"/>
      <c r="AQ285" s="596"/>
      <c r="AR285" s="596"/>
      <c r="AS285" s="596"/>
      <c r="AT285" s="596"/>
      <c r="AU285" s="596"/>
      <c r="AV285" s="596"/>
      <c r="AW285" s="596"/>
      <c r="AX285" s="596"/>
      <c r="AY285" s="596"/>
      <c r="AZ285" s="596"/>
      <c r="BA285" s="596"/>
      <c r="BB285" s="596"/>
      <c r="BC285" s="596"/>
      <c r="BD285" s="596"/>
      <c r="BE285" s="596"/>
      <c r="BF285" s="596"/>
      <c r="BG285" s="596"/>
      <c r="BH285" s="596"/>
      <c r="BI285" s="596"/>
      <c r="BJ285" s="596"/>
      <c r="BK285" s="597"/>
      <c r="BL285" s="321"/>
      <c r="BM285" s="321"/>
      <c r="BN285" s="315"/>
      <c r="BO285" s="315"/>
      <c r="BP285" s="315"/>
      <c r="BQ285" s="315"/>
      <c r="BR285" s="315"/>
      <c r="BS285" s="315"/>
      <c r="BT285" s="315"/>
      <c r="BU285" s="315"/>
      <c r="BV285" s="315"/>
      <c r="BW285" s="315"/>
      <c r="BX285" s="315"/>
      <c r="BY285" s="315"/>
      <c r="BZ285" s="315"/>
      <c r="CA285" s="315"/>
      <c r="CB285" s="315"/>
      <c r="CC285" s="315"/>
      <c r="CD285" s="315"/>
      <c r="CE285" s="315"/>
      <c r="CF285" s="315"/>
      <c r="CG285" s="315"/>
      <c r="CH285" s="315"/>
      <c r="CI285" s="315"/>
      <c r="CJ285" s="315"/>
      <c r="CK285" s="604"/>
      <c r="CL285" s="605"/>
      <c r="CM285" s="606"/>
    </row>
    <row r="286" spans="1:91" s="344" customFormat="1">
      <c r="A286" s="374" t="s">
        <v>415</v>
      </c>
      <c r="B286" s="189"/>
      <c r="C286" s="189"/>
      <c r="D286" s="189"/>
      <c r="E286" s="182" t="s">
        <v>100</v>
      </c>
      <c r="F286" s="182"/>
      <c r="G286" s="182"/>
      <c r="H286" s="182" t="s">
        <v>100</v>
      </c>
      <c r="I286" s="189"/>
      <c r="J286" s="182"/>
      <c r="K286" s="189"/>
      <c r="L286" s="182"/>
      <c r="M286" s="182"/>
      <c r="N286" s="189"/>
      <c r="O286" s="189"/>
      <c r="P286" s="182"/>
      <c r="Q286" s="189"/>
      <c r="R286" s="189"/>
      <c r="S286" s="182" t="s">
        <v>100</v>
      </c>
      <c r="T286" s="182"/>
      <c r="U286" s="182"/>
      <c r="V286" s="182"/>
      <c r="W286" s="189"/>
      <c r="X286" s="189"/>
      <c r="Y286" s="189"/>
      <c r="Z286" s="189"/>
      <c r="AA286" s="189"/>
      <c r="AB286" s="189"/>
      <c r="AC286" s="189"/>
      <c r="AD286" s="189"/>
      <c r="AE286" s="189"/>
      <c r="AF286" s="189"/>
      <c r="AG286" s="189"/>
      <c r="AH286" s="189"/>
      <c r="AI286" s="339">
        <f t="shared" ref="AI286" si="62">COUNTIF(B286:AH286,"x")</f>
        <v>3</v>
      </c>
      <c r="AJ286" s="330" t="str">
        <f>HYPERLINK("http://www.bbwaa.com/18-hof-ballots","BBWAA.com")</f>
        <v>BBWAA.com</v>
      </c>
      <c r="AK286" s="595">
        <v>43138</v>
      </c>
      <c r="AL286" s="352"/>
      <c r="AM286" s="352"/>
      <c r="AN286" s="352"/>
      <c r="AO286" s="352"/>
      <c r="AP286" s="352"/>
      <c r="AQ286" s="352"/>
      <c r="AR286" s="352"/>
      <c r="AS286" s="352"/>
      <c r="AT286" s="352"/>
      <c r="AU286" s="352"/>
      <c r="AV286" s="352"/>
      <c r="AW286" s="352"/>
      <c r="AX286" s="352"/>
      <c r="AY286" s="352"/>
      <c r="AZ286" s="352"/>
      <c r="BA286" s="352"/>
      <c r="BB286" s="352"/>
      <c r="BC286" s="352"/>
      <c r="BD286" s="352"/>
      <c r="BE286" s="352"/>
      <c r="BF286" s="352"/>
      <c r="BG286" s="352"/>
      <c r="BH286" s="352"/>
      <c r="BI286" s="352"/>
      <c r="BJ286" s="352"/>
      <c r="BK286" s="470"/>
      <c r="BL286" s="339"/>
      <c r="BM286" s="339"/>
      <c r="BN286" s="182"/>
      <c r="BO286" s="182"/>
      <c r="BP286" s="182"/>
      <c r="BQ286" s="182"/>
      <c r="BR286" s="182"/>
      <c r="BS286" s="182"/>
      <c r="BT286" s="182"/>
      <c r="BU286" s="182"/>
      <c r="BV286" s="182"/>
      <c r="BW286" s="182"/>
      <c r="BX286" s="182"/>
      <c r="BY286" s="182"/>
      <c r="BZ286" s="182"/>
      <c r="CA286" s="182"/>
      <c r="CB286" s="182"/>
      <c r="CC286" s="182"/>
      <c r="CD286" s="182"/>
      <c r="CE286" s="182"/>
      <c r="CF286" s="182"/>
      <c r="CG286" s="182"/>
      <c r="CH286" s="182"/>
      <c r="CI286" s="182"/>
      <c r="CJ286" s="182"/>
      <c r="CK286" s="618"/>
      <c r="CL286" s="619"/>
      <c r="CM286" s="620"/>
    </row>
    <row r="287" spans="1:91" s="326" customFormat="1">
      <c r="A287" s="614" t="s">
        <v>416</v>
      </c>
      <c r="B287" s="594" t="s">
        <v>100</v>
      </c>
      <c r="C287" s="594" t="s">
        <v>100</v>
      </c>
      <c r="D287" s="594"/>
      <c r="E287" s="315" t="s">
        <v>100</v>
      </c>
      <c r="F287" s="315" t="s">
        <v>100</v>
      </c>
      <c r="G287" s="315"/>
      <c r="H287" s="315"/>
      <c r="I287" s="594"/>
      <c r="J287" s="315" t="s">
        <v>100</v>
      </c>
      <c r="K287" s="594"/>
      <c r="L287" s="315" t="s">
        <v>100</v>
      </c>
      <c r="M287" s="315" t="s">
        <v>100</v>
      </c>
      <c r="N287" s="594"/>
      <c r="O287" s="594"/>
      <c r="P287" s="315" t="s">
        <v>100</v>
      </c>
      <c r="Q287" s="594"/>
      <c r="R287" s="594"/>
      <c r="S287" s="315" t="s">
        <v>100</v>
      </c>
      <c r="T287" s="315"/>
      <c r="U287" s="315"/>
      <c r="V287" s="315"/>
      <c r="W287" s="594"/>
      <c r="X287" s="594"/>
      <c r="Y287" s="594"/>
      <c r="Z287" s="594"/>
      <c r="AA287" s="594"/>
      <c r="AB287" s="594"/>
      <c r="AC287" s="594"/>
      <c r="AD287" s="594"/>
      <c r="AE287" s="594"/>
      <c r="AF287" s="594"/>
      <c r="AG287" s="594"/>
      <c r="AH287" s="594"/>
      <c r="AI287" s="339">
        <f t="shared" ref="AI287" si="63">COUNTIF(B287:AH287,"x")</f>
        <v>9</v>
      </c>
      <c r="AJ287" s="330" t="str">
        <f>HYPERLINK("http://www.bbwaa.com/18-hof-ballots","BBWAA.com")</f>
        <v>BBWAA.com</v>
      </c>
      <c r="AK287" s="595">
        <v>43138</v>
      </c>
      <c r="AL287" s="596"/>
      <c r="AM287" s="596"/>
      <c r="AN287" s="596"/>
      <c r="AO287" s="596"/>
      <c r="AP287" s="596"/>
      <c r="AQ287" s="596"/>
      <c r="AR287" s="596"/>
      <c r="AS287" s="596"/>
      <c r="AT287" s="596"/>
      <c r="AU287" s="596"/>
      <c r="AV287" s="596"/>
      <c r="AW287" s="596"/>
      <c r="AX287" s="596"/>
      <c r="AY287" s="596"/>
      <c r="AZ287" s="596"/>
      <c r="BA287" s="596"/>
      <c r="BB287" s="596"/>
      <c r="BC287" s="596"/>
      <c r="BD287" s="596"/>
      <c r="BE287" s="596"/>
      <c r="BF287" s="596"/>
      <c r="BG287" s="596"/>
      <c r="BH287" s="596"/>
      <c r="BI287" s="596"/>
      <c r="BJ287" s="596"/>
      <c r="BK287" s="597"/>
      <c r="BL287" s="321"/>
      <c r="BM287" s="321"/>
      <c r="BN287" s="315"/>
      <c r="BO287" s="315"/>
      <c r="BP287" s="315"/>
      <c r="BQ287" s="315"/>
      <c r="BR287" s="315"/>
      <c r="BS287" s="315"/>
      <c r="BT287" s="315"/>
      <c r="BU287" s="315"/>
      <c r="BV287" s="315"/>
      <c r="BW287" s="315"/>
      <c r="BX287" s="315"/>
      <c r="BY287" s="315"/>
      <c r="BZ287" s="315"/>
      <c r="CA287" s="315"/>
      <c r="CB287" s="315"/>
      <c r="CC287" s="315"/>
      <c r="CD287" s="315"/>
      <c r="CE287" s="315"/>
      <c r="CF287" s="315"/>
      <c r="CG287" s="315"/>
      <c r="CH287" s="315"/>
      <c r="CI287" s="315"/>
      <c r="CJ287" s="315"/>
      <c r="CK287" s="604"/>
      <c r="CL287" s="605"/>
      <c r="CM287" s="606"/>
    </row>
    <row r="288" spans="1:91" s="326" customFormat="1">
      <c r="A288" s="614" t="s">
        <v>417</v>
      </c>
      <c r="B288" s="594" t="s">
        <v>100</v>
      </c>
      <c r="C288" s="594" t="s">
        <v>100</v>
      </c>
      <c r="D288" s="594"/>
      <c r="E288" s="315" t="s">
        <v>100</v>
      </c>
      <c r="F288" s="315"/>
      <c r="G288" s="315" t="s">
        <v>100</v>
      </c>
      <c r="H288" s="315" t="s">
        <v>100</v>
      </c>
      <c r="I288" s="594"/>
      <c r="J288" s="315" t="s">
        <v>100</v>
      </c>
      <c r="K288" s="594"/>
      <c r="L288" s="315" t="s">
        <v>100</v>
      </c>
      <c r="M288" s="315"/>
      <c r="N288" s="594"/>
      <c r="O288" s="594"/>
      <c r="P288" s="315" t="s">
        <v>100</v>
      </c>
      <c r="Q288" s="594"/>
      <c r="R288" s="594"/>
      <c r="S288" s="315" t="s">
        <v>100</v>
      </c>
      <c r="T288" s="315"/>
      <c r="U288" s="315"/>
      <c r="V288" s="315" t="s">
        <v>100</v>
      </c>
      <c r="W288" s="594"/>
      <c r="X288" s="594"/>
      <c r="Y288" s="594"/>
      <c r="Z288" s="594"/>
      <c r="AA288" s="594"/>
      <c r="AB288" s="594"/>
      <c r="AC288" s="594"/>
      <c r="AD288" s="594"/>
      <c r="AE288" s="594"/>
      <c r="AF288" s="594"/>
      <c r="AG288" s="594"/>
      <c r="AH288" s="594"/>
      <c r="AI288" s="339">
        <f t="shared" ref="AI288" si="64">COUNTIF(B288:AH288,"x")</f>
        <v>10</v>
      </c>
      <c r="AJ288" s="330" t="str">
        <f>HYPERLINK("http://www.bbwaa.com/18-hof-ballots","BBWAA.com")</f>
        <v>BBWAA.com</v>
      </c>
      <c r="AK288" s="595">
        <v>43138</v>
      </c>
      <c r="AL288" s="596"/>
      <c r="AM288" s="596"/>
      <c r="AN288" s="596"/>
      <c r="AO288" s="596"/>
      <c r="AP288" s="596"/>
      <c r="AQ288" s="596"/>
      <c r="AR288" s="596"/>
      <c r="AS288" s="596"/>
      <c r="AT288" s="596"/>
      <c r="AU288" s="596"/>
      <c r="AV288" s="596"/>
      <c r="AW288" s="596"/>
      <c r="AX288" s="596"/>
      <c r="AY288" s="596"/>
      <c r="AZ288" s="596"/>
      <c r="BA288" s="596"/>
      <c r="BB288" s="596"/>
      <c r="BC288" s="596"/>
      <c r="BD288" s="596"/>
      <c r="BE288" s="596"/>
      <c r="BF288" s="596"/>
      <c r="BG288" s="596"/>
      <c r="BH288" s="596"/>
      <c r="BI288" s="596"/>
      <c r="BJ288" s="596"/>
      <c r="BK288" s="597"/>
      <c r="BL288" s="321"/>
      <c r="BM288" s="321"/>
      <c r="BN288" s="315"/>
      <c r="BO288" s="315"/>
      <c r="BP288" s="315"/>
      <c r="BQ288" s="315"/>
      <c r="BR288" s="315"/>
      <c r="BS288" s="315"/>
      <c r="BT288" s="315"/>
      <c r="BU288" s="315"/>
      <c r="BV288" s="315"/>
      <c r="BW288" s="315"/>
      <c r="BX288" s="315"/>
      <c r="BY288" s="315"/>
      <c r="BZ288" s="315"/>
      <c r="CA288" s="315"/>
      <c r="CB288" s="315"/>
      <c r="CC288" s="315"/>
      <c r="CD288" s="315"/>
      <c r="CE288" s="315"/>
      <c r="CF288" s="315"/>
      <c r="CG288" s="315"/>
      <c r="CH288" s="315"/>
      <c r="CI288" s="315"/>
      <c r="CJ288" s="315"/>
      <c r="CK288" s="604"/>
      <c r="CL288" s="605"/>
      <c r="CM288" s="606"/>
    </row>
    <row r="289" spans="1:91" s="344" customFormat="1">
      <c r="A289" s="374" t="s">
        <v>418</v>
      </c>
      <c r="B289" s="189"/>
      <c r="C289" s="189"/>
      <c r="D289" s="189"/>
      <c r="E289" s="302" t="s">
        <v>100</v>
      </c>
      <c r="F289" s="182" t="s">
        <v>100</v>
      </c>
      <c r="G289" s="182"/>
      <c r="H289" s="182" t="s">
        <v>100</v>
      </c>
      <c r="I289" s="189"/>
      <c r="J289" s="302" t="s">
        <v>100</v>
      </c>
      <c r="K289" s="189"/>
      <c r="L289" s="182" t="s">
        <v>100</v>
      </c>
      <c r="M289" s="182"/>
      <c r="N289" s="189"/>
      <c r="O289" s="189"/>
      <c r="P289" s="182"/>
      <c r="Q289" s="189"/>
      <c r="R289" s="189"/>
      <c r="S289" s="182" t="s">
        <v>100</v>
      </c>
      <c r="T289" s="182"/>
      <c r="U289" s="182"/>
      <c r="V289" s="182"/>
      <c r="W289" s="189"/>
      <c r="X289" s="189"/>
      <c r="Y289" s="189"/>
      <c r="Z289" s="189"/>
      <c r="AA289" s="189"/>
      <c r="AB289" s="189"/>
      <c r="AC289" s="189"/>
      <c r="AD289" s="189"/>
      <c r="AE289" s="189"/>
      <c r="AF289" s="189"/>
      <c r="AG289" s="189"/>
      <c r="AH289" s="189"/>
      <c r="AI289" s="339">
        <f t="shared" si="61"/>
        <v>6</v>
      </c>
      <c r="AJ289" s="530" t="s">
        <v>113</v>
      </c>
      <c r="AK289" s="370">
        <v>43124</v>
      </c>
      <c r="AL289" s="352"/>
      <c r="AM289" s="187">
        <f>IF(B289=1,0,0)</f>
        <v>0</v>
      </c>
      <c r="AN289" s="187" t="e">
        <f>IF(#REF!=1,13,0)</f>
        <v>#REF!</v>
      </c>
      <c r="AO289" s="187">
        <f>IF(E289=1,8,0)</f>
        <v>0</v>
      </c>
      <c r="AP289" s="187">
        <f>IF(G289=1,8,0)</f>
        <v>0</v>
      </c>
      <c r="AQ289" s="187">
        <f t="shared" ref="AQ289" si="65">IF(I289=1,0,0)</f>
        <v>0</v>
      </c>
      <c r="AR289" s="187">
        <f t="shared" ref="AR289" si="66">IF(J289=1,0,0)</f>
        <v>0</v>
      </c>
      <c r="AS289" s="187">
        <f t="shared" ref="AS289" si="67">IF(K289=1,0,0)</f>
        <v>0</v>
      </c>
      <c r="AT289" s="187">
        <f>IF(L289=1,19,0)</f>
        <v>0</v>
      </c>
      <c r="AU289" s="187">
        <f>IF(O289=1,13,0)</f>
        <v>0</v>
      </c>
      <c r="AV289" s="187">
        <f>IF(P289=1,0,0)</f>
        <v>0</v>
      </c>
      <c r="AW289" s="187">
        <f>IF(Q289=1,3,0)</f>
        <v>0</v>
      </c>
      <c r="AX289" s="187">
        <f>IF(S289=1,8,0)</f>
        <v>0</v>
      </c>
      <c r="AY289" s="187">
        <f>IF(T289=1,4,0)</f>
        <v>0</v>
      </c>
      <c r="AZ289" s="187">
        <f>IF(U289=1,2,0)</f>
        <v>0</v>
      </c>
      <c r="BA289" s="187" t="e">
        <f>IF(#REF!=1,8,0)</f>
        <v>#REF!</v>
      </c>
      <c r="BB289" s="187">
        <f>IF(X289=1,16,0)</f>
        <v>0</v>
      </c>
      <c r="BC289" s="187">
        <f>IF(Y289=1,13,0)</f>
        <v>0</v>
      </c>
      <c r="BD289" s="187">
        <f>IF(Z289=1,10,0)</f>
        <v>0</v>
      </c>
      <c r="BE289" s="187" t="e">
        <f>IF(#REF!=1,2,0)</f>
        <v>#REF!</v>
      </c>
      <c r="BF289" s="187">
        <f>IF(AB289=1,6,0)</f>
        <v>0</v>
      </c>
      <c r="BG289" s="187">
        <f>IF(AD289=1,1,0)</f>
        <v>0</v>
      </c>
      <c r="BH289" s="187" t="e">
        <f>IF(#REF!=1,8,0)</f>
        <v>#REF!</v>
      </c>
      <c r="BI289" s="187">
        <f t="shared" ref="BI289" si="68">IF(AG289=1,2,0)</f>
        <v>0</v>
      </c>
      <c r="BJ289" s="187">
        <f t="shared" ref="BJ289" si="69">IF(AH289=1,3,0)</f>
        <v>0</v>
      </c>
      <c r="BK289" s="273" t="e">
        <f t="shared" ref="BK289" si="70">LARGE(AM289:BJ289,1)+LARGE(AM289:BJ289,2)+LARGE(AM289:BJ289,3)+LARGE(AM289:BJ289,4)+LARGE(AM289:BJ289,5)+LARGE(AM289:BJ289,6)+LARGE(AM289:BJ289,7)+LARGE(AM289:BJ289,8)</f>
        <v>#REF!</v>
      </c>
      <c r="BL289" s="339" t="e">
        <f t="shared" ref="BL289" si="71">BK289</f>
        <v>#REF!</v>
      </c>
      <c r="BM289" s="339"/>
      <c r="BN289" s="182"/>
      <c r="BO289" s="182"/>
      <c r="BP289" s="182"/>
      <c r="BQ289" s="182"/>
      <c r="BR289" s="182"/>
      <c r="BS289" s="182"/>
      <c r="BT289" s="182"/>
      <c r="BU289" s="182"/>
      <c r="BV289" s="182"/>
      <c r="BW289" s="182"/>
      <c r="BX289" s="182"/>
      <c r="BY289" s="182"/>
      <c r="BZ289" s="182"/>
      <c r="CA289" s="182"/>
      <c r="CB289" s="182"/>
      <c r="CC289" s="182"/>
      <c r="CD289" s="182"/>
      <c r="CE289" s="182"/>
      <c r="CF289" s="182"/>
      <c r="CG289" s="182"/>
      <c r="CH289" s="182"/>
      <c r="CI289" s="182"/>
      <c r="CJ289" s="182"/>
      <c r="CK289" s="680"/>
      <c r="CL289" s="681"/>
      <c r="CM289" s="682"/>
    </row>
    <row r="290" spans="1:91" s="344" customFormat="1">
      <c r="A290" s="374" t="s">
        <v>419</v>
      </c>
      <c r="B290" s="189"/>
      <c r="C290" s="189"/>
      <c r="D290" s="189"/>
      <c r="E290" s="189" t="s">
        <v>100</v>
      </c>
      <c r="F290" s="189" t="s">
        <v>100</v>
      </c>
      <c r="G290" s="182"/>
      <c r="H290" s="189" t="s">
        <v>100</v>
      </c>
      <c r="I290" s="189"/>
      <c r="J290" s="182"/>
      <c r="K290" s="189"/>
      <c r="L290" s="182"/>
      <c r="M290" s="182"/>
      <c r="N290" s="189"/>
      <c r="O290" s="189"/>
      <c r="P290" s="182"/>
      <c r="Q290" s="189"/>
      <c r="R290" s="189"/>
      <c r="S290" s="189" t="s">
        <v>100</v>
      </c>
      <c r="T290" s="182"/>
      <c r="U290" s="182"/>
      <c r="V290" s="182"/>
      <c r="W290" s="189"/>
      <c r="X290" s="189"/>
      <c r="Y290" s="189"/>
      <c r="Z290" s="189"/>
      <c r="AA290" s="189"/>
      <c r="AB290" s="189"/>
      <c r="AC290" s="189"/>
      <c r="AD290" s="189"/>
      <c r="AE290" s="189"/>
      <c r="AF290" s="189"/>
      <c r="AG290" s="189"/>
      <c r="AH290" s="189"/>
      <c r="AI290" s="339">
        <f t="shared" si="61"/>
        <v>4</v>
      </c>
      <c r="AJ290" s="340" t="str">
        <f>HYPERLINK("https://twitter.com/stevedilbeck/status/956586367890305024","Twitter")</f>
        <v>Twitter</v>
      </c>
      <c r="AK290" s="370">
        <v>43125</v>
      </c>
      <c r="AL290" s="352"/>
      <c r="AM290" s="352"/>
      <c r="AN290" s="352"/>
      <c r="AO290" s="352"/>
      <c r="AP290" s="352"/>
      <c r="AQ290" s="352"/>
      <c r="AR290" s="352"/>
      <c r="AS290" s="352"/>
      <c r="AT290" s="352"/>
      <c r="AU290" s="352"/>
      <c r="AV290" s="352"/>
      <c r="AW290" s="352"/>
      <c r="AX290" s="352"/>
      <c r="AY290" s="352"/>
      <c r="AZ290" s="352"/>
      <c r="BA290" s="352"/>
      <c r="BB290" s="352"/>
      <c r="BC290" s="352"/>
      <c r="BD290" s="352"/>
      <c r="BE290" s="352"/>
      <c r="BF290" s="352"/>
      <c r="BG290" s="352"/>
      <c r="BH290" s="352"/>
      <c r="BI290" s="352"/>
      <c r="BJ290" s="352"/>
      <c r="BK290" s="470"/>
      <c r="BL290" s="339"/>
      <c r="BM290" s="339"/>
      <c r="BN290" s="182"/>
      <c r="BO290" s="182"/>
      <c r="BP290" s="182"/>
      <c r="BQ290" s="182"/>
      <c r="BR290" s="182"/>
      <c r="BS290" s="182"/>
      <c r="BT290" s="182"/>
      <c r="BU290" s="182"/>
      <c r="BV290" s="182"/>
      <c r="BW290" s="182"/>
      <c r="BX290" s="182"/>
      <c r="BY290" s="182"/>
      <c r="BZ290" s="182"/>
      <c r="CA290" s="182"/>
      <c r="CB290" s="182"/>
      <c r="CC290" s="182"/>
      <c r="CD290" s="182"/>
      <c r="CE290" s="182"/>
      <c r="CF290" s="182"/>
      <c r="CG290" s="182"/>
      <c r="CH290" s="182"/>
      <c r="CI290" s="182"/>
      <c r="CJ290" s="497"/>
      <c r="CK290" s="618"/>
      <c r="CL290" s="619"/>
      <c r="CM290" s="620"/>
    </row>
    <row r="291" spans="1:91" s="326" customFormat="1">
      <c r="A291" s="614" t="s">
        <v>420</v>
      </c>
      <c r="B291" s="594" t="s">
        <v>100</v>
      </c>
      <c r="C291" s="594" t="s">
        <v>100</v>
      </c>
      <c r="D291" s="594"/>
      <c r="E291" s="594" t="s">
        <v>100</v>
      </c>
      <c r="F291" s="594" t="s">
        <v>100</v>
      </c>
      <c r="G291" s="315"/>
      <c r="H291" s="594" t="s">
        <v>100</v>
      </c>
      <c r="I291" s="594"/>
      <c r="J291" s="315" t="s">
        <v>100</v>
      </c>
      <c r="K291" s="594"/>
      <c r="L291" s="315"/>
      <c r="M291" s="315"/>
      <c r="N291" s="594"/>
      <c r="O291" s="594"/>
      <c r="P291" s="315"/>
      <c r="Q291" s="594"/>
      <c r="R291" s="594"/>
      <c r="S291" s="594"/>
      <c r="T291" s="315"/>
      <c r="U291" s="315"/>
      <c r="V291" s="315"/>
      <c r="W291" s="594"/>
      <c r="X291" s="594"/>
      <c r="Y291" s="594"/>
      <c r="Z291" s="594"/>
      <c r="AA291" s="594"/>
      <c r="AB291" s="594"/>
      <c r="AC291" s="594"/>
      <c r="AD291" s="594"/>
      <c r="AE291" s="594"/>
      <c r="AF291" s="594"/>
      <c r="AG291" s="594"/>
      <c r="AH291" s="594"/>
      <c r="AI291" s="339">
        <f t="shared" si="61"/>
        <v>6</v>
      </c>
      <c r="AJ291" s="330" t="str">
        <f t="shared" ref="AJ291:AJ297" si="72">HYPERLINK("http://www.bbwaa.com/18-hof-ballots","BBWAA.com")</f>
        <v>BBWAA.com</v>
      </c>
      <c r="AK291" s="595">
        <v>43138</v>
      </c>
      <c r="AL291" s="596"/>
      <c r="AM291" s="596"/>
      <c r="AN291" s="596"/>
      <c r="AO291" s="596"/>
      <c r="AP291" s="596"/>
      <c r="AQ291" s="596"/>
      <c r="AR291" s="596"/>
      <c r="AS291" s="596"/>
      <c r="AT291" s="596"/>
      <c r="AU291" s="596"/>
      <c r="AV291" s="596"/>
      <c r="AW291" s="596"/>
      <c r="AX291" s="596"/>
      <c r="AY291" s="596"/>
      <c r="AZ291" s="596"/>
      <c r="BA291" s="596"/>
      <c r="BB291" s="596"/>
      <c r="BC291" s="596"/>
      <c r="BD291" s="596"/>
      <c r="BE291" s="596"/>
      <c r="BF291" s="596"/>
      <c r="BG291" s="596"/>
      <c r="BH291" s="596"/>
      <c r="BI291" s="596"/>
      <c r="BJ291" s="596"/>
      <c r="BK291" s="597"/>
      <c r="BL291" s="321"/>
      <c r="BM291" s="321"/>
      <c r="BN291" s="315"/>
      <c r="BO291" s="315"/>
      <c r="BP291" s="315"/>
      <c r="BQ291" s="315"/>
      <c r="BR291" s="315"/>
      <c r="BS291" s="315"/>
      <c r="BT291" s="315"/>
      <c r="BU291" s="315"/>
      <c r="BV291" s="315"/>
      <c r="BW291" s="315"/>
      <c r="BX291" s="315"/>
      <c r="BY291" s="315"/>
      <c r="BZ291" s="315"/>
      <c r="CA291" s="315"/>
      <c r="CB291" s="315"/>
      <c r="CC291" s="315"/>
      <c r="CD291" s="315"/>
      <c r="CE291" s="315"/>
      <c r="CF291" s="315"/>
      <c r="CG291" s="315"/>
      <c r="CH291" s="315"/>
      <c r="CI291" s="315"/>
      <c r="CJ291" s="598"/>
      <c r="CK291" s="604"/>
      <c r="CL291" s="605"/>
      <c r="CM291" s="606"/>
    </row>
    <row r="292" spans="1:91" s="326" customFormat="1">
      <c r="A292" s="614" t="s">
        <v>421</v>
      </c>
      <c r="B292" s="594" t="s">
        <v>100</v>
      </c>
      <c r="C292" s="594" t="s">
        <v>100</v>
      </c>
      <c r="D292" s="594"/>
      <c r="E292" s="594" t="s">
        <v>100</v>
      </c>
      <c r="F292" s="594" t="s">
        <v>100</v>
      </c>
      <c r="G292" s="315"/>
      <c r="H292" s="594" t="s">
        <v>100</v>
      </c>
      <c r="I292" s="594" t="s">
        <v>100</v>
      </c>
      <c r="J292" s="315"/>
      <c r="K292" s="594" t="s">
        <v>100</v>
      </c>
      <c r="L292" s="315"/>
      <c r="M292" s="315"/>
      <c r="N292" s="594"/>
      <c r="O292" s="594"/>
      <c r="P292" s="315"/>
      <c r="Q292" s="594"/>
      <c r="R292" s="594"/>
      <c r="S292" s="594" t="s">
        <v>100</v>
      </c>
      <c r="T292" s="315"/>
      <c r="U292" s="315"/>
      <c r="V292" s="315" t="s">
        <v>100</v>
      </c>
      <c r="W292" s="594"/>
      <c r="X292" s="594"/>
      <c r="Y292" s="594"/>
      <c r="Z292" s="594"/>
      <c r="AA292" s="594"/>
      <c r="AB292" s="594"/>
      <c r="AC292" s="594"/>
      <c r="AD292" s="594"/>
      <c r="AE292" s="594"/>
      <c r="AF292" s="594"/>
      <c r="AG292" s="594"/>
      <c r="AH292" s="594"/>
      <c r="AI292" s="339">
        <f t="shared" si="61"/>
        <v>9</v>
      </c>
      <c r="AJ292" s="330" t="str">
        <f t="shared" si="72"/>
        <v>BBWAA.com</v>
      </c>
      <c r="AK292" s="595">
        <v>43138</v>
      </c>
      <c r="AL292" s="596"/>
      <c r="AM292" s="596"/>
      <c r="AN292" s="596"/>
      <c r="AO292" s="596"/>
      <c r="AP292" s="596"/>
      <c r="AQ292" s="596"/>
      <c r="AR292" s="596"/>
      <c r="AS292" s="596"/>
      <c r="AT292" s="596"/>
      <c r="AU292" s="596"/>
      <c r="AV292" s="596"/>
      <c r="AW292" s="596"/>
      <c r="AX292" s="596"/>
      <c r="AY292" s="596"/>
      <c r="AZ292" s="596"/>
      <c r="BA292" s="596"/>
      <c r="BB292" s="596"/>
      <c r="BC292" s="596"/>
      <c r="BD292" s="596"/>
      <c r="BE292" s="596"/>
      <c r="BF292" s="596"/>
      <c r="BG292" s="596"/>
      <c r="BH292" s="596"/>
      <c r="BI292" s="596"/>
      <c r="BJ292" s="596"/>
      <c r="BK292" s="597"/>
      <c r="BL292" s="321"/>
      <c r="BM292" s="321"/>
      <c r="BN292" s="315"/>
      <c r="BO292" s="315"/>
      <c r="BP292" s="315"/>
      <c r="BQ292" s="315"/>
      <c r="BR292" s="315"/>
      <c r="BS292" s="315"/>
      <c r="BT292" s="315"/>
      <c r="BU292" s="315"/>
      <c r="BV292" s="315"/>
      <c r="BW292" s="315"/>
      <c r="BX292" s="315"/>
      <c r="BY292" s="315"/>
      <c r="BZ292" s="315"/>
      <c r="CA292" s="315"/>
      <c r="CB292" s="315"/>
      <c r="CC292" s="315"/>
      <c r="CD292" s="315"/>
      <c r="CE292" s="315"/>
      <c r="CF292" s="315"/>
      <c r="CG292" s="315"/>
      <c r="CH292" s="315"/>
      <c r="CI292" s="315"/>
      <c r="CJ292" s="598"/>
      <c r="CK292" s="604"/>
      <c r="CL292" s="605"/>
      <c r="CM292" s="606"/>
    </row>
    <row r="293" spans="1:91" s="326" customFormat="1">
      <c r="A293" s="614" t="s">
        <v>422</v>
      </c>
      <c r="B293" s="594" t="s">
        <v>100</v>
      </c>
      <c r="C293" s="594"/>
      <c r="D293" s="594" t="s">
        <v>100</v>
      </c>
      <c r="E293" s="594"/>
      <c r="F293" s="594" t="s">
        <v>100</v>
      </c>
      <c r="G293" s="315" t="s">
        <v>100</v>
      </c>
      <c r="H293" s="594" t="s">
        <v>100</v>
      </c>
      <c r="I293" s="594"/>
      <c r="J293" s="315"/>
      <c r="K293" s="594"/>
      <c r="L293" s="315" t="s">
        <v>100</v>
      </c>
      <c r="M293" s="315" t="s">
        <v>100</v>
      </c>
      <c r="N293" s="594"/>
      <c r="O293" s="594"/>
      <c r="P293" s="315"/>
      <c r="Q293" s="594"/>
      <c r="R293" s="594"/>
      <c r="S293" s="594" t="s">
        <v>100</v>
      </c>
      <c r="T293" s="315" t="s">
        <v>100</v>
      </c>
      <c r="U293" s="315"/>
      <c r="V293" s="315"/>
      <c r="W293" s="594"/>
      <c r="X293" s="594"/>
      <c r="Y293" s="594"/>
      <c r="Z293" s="594"/>
      <c r="AA293" s="594"/>
      <c r="AB293" s="594"/>
      <c r="AC293" s="594"/>
      <c r="AD293" s="594"/>
      <c r="AE293" s="594"/>
      <c r="AF293" s="594"/>
      <c r="AG293" s="594"/>
      <c r="AH293" s="594"/>
      <c r="AI293" s="339">
        <f t="shared" si="61"/>
        <v>9</v>
      </c>
      <c r="AJ293" s="330" t="str">
        <f t="shared" si="72"/>
        <v>BBWAA.com</v>
      </c>
      <c r="AK293" s="595">
        <v>43138</v>
      </c>
      <c r="AL293" s="596"/>
      <c r="AM293" s="596"/>
      <c r="AN293" s="596"/>
      <c r="AO293" s="596"/>
      <c r="AP293" s="596"/>
      <c r="AQ293" s="596"/>
      <c r="AR293" s="596"/>
      <c r="AS293" s="596"/>
      <c r="AT293" s="596"/>
      <c r="AU293" s="596"/>
      <c r="AV293" s="596"/>
      <c r="AW293" s="596"/>
      <c r="AX293" s="596"/>
      <c r="AY293" s="596"/>
      <c r="AZ293" s="596"/>
      <c r="BA293" s="596"/>
      <c r="BB293" s="596"/>
      <c r="BC293" s="596"/>
      <c r="BD293" s="596"/>
      <c r="BE293" s="596"/>
      <c r="BF293" s="596"/>
      <c r="BG293" s="596"/>
      <c r="BH293" s="596"/>
      <c r="BI293" s="596"/>
      <c r="BJ293" s="596"/>
      <c r="BK293" s="597"/>
      <c r="BL293" s="321"/>
      <c r="BM293" s="321"/>
      <c r="BN293" s="315"/>
      <c r="BO293" s="315"/>
      <c r="BP293" s="315"/>
      <c r="BQ293" s="315"/>
      <c r="BR293" s="315"/>
      <c r="BS293" s="315"/>
      <c r="BT293" s="315"/>
      <c r="BU293" s="315"/>
      <c r="BV293" s="315"/>
      <c r="BW293" s="315"/>
      <c r="BX293" s="315"/>
      <c r="BY293" s="315"/>
      <c r="BZ293" s="315"/>
      <c r="CA293" s="315"/>
      <c r="CB293" s="315"/>
      <c r="CC293" s="315"/>
      <c r="CD293" s="315"/>
      <c r="CE293" s="315"/>
      <c r="CF293" s="315"/>
      <c r="CG293" s="315"/>
      <c r="CH293" s="315"/>
      <c r="CI293" s="315"/>
      <c r="CJ293" s="598"/>
      <c r="CK293" s="604"/>
      <c r="CL293" s="605"/>
      <c r="CM293" s="606"/>
    </row>
    <row r="294" spans="1:91" s="326" customFormat="1">
      <c r="A294" s="614" t="s">
        <v>423</v>
      </c>
      <c r="B294" s="594" t="s">
        <v>100</v>
      </c>
      <c r="C294" s="594" t="s">
        <v>100</v>
      </c>
      <c r="D294" s="594"/>
      <c r="E294" s="594" t="s">
        <v>100</v>
      </c>
      <c r="F294" s="594" t="s">
        <v>100</v>
      </c>
      <c r="G294" s="315"/>
      <c r="H294" s="594" t="s">
        <v>100</v>
      </c>
      <c r="I294" s="594"/>
      <c r="J294" s="315" t="s">
        <v>100</v>
      </c>
      <c r="K294" s="594" t="s">
        <v>100</v>
      </c>
      <c r="L294" s="315" t="s">
        <v>100</v>
      </c>
      <c r="M294" s="315" t="s">
        <v>100</v>
      </c>
      <c r="N294" s="594"/>
      <c r="O294" s="594"/>
      <c r="P294" s="315" t="s">
        <v>100</v>
      </c>
      <c r="Q294" s="594"/>
      <c r="R294" s="594"/>
      <c r="S294" s="594"/>
      <c r="T294" s="315"/>
      <c r="U294" s="315"/>
      <c r="V294" s="315"/>
      <c r="W294" s="594"/>
      <c r="X294" s="594"/>
      <c r="Y294" s="594"/>
      <c r="Z294" s="594"/>
      <c r="AA294" s="594"/>
      <c r="AB294" s="594"/>
      <c r="AC294" s="594"/>
      <c r="AD294" s="594"/>
      <c r="AE294" s="594"/>
      <c r="AF294" s="594"/>
      <c r="AG294" s="594"/>
      <c r="AH294" s="594"/>
      <c r="AI294" s="339">
        <f t="shared" ref="AI294:AI297" si="73">COUNTIF(B294:AH294,"x")</f>
        <v>10</v>
      </c>
      <c r="AJ294" s="330" t="str">
        <f t="shared" si="72"/>
        <v>BBWAA.com</v>
      </c>
      <c r="AK294" s="595">
        <v>43138</v>
      </c>
      <c r="AL294" s="596"/>
      <c r="AM294" s="596"/>
      <c r="AN294" s="596"/>
      <c r="AO294" s="596"/>
      <c r="AP294" s="596"/>
      <c r="AQ294" s="596"/>
      <c r="AR294" s="596"/>
      <c r="AS294" s="596"/>
      <c r="AT294" s="596"/>
      <c r="AU294" s="596"/>
      <c r="AV294" s="596"/>
      <c r="AW294" s="596"/>
      <c r="AX294" s="596"/>
      <c r="AY294" s="596"/>
      <c r="AZ294" s="596"/>
      <c r="BA294" s="596"/>
      <c r="BB294" s="596"/>
      <c r="BC294" s="596"/>
      <c r="BD294" s="596"/>
      <c r="BE294" s="596"/>
      <c r="BF294" s="596"/>
      <c r="BG294" s="596"/>
      <c r="BH294" s="596"/>
      <c r="BI294" s="596"/>
      <c r="BJ294" s="596"/>
      <c r="BK294" s="597"/>
      <c r="BL294" s="321"/>
      <c r="BM294" s="321"/>
      <c r="BN294" s="315"/>
      <c r="BO294" s="315"/>
      <c r="BP294" s="315"/>
      <c r="BQ294" s="315"/>
      <c r="BR294" s="315"/>
      <c r="BS294" s="315"/>
      <c r="BT294" s="315"/>
      <c r="BU294" s="315"/>
      <c r="BV294" s="315"/>
      <c r="BW294" s="315"/>
      <c r="BX294" s="315"/>
      <c r="BY294" s="315"/>
      <c r="BZ294" s="315"/>
      <c r="CA294" s="315"/>
      <c r="CB294" s="315"/>
      <c r="CC294" s="315"/>
      <c r="CD294" s="315"/>
      <c r="CE294" s="315"/>
      <c r="CF294" s="315"/>
      <c r="CG294" s="315"/>
      <c r="CH294" s="315"/>
      <c r="CI294" s="315"/>
      <c r="CJ294" s="598"/>
      <c r="CK294" s="604"/>
      <c r="CL294" s="605"/>
      <c r="CM294" s="606"/>
    </row>
    <row r="295" spans="1:91" s="326" customFormat="1">
      <c r="A295" s="614" t="s">
        <v>424</v>
      </c>
      <c r="B295" s="594"/>
      <c r="C295" s="594"/>
      <c r="D295" s="594"/>
      <c r="E295" s="594" t="s">
        <v>100</v>
      </c>
      <c r="F295" s="594" t="s">
        <v>100</v>
      </c>
      <c r="G295" s="315"/>
      <c r="H295" s="594" t="s">
        <v>100</v>
      </c>
      <c r="I295" s="594"/>
      <c r="J295" s="315" t="s">
        <v>100</v>
      </c>
      <c r="K295" s="594"/>
      <c r="L295" s="315" t="s">
        <v>100</v>
      </c>
      <c r="M295" s="315"/>
      <c r="N295" s="594"/>
      <c r="O295" s="594"/>
      <c r="P295" s="315"/>
      <c r="Q295" s="594"/>
      <c r="R295" s="594"/>
      <c r="S295" s="594" t="s">
        <v>100</v>
      </c>
      <c r="T295" s="315"/>
      <c r="U295" s="315"/>
      <c r="V295" s="315"/>
      <c r="W295" s="594"/>
      <c r="X295" s="594"/>
      <c r="Y295" s="594"/>
      <c r="Z295" s="594"/>
      <c r="AA295" s="594"/>
      <c r="AB295" s="594"/>
      <c r="AC295" s="594"/>
      <c r="AD295" s="594"/>
      <c r="AE295" s="594"/>
      <c r="AF295" s="594"/>
      <c r="AG295" s="594"/>
      <c r="AH295" s="594"/>
      <c r="AI295" s="339">
        <f t="shared" si="73"/>
        <v>6</v>
      </c>
      <c r="AJ295" s="330" t="str">
        <f t="shared" si="72"/>
        <v>BBWAA.com</v>
      </c>
      <c r="AK295" s="595">
        <v>43138</v>
      </c>
      <c r="AL295" s="596"/>
      <c r="AM295" s="596"/>
      <c r="AN295" s="596"/>
      <c r="AO295" s="596"/>
      <c r="AP295" s="596"/>
      <c r="AQ295" s="596"/>
      <c r="AR295" s="596"/>
      <c r="AS295" s="596"/>
      <c r="AT295" s="596"/>
      <c r="AU295" s="596"/>
      <c r="AV295" s="596"/>
      <c r="AW295" s="596"/>
      <c r="AX295" s="596"/>
      <c r="AY295" s="596"/>
      <c r="AZ295" s="596"/>
      <c r="BA295" s="596"/>
      <c r="BB295" s="596"/>
      <c r="BC295" s="596"/>
      <c r="BD295" s="596"/>
      <c r="BE295" s="596"/>
      <c r="BF295" s="596"/>
      <c r="BG295" s="596"/>
      <c r="BH295" s="596"/>
      <c r="BI295" s="596"/>
      <c r="BJ295" s="596"/>
      <c r="BK295" s="597"/>
      <c r="BL295" s="321"/>
      <c r="BM295" s="321"/>
      <c r="BN295" s="315"/>
      <c r="BO295" s="315"/>
      <c r="BP295" s="315"/>
      <c r="BQ295" s="315"/>
      <c r="BR295" s="315"/>
      <c r="BS295" s="315"/>
      <c r="BT295" s="315"/>
      <c r="BU295" s="315"/>
      <c r="BV295" s="315"/>
      <c r="BW295" s="315"/>
      <c r="BX295" s="315"/>
      <c r="BY295" s="315"/>
      <c r="BZ295" s="315"/>
      <c r="CA295" s="315"/>
      <c r="CB295" s="315"/>
      <c r="CC295" s="315"/>
      <c r="CD295" s="315"/>
      <c r="CE295" s="315"/>
      <c r="CF295" s="315"/>
      <c r="CG295" s="315"/>
      <c r="CH295" s="315"/>
      <c r="CI295" s="315"/>
      <c r="CJ295" s="598"/>
      <c r="CK295" s="604"/>
      <c r="CL295" s="605"/>
      <c r="CM295" s="606"/>
    </row>
    <row r="296" spans="1:91" s="326" customFormat="1">
      <c r="A296" s="375" t="s">
        <v>425</v>
      </c>
      <c r="B296" s="594"/>
      <c r="C296" s="594"/>
      <c r="D296" s="594"/>
      <c r="E296" s="594" t="s">
        <v>100</v>
      </c>
      <c r="F296" s="594" t="s">
        <v>100</v>
      </c>
      <c r="G296" s="315"/>
      <c r="H296" s="594" t="s">
        <v>100</v>
      </c>
      <c r="I296" s="594"/>
      <c r="J296" s="315" t="s">
        <v>100</v>
      </c>
      <c r="K296" s="594"/>
      <c r="L296" s="315" t="s">
        <v>100</v>
      </c>
      <c r="M296" s="315"/>
      <c r="N296" s="594"/>
      <c r="O296" s="594"/>
      <c r="P296" s="315" t="s">
        <v>100</v>
      </c>
      <c r="Q296" s="594"/>
      <c r="R296" s="594"/>
      <c r="S296" s="594" t="s">
        <v>100</v>
      </c>
      <c r="T296" s="315" t="s">
        <v>100</v>
      </c>
      <c r="U296" s="315"/>
      <c r="V296" s="315"/>
      <c r="W296" s="594"/>
      <c r="X296" s="594"/>
      <c r="Y296" s="594"/>
      <c r="Z296" s="594"/>
      <c r="AA296" s="594"/>
      <c r="AB296" s="594"/>
      <c r="AC296" s="594"/>
      <c r="AD296" s="594"/>
      <c r="AE296" s="594"/>
      <c r="AF296" s="594"/>
      <c r="AG296" s="594"/>
      <c r="AH296" s="594"/>
      <c r="AI296" s="339">
        <f t="shared" si="73"/>
        <v>8</v>
      </c>
      <c r="AJ296" s="330" t="str">
        <f t="shared" si="72"/>
        <v>BBWAA.com</v>
      </c>
      <c r="AK296" s="595">
        <v>43138</v>
      </c>
      <c r="AL296" s="596"/>
      <c r="AM296" s="596"/>
      <c r="AN296" s="596"/>
      <c r="AO296" s="596"/>
      <c r="AP296" s="596"/>
      <c r="AQ296" s="596"/>
      <c r="AR296" s="596"/>
      <c r="AS296" s="596"/>
      <c r="AT296" s="596"/>
      <c r="AU296" s="596"/>
      <c r="AV296" s="596"/>
      <c r="AW296" s="596"/>
      <c r="AX296" s="596"/>
      <c r="AY296" s="596"/>
      <c r="AZ296" s="596"/>
      <c r="BA296" s="596"/>
      <c r="BB296" s="596"/>
      <c r="BC296" s="596"/>
      <c r="BD296" s="596"/>
      <c r="BE296" s="596"/>
      <c r="BF296" s="596"/>
      <c r="BG296" s="596"/>
      <c r="BH296" s="596"/>
      <c r="BI296" s="596"/>
      <c r="BJ296" s="596"/>
      <c r="BK296" s="597"/>
      <c r="BL296" s="321"/>
      <c r="BM296" s="321"/>
      <c r="BN296" s="315"/>
      <c r="BO296" s="315"/>
      <c r="BP296" s="315"/>
      <c r="BQ296" s="315"/>
      <c r="BR296" s="315"/>
      <c r="BS296" s="315"/>
      <c r="BT296" s="315"/>
      <c r="BU296" s="315"/>
      <c r="BV296" s="315"/>
      <c r="BW296" s="315"/>
      <c r="BX296" s="315"/>
      <c r="BY296" s="315"/>
      <c r="BZ296" s="315"/>
      <c r="CA296" s="315"/>
      <c r="CB296" s="315"/>
      <c r="CC296" s="315"/>
      <c r="CD296" s="315"/>
      <c r="CE296" s="315"/>
      <c r="CF296" s="315"/>
      <c r="CG296" s="315"/>
      <c r="CH296" s="315"/>
      <c r="CI296" s="315"/>
      <c r="CJ296" s="598"/>
      <c r="CK296" s="604"/>
      <c r="CL296" s="605"/>
      <c r="CM296" s="606"/>
    </row>
    <row r="297" spans="1:91" s="326" customFormat="1">
      <c r="A297" s="614" t="s">
        <v>426</v>
      </c>
      <c r="B297" s="594"/>
      <c r="C297" s="594"/>
      <c r="D297" s="594"/>
      <c r="E297" s="594" t="s">
        <v>100</v>
      </c>
      <c r="F297" s="594" t="s">
        <v>100</v>
      </c>
      <c r="G297" s="315"/>
      <c r="H297" s="594" t="s">
        <v>100</v>
      </c>
      <c r="I297" s="594"/>
      <c r="J297" s="315" t="s">
        <v>100</v>
      </c>
      <c r="K297" s="594"/>
      <c r="L297" s="315" t="s">
        <v>100</v>
      </c>
      <c r="M297" s="315"/>
      <c r="N297" s="594" t="s">
        <v>100</v>
      </c>
      <c r="O297" s="594"/>
      <c r="P297" s="315" t="s">
        <v>100</v>
      </c>
      <c r="Q297" s="594"/>
      <c r="R297" s="594"/>
      <c r="S297" s="594" t="s">
        <v>100</v>
      </c>
      <c r="T297" s="315"/>
      <c r="U297" s="315" t="s">
        <v>100</v>
      </c>
      <c r="V297" s="315"/>
      <c r="W297" s="594"/>
      <c r="X297" s="594"/>
      <c r="Y297" s="594"/>
      <c r="Z297" s="594"/>
      <c r="AA297" s="594"/>
      <c r="AB297" s="594"/>
      <c r="AC297" s="594"/>
      <c r="AD297" s="594"/>
      <c r="AE297" s="594"/>
      <c r="AF297" s="594"/>
      <c r="AG297" s="594"/>
      <c r="AH297" s="594"/>
      <c r="AI297" s="339">
        <f t="shared" si="73"/>
        <v>9</v>
      </c>
      <c r="AJ297" s="330" t="str">
        <f t="shared" si="72"/>
        <v>BBWAA.com</v>
      </c>
      <c r="AK297" s="595">
        <v>43138</v>
      </c>
      <c r="AL297" s="596"/>
      <c r="AM297" s="596"/>
      <c r="AN297" s="596"/>
      <c r="AO297" s="596"/>
      <c r="AP297" s="596"/>
      <c r="AQ297" s="596"/>
      <c r="AR297" s="596"/>
      <c r="AS297" s="596"/>
      <c r="AT297" s="596"/>
      <c r="AU297" s="596"/>
      <c r="AV297" s="596"/>
      <c r="AW297" s="596"/>
      <c r="AX297" s="596"/>
      <c r="AY297" s="596"/>
      <c r="AZ297" s="596"/>
      <c r="BA297" s="596"/>
      <c r="BB297" s="596"/>
      <c r="BC297" s="596"/>
      <c r="BD297" s="596"/>
      <c r="BE297" s="596"/>
      <c r="BF297" s="596"/>
      <c r="BG297" s="596"/>
      <c r="BH297" s="596"/>
      <c r="BI297" s="596"/>
      <c r="BJ297" s="596"/>
      <c r="BK297" s="597"/>
      <c r="BL297" s="321"/>
      <c r="BM297" s="321"/>
      <c r="BN297" s="315"/>
      <c r="BO297" s="315"/>
      <c r="BP297" s="315"/>
      <c r="BQ297" s="315"/>
      <c r="BR297" s="315"/>
      <c r="BS297" s="315"/>
      <c r="BT297" s="315"/>
      <c r="BU297" s="315"/>
      <c r="BV297" s="315"/>
      <c r="BW297" s="315"/>
      <c r="BX297" s="315"/>
      <c r="BY297" s="315"/>
      <c r="BZ297" s="315"/>
      <c r="CA297" s="315"/>
      <c r="CB297" s="315"/>
      <c r="CC297" s="315"/>
      <c r="CD297" s="315"/>
      <c r="CE297" s="315"/>
      <c r="CF297" s="315"/>
      <c r="CG297" s="315"/>
      <c r="CH297" s="315"/>
      <c r="CI297" s="315"/>
      <c r="CJ297" s="598"/>
      <c r="CK297" s="604"/>
      <c r="CL297" s="605"/>
      <c r="CM297" s="606"/>
    </row>
    <row r="298" spans="1:91" s="344" customFormat="1">
      <c r="A298" s="374" t="s">
        <v>427</v>
      </c>
      <c r="B298" s="189"/>
      <c r="C298" s="189"/>
      <c r="D298" s="189"/>
      <c r="E298" s="366" t="s">
        <v>100</v>
      </c>
      <c r="F298" s="366" t="s">
        <v>100</v>
      </c>
      <c r="G298" s="182"/>
      <c r="H298" s="189" t="s">
        <v>100</v>
      </c>
      <c r="I298" s="189"/>
      <c r="J298" s="182"/>
      <c r="K298" s="189"/>
      <c r="L298" s="182"/>
      <c r="M298" s="182"/>
      <c r="N298" s="189"/>
      <c r="O298" s="189"/>
      <c r="P298" s="182"/>
      <c r="Q298" s="189"/>
      <c r="R298" s="189"/>
      <c r="S298" s="189" t="s">
        <v>100</v>
      </c>
      <c r="T298" s="182" t="s">
        <v>100</v>
      </c>
      <c r="U298" s="182"/>
      <c r="V298" s="182"/>
      <c r="W298" s="189"/>
      <c r="X298" s="189"/>
      <c r="Y298" s="189"/>
      <c r="Z298" s="189"/>
      <c r="AA298" s="189"/>
      <c r="AB298" s="189"/>
      <c r="AC298" s="189"/>
      <c r="AD298" s="189"/>
      <c r="AE298" s="189"/>
      <c r="AF298" s="189"/>
      <c r="AG298" s="189"/>
      <c r="AH298" s="189"/>
      <c r="AI298" s="339">
        <f t="shared" si="61"/>
        <v>5</v>
      </c>
      <c r="AJ298" s="340" t="str">
        <f>HYPERLINK("http://www.espn.com/espnradio/play?id=22216500","Freddie and Fitz Pod")</f>
        <v>Freddie and Fitz Pod</v>
      </c>
      <c r="AK298" s="370">
        <v>43127</v>
      </c>
      <c r="AL298" s="352"/>
      <c r="AM298" s="352"/>
      <c r="AN298" s="352"/>
      <c r="AO298" s="352"/>
      <c r="AP298" s="352"/>
      <c r="AQ298" s="352"/>
      <c r="AR298" s="352"/>
      <c r="AS298" s="352"/>
      <c r="AT298" s="352"/>
      <c r="AU298" s="352"/>
      <c r="AV298" s="352"/>
      <c r="AW298" s="352"/>
      <c r="AX298" s="352"/>
      <c r="AY298" s="352"/>
      <c r="AZ298" s="352"/>
      <c r="BA298" s="352"/>
      <c r="BB298" s="352"/>
      <c r="BC298" s="352"/>
      <c r="BD298" s="352"/>
      <c r="BE298" s="352"/>
      <c r="BF298" s="352"/>
      <c r="BG298" s="352"/>
      <c r="BH298" s="352"/>
      <c r="BI298" s="352"/>
      <c r="BJ298" s="352"/>
      <c r="BK298" s="470"/>
      <c r="BL298" s="339"/>
      <c r="BM298" s="339"/>
      <c r="BN298" s="182"/>
      <c r="BO298" s="182"/>
      <c r="BP298" s="182"/>
      <c r="BQ298" s="182"/>
      <c r="BR298" s="182"/>
      <c r="BS298" s="182"/>
      <c r="BT298" s="182"/>
      <c r="BU298" s="182"/>
      <c r="BV298" s="182"/>
      <c r="BW298" s="182"/>
      <c r="BX298" s="182"/>
      <c r="BY298" s="182"/>
      <c r="BZ298" s="182"/>
      <c r="CA298" s="182"/>
      <c r="CB298" s="182"/>
      <c r="CC298" s="182"/>
      <c r="CD298" s="182"/>
      <c r="CE298" s="182"/>
      <c r="CF298" s="182"/>
      <c r="CG298" s="182"/>
      <c r="CH298" s="182"/>
      <c r="CI298" s="182"/>
      <c r="CJ298" s="497"/>
      <c r="CK298" s="647" t="s">
        <v>145</v>
      </c>
      <c r="CL298" s="648"/>
      <c r="CM298" s="649"/>
    </row>
    <row r="299" spans="1:91" s="326" customFormat="1">
      <c r="A299" s="614" t="s">
        <v>428</v>
      </c>
      <c r="B299" s="594" t="s">
        <v>100</v>
      </c>
      <c r="C299" s="594" t="s">
        <v>100</v>
      </c>
      <c r="D299" s="594"/>
      <c r="E299" s="594" t="s">
        <v>100</v>
      </c>
      <c r="F299" s="594" t="s">
        <v>100</v>
      </c>
      <c r="G299" s="315"/>
      <c r="H299" s="594" t="s">
        <v>100</v>
      </c>
      <c r="I299" s="594"/>
      <c r="J299" s="315"/>
      <c r="K299" s="594"/>
      <c r="L299" s="315"/>
      <c r="M299" s="315" t="s">
        <v>100</v>
      </c>
      <c r="N299" s="594"/>
      <c r="O299" s="594"/>
      <c r="P299" s="315" t="s">
        <v>100</v>
      </c>
      <c r="Q299" s="594"/>
      <c r="R299" s="594"/>
      <c r="S299" s="594" t="s">
        <v>100</v>
      </c>
      <c r="T299" s="315" t="s">
        <v>100</v>
      </c>
      <c r="U299" s="315"/>
      <c r="V299" s="315"/>
      <c r="W299" s="594"/>
      <c r="X299" s="594"/>
      <c r="Y299" s="594"/>
      <c r="Z299" s="594"/>
      <c r="AA299" s="594"/>
      <c r="AB299" s="594"/>
      <c r="AC299" s="594"/>
      <c r="AD299" s="594"/>
      <c r="AE299" s="594"/>
      <c r="AF299" s="594" t="s">
        <v>100</v>
      </c>
      <c r="AG299" s="594"/>
      <c r="AH299" s="594"/>
      <c r="AI299" s="339">
        <f t="shared" si="61"/>
        <v>10</v>
      </c>
      <c r="AJ299" s="330" t="str">
        <f t="shared" ref="AJ299:AJ313" si="74">HYPERLINK("http://www.bbwaa.com/18-hof-ballots","BBWAA.com")</f>
        <v>BBWAA.com</v>
      </c>
      <c r="AK299" s="595">
        <v>43138</v>
      </c>
      <c r="AL299" s="596"/>
      <c r="AM299" s="596"/>
      <c r="AN299" s="596"/>
      <c r="AO299" s="596"/>
      <c r="AP299" s="596"/>
      <c r="AQ299" s="596"/>
      <c r="AR299" s="596"/>
      <c r="AS299" s="596"/>
      <c r="AT299" s="596"/>
      <c r="AU299" s="596"/>
      <c r="AV299" s="596"/>
      <c r="AW299" s="596"/>
      <c r="AX299" s="596"/>
      <c r="AY299" s="596"/>
      <c r="AZ299" s="596"/>
      <c r="BA299" s="596"/>
      <c r="BB299" s="596"/>
      <c r="BC299" s="596"/>
      <c r="BD299" s="596"/>
      <c r="BE299" s="596"/>
      <c r="BF299" s="596"/>
      <c r="BG299" s="596"/>
      <c r="BH299" s="596"/>
      <c r="BI299" s="596"/>
      <c r="BJ299" s="596"/>
      <c r="BK299" s="597"/>
      <c r="BL299" s="321"/>
      <c r="BM299" s="321"/>
      <c r="BN299" s="315"/>
      <c r="BO299" s="315"/>
      <c r="BP299" s="315"/>
      <c r="BQ299" s="315"/>
      <c r="BR299" s="315"/>
      <c r="BS299" s="315"/>
      <c r="BT299" s="315"/>
      <c r="BU299" s="315"/>
      <c r="BV299" s="315"/>
      <c r="BW299" s="315"/>
      <c r="BX299" s="315"/>
      <c r="BY299" s="315"/>
      <c r="BZ299" s="315"/>
      <c r="CA299" s="315"/>
      <c r="CB299" s="315"/>
      <c r="CC299" s="315"/>
      <c r="CD299" s="315"/>
      <c r="CE299" s="315"/>
      <c r="CF299" s="315"/>
      <c r="CG299" s="315"/>
      <c r="CH299" s="315"/>
      <c r="CI299" s="315"/>
      <c r="CJ299" s="598"/>
      <c r="CK299" s="599"/>
      <c r="CL299" s="600"/>
      <c r="CM299" s="601"/>
    </row>
    <row r="300" spans="1:91" s="326" customFormat="1">
      <c r="A300" s="614" t="s">
        <v>429</v>
      </c>
      <c r="B300" s="594" t="s">
        <v>100</v>
      </c>
      <c r="C300" s="594" t="s">
        <v>100</v>
      </c>
      <c r="D300" s="594" t="s">
        <v>100</v>
      </c>
      <c r="E300" s="594" t="s">
        <v>100</v>
      </c>
      <c r="F300" s="594"/>
      <c r="G300" s="315"/>
      <c r="H300" s="594" t="s">
        <v>100</v>
      </c>
      <c r="I300" s="594"/>
      <c r="J300" s="315" t="s">
        <v>100</v>
      </c>
      <c r="K300" s="594"/>
      <c r="L300" s="315"/>
      <c r="M300" s="315"/>
      <c r="N300" s="594"/>
      <c r="O300" s="594"/>
      <c r="P300" s="315"/>
      <c r="Q300" s="594" t="s">
        <v>100</v>
      </c>
      <c r="R300" s="594"/>
      <c r="S300" s="594" t="s">
        <v>100</v>
      </c>
      <c r="T300" s="315" t="s">
        <v>100</v>
      </c>
      <c r="U300" s="315"/>
      <c r="V300" s="315"/>
      <c r="W300" s="594"/>
      <c r="X300" s="594"/>
      <c r="Y300" s="594"/>
      <c r="Z300" s="594"/>
      <c r="AA300" s="594"/>
      <c r="AB300" s="594"/>
      <c r="AC300" s="594"/>
      <c r="AD300" s="594"/>
      <c r="AE300" s="594"/>
      <c r="AF300" s="594"/>
      <c r="AG300" s="594"/>
      <c r="AH300" s="594"/>
      <c r="AI300" s="339">
        <f t="shared" ref="AI300" si="75">COUNTIF(B300:AH300,"x")</f>
        <v>9</v>
      </c>
      <c r="AJ300" s="330" t="str">
        <f t="shared" si="74"/>
        <v>BBWAA.com</v>
      </c>
      <c r="AK300" s="595">
        <v>43138</v>
      </c>
      <c r="AL300" s="596"/>
      <c r="AM300" s="596"/>
      <c r="AN300" s="596"/>
      <c r="AO300" s="596"/>
      <c r="AP300" s="596"/>
      <c r="AQ300" s="596"/>
      <c r="AR300" s="596"/>
      <c r="AS300" s="596"/>
      <c r="AT300" s="596"/>
      <c r="AU300" s="596"/>
      <c r="AV300" s="596"/>
      <c r="AW300" s="596"/>
      <c r="AX300" s="596"/>
      <c r="AY300" s="596"/>
      <c r="AZ300" s="596"/>
      <c r="BA300" s="596"/>
      <c r="BB300" s="596"/>
      <c r="BC300" s="596"/>
      <c r="BD300" s="596"/>
      <c r="BE300" s="596"/>
      <c r="BF300" s="596"/>
      <c r="BG300" s="596"/>
      <c r="BH300" s="596"/>
      <c r="BI300" s="596"/>
      <c r="BJ300" s="596"/>
      <c r="BK300" s="597"/>
      <c r="BL300" s="321"/>
      <c r="BM300" s="321"/>
      <c r="BN300" s="315"/>
      <c r="BO300" s="315"/>
      <c r="BP300" s="315"/>
      <c r="BQ300" s="315"/>
      <c r="BR300" s="315"/>
      <c r="BS300" s="315"/>
      <c r="BT300" s="315"/>
      <c r="BU300" s="315"/>
      <c r="BV300" s="315"/>
      <c r="BW300" s="315"/>
      <c r="BX300" s="315"/>
      <c r="BY300" s="315"/>
      <c r="BZ300" s="315"/>
      <c r="CA300" s="315"/>
      <c r="CB300" s="315"/>
      <c r="CC300" s="315"/>
      <c r="CD300" s="315"/>
      <c r="CE300" s="315"/>
      <c r="CF300" s="315"/>
      <c r="CG300" s="315"/>
      <c r="CH300" s="315"/>
      <c r="CI300" s="315"/>
      <c r="CJ300" s="598"/>
      <c r="CK300" s="599"/>
      <c r="CL300" s="600"/>
      <c r="CM300" s="601"/>
    </row>
    <row r="301" spans="1:91" s="326" customFormat="1">
      <c r="A301" s="614" t="s">
        <v>430</v>
      </c>
      <c r="B301" s="594"/>
      <c r="C301" s="594"/>
      <c r="D301" s="594"/>
      <c r="E301" s="594" t="s">
        <v>100</v>
      </c>
      <c r="F301" s="594" t="s">
        <v>100</v>
      </c>
      <c r="G301" s="315" t="s">
        <v>100</v>
      </c>
      <c r="H301" s="594" t="s">
        <v>100</v>
      </c>
      <c r="I301" s="594" t="s">
        <v>100</v>
      </c>
      <c r="J301" s="315"/>
      <c r="K301" s="594" t="s">
        <v>100</v>
      </c>
      <c r="L301" s="315"/>
      <c r="M301" s="315"/>
      <c r="N301" s="594"/>
      <c r="O301" s="594"/>
      <c r="P301" s="315"/>
      <c r="Q301" s="594"/>
      <c r="R301" s="594"/>
      <c r="S301" s="594" t="s">
        <v>100</v>
      </c>
      <c r="T301" s="315" t="s">
        <v>100</v>
      </c>
      <c r="U301" s="315" t="s">
        <v>100</v>
      </c>
      <c r="V301" s="315"/>
      <c r="W301" s="594"/>
      <c r="X301" s="594"/>
      <c r="Y301" s="594"/>
      <c r="Z301" s="594"/>
      <c r="AA301" s="594"/>
      <c r="AB301" s="594"/>
      <c r="AC301" s="594"/>
      <c r="AD301" s="594"/>
      <c r="AE301" s="594"/>
      <c r="AF301" s="594"/>
      <c r="AG301" s="594"/>
      <c r="AH301" s="594"/>
      <c r="AI301" s="339">
        <f t="shared" si="61"/>
        <v>9</v>
      </c>
      <c r="AJ301" s="330" t="str">
        <f t="shared" si="74"/>
        <v>BBWAA.com</v>
      </c>
      <c r="AK301" s="595">
        <v>43138</v>
      </c>
      <c r="AL301" s="596"/>
      <c r="AM301" s="596"/>
      <c r="AN301" s="596"/>
      <c r="AO301" s="596"/>
      <c r="AP301" s="596"/>
      <c r="AQ301" s="596"/>
      <c r="AR301" s="596"/>
      <c r="AS301" s="596"/>
      <c r="AT301" s="596"/>
      <c r="AU301" s="596"/>
      <c r="AV301" s="596"/>
      <c r="AW301" s="596"/>
      <c r="AX301" s="596"/>
      <c r="AY301" s="596"/>
      <c r="AZ301" s="596"/>
      <c r="BA301" s="596"/>
      <c r="BB301" s="596"/>
      <c r="BC301" s="596"/>
      <c r="BD301" s="596"/>
      <c r="BE301" s="596"/>
      <c r="BF301" s="596"/>
      <c r="BG301" s="596"/>
      <c r="BH301" s="596"/>
      <c r="BI301" s="596"/>
      <c r="BJ301" s="596"/>
      <c r="BK301" s="597"/>
      <c r="BL301" s="321"/>
      <c r="BM301" s="321"/>
      <c r="BN301" s="315"/>
      <c r="BO301" s="315"/>
      <c r="BP301" s="315"/>
      <c r="BQ301" s="315"/>
      <c r="BR301" s="315"/>
      <c r="BS301" s="315"/>
      <c r="BT301" s="315"/>
      <c r="BU301" s="315"/>
      <c r="BV301" s="315"/>
      <c r="BW301" s="315"/>
      <c r="BX301" s="315"/>
      <c r="BY301" s="315"/>
      <c r="BZ301" s="315"/>
      <c r="CA301" s="315"/>
      <c r="CB301" s="315"/>
      <c r="CC301" s="315"/>
      <c r="CD301" s="315"/>
      <c r="CE301" s="315"/>
      <c r="CF301" s="315"/>
      <c r="CG301" s="315"/>
      <c r="CH301" s="315"/>
      <c r="CI301" s="315"/>
      <c r="CJ301" s="598"/>
      <c r="CK301" s="599"/>
      <c r="CL301" s="600"/>
      <c r="CM301" s="601"/>
    </row>
    <row r="302" spans="1:91" s="326" customFormat="1">
      <c r="A302" s="614" t="s">
        <v>431</v>
      </c>
      <c r="B302" s="594" t="s">
        <v>100</v>
      </c>
      <c r="C302" s="594" t="s">
        <v>100</v>
      </c>
      <c r="D302" s="594"/>
      <c r="E302" s="594" t="s">
        <v>100</v>
      </c>
      <c r="F302" s="594"/>
      <c r="G302" s="315"/>
      <c r="H302" s="594" t="s">
        <v>100</v>
      </c>
      <c r="I302" s="594"/>
      <c r="J302" s="302" t="s">
        <v>100</v>
      </c>
      <c r="K302" s="594"/>
      <c r="L302" s="315" t="s">
        <v>100</v>
      </c>
      <c r="M302" s="315" t="s">
        <v>100</v>
      </c>
      <c r="N302" s="594"/>
      <c r="O302" s="594"/>
      <c r="P302" s="315" t="s">
        <v>100</v>
      </c>
      <c r="Q302" s="594" t="s">
        <v>100</v>
      </c>
      <c r="R302" s="594"/>
      <c r="S302" s="594" t="s">
        <v>100</v>
      </c>
      <c r="T302" s="315"/>
      <c r="U302" s="315"/>
      <c r="V302" s="315"/>
      <c r="W302" s="594"/>
      <c r="X302" s="594"/>
      <c r="Y302" s="594"/>
      <c r="Z302" s="594"/>
      <c r="AA302" s="594"/>
      <c r="AB302" s="594"/>
      <c r="AC302" s="594"/>
      <c r="AD302" s="594"/>
      <c r="AE302" s="594"/>
      <c r="AF302" s="594"/>
      <c r="AG302" s="594"/>
      <c r="AH302" s="594"/>
      <c r="AI302" s="339">
        <f t="shared" si="61"/>
        <v>10</v>
      </c>
      <c r="AJ302" s="330" t="str">
        <f t="shared" si="74"/>
        <v>BBWAA.com</v>
      </c>
      <c r="AK302" s="595">
        <v>43138</v>
      </c>
      <c r="AL302" s="596"/>
      <c r="AM302" s="596"/>
      <c r="AN302" s="596"/>
      <c r="AO302" s="596"/>
      <c r="AP302" s="596"/>
      <c r="AQ302" s="596"/>
      <c r="AR302" s="596"/>
      <c r="AS302" s="596"/>
      <c r="AT302" s="596"/>
      <c r="AU302" s="596"/>
      <c r="AV302" s="596"/>
      <c r="AW302" s="596"/>
      <c r="AX302" s="596"/>
      <c r="AY302" s="596"/>
      <c r="AZ302" s="596"/>
      <c r="BA302" s="596"/>
      <c r="BB302" s="596"/>
      <c r="BC302" s="596"/>
      <c r="BD302" s="596"/>
      <c r="BE302" s="596"/>
      <c r="BF302" s="596"/>
      <c r="BG302" s="596"/>
      <c r="BH302" s="596"/>
      <c r="BI302" s="596"/>
      <c r="BJ302" s="596"/>
      <c r="BK302" s="597"/>
      <c r="BL302" s="321"/>
      <c r="BM302" s="321"/>
      <c r="BN302" s="315"/>
      <c r="BO302" s="315"/>
      <c r="BP302" s="315"/>
      <c r="BQ302" s="315"/>
      <c r="BR302" s="315"/>
      <c r="BS302" s="315"/>
      <c r="BT302" s="315"/>
      <c r="BU302" s="315"/>
      <c r="BV302" s="315"/>
      <c r="BW302" s="315"/>
      <c r="BX302" s="315"/>
      <c r="BY302" s="315"/>
      <c r="BZ302" s="315"/>
      <c r="CA302" s="315"/>
      <c r="CB302" s="315"/>
      <c r="CC302" s="315"/>
      <c r="CD302" s="315"/>
      <c r="CE302" s="315"/>
      <c r="CF302" s="315"/>
      <c r="CG302" s="315"/>
      <c r="CH302" s="315"/>
      <c r="CI302" s="315"/>
      <c r="CJ302" s="598"/>
      <c r="CK302" s="599"/>
      <c r="CL302" s="600"/>
      <c r="CM302" s="601"/>
    </row>
    <row r="303" spans="1:91" s="326" customFormat="1">
      <c r="A303" s="614" t="s">
        <v>432</v>
      </c>
      <c r="B303" s="594"/>
      <c r="C303" s="594"/>
      <c r="D303" s="594"/>
      <c r="E303" s="594" t="s">
        <v>100</v>
      </c>
      <c r="F303" s="594" t="s">
        <v>100</v>
      </c>
      <c r="G303" s="315"/>
      <c r="H303" s="594" t="s">
        <v>100</v>
      </c>
      <c r="I303" s="366" t="s">
        <v>100</v>
      </c>
      <c r="J303" s="315" t="s">
        <v>100</v>
      </c>
      <c r="K303" s="366" t="s">
        <v>100</v>
      </c>
      <c r="L303" s="315" t="s">
        <v>100</v>
      </c>
      <c r="M303" s="315"/>
      <c r="N303" s="594"/>
      <c r="O303" s="594"/>
      <c r="P303" s="315"/>
      <c r="Q303" s="594" t="s">
        <v>100</v>
      </c>
      <c r="R303" s="594"/>
      <c r="S303" s="594" t="s">
        <v>100</v>
      </c>
      <c r="T303" s="315"/>
      <c r="U303" s="315" t="s">
        <v>100</v>
      </c>
      <c r="V303" s="315"/>
      <c r="W303" s="594"/>
      <c r="X303" s="594"/>
      <c r="Y303" s="594"/>
      <c r="Z303" s="594"/>
      <c r="AA303" s="594"/>
      <c r="AB303" s="594"/>
      <c r="AC303" s="594"/>
      <c r="AD303" s="594"/>
      <c r="AE303" s="594"/>
      <c r="AF303" s="594"/>
      <c r="AG303" s="594"/>
      <c r="AH303" s="594"/>
      <c r="AI303" s="339">
        <f t="shared" si="61"/>
        <v>10</v>
      </c>
      <c r="AJ303" s="330" t="str">
        <f t="shared" si="74"/>
        <v>BBWAA.com</v>
      </c>
      <c r="AK303" s="595">
        <v>43138</v>
      </c>
      <c r="AL303" s="596"/>
      <c r="AM303" s="596"/>
      <c r="AN303" s="596"/>
      <c r="AO303" s="596"/>
      <c r="AP303" s="596"/>
      <c r="AQ303" s="596"/>
      <c r="AR303" s="596"/>
      <c r="AS303" s="596"/>
      <c r="AT303" s="596"/>
      <c r="AU303" s="596"/>
      <c r="AV303" s="596"/>
      <c r="AW303" s="596"/>
      <c r="AX303" s="596"/>
      <c r="AY303" s="596"/>
      <c r="AZ303" s="596"/>
      <c r="BA303" s="596"/>
      <c r="BB303" s="596"/>
      <c r="BC303" s="596"/>
      <c r="BD303" s="596"/>
      <c r="BE303" s="596"/>
      <c r="BF303" s="596"/>
      <c r="BG303" s="596"/>
      <c r="BH303" s="596"/>
      <c r="BI303" s="596"/>
      <c r="BJ303" s="596"/>
      <c r="BK303" s="597"/>
      <c r="BL303" s="321"/>
      <c r="BM303" s="321"/>
      <c r="BN303" s="315"/>
      <c r="BO303" s="315"/>
      <c r="BP303" s="315"/>
      <c r="BQ303" s="315"/>
      <c r="BR303" s="315"/>
      <c r="BS303" s="315"/>
      <c r="BT303" s="315"/>
      <c r="BU303" s="315"/>
      <c r="BV303" s="315"/>
      <c r="BW303" s="315"/>
      <c r="BX303" s="315"/>
      <c r="BY303" s="315"/>
      <c r="BZ303" s="315"/>
      <c r="CA303" s="315"/>
      <c r="CB303" s="315"/>
      <c r="CC303" s="315"/>
      <c r="CD303" s="315"/>
      <c r="CE303" s="315"/>
      <c r="CF303" s="315"/>
      <c r="CG303" s="315"/>
      <c r="CH303" s="315"/>
      <c r="CI303" s="315"/>
      <c r="CJ303" s="598"/>
      <c r="CK303" s="599"/>
      <c r="CL303" s="600"/>
      <c r="CM303" s="601"/>
    </row>
    <row r="304" spans="1:91" s="326" customFormat="1">
      <c r="A304" s="614" t="s">
        <v>433</v>
      </c>
      <c r="B304" s="594" t="s">
        <v>100</v>
      </c>
      <c r="C304" s="594" t="s">
        <v>100</v>
      </c>
      <c r="D304" s="594"/>
      <c r="E304" s="594" t="s">
        <v>100</v>
      </c>
      <c r="F304" s="594" t="s">
        <v>100</v>
      </c>
      <c r="G304" s="315"/>
      <c r="H304" s="594" t="s">
        <v>100</v>
      </c>
      <c r="I304" s="594"/>
      <c r="J304" s="315" t="s">
        <v>100</v>
      </c>
      <c r="K304" s="594"/>
      <c r="L304" s="315"/>
      <c r="M304" s="315"/>
      <c r="N304" s="594"/>
      <c r="O304" s="594" t="s">
        <v>100</v>
      </c>
      <c r="P304" s="315"/>
      <c r="Q304" s="594"/>
      <c r="R304" s="594" t="s">
        <v>100</v>
      </c>
      <c r="S304" s="594" t="s">
        <v>100</v>
      </c>
      <c r="T304" s="315" t="s">
        <v>100</v>
      </c>
      <c r="U304" s="315"/>
      <c r="V304" s="315"/>
      <c r="W304" s="594"/>
      <c r="X304" s="594"/>
      <c r="Y304" s="594"/>
      <c r="Z304" s="594"/>
      <c r="AA304" s="594"/>
      <c r="AB304" s="594"/>
      <c r="AC304" s="594"/>
      <c r="AD304" s="594"/>
      <c r="AE304" s="594"/>
      <c r="AF304" s="594"/>
      <c r="AG304" s="594"/>
      <c r="AH304" s="594"/>
      <c r="AI304" s="339">
        <f t="shared" ref="AI304:AI307" si="76">COUNTIF(B304:AH304,"x")</f>
        <v>10</v>
      </c>
      <c r="AJ304" s="330" t="str">
        <f t="shared" si="74"/>
        <v>BBWAA.com</v>
      </c>
      <c r="AK304" s="595">
        <v>43138</v>
      </c>
      <c r="AL304" s="596"/>
      <c r="AM304" s="596"/>
      <c r="AN304" s="596"/>
      <c r="AO304" s="596"/>
      <c r="AP304" s="596"/>
      <c r="AQ304" s="596"/>
      <c r="AR304" s="596"/>
      <c r="AS304" s="596"/>
      <c r="AT304" s="596"/>
      <c r="AU304" s="596"/>
      <c r="AV304" s="596"/>
      <c r="AW304" s="596"/>
      <c r="AX304" s="596"/>
      <c r="AY304" s="596"/>
      <c r="AZ304" s="596"/>
      <c r="BA304" s="596"/>
      <c r="BB304" s="596"/>
      <c r="BC304" s="596"/>
      <c r="BD304" s="596"/>
      <c r="BE304" s="596"/>
      <c r="BF304" s="596"/>
      <c r="BG304" s="596"/>
      <c r="BH304" s="596"/>
      <c r="BI304" s="596"/>
      <c r="BJ304" s="596"/>
      <c r="BK304" s="597"/>
      <c r="BL304" s="321"/>
      <c r="BM304" s="321"/>
      <c r="BN304" s="315"/>
      <c r="BO304" s="315"/>
      <c r="BP304" s="315"/>
      <c r="BQ304" s="315"/>
      <c r="BR304" s="315"/>
      <c r="BS304" s="315"/>
      <c r="BT304" s="315"/>
      <c r="BU304" s="315"/>
      <c r="BV304" s="315"/>
      <c r="BW304" s="315"/>
      <c r="BX304" s="315"/>
      <c r="BY304" s="315"/>
      <c r="BZ304" s="315"/>
      <c r="CA304" s="315"/>
      <c r="CB304" s="315"/>
      <c r="CC304" s="315"/>
      <c r="CD304" s="315"/>
      <c r="CE304" s="315"/>
      <c r="CF304" s="315"/>
      <c r="CG304" s="315"/>
      <c r="CH304" s="315"/>
      <c r="CI304" s="315"/>
      <c r="CJ304" s="598"/>
      <c r="CK304" s="599"/>
      <c r="CL304" s="600"/>
      <c r="CM304" s="601"/>
    </row>
    <row r="305" spans="1:91" s="326" customFormat="1">
      <c r="A305" s="614" t="s">
        <v>434</v>
      </c>
      <c r="B305" s="594"/>
      <c r="C305" s="594"/>
      <c r="D305" s="594"/>
      <c r="E305" s="594" t="s">
        <v>100</v>
      </c>
      <c r="F305" s="594"/>
      <c r="G305" s="315"/>
      <c r="H305" s="594" t="s">
        <v>100</v>
      </c>
      <c r="I305" s="594"/>
      <c r="J305" s="315" t="s">
        <v>100</v>
      </c>
      <c r="K305" s="594"/>
      <c r="L305" s="315" t="s">
        <v>100</v>
      </c>
      <c r="M305" s="315"/>
      <c r="N305" s="594" t="s">
        <v>100</v>
      </c>
      <c r="O305" s="594"/>
      <c r="P305" s="315" t="s">
        <v>100</v>
      </c>
      <c r="Q305" s="594"/>
      <c r="R305" s="594"/>
      <c r="S305" s="594" t="s">
        <v>100</v>
      </c>
      <c r="T305" s="315" t="s">
        <v>100</v>
      </c>
      <c r="U305" s="315"/>
      <c r="V305" s="315" t="s">
        <v>100</v>
      </c>
      <c r="W305" s="594"/>
      <c r="X305" s="594"/>
      <c r="Y305" s="594"/>
      <c r="Z305" s="594"/>
      <c r="AA305" s="594"/>
      <c r="AB305" s="594"/>
      <c r="AC305" s="594"/>
      <c r="AD305" s="594"/>
      <c r="AE305" s="594"/>
      <c r="AF305" s="594"/>
      <c r="AG305" s="594"/>
      <c r="AH305" s="594"/>
      <c r="AI305" s="339">
        <f t="shared" si="76"/>
        <v>9</v>
      </c>
      <c r="AJ305" s="330" t="str">
        <f t="shared" si="74"/>
        <v>BBWAA.com</v>
      </c>
      <c r="AK305" s="595">
        <v>43138</v>
      </c>
      <c r="AL305" s="596"/>
      <c r="AM305" s="596"/>
      <c r="AN305" s="596"/>
      <c r="AO305" s="596"/>
      <c r="AP305" s="596"/>
      <c r="AQ305" s="596"/>
      <c r="AR305" s="596"/>
      <c r="AS305" s="596"/>
      <c r="AT305" s="596"/>
      <c r="AU305" s="596"/>
      <c r="AV305" s="596"/>
      <c r="AW305" s="596"/>
      <c r="AX305" s="596"/>
      <c r="AY305" s="596"/>
      <c r="AZ305" s="596"/>
      <c r="BA305" s="596"/>
      <c r="BB305" s="596"/>
      <c r="BC305" s="596"/>
      <c r="BD305" s="596"/>
      <c r="BE305" s="596"/>
      <c r="BF305" s="596"/>
      <c r="BG305" s="596"/>
      <c r="BH305" s="596"/>
      <c r="BI305" s="596"/>
      <c r="BJ305" s="596"/>
      <c r="BK305" s="597"/>
      <c r="BL305" s="321"/>
      <c r="BM305" s="321"/>
      <c r="BN305" s="315"/>
      <c r="BO305" s="315"/>
      <c r="BP305" s="315"/>
      <c r="BQ305" s="315"/>
      <c r="BR305" s="315"/>
      <c r="BS305" s="315"/>
      <c r="BT305" s="315"/>
      <c r="BU305" s="315"/>
      <c r="BV305" s="315"/>
      <c r="BW305" s="315"/>
      <c r="BX305" s="315"/>
      <c r="BY305" s="315"/>
      <c r="BZ305" s="315"/>
      <c r="CA305" s="315"/>
      <c r="CB305" s="315"/>
      <c r="CC305" s="315"/>
      <c r="CD305" s="315"/>
      <c r="CE305" s="315"/>
      <c r="CF305" s="315"/>
      <c r="CG305" s="315"/>
      <c r="CH305" s="315"/>
      <c r="CI305" s="315"/>
      <c r="CJ305" s="598"/>
      <c r="CK305" s="599"/>
      <c r="CL305" s="600"/>
      <c r="CM305" s="601"/>
    </row>
    <row r="306" spans="1:91" s="326" customFormat="1">
      <c r="A306" s="614" t="s">
        <v>435</v>
      </c>
      <c r="B306" s="594" t="s">
        <v>100</v>
      </c>
      <c r="C306" s="594"/>
      <c r="D306" s="594"/>
      <c r="E306" s="366" t="s">
        <v>100</v>
      </c>
      <c r="F306" s="594" t="s">
        <v>100</v>
      </c>
      <c r="G306" s="315"/>
      <c r="H306" s="594" t="s">
        <v>100</v>
      </c>
      <c r="I306" s="594" t="s">
        <v>100</v>
      </c>
      <c r="J306" s="315" t="s">
        <v>100</v>
      </c>
      <c r="K306" s="594"/>
      <c r="L306" s="302" t="s">
        <v>100</v>
      </c>
      <c r="M306" s="315"/>
      <c r="N306" s="594" t="s">
        <v>100</v>
      </c>
      <c r="O306" s="594"/>
      <c r="P306" s="315"/>
      <c r="Q306" s="594"/>
      <c r="R306" s="594"/>
      <c r="S306" s="594" t="s">
        <v>100</v>
      </c>
      <c r="T306" s="315"/>
      <c r="U306" s="315" t="s">
        <v>100</v>
      </c>
      <c r="V306" s="315"/>
      <c r="W306" s="594"/>
      <c r="X306" s="594"/>
      <c r="Y306" s="594"/>
      <c r="Z306" s="594"/>
      <c r="AA306" s="594"/>
      <c r="AB306" s="594"/>
      <c r="AC306" s="594"/>
      <c r="AD306" s="594"/>
      <c r="AE306" s="594"/>
      <c r="AF306" s="594"/>
      <c r="AG306" s="594"/>
      <c r="AH306" s="594"/>
      <c r="AI306" s="339">
        <f t="shared" si="76"/>
        <v>10</v>
      </c>
      <c r="AJ306" s="330" t="str">
        <f t="shared" si="74"/>
        <v>BBWAA.com</v>
      </c>
      <c r="AK306" s="595">
        <v>43138</v>
      </c>
      <c r="AL306" s="596"/>
      <c r="AM306" s="596"/>
      <c r="AN306" s="596"/>
      <c r="AO306" s="596"/>
      <c r="AP306" s="596"/>
      <c r="AQ306" s="596"/>
      <c r="AR306" s="596"/>
      <c r="AS306" s="596"/>
      <c r="AT306" s="596"/>
      <c r="AU306" s="596"/>
      <c r="AV306" s="596"/>
      <c r="AW306" s="596"/>
      <c r="AX306" s="596"/>
      <c r="AY306" s="596"/>
      <c r="AZ306" s="596"/>
      <c r="BA306" s="596"/>
      <c r="BB306" s="596"/>
      <c r="BC306" s="596"/>
      <c r="BD306" s="596"/>
      <c r="BE306" s="596"/>
      <c r="BF306" s="596"/>
      <c r="BG306" s="596"/>
      <c r="BH306" s="596"/>
      <c r="BI306" s="596"/>
      <c r="BJ306" s="596"/>
      <c r="BK306" s="597"/>
      <c r="BL306" s="321"/>
      <c r="BM306" s="321"/>
      <c r="BN306" s="315"/>
      <c r="BO306" s="315"/>
      <c r="BP306" s="315"/>
      <c r="BQ306" s="315"/>
      <c r="BR306" s="315"/>
      <c r="BS306" s="315"/>
      <c r="BT306" s="315"/>
      <c r="BU306" s="315"/>
      <c r="BV306" s="315"/>
      <c r="BW306" s="315"/>
      <c r="BX306" s="315"/>
      <c r="BY306" s="315"/>
      <c r="BZ306" s="315"/>
      <c r="CA306" s="315"/>
      <c r="CB306" s="315"/>
      <c r="CC306" s="315"/>
      <c r="CD306" s="315"/>
      <c r="CE306" s="315"/>
      <c r="CF306" s="315"/>
      <c r="CG306" s="315"/>
      <c r="CH306" s="315"/>
      <c r="CI306" s="315"/>
      <c r="CJ306" s="598"/>
      <c r="CK306" s="599"/>
      <c r="CL306" s="600"/>
      <c r="CM306" s="601"/>
    </row>
    <row r="307" spans="1:91" s="326" customFormat="1">
      <c r="A307" s="614" t="s">
        <v>436</v>
      </c>
      <c r="B307" s="594"/>
      <c r="C307" s="594"/>
      <c r="D307" s="594"/>
      <c r="E307" s="366" t="s">
        <v>100</v>
      </c>
      <c r="F307" s="594" t="s">
        <v>100</v>
      </c>
      <c r="G307" s="315"/>
      <c r="H307" s="594" t="s">
        <v>100</v>
      </c>
      <c r="I307" s="594"/>
      <c r="J307" s="315"/>
      <c r="K307" s="594" t="s">
        <v>100</v>
      </c>
      <c r="L307" s="315" t="s">
        <v>100</v>
      </c>
      <c r="M307" s="315"/>
      <c r="N307" s="594"/>
      <c r="O307" s="594"/>
      <c r="P307" s="315"/>
      <c r="Q307" s="594"/>
      <c r="R307" s="594"/>
      <c r="S307" s="594" t="s">
        <v>100</v>
      </c>
      <c r="T307" s="315" t="s">
        <v>100</v>
      </c>
      <c r="U307" s="315"/>
      <c r="V307" s="315"/>
      <c r="W307" s="594"/>
      <c r="X307" s="594"/>
      <c r="Y307" s="594"/>
      <c r="Z307" s="594"/>
      <c r="AA307" s="594"/>
      <c r="AB307" s="594"/>
      <c r="AC307" s="594"/>
      <c r="AD307" s="594"/>
      <c r="AE307" s="594"/>
      <c r="AF307" s="594"/>
      <c r="AG307" s="594"/>
      <c r="AH307" s="594"/>
      <c r="AI307" s="339">
        <f t="shared" si="76"/>
        <v>7</v>
      </c>
      <c r="AJ307" s="330" t="str">
        <f t="shared" si="74"/>
        <v>BBWAA.com</v>
      </c>
      <c r="AK307" s="595">
        <v>43138</v>
      </c>
      <c r="AL307" s="596"/>
      <c r="AM307" s="596"/>
      <c r="AN307" s="596"/>
      <c r="AO307" s="596"/>
      <c r="AP307" s="596"/>
      <c r="AQ307" s="596"/>
      <c r="AR307" s="596"/>
      <c r="AS307" s="596"/>
      <c r="AT307" s="596"/>
      <c r="AU307" s="596"/>
      <c r="AV307" s="596"/>
      <c r="AW307" s="596"/>
      <c r="AX307" s="596"/>
      <c r="AY307" s="596"/>
      <c r="AZ307" s="596"/>
      <c r="BA307" s="596"/>
      <c r="BB307" s="596"/>
      <c r="BC307" s="596"/>
      <c r="BD307" s="596"/>
      <c r="BE307" s="596"/>
      <c r="BF307" s="596"/>
      <c r="BG307" s="596"/>
      <c r="BH307" s="596"/>
      <c r="BI307" s="596"/>
      <c r="BJ307" s="596"/>
      <c r="BK307" s="597"/>
      <c r="BL307" s="321"/>
      <c r="BM307" s="321"/>
      <c r="BN307" s="315"/>
      <c r="BO307" s="315"/>
      <c r="BP307" s="315"/>
      <c r="BQ307" s="315"/>
      <c r="BR307" s="315"/>
      <c r="BS307" s="315"/>
      <c r="BT307" s="315"/>
      <c r="BU307" s="315"/>
      <c r="BV307" s="315"/>
      <c r="BW307" s="315"/>
      <c r="BX307" s="315"/>
      <c r="BY307" s="315"/>
      <c r="BZ307" s="315"/>
      <c r="CA307" s="315"/>
      <c r="CB307" s="315"/>
      <c r="CC307" s="315"/>
      <c r="CD307" s="315"/>
      <c r="CE307" s="315"/>
      <c r="CF307" s="315"/>
      <c r="CG307" s="315"/>
      <c r="CH307" s="315"/>
      <c r="CI307" s="315"/>
      <c r="CJ307" s="598"/>
      <c r="CK307" s="599"/>
      <c r="CL307" s="600"/>
      <c r="CM307" s="601"/>
    </row>
    <row r="308" spans="1:91" s="326" customFormat="1">
      <c r="A308" s="614" t="s">
        <v>437</v>
      </c>
      <c r="B308" s="594" t="s">
        <v>100</v>
      </c>
      <c r="C308" s="594" t="s">
        <v>100</v>
      </c>
      <c r="D308" s="594"/>
      <c r="E308" s="594" t="s">
        <v>100</v>
      </c>
      <c r="F308" s="594" t="s">
        <v>100</v>
      </c>
      <c r="G308" s="315"/>
      <c r="H308" s="594" t="s">
        <v>100</v>
      </c>
      <c r="I308" s="594"/>
      <c r="J308" s="315" t="s">
        <v>100</v>
      </c>
      <c r="K308" s="594"/>
      <c r="L308" s="302" t="s">
        <v>100</v>
      </c>
      <c r="M308" s="315" t="s">
        <v>100</v>
      </c>
      <c r="N308" s="594"/>
      <c r="O308" s="594"/>
      <c r="P308" s="315" t="s">
        <v>100</v>
      </c>
      <c r="Q308" s="594"/>
      <c r="R308" s="594"/>
      <c r="S308" s="594" t="s">
        <v>100</v>
      </c>
      <c r="T308" s="315"/>
      <c r="U308" s="315"/>
      <c r="V308" s="315"/>
      <c r="W308" s="594"/>
      <c r="X308" s="594"/>
      <c r="Y308" s="594"/>
      <c r="Z308" s="594"/>
      <c r="AA308" s="594"/>
      <c r="AB308" s="594"/>
      <c r="AC308" s="594"/>
      <c r="AD308" s="594"/>
      <c r="AE308" s="594"/>
      <c r="AF308" s="594"/>
      <c r="AG308" s="594"/>
      <c r="AH308" s="594"/>
      <c r="AI308" s="339">
        <f t="shared" ref="AI308" si="77">COUNTIF(B308:AH308,"x")</f>
        <v>10</v>
      </c>
      <c r="AJ308" s="330" t="str">
        <f t="shared" si="74"/>
        <v>BBWAA.com</v>
      </c>
      <c r="AK308" s="595">
        <v>43138</v>
      </c>
      <c r="AL308" s="596"/>
      <c r="AM308" s="596"/>
      <c r="AN308" s="596"/>
      <c r="AO308" s="596"/>
      <c r="AP308" s="596"/>
      <c r="AQ308" s="596"/>
      <c r="AR308" s="596"/>
      <c r="AS308" s="596"/>
      <c r="AT308" s="596"/>
      <c r="AU308" s="596"/>
      <c r="AV308" s="596"/>
      <c r="AW308" s="596"/>
      <c r="AX308" s="596"/>
      <c r="AY308" s="596"/>
      <c r="AZ308" s="596"/>
      <c r="BA308" s="596"/>
      <c r="BB308" s="596"/>
      <c r="BC308" s="596"/>
      <c r="BD308" s="596"/>
      <c r="BE308" s="596"/>
      <c r="BF308" s="596"/>
      <c r="BG308" s="596"/>
      <c r="BH308" s="596"/>
      <c r="BI308" s="596"/>
      <c r="BJ308" s="596"/>
      <c r="BK308" s="597"/>
      <c r="BL308" s="321"/>
      <c r="BM308" s="321"/>
      <c r="BN308" s="315"/>
      <c r="BO308" s="315"/>
      <c r="BP308" s="315"/>
      <c r="BQ308" s="315"/>
      <c r="BR308" s="315"/>
      <c r="BS308" s="315"/>
      <c r="BT308" s="315"/>
      <c r="BU308" s="315"/>
      <c r="BV308" s="315"/>
      <c r="BW308" s="315"/>
      <c r="BX308" s="315"/>
      <c r="BY308" s="315"/>
      <c r="BZ308" s="315"/>
      <c r="CA308" s="315"/>
      <c r="CB308" s="315"/>
      <c r="CC308" s="315"/>
      <c r="CD308" s="315"/>
      <c r="CE308" s="315"/>
      <c r="CF308" s="315"/>
      <c r="CG308" s="315"/>
      <c r="CH308" s="315"/>
      <c r="CI308" s="315"/>
      <c r="CJ308" s="598"/>
      <c r="CK308" s="599"/>
      <c r="CL308" s="600"/>
      <c r="CM308" s="601"/>
    </row>
    <row r="309" spans="1:91" s="326" customFormat="1">
      <c r="A309" s="614" t="s">
        <v>438</v>
      </c>
      <c r="B309" s="594" t="s">
        <v>100</v>
      </c>
      <c r="C309" s="594" t="s">
        <v>100</v>
      </c>
      <c r="D309" s="594"/>
      <c r="E309" s="594" t="s">
        <v>100</v>
      </c>
      <c r="F309" s="594" t="s">
        <v>100</v>
      </c>
      <c r="G309" s="315"/>
      <c r="H309" s="594" t="s">
        <v>100</v>
      </c>
      <c r="I309" s="594"/>
      <c r="J309" s="302" t="s">
        <v>100</v>
      </c>
      <c r="K309" s="594"/>
      <c r="L309" s="315"/>
      <c r="M309" s="315"/>
      <c r="N309" s="594"/>
      <c r="O309" s="594"/>
      <c r="P309" s="315" t="s">
        <v>100</v>
      </c>
      <c r="Q309" s="594"/>
      <c r="R309" s="594" t="s">
        <v>100</v>
      </c>
      <c r="S309" s="594" t="s">
        <v>100</v>
      </c>
      <c r="T309" s="315"/>
      <c r="U309" s="315"/>
      <c r="V309" s="315"/>
      <c r="W309" s="594"/>
      <c r="X309" s="594"/>
      <c r="Y309" s="594"/>
      <c r="Z309" s="594"/>
      <c r="AA309" s="594"/>
      <c r="AB309" s="594"/>
      <c r="AC309" s="594"/>
      <c r="AD309" s="594"/>
      <c r="AE309" s="594"/>
      <c r="AF309" s="594"/>
      <c r="AG309" s="594" t="s">
        <v>100</v>
      </c>
      <c r="AH309" s="594"/>
      <c r="AI309" s="339">
        <f t="shared" si="61"/>
        <v>10</v>
      </c>
      <c r="AJ309" s="330" t="str">
        <f t="shared" si="74"/>
        <v>BBWAA.com</v>
      </c>
      <c r="AK309" s="595">
        <v>43138</v>
      </c>
      <c r="AL309" s="596"/>
      <c r="AM309" s="596"/>
      <c r="AN309" s="596"/>
      <c r="AO309" s="596"/>
      <c r="AP309" s="596"/>
      <c r="AQ309" s="596"/>
      <c r="AR309" s="596"/>
      <c r="AS309" s="596"/>
      <c r="AT309" s="596"/>
      <c r="AU309" s="596"/>
      <c r="AV309" s="596"/>
      <c r="AW309" s="596"/>
      <c r="AX309" s="596"/>
      <c r="AY309" s="596"/>
      <c r="AZ309" s="596"/>
      <c r="BA309" s="596"/>
      <c r="BB309" s="596"/>
      <c r="BC309" s="596"/>
      <c r="BD309" s="596"/>
      <c r="BE309" s="596"/>
      <c r="BF309" s="596"/>
      <c r="BG309" s="596"/>
      <c r="BH309" s="596"/>
      <c r="BI309" s="596"/>
      <c r="BJ309" s="596"/>
      <c r="BK309" s="597"/>
      <c r="BL309" s="321"/>
      <c r="BM309" s="321"/>
      <c r="BN309" s="315"/>
      <c r="BO309" s="315"/>
      <c r="BP309" s="315"/>
      <c r="BQ309" s="315"/>
      <c r="BR309" s="315"/>
      <c r="BS309" s="315"/>
      <c r="BT309" s="315"/>
      <c r="BU309" s="315"/>
      <c r="BV309" s="315"/>
      <c r="BW309" s="315"/>
      <c r="BX309" s="315"/>
      <c r="BY309" s="315"/>
      <c r="BZ309" s="315"/>
      <c r="CA309" s="315"/>
      <c r="CB309" s="315"/>
      <c r="CC309" s="315"/>
      <c r="CD309" s="315"/>
      <c r="CE309" s="315"/>
      <c r="CF309" s="315"/>
      <c r="CG309" s="315"/>
      <c r="CH309" s="315"/>
      <c r="CI309" s="315"/>
      <c r="CJ309" s="598"/>
      <c r="CK309" s="599"/>
      <c r="CL309" s="600"/>
      <c r="CM309" s="601"/>
    </row>
    <row r="310" spans="1:91" s="326" customFormat="1">
      <c r="A310" s="614" t="s">
        <v>439</v>
      </c>
      <c r="B310" s="594"/>
      <c r="C310" s="594"/>
      <c r="D310" s="594"/>
      <c r="E310" s="594" t="s">
        <v>100</v>
      </c>
      <c r="F310" s="594" t="s">
        <v>100</v>
      </c>
      <c r="G310" s="315"/>
      <c r="H310" s="594" t="s">
        <v>100</v>
      </c>
      <c r="I310" s="366" t="s">
        <v>100</v>
      </c>
      <c r="J310" s="315" t="s">
        <v>100</v>
      </c>
      <c r="K310" s="594" t="s">
        <v>100</v>
      </c>
      <c r="L310" s="320"/>
      <c r="M310" s="315"/>
      <c r="N310" s="594" t="s">
        <v>100</v>
      </c>
      <c r="O310" s="594"/>
      <c r="P310" s="315" t="s">
        <v>100</v>
      </c>
      <c r="Q310" s="594"/>
      <c r="R310" s="594"/>
      <c r="S310" s="594" t="s">
        <v>100</v>
      </c>
      <c r="T310" s="315" t="s">
        <v>100</v>
      </c>
      <c r="U310" s="320"/>
      <c r="V310" s="315"/>
      <c r="W310" s="594"/>
      <c r="X310" s="594"/>
      <c r="Y310" s="594"/>
      <c r="Z310" s="594"/>
      <c r="AA310" s="594"/>
      <c r="AB310" s="594"/>
      <c r="AC310" s="594"/>
      <c r="AD310" s="594"/>
      <c r="AE310" s="594"/>
      <c r="AF310" s="594"/>
      <c r="AG310" s="594"/>
      <c r="AH310" s="594"/>
      <c r="AI310" s="339">
        <f t="shared" ref="AI310:AI312" si="78">COUNTIF(B310:AH310,"x")</f>
        <v>10</v>
      </c>
      <c r="AJ310" s="330" t="str">
        <f t="shared" si="74"/>
        <v>BBWAA.com</v>
      </c>
      <c r="AK310" s="595">
        <v>43138</v>
      </c>
      <c r="AL310" s="596"/>
      <c r="AM310" s="596"/>
      <c r="AN310" s="596"/>
      <c r="AO310" s="596"/>
      <c r="AP310" s="596"/>
      <c r="AQ310" s="596"/>
      <c r="AR310" s="596"/>
      <c r="AS310" s="596"/>
      <c r="AT310" s="596"/>
      <c r="AU310" s="596"/>
      <c r="AV310" s="596"/>
      <c r="AW310" s="596"/>
      <c r="AX310" s="596"/>
      <c r="AY310" s="596"/>
      <c r="AZ310" s="596"/>
      <c r="BA310" s="596"/>
      <c r="BB310" s="596"/>
      <c r="BC310" s="596"/>
      <c r="BD310" s="596"/>
      <c r="BE310" s="596"/>
      <c r="BF310" s="596"/>
      <c r="BG310" s="596"/>
      <c r="BH310" s="596"/>
      <c r="BI310" s="596"/>
      <c r="BJ310" s="596"/>
      <c r="BK310" s="597"/>
      <c r="BL310" s="321"/>
      <c r="BM310" s="321"/>
      <c r="BN310" s="315"/>
      <c r="BO310" s="315"/>
      <c r="BP310" s="315"/>
      <c r="BQ310" s="315"/>
      <c r="BR310" s="315"/>
      <c r="BS310" s="315"/>
      <c r="BT310" s="315"/>
      <c r="BU310" s="315"/>
      <c r="BV310" s="315"/>
      <c r="BW310" s="315"/>
      <c r="BX310" s="315"/>
      <c r="BY310" s="315"/>
      <c r="BZ310" s="315"/>
      <c r="CA310" s="315"/>
      <c r="CB310" s="315"/>
      <c r="CC310" s="315"/>
      <c r="CD310" s="315"/>
      <c r="CE310" s="315"/>
      <c r="CF310" s="315"/>
      <c r="CG310" s="315"/>
      <c r="CH310" s="315"/>
      <c r="CI310" s="315"/>
      <c r="CJ310" s="598"/>
      <c r="CK310" s="599"/>
      <c r="CL310" s="600"/>
      <c r="CM310" s="601"/>
    </row>
    <row r="311" spans="1:91" s="326" customFormat="1">
      <c r="A311" s="614" t="s">
        <v>440</v>
      </c>
      <c r="B311" s="594"/>
      <c r="C311" s="594"/>
      <c r="D311" s="594"/>
      <c r="E311" s="594" t="s">
        <v>100</v>
      </c>
      <c r="F311" s="594"/>
      <c r="G311" s="315"/>
      <c r="H311" s="594" t="s">
        <v>100</v>
      </c>
      <c r="I311" s="594"/>
      <c r="J311" s="315" t="s">
        <v>100</v>
      </c>
      <c r="K311" s="594"/>
      <c r="L311" s="315" t="s">
        <v>100</v>
      </c>
      <c r="M311" s="315"/>
      <c r="N311" s="594"/>
      <c r="O311" s="594"/>
      <c r="P311" s="315" t="s">
        <v>100</v>
      </c>
      <c r="Q311" s="594"/>
      <c r="R311" s="594"/>
      <c r="S311" s="594" t="s">
        <v>100</v>
      </c>
      <c r="T311" s="315" t="s">
        <v>100</v>
      </c>
      <c r="U311" s="315"/>
      <c r="V311" s="315"/>
      <c r="W311" s="594"/>
      <c r="X311" s="594"/>
      <c r="Y311" s="594"/>
      <c r="Z311" s="594"/>
      <c r="AA311" s="594"/>
      <c r="AB311" s="594"/>
      <c r="AC311" s="594"/>
      <c r="AD311" s="594"/>
      <c r="AE311" s="594"/>
      <c r="AF311" s="594"/>
      <c r="AG311" s="594"/>
      <c r="AH311" s="594"/>
      <c r="AI311" s="339">
        <f t="shared" si="78"/>
        <v>7</v>
      </c>
      <c r="AJ311" s="330" t="str">
        <f t="shared" si="74"/>
        <v>BBWAA.com</v>
      </c>
      <c r="AK311" s="595">
        <v>43138</v>
      </c>
      <c r="AL311" s="596"/>
      <c r="AM311" s="596"/>
      <c r="AN311" s="596"/>
      <c r="AO311" s="596"/>
      <c r="AP311" s="596"/>
      <c r="AQ311" s="596"/>
      <c r="AR311" s="596"/>
      <c r="AS311" s="596"/>
      <c r="AT311" s="596"/>
      <c r="AU311" s="596"/>
      <c r="AV311" s="596"/>
      <c r="AW311" s="596"/>
      <c r="AX311" s="596"/>
      <c r="AY311" s="596"/>
      <c r="AZ311" s="596"/>
      <c r="BA311" s="596"/>
      <c r="BB311" s="596"/>
      <c r="BC311" s="596"/>
      <c r="BD311" s="596"/>
      <c r="BE311" s="596"/>
      <c r="BF311" s="596"/>
      <c r="BG311" s="596"/>
      <c r="BH311" s="596"/>
      <c r="BI311" s="596"/>
      <c r="BJ311" s="596"/>
      <c r="BK311" s="597"/>
      <c r="BL311" s="321"/>
      <c r="BM311" s="321"/>
      <c r="BN311" s="315"/>
      <c r="BO311" s="315"/>
      <c r="BP311" s="315"/>
      <c r="BQ311" s="315"/>
      <c r="BR311" s="315"/>
      <c r="BS311" s="315"/>
      <c r="BT311" s="315"/>
      <c r="BU311" s="315"/>
      <c r="BV311" s="315"/>
      <c r="BW311" s="315"/>
      <c r="BX311" s="315"/>
      <c r="BY311" s="315"/>
      <c r="BZ311" s="315"/>
      <c r="CA311" s="315"/>
      <c r="CB311" s="315"/>
      <c r="CC311" s="315"/>
      <c r="CD311" s="315"/>
      <c r="CE311" s="315"/>
      <c r="CF311" s="315"/>
      <c r="CG311" s="315"/>
      <c r="CH311" s="315"/>
      <c r="CI311" s="315"/>
      <c r="CJ311" s="598"/>
      <c r="CK311" s="599"/>
      <c r="CL311" s="600"/>
      <c r="CM311" s="601"/>
    </row>
    <row r="312" spans="1:91" s="326" customFormat="1">
      <c r="A312" s="614" t="s">
        <v>441</v>
      </c>
      <c r="B312" s="594" t="s">
        <v>100</v>
      </c>
      <c r="C312" s="594" t="s">
        <v>100</v>
      </c>
      <c r="D312" s="594"/>
      <c r="E312" s="594" t="s">
        <v>100</v>
      </c>
      <c r="F312" s="594"/>
      <c r="G312" s="315"/>
      <c r="H312" s="594" t="s">
        <v>100</v>
      </c>
      <c r="I312" s="594"/>
      <c r="J312" s="320"/>
      <c r="K312" s="594"/>
      <c r="L312" s="315" t="s">
        <v>100</v>
      </c>
      <c r="M312" s="315" t="s">
        <v>100</v>
      </c>
      <c r="N312" s="594"/>
      <c r="O312" s="594"/>
      <c r="P312" s="320"/>
      <c r="Q312" s="594"/>
      <c r="R312" s="594"/>
      <c r="S312" s="594"/>
      <c r="T312" s="315"/>
      <c r="U312" s="315"/>
      <c r="V312" s="315"/>
      <c r="W312" s="594"/>
      <c r="X312" s="594"/>
      <c r="Y312" s="594"/>
      <c r="Z312" s="594"/>
      <c r="AA312" s="594"/>
      <c r="AB312" s="594"/>
      <c r="AC312" s="594"/>
      <c r="AD312" s="594"/>
      <c r="AE312" s="594"/>
      <c r="AF312" s="594"/>
      <c r="AG312" s="594"/>
      <c r="AH312" s="594"/>
      <c r="AI312" s="339">
        <f t="shared" si="78"/>
        <v>6</v>
      </c>
      <c r="AJ312" s="330" t="str">
        <f t="shared" si="74"/>
        <v>BBWAA.com</v>
      </c>
      <c r="AK312" s="595">
        <v>43138</v>
      </c>
      <c r="AL312" s="596"/>
      <c r="AM312" s="596"/>
      <c r="AN312" s="596"/>
      <c r="AO312" s="596"/>
      <c r="AP312" s="596"/>
      <c r="AQ312" s="596"/>
      <c r="AR312" s="596"/>
      <c r="AS312" s="596"/>
      <c r="AT312" s="596"/>
      <c r="AU312" s="596"/>
      <c r="AV312" s="596"/>
      <c r="AW312" s="596"/>
      <c r="AX312" s="596"/>
      <c r="AY312" s="596"/>
      <c r="AZ312" s="596"/>
      <c r="BA312" s="596"/>
      <c r="BB312" s="596"/>
      <c r="BC312" s="596"/>
      <c r="BD312" s="596"/>
      <c r="BE312" s="596"/>
      <c r="BF312" s="596"/>
      <c r="BG312" s="596"/>
      <c r="BH312" s="596"/>
      <c r="BI312" s="596"/>
      <c r="BJ312" s="596"/>
      <c r="BK312" s="597"/>
      <c r="BL312" s="321"/>
      <c r="BM312" s="321"/>
      <c r="BN312" s="315"/>
      <c r="BO312" s="315"/>
      <c r="BP312" s="315"/>
      <c r="BQ312" s="315"/>
      <c r="BR312" s="315"/>
      <c r="BS312" s="315"/>
      <c r="BT312" s="315"/>
      <c r="BU312" s="315"/>
      <c r="BV312" s="315"/>
      <c r="BW312" s="315"/>
      <c r="BX312" s="315"/>
      <c r="BY312" s="315"/>
      <c r="BZ312" s="315"/>
      <c r="CA312" s="315"/>
      <c r="CB312" s="315"/>
      <c r="CC312" s="315"/>
      <c r="CD312" s="315"/>
      <c r="CE312" s="315"/>
      <c r="CF312" s="315"/>
      <c r="CG312" s="315"/>
      <c r="CH312" s="315"/>
      <c r="CI312" s="315"/>
      <c r="CJ312" s="598"/>
      <c r="CK312" s="599"/>
      <c r="CL312" s="600"/>
      <c r="CM312" s="601"/>
    </row>
    <row r="313" spans="1:91" s="326" customFormat="1">
      <c r="A313" s="614" t="s">
        <v>442</v>
      </c>
      <c r="B313" s="594" t="s">
        <v>100</v>
      </c>
      <c r="C313" s="594" t="s">
        <v>100</v>
      </c>
      <c r="D313" s="594"/>
      <c r="E313" s="594" t="s">
        <v>100</v>
      </c>
      <c r="F313" s="594" t="s">
        <v>100</v>
      </c>
      <c r="G313" s="315"/>
      <c r="H313" s="594" t="s">
        <v>100</v>
      </c>
      <c r="I313" s="594"/>
      <c r="J313" s="315" t="s">
        <v>100</v>
      </c>
      <c r="K313" s="594" t="s">
        <v>100</v>
      </c>
      <c r="L313" s="315" t="s">
        <v>100</v>
      </c>
      <c r="M313" s="315"/>
      <c r="N313" s="594"/>
      <c r="O313" s="594"/>
      <c r="P313" s="315"/>
      <c r="Q313" s="594"/>
      <c r="R313" s="594"/>
      <c r="S313" s="594" t="s">
        <v>100</v>
      </c>
      <c r="T313" s="315"/>
      <c r="U313" s="315"/>
      <c r="V313" s="315" t="s">
        <v>100</v>
      </c>
      <c r="W313" s="594"/>
      <c r="X313" s="594"/>
      <c r="Y313" s="594"/>
      <c r="Z313" s="594"/>
      <c r="AA313" s="594"/>
      <c r="AB313" s="594"/>
      <c r="AC313" s="594"/>
      <c r="AD313" s="594"/>
      <c r="AE313" s="594"/>
      <c r="AF313" s="594"/>
      <c r="AG313" s="594"/>
      <c r="AH313" s="594"/>
      <c r="AI313" s="339">
        <f t="shared" ref="AI313" si="79">COUNTIF(B313:AH313,"x")</f>
        <v>10</v>
      </c>
      <c r="AJ313" s="330" t="str">
        <f t="shared" si="74"/>
        <v>BBWAA.com</v>
      </c>
      <c r="AK313" s="595">
        <v>43138</v>
      </c>
      <c r="AL313" s="596"/>
      <c r="AM313" s="596"/>
      <c r="AN313" s="596"/>
      <c r="AO313" s="596"/>
      <c r="AP313" s="596"/>
      <c r="AQ313" s="596"/>
      <c r="AR313" s="596"/>
      <c r="AS313" s="596"/>
      <c r="AT313" s="596"/>
      <c r="AU313" s="596"/>
      <c r="AV313" s="596"/>
      <c r="AW313" s="596"/>
      <c r="AX313" s="596"/>
      <c r="AY313" s="596"/>
      <c r="AZ313" s="596"/>
      <c r="BA313" s="596"/>
      <c r="BB313" s="596"/>
      <c r="BC313" s="596"/>
      <c r="BD313" s="596"/>
      <c r="BE313" s="596"/>
      <c r="BF313" s="596"/>
      <c r="BG313" s="596"/>
      <c r="BH313" s="596"/>
      <c r="BI313" s="596"/>
      <c r="BJ313" s="596"/>
      <c r="BK313" s="597"/>
      <c r="BL313" s="321"/>
      <c r="BM313" s="321"/>
      <c r="BN313" s="315"/>
      <c r="BO313" s="315"/>
      <c r="BP313" s="315"/>
      <c r="BQ313" s="315"/>
      <c r="BR313" s="315"/>
      <c r="BS313" s="315"/>
      <c r="BT313" s="315"/>
      <c r="BU313" s="315"/>
      <c r="BV313" s="315"/>
      <c r="BW313" s="315"/>
      <c r="BX313" s="315"/>
      <c r="BY313" s="315"/>
      <c r="BZ313" s="315"/>
      <c r="CA313" s="315"/>
      <c r="CB313" s="315"/>
      <c r="CC313" s="315"/>
      <c r="CD313" s="315"/>
      <c r="CE313" s="315"/>
      <c r="CF313" s="315"/>
      <c r="CG313" s="315"/>
      <c r="CH313" s="315"/>
      <c r="CI313" s="315"/>
      <c r="CJ313" s="598"/>
      <c r="CK313" s="599"/>
      <c r="CL313" s="600"/>
      <c r="CM313" s="601"/>
    </row>
    <row r="314" spans="1:91" s="344" customFormat="1">
      <c r="A314" s="374" t="s">
        <v>443</v>
      </c>
      <c r="B314" s="189" t="s">
        <v>100</v>
      </c>
      <c r="C314" s="189" t="s">
        <v>100</v>
      </c>
      <c r="D314" s="189"/>
      <c r="E314" s="182" t="s">
        <v>100</v>
      </c>
      <c r="F314" s="182" t="s">
        <v>100</v>
      </c>
      <c r="G314" s="182" t="s">
        <v>100</v>
      </c>
      <c r="H314" s="182" t="s">
        <v>100</v>
      </c>
      <c r="I314" s="189"/>
      <c r="J314" s="182" t="s">
        <v>100</v>
      </c>
      <c r="K314" s="189"/>
      <c r="L314" s="182" t="s">
        <v>100</v>
      </c>
      <c r="M314" s="182"/>
      <c r="N314" s="189"/>
      <c r="O314" s="189"/>
      <c r="P314" s="182" t="s">
        <v>100</v>
      </c>
      <c r="Q314" s="189"/>
      <c r="R314" s="189"/>
      <c r="S314" s="182" t="s">
        <v>100</v>
      </c>
      <c r="T314" s="182"/>
      <c r="U314" s="182"/>
      <c r="V314" s="182"/>
      <c r="W314" s="189"/>
      <c r="X314" s="189"/>
      <c r="Y314" s="189"/>
      <c r="Z314" s="189"/>
      <c r="AA314" s="189"/>
      <c r="AB314" s="189"/>
      <c r="AC314" s="189"/>
      <c r="AD314" s="189"/>
      <c r="AE314" s="189"/>
      <c r="AF314" s="189"/>
      <c r="AG314" s="189"/>
      <c r="AH314" s="189"/>
      <c r="AI314" s="339">
        <f t="shared" si="61"/>
        <v>10</v>
      </c>
      <c r="AJ314" s="340" t="str">
        <f>HYPERLINK("https://www.facebook.com/danny.knobler/posts/10214518921987479:0","Facebook")</f>
        <v>Facebook</v>
      </c>
      <c r="AK314" s="370">
        <v>43124</v>
      </c>
      <c r="AL314" s="352"/>
      <c r="AM314" s="352"/>
      <c r="AN314" s="352"/>
      <c r="AO314" s="352"/>
      <c r="AP314" s="352"/>
      <c r="AQ314" s="352"/>
      <c r="AR314" s="352"/>
      <c r="AS314" s="352"/>
      <c r="AT314" s="352"/>
      <c r="AU314" s="352"/>
      <c r="AV314" s="352"/>
      <c r="AW314" s="352"/>
      <c r="AX314" s="352"/>
      <c r="AY314" s="352"/>
      <c r="AZ314" s="352"/>
      <c r="BA314" s="352"/>
      <c r="BB314" s="352"/>
      <c r="BC314" s="352"/>
      <c r="BD314" s="352"/>
      <c r="BE314" s="352"/>
      <c r="BF314" s="352"/>
      <c r="BG314" s="352"/>
      <c r="BH314" s="352"/>
      <c r="BI314" s="352"/>
      <c r="BJ314" s="352"/>
      <c r="BK314" s="470"/>
      <c r="BL314" s="339"/>
      <c r="BM314" s="339"/>
      <c r="BN314" s="182"/>
      <c r="BO314" s="182"/>
      <c r="BP314" s="182"/>
      <c r="BQ314" s="182"/>
      <c r="BR314" s="182"/>
      <c r="BS314" s="182"/>
      <c r="BT314" s="182"/>
      <c r="BU314" s="182"/>
      <c r="BV314" s="182"/>
      <c r="BW314" s="182"/>
      <c r="BX314" s="182"/>
      <c r="BY314" s="182"/>
      <c r="BZ314" s="182"/>
      <c r="CA314" s="182"/>
      <c r="CB314" s="182"/>
      <c r="CC314" s="182"/>
      <c r="CD314" s="182"/>
      <c r="CE314" s="182"/>
      <c r="CF314" s="182"/>
      <c r="CG314" s="182"/>
      <c r="CH314" s="182"/>
      <c r="CI314" s="182"/>
      <c r="CJ314" s="497"/>
      <c r="CK314" s="618"/>
      <c r="CL314" s="619"/>
      <c r="CM314" s="620"/>
    </row>
    <row r="315" spans="1:91" s="326" customFormat="1">
      <c r="A315" s="614" t="s">
        <v>444</v>
      </c>
      <c r="B315" s="594"/>
      <c r="C315" s="594"/>
      <c r="D315" s="594" t="s">
        <v>100</v>
      </c>
      <c r="E315" s="315"/>
      <c r="F315" s="315" t="s">
        <v>100</v>
      </c>
      <c r="G315" s="315" t="s">
        <v>100</v>
      </c>
      <c r="H315" s="315" t="s">
        <v>100</v>
      </c>
      <c r="I315" s="594"/>
      <c r="J315" s="315"/>
      <c r="K315" s="594"/>
      <c r="L315" s="315" t="s">
        <v>100</v>
      </c>
      <c r="M315" s="315"/>
      <c r="N315" s="594"/>
      <c r="O315" s="594"/>
      <c r="P315" s="315" t="s">
        <v>100</v>
      </c>
      <c r="Q315" s="594" t="s">
        <v>100</v>
      </c>
      <c r="R315" s="594"/>
      <c r="S315" s="315" t="s">
        <v>100</v>
      </c>
      <c r="T315" s="315"/>
      <c r="U315" s="315"/>
      <c r="V315" s="315" t="s">
        <v>100</v>
      </c>
      <c r="W315" s="594"/>
      <c r="X315" s="594"/>
      <c r="Y315" s="594"/>
      <c r="Z315" s="594"/>
      <c r="AA315" s="594"/>
      <c r="AB315" s="594"/>
      <c r="AC315" s="594"/>
      <c r="AD315" s="594"/>
      <c r="AE315" s="594"/>
      <c r="AF315" s="594"/>
      <c r="AG315" s="594"/>
      <c r="AH315" s="594"/>
      <c r="AI315" s="339">
        <f t="shared" si="61"/>
        <v>9</v>
      </c>
      <c r="AJ315" s="330" t="str">
        <f>HYPERLINK("http://www.bbwaa.com/18-hof-ballots","BBWAA.com")</f>
        <v>BBWAA.com</v>
      </c>
      <c r="AK315" s="595">
        <v>43138</v>
      </c>
      <c r="AL315" s="596"/>
      <c r="AM315" s="596"/>
      <c r="AN315" s="596"/>
      <c r="AO315" s="596"/>
      <c r="AP315" s="596"/>
      <c r="AQ315" s="596"/>
      <c r="AR315" s="596"/>
      <c r="AS315" s="596"/>
      <c r="AT315" s="596"/>
      <c r="AU315" s="596"/>
      <c r="AV315" s="596"/>
      <c r="AW315" s="596"/>
      <c r="AX315" s="596"/>
      <c r="AY315" s="596"/>
      <c r="AZ315" s="596"/>
      <c r="BA315" s="596"/>
      <c r="BB315" s="596"/>
      <c r="BC315" s="596"/>
      <c r="BD315" s="596"/>
      <c r="BE315" s="596"/>
      <c r="BF315" s="596"/>
      <c r="BG315" s="596"/>
      <c r="BH315" s="596"/>
      <c r="BI315" s="596"/>
      <c r="BJ315" s="596"/>
      <c r="BK315" s="597"/>
      <c r="BL315" s="321"/>
      <c r="BM315" s="321"/>
      <c r="BN315" s="315"/>
      <c r="BO315" s="315"/>
      <c r="BP315" s="315"/>
      <c r="BQ315" s="315"/>
      <c r="BR315" s="315"/>
      <c r="BS315" s="315"/>
      <c r="BT315" s="315"/>
      <c r="BU315" s="315"/>
      <c r="BV315" s="315"/>
      <c r="BW315" s="315"/>
      <c r="BX315" s="315"/>
      <c r="BY315" s="315"/>
      <c r="BZ315" s="315"/>
      <c r="CA315" s="315"/>
      <c r="CB315" s="315"/>
      <c r="CC315" s="315"/>
      <c r="CD315" s="315"/>
      <c r="CE315" s="315"/>
      <c r="CF315" s="315"/>
      <c r="CG315" s="315"/>
      <c r="CH315" s="315"/>
      <c r="CI315" s="315"/>
      <c r="CJ315" s="598"/>
      <c r="CK315" s="604"/>
      <c r="CL315" s="605"/>
      <c r="CM315" s="606"/>
    </row>
    <row r="316" spans="1:91" s="344" customFormat="1">
      <c r="A316" s="374" t="s">
        <v>445</v>
      </c>
      <c r="B316" s="189"/>
      <c r="C316" s="189"/>
      <c r="D316" s="189"/>
      <c r="E316" s="189" t="s">
        <v>100</v>
      </c>
      <c r="F316" s="366" t="s">
        <v>100</v>
      </c>
      <c r="G316" s="182"/>
      <c r="H316" s="189" t="s">
        <v>100</v>
      </c>
      <c r="I316" s="367"/>
      <c r="J316" s="189" t="s">
        <v>100</v>
      </c>
      <c r="K316" s="189" t="s">
        <v>100</v>
      </c>
      <c r="L316" s="189" t="s">
        <v>100</v>
      </c>
      <c r="M316" s="182"/>
      <c r="N316" s="189"/>
      <c r="O316" s="189"/>
      <c r="P316" s="189" t="s">
        <v>100</v>
      </c>
      <c r="Q316" s="189"/>
      <c r="R316" s="189"/>
      <c r="S316" s="189" t="s">
        <v>100</v>
      </c>
      <c r="T316" s="189" t="s">
        <v>100</v>
      </c>
      <c r="U316" s="182"/>
      <c r="V316" s="189" t="s">
        <v>100</v>
      </c>
      <c r="W316" s="189"/>
      <c r="X316" s="189"/>
      <c r="Y316" s="189"/>
      <c r="Z316" s="189"/>
      <c r="AA316" s="189"/>
      <c r="AB316" s="189"/>
      <c r="AC316" s="189"/>
      <c r="AD316" s="189"/>
      <c r="AE316" s="189"/>
      <c r="AF316" s="189"/>
      <c r="AG316" s="189"/>
      <c r="AH316" s="189"/>
      <c r="AI316" s="339">
        <f t="shared" si="61"/>
        <v>10</v>
      </c>
      <c r="AJ316" s="530" t="s">
        <v>115</v>
      </c>
      <c r="AK316" s="370">
        <v>43126</v>
      </c>
      <c r="AL316" s="352"/>
      <c r="AM316" s="352"/>
      <c r="AN316" s="352"/>
      <c r="AO316" s="352"/>
      <c r="AP316" s="352"/>
      <c r="AQ316" s="352"/>
      <c r="AR316" s="352"/>
      <c r="AS316" s="352"/>
      <c r="AT316" s="352"/>
      <c r="AU316" s="352"/>
      <c r="AV316" s="352"/>
      <c r="AW316" s="352"/>
      <c r="AX316" s="352"/>
      <c r="AY316" s="352"/>
      <c r="AZ316" s="352"/>
      <c r="BA316" s="352"/>
      <c r="BB316" s="352"/>
      <c r="BC316" s="352"/>
      <c r="BD316" s="352"/>
      <c r="BE316" s="352"/>
      <c r="BF316" s="352"/>
      <c r="BG316" s="352"/>
      <c r="BH316" s="352"/>
      <c r="BI316" s="352"/>
      <c r="BJ316" s="352"/>
      <c r="BK316" s="470"/>
      <c r="BL316" s="339"/>
      <c r="BM316" s="339"/>
      <c r="BN316" s="182"/>
      <c r="BO316" s="182"/>
      <c r="BP316" s="182"/>
      <c r="BQ316" s="182"/>
      <c r="BR316" s="182"/>
      <c r="BS316" s="182"/>
      <c r="BT316" s="182"/>
      <c r="BU316" s="182"/>
      <c r="BV316" s="182"/>
      <c r="BW316" s="182"/>
      <c r="BX316" s="182"/>
      <c r="BY316" s="182"/>
      <c r="BZ316" s="182"/>
      <c r="CA316" s="182"/>
      <c r="CB316" s="182"/>
      <c r="CC316" s="182"/>
      <c r="CD316" s="182"/>
      <c r="CE316" s="182"/>
      <c r="CF316" s="182"/>
      <c r="CG316" s="182"/>
      <c r="CH316" s="182"/>
      <c r="CI316" s="182"/>
      <c r="CJ316" s="497"/>
      <c r="CK316" s="618"/>
      <c r="CL316" s="619"/>
      <c r="CM316" s="620"/>
    </row>
    <row r="317" spans="1:91" s="326" customFormat="1">
      <c r="A317" s="614" t="s">
        <v>446</v>
      </c>
      <c r="B317" s="594" t="s">
        <v>100</v>
      </c>
      <c r="C317" s="594" t="s">
        <v>100</v>
      </c>
      <c r="D317" s="594"/>
      <c r="E317" s="594" t="s">
        <v>100</v>
      </c>
      <c r="F317" s="594" t="s">
        <v>100</v>
      </c>
      <c r="G317" s="315"/>
      <c r="H317" s="594" t="s">
        <v>100</v>
      </c>
      <c r="I317" s="594"/>
      <c r="J317" s="366" t="s">
        <v>100</v>
      </c>
      <c r="K317" s="594"/>
      <c r="L317" s="594"/>
      <c r="M317" s="320"/>
      <c r="N317" s="594"/>
      <c r="O317" s="594"/>
      <c r="P317" s="367"/>
      <c r="Q317" s="594"/>
      <c r="R317" s="594"/>
      <c r="S317" s="594" t="s">
        <v>100</v>
      </c>
      <c r="T317" s="594"/>
      <c r="U317" s="315"/>
      <c r="V317" s="366" t="s">
        <v>100</v>
      </c>
      <c r="W317" s="594"/>
      <c r="X317" s="594"/>
      <c r="Y317" s="594"/>
      <c r="Z317" s="594"/>
      <c r="AA317" s="594"/>
      <c r="AB317" s="594"/>
      <c r="AC317" s="594"/>
      <c r="AD317" s="594"/>
      <c r="AE317" s="594"/>
      <c r="AF317" s="594"/>
      <c r="AG317" s="594"/>
      <c r="AH317" s="594"/>
      <c r="AI317" s="339">
        <f t="shared" si="61"/>
        <v>8</v>
      </c>
      <c r="AJ317" s="330" t="str">
        <f>HYPERLINK("http://www.bbwaa.com/18-hof-ballots","BBWAA.com")</f>
        <v>BBWAA.com</v>
      </c>
      <c r="AK317" s="595">
        <v>43138</v>
      </c>
      <c r="AL317" s="596"/>
      <c r="AM317" s="596"/>
      <c r="AN317" s="596"/>
      <c r="AO317" s="596"/>
      <c r="AP317" s="596"/>
      <c r="AQ317" s="596"/>
      <c r="AR317" s="596"/>
      <c r="AS317" s="596"/>
      <c r="AT317" s="596"/>
      <c r="AU317" s="596"/>
      <c r="AV317" s="596"/>
      <c r="AW317" s="596"/>
      <c r="AX317" s="596"/>
      <c r="AY317" s="596"/>
      <c r="AZ317" s="596"/>
      <c r="BA317" s="596"/>
      <c r="BB317" s="596"/>
      <c r="BC317" s="596"/>
      <c r="BD317" s="596"/>
      <c r="BE317" s="596"/>
      <c r="BF317" s="596"/>
      <c r="BG317" s="596"/>
      <c r="BH317" s="596"/>
      <c r="BI317" s="596"/>
      <c r="BJ317" s="596"/>
      <c r="BK317" s="597"/>
      <c r="BL317" s="321"/>
      <c r="BM317" s="321"/>
      <c r="BN317" s="315"/>
      <c r="BO317" s="315"/>
      <c r="BP317" s="315"/>
      <c r="BQ317" s="315"/>
      <c r="BR317" s="315"/>
      <c r="BS317" s="315"/>
      <c r="BT317" s="315"/>
      <c r="BU317" s="315"/>
      <c r="BV317" s="315"/>
      <c r="BW317" s="315"/>
      <c r="BX317" s="315"/>
      <c r="BY317" s="315"/>
      <c r="BZ317" s="315"/>
      <c r="CA317" s="315"/>
      <c r="CB317" s="315"/>
      <c r="CC317" s="315"/>
      <c r="CD317" s="315"/>
      <c r="CE317" s="315"/>
      <c r="CF317" s="315"/>
      <c r="CG317" s="315"/>
      <c r="CH317" s="315"/>
      <c r="CI317" s="315"/>
      <c r="CJ317" s="598"/>
      <c r="CK317" s="604"/>
      <c r="CL317" s="605"/>
      <c r="CM317" s="606"/>
    </row>
    <row r="318" spans="1:91" s="344" customFormat="1">
      <c r="A318" s="374" t="s">
        <v>447</v>
      </c>
      <c r="B318" s="189" t="s">
        <v>100</v>
      </c>
      <c r="C318" s="189" t="s">
        <v>100</v>
      </c>
      <c r="D318" s="189"/>
      <c r="E318" s="182" t="s">
        <v>100</v>
      </c>
      <c r="F318" s="182" t="s">
        <v>100</v>
      </c>
      <c r="G318" s="182"/>
      <c r="H318" s="182" t="s">
        <v>100</v>
      </c>
      <c r="I318" s="189"/>
      <c r="J318" s="182"/>
      <c r="K318" s="189"/>
      <c r="L318" s="182" t="s">
        <v>100</v>
      </c>
      <c r="M318" s="182" t="s">
        <v>100</v>
      </c>
      <c r="N318" s="189"/>
      <c r="O318" s="189"/>
      <c r="P318" s="182"/>
      <c r="Q318" s="189"/>
      <c r="R318" s="189"/>
      <c r="S318" s="182" t="s">
        <v>100</v>
      </c>
      <c r="T318" s="182" t="s">
        <v>100</v>
      </c>
      <c r="U318" s="182"/>
      <c r="V318" s="302" t="s">
        <v>100</v>
      </c>
      <c r="W318" s="189"/>
      <c r="X318" s="189"/>
      <c r="Y318" s="189"/>
      <c r="Z318" s="189"/>
      <c r="AA318" s="189"/>
      <c r="AB318" s="189"/>
      <c r="AC318" s="189"/>
      <c r="AD318" s="189"/>
      <c r="AE318" s="189"/>
      <c r="AF318" s="189"/>
      <c r="AG318" s="189"/>
      <c r="AH318" s="189"/>
      <c r="AI318" s="339">
        <f t="shared" si="61"/>
        <v>10</v>
      </c>
      <c r="AJ318" s="340" t="str">
        <f>HYPERLINK("http://puresportsnetwork.com/2018/01/24/exclusive-hall-of-fame-voter-seth-livingstone-shares-his-ballot/","Pure Sports Network")</f>
        <v>Pure Sports Network</v>
      </c>
      <c r="AK318" s="370">
        <v>43124</v>
      </c>
      <c r="AL318" s="352"/>
      <c r="AM318" s="352"/>
      <c r="AN318" s="352"/>
      <c r="AO318" s="352"/>
      <c r="AP318" s="352"/>
      <c r="AQ318" s="352"/>
      <c r="AR318" s="352"/>
      <c r="AS318" s="352"/>
      <c r="AT318" s="352"/>
      <c r="AU318" s="352"/>
      <c r="AV318" s="352"/>
      <c r="AW318" s="352"/>
      <c r="AX318" s="352"/>
      <c r="AY318" s="352"/>
      <c r="AZ318" s="352"/>
      <c r="BA318" s="352"/>
      <c r="BB318" s="352"/>
      <c r="BC318" s="352"/>
      <c r="BD318" s="352"/>
      <c r="BE318" s="352"/>
      <c r="BF318" s="352"/>
      <c r="BG318" s="352"/>
      <c r="BH318" s="352"/>
      <c r="BI318" s="352"/>
      <c r="BJ318" s="352"/>
      <c r="BK318" s="470"/>
      <c r="BL318" s="339"/>
      <c r="BM318" s="339"/>
      <c r="BN318" s="182"/>
      <c r="BO318" s="182"/>
      <c r="BP318" s="182"/>
      <c r="BQ318" s="182"/>
      <c r="BR318" s="182"/>
      <c r="BS318" s="182"/>
      <c r="BT318" s="182"/>
      <c r="BU318" s="182"/>
      <c r="BV318" s="182"/>
      <c r="BW318" s="182"/>
      <c r="BX318" s="182"/>
      <c r="BY318" s="182"/>
      <c r="BZ318" s="182"/>
      <c r="CA318" s="182"/>
      <c r="CB318" s="182"/>
      <c r="CC318" s="182"/>
      <c r="CD318" s="182"/>
      <c r="CE318" s="182"/>
      <c r="CF318" s="182"/>
      <c r="CG318" s="182"/>
      <c r="CH318" s="182"/>
      <c r="CI318" s="182"/>
      <c r="CJ318" s="497"/>
      <c r="CK318" s="618"/>
      <c r="CL318" s="619"/>
      <c r="CM318" s="620"/>
    </row>
    <row r="319" spans="1:91" s="326" customFormat="1">
      <c r="A319" s="614" t="s">
        <v>448</v>
      </c>
      <c r="B319" s="594"/>
      <c r="C319" s="594"/>
      <c r="D319" s="594"/>
      <c r="E319" s="315" t="s">
        <v>100</v>
      </c>
      <c r="F319" s="315" t="s">
        <v>100</v>
      </c>
      <c r="G319" s="315"/>
      <c r="H319" s="315" t="s">
        <v>100</v>
      </c>
      <c r="I319" s="594"/>
      <c r="J319" s="315" t="s">
        <v>100</v>
      </c>
      <c r="K319" s="594"/>
      <c r="L319" s="315" t="s">
        <v>100</v>
      </c>
      <c r="M319" s="315"/>
      <c r="N319" s="594" t="s">
        <v>100</v>
      </c>
      <c r="O319" s="594"/>
      <c r="P319" s="315" t="s">
        <v>100</v>
      </c>
      <c r="Q319" s="594"/>
      <c r="R319" s="594"/>
      <c r="S319" s="315" t="s">
        <v>100</v>
      </c>
      <c r="T319" s="315" t="s">
        <v>100</v>
      </c>
      <c r="U319" s="315"/>
      <c r="V319" s="315"/>
      <c r="W319" s="594"/>
      <c r="X319" s="594"/>
      <c r="Y319" s="594"/>
      <c r="Z319" s="594"/>
      <c r="AA319" s="594"/>
      <c r="AB319" s="594"/>
      <c r="AC319" s="594"/>
      <c r="AD319" s="594"/>
      <c r="AE319" s="594"/>
      <c r="AF319" s="594"/>
      <c r="AG319" s="594"/>
      <c r="AH319" s="594"/>
      <c r="AI319" s="339">
        <f t="shared" si="61"/>
        <v>9</v>
      </c>
      <c r="AJ319" s="330" t="str">
        <f>HYPERLINK("http://www.bbwaa.com/18-hof-ballots","BBWAA.com")</f>
        <v>BBWAA.com</v>
      </c>
      <c r="AK319" s="595">
        <v>43138</v>
      </c>
      <c r="AL319" s="596"/>
      <c r="AM319" s="596"/>
      <c r="AN319" s="596"/>
      <c r="AO319" s="596"/>
      <c r="AP319" s="596"/>
      <c r="AQ319" s="596"/>
      <c r="AR319" s="596"/>
      <c r="AS319" s="596"/>
      <c r="AT319" s="596"/>
      <c r="AU319" s="596"/>
      <c r="AV319" s="596"/>
      <c r="AW319" s="596"/>
      <c r="AX319" s="596"/>
      <c r="AY319" s="596"/>
      <c r="AZ319" s="596"/>
      <c r="BA319" s="596"/>
      <c r="BB319" s="596"/>
      <c r="BC319" s="596"/>
      <c r="BD319" s="596"/>
      <c r="BE319" s="596"/>
      <c r="BF319" s="596"/>
      <c r="BG319" s="596"/>
      <c r="BH319" s="596"/>
      <c r="BI319" s="596"/>
      <c r="BJ319" s="596"/>
      <c r="BK319" s="597"/>
      <c r="BL319" s="321"/>
      <c r="BM319" s="321"/>
      <c r="BN319" s="315"/>
      <c r="BO319" s="315"/>
      <c r="BP319" s="315"/>
      <c r="BQ319" s="315"/>
      <c r="BR319" s="315"/>
      <c r="BS319" s="315"/>
      <c r="BT319" s="315"/>
      <c r="BU319" s="315"/>
      <c r="BV319" s="315"/>
      <c r="BW319" s="315"/>
      <c r="BX319" s="315"/>
      <c r="BY319" s="315"/>
      <c r="BZ319" s="315"/>
      <c r="CA319" s="315"/>
      <c r="CB319" s="315"/>
      <c r="CC319" s="315"/>
      <c r="CD319" s="315"/>
      <c r="CE319" s="315"/>
      <c r="CF319" s="315"/>
      <c r="CG319" s="315"/>
      <c r="CH319" s="315"/>
      <c r="CI319" s="315"/>
      <c r="CJ319" s="598"/>
      <c r="CK319" s="604"/>
      <c r="CL319" s="605"/>
      <c r="CM319" s="606"/>
    </row>
    <row r="320" spans="1:91" s="344" customFormat="1">
      <c r="A320" s="374" t="s">
        <v>449</v>
      </c>
      <c r="B320" s="189"/>
      <c r="C320" s="189"/>
      <c r="D320" s="189"/>
      <c r="E320" s="182" t="s">
        <v>100</v>
      </c>
      <c r="F320" s="182" t="s">
        <v>100</v>
      </c>
      <c r="G320" s="182"/>
      <c r="H320" s="182" t="s">
        <v>100</v>
      </c>
      <c r="I320" s="189" t="s">
        <v>100</v>
      </c>
      <c r="J320" s="182" t="s">
        <v>100</v>
      </c>
      <c r="K320" s="189"/>
      <c r="L320" s="182" t="s">
        <v>100</v>
      </c>
      <c r="M320" s="182"/>
      <c r="N320" s="189"/>
      <c r="O320" s="189"/>
      <c r="P320" s="182" t="s">
        <v>100</v>
      </c>
      <c r="Q320" s="189"/>
      <c r="R320" s="189"/>
      <c r="S320" s="182" t="s">
        <v>100</v>
      </c>
      <c r="T320" s="182"/>
      <c r="U320" s="182" t="s">
        <v>100</v>
      </c>
      <c r="V320" s="182"/>
      <c r="W320" s="189"/>
      <c r="X320" s="189"/>
      <c r="Y320" s="189"/>
      <c r="Z320" s="189"/>
      <c r="AA320" s="189"/>
      <c r="AB320" s="189"/>
      <c r="AC320" s="189"/>
      <c r="AD320" s="189"/>
      <c r="AE320" s="189"/>
      <c r="AF320" s="189"/>
      <c r="AG320" s="189"/>
      <c r="AH320" s="189"/>
      <c r="AI320" s="339">
        <f t="shared" ref="AI320" si="80">COUNTIF(B320:AH320,"x")</f>
        <v>9</v>
      </c>
      <c r="AJ320" s="330" t="str">
        <f>HYPERLINK("http://www.bbwaa.com/18-hof-ballots","BBWAA.com")</f>
        <v>BBWAA.com</v>
      </c>
      <c r="AK320" s="595">
        <v>43138</v>
      </c>
      <c r="AL320" s="352"/>
      <c r="AM320" s="352"/>
      <c r="AN320" s="352"/>
      <c r="AO320" s="352"/>
      <c r="AP320" s="352"/>
      <c r="AQ320" s="352"/>
      <c r="AR320" s="352"/>
      <c r="AS320" s="352"/>
      <c r="AT320" s="352"/>
      <c r="AU320" s="352"/>
      <c r="AV320" s="352"/>
      <c r="AW320" s="352"/>
      <c r="AX320" s="352"/>
      <c r="AY320" s="352"/>
      <c r="AZ320" s="352"/>
      <c r="BA320" s="352"/>
      <c r="BB320" s="352"/>
      <c r="BC320" s="352"/>
      <c r="BD320" s="352"/>
      <c r="BE320" s="352"/>
      <c r="BF320" s="352"/>
      <c r="BG320" s="352"/>
      <c r="BH320" s="352"/>
      <c r="BI320" s="352"/>
      <c r="BJ320" s="352"/>
      <c r="BK320" s="470"/>
      <c r="BL320" s="339"/>
      <c r="BM320" s="339"/>
      <c r="BN320" s="182"/>
      <c r="BO320" s="182"/>
      <c r="BP320" s="182"/>
      <c r="BQ320" s="182"/>
      <c r="BR320" s="182"/>
      <c r="BS320" s="182"/>
      <c r="BT320" s="182"/>
      <c r="BU320" s="182"/>
      <c r="BV320" s="182"/>
      <c r="BW320" s="182"/>
      <c r="BX320" s="182"/>
      <c r="BY320" s="182"/>
      <c r="BZ320" s="182"/>
      <c r="CA320" s="182"/>
      <c r="CB320" s="182"/>
      <c r="CC320" s="182"/>
      <c r="CD320" s="182"/>
      <c r="CE320" s="182"/>
      <c r="CF320" s="182"/>
      <c r="CG320" s="182"/>
      <c r="CH320" s="182"/>
      <c r="CI320" s="182"/>
      <c r="CJ320" s="497"/>
      <c r="CK320" s="618"/>
      <c r="CL320" s="619"/>
      <c r="CM320" s="620"/>
    </row>
    <row r="321" spans="1:91" s="344" customFormat="1">
      <c r="A321" s="374" t="s">
        <v>450</v>
      </c>
      <c r="B321" s="189"/>
      <c r="C321" s="189"/>
      <c r="D321" s="189"/>
      <c r="E321" s="182" t="s">
        <v>100</v>
      </c>
      <c r="F321" s="182"/>
      <c r="G321" s="182"/>
      <c r="H321" s="182" t="s">
        <v>100</v>
      </c>
      <c r="I321" s="182" t="s">
        <v>100</v>
      </c>
      <c r="J321" s="182" t="s">
        <v>100</v>
      </c>
      <c r="K321" s="182" t="s">
        <v>100</v>
      </c>
      <c r="L321" s="182"/>
      <c r="M321" s="182"/>
      <c r="N321" s="189"/>
      <c r="O321" s="189"/>
      <c r="P321" s="182" t="s">
        <v>100</v>
      </c>
      <c r="Q321" s="189"/>
      <c r="R321" s="189"/>
      <c r="S321" s="182" t="s">
        <v>100</v>
      </c>
      <c r="T321" s="182" t="s">
        <v>100</v>
      </c>
      <c r="U321" s="182"/>
      <c r="V321" s="182"/>
      <c r="W321" s="189"/>
      <c r="X321" s="189"/>
      <c r="Y321" s="189"/>
      <c r="Z321" s="189"/>
      <c r="AA321" s="189"/>
      <c r="AB321" s="189"/>
      <c r="AC321" s="189"/>
      <c r="AD321" s="189"/>
      <c r="AE321" s="189"/>
      <c r="AF321" s="189"/>
      <c r="AG321" s="189"/>
      <c r="AH321" s="189"/>
      <c r="AI321" s="339">
        <f t="shared" si="61"/>
        <v>8</v>
      </c>
      <c r="AJ321" s="340" t="str">
        <f>HYPERLINK("https://mobile.twitter.com/bmadden1954/status/956900969035517952","Twitter")</f>
        <v>Twitter</v>
      </c>
      <c r="AK321" s="370">
        <v>43126</v>
      </c>
      <c r="AL321" s="352"/>
      <c r="AM321" s="352"/>
      <c r="AN321" s="352"/>
      <c r="AO321" s="352"/>
      <c r="AP321" s="352"/>
      <c r="AQ321" s="352"/>
      <c r="AR321" s="352"/>
      <c r="AS321" s="352"/>
      <c r="AT321" s="352"/>
      <c r="AU321" s="352"/>
      <c r="AV321" s="352"/>
      <c r="AW321" s="352"/>
      <c r="AX321" s="352"/>
      <c r="AY321" s="352"/>
      <c r="AZ321" s="352"/>
      <c r="BA321" s="352"/>
      <c r="BB321" s="352"/>
      <c r="BC321" s="352"/>
      <c r="BD321" s="352"/>
      <c r="BE321" s="352"/>
      <c r="BF321" s="352"/>
      <c r="BG321" s="352"/>
      <c r="BH321" s="352"/>
      <c r="BI321" s="352"/>
      <c r="BJ321" s="352"/>
      <c r="BK321" s="470"/>
      <c r="BL321" s="339"/>
      <c r="BM321" s="339"/>
      <c r="BN321" s="182"/>
      <c r="BO321" s="182"/>
      <c r="BP321" s="182"/>
      <c r="BQ321" s="182"/>
      <c r="BR321" s="182"/>
      <c r="BS321" s="182"/>
      <c r="BT321" s="182"/>
      <c r="BU321" s="182"/>
      <c r="BV321" s="182"/>
      <c r="BW321" s="182"/>
      <c r="BX321" s="182"/>
      <c r="BY321" s="182"/>
      <c r="BZ321" s="182"/>
      <c r="CA321" s="182"/>
      <c r="CB321" s="182"/>
      <c r="CC321" s="182"/>
      <c r="CD321" s="182"/>
      <c r="CE321" s="182"/>
      <c r="CF321" s="182"/>
      <c r="CG321" s="182"/>
      <c r="CH321" s="182"/>
      <c r="CI321" s="182"/>
      <c r="CJ321" s="497"/>
      <c r="CK321" s="618"/>
      <c r="CL321" s="619"/>
      <c r="CM321" s="620"/>
    </row>
    <row r="322" spans="1:91" s="344" customFormat="1">
      <c r="A322" s="375" t="s">
        <v>451</v>
      </c>
      <c r="B322" s="189" t="s">
        <v>100</v>
      </c>
      <c r="C322" s="189" t="s">
        <v>100</v>
      </c>
      <c r="D322" s="189"/>
      <c r="E322" s="182" t="s">
        <v>100</v>
      </c>
      <c r="F322" s="182" t="s">
        <v>100</v>
      </c>
      <c r="G322" s="182"/>
      <c r="H322" s="182" t="s">
        <v>100</v>
      </c>
      <c r="I322" s="182"/>
      <c r="J322" s="182" t="s">
        <v>100</v>
      </c>
      <c r="K322" s="182"/>
      <c r="L322" s="182" t="s">
        <v>100</v>
      </c>
      <c r="M322" s="182" t="s">
        <v>100</v>
      </c>
      <c r="N322" s="189"/>
      <c r="O322" s="189"/>
      <c r="P322" s="182"/>
      <c r="Q322" s="189"/>
      <c r="R322" s="189"/>
      <c r="S322" s="182" t="s">
        <v>100</v>
      </c>
      <c r="T322" s="182" t="s">
        <v>100</v>
      </c>
      <c r="U322" s="182"/>
      <c r="V322" s="182"/>
      <c r="W322" s="189"/>
      <c r="X322" s="189"/>
      <c r="Y322" s="189"/>
      <c r="Z322" s="189"/>
      <c r="AA322" s="189"/>
      <c r="AB322" s="189"/>
      <c r="AC322" s="189"/>
      <c r="AD322" s="189"/>
      <c r="AE322" s="189"/>
      <c r="AF322" s="189"/>
      <c r="AG322" s="189"/>
      <c r="AH322" s="189"/>
      <c r="AI322" s="339">
        <f t="shared" si="61"/>
        <v>10</v>
      </c>
      <c r="AJ322" s="330" t="str">
        <f>HYPERLINK("http://www.bbwaa.com/18-hof-ballots","BBWAA.com")</f>
        <v>BBWAA.com</v>
      </c>
      <c r="AK322" s="595">
        <v>43138</v>
      </c>
      <c r="AL322" s="352"/>
      <c r="AM322" s="352"/>
      <c r="AN322" s="352"/>
      <c r="AO322" s="352"/>
      <c r="AP322" s="352"/>
      <c r="AQ322" s="352"/>
      <c r="AR322" s="352"/>
      <c r="AS322" s="352"/>
      <c r="AT322" s="352"/>
      <c r="AU322" s="352"/>
      <c r="AV322" s="352"/>
      <c r="AW322" s="352"/>
      <c r="AX322" s="352"/>
      <c r="AY322" s="352"/>
      <c r="AZ322" s="352"/>
      <c r="BA322" s="352"/>
      <c r="BB322" s="352"/>
      <c r="BC322" s="352"/>
      <c r="BD322" s="352"/>
      <c r="BE322" s="352"/>
      <c r="BF322" s="352"/>
      <c r="BG322" s="352"/>
      <c r="BH322" s="352"/>
      <c r="BI322" s="352"/>
      <c r="BJ322" s="352"/>
      <c r="BK322" s="470"/>
      <c r="BL322" s="339"/>
      <c r="BM322" s="339"/>
      <c r="BN322" s="182"/>
      <c r="BO322" s="182"/>
      <c r="BP322" s="182"/>
      <c r="BQ322" s="182"/>
      <c r="BR322" s="182"/>
      <c r="BS322" s="182"/>
      <c r="BT322" s="182"/>
      <c r="BU322" s="182"/>
      <c r="BV322" s="182"/>
      <c r="BW322" s="182"/>
      <c r="BX322" s="182"/>
      <c r="BY322" s="182"/>
      <c r="BZ322" s="182"/>
      <c r="CA322" s="182"/>
      <c r="CB322" s="182"/>
      <c r="CC322" s="182"/>
      <c r="CD322" s="182"/>
      <c r="CE322" s="182"/>
      <c r="CF322" s="182"/>
      <c r="CG322" s="182"/>
      <c r="CH322" s="182"/>
      <c r="CI322" s="182"/>
      <c r="CJ322" s="497"/>
      <c r="CK322" s="618"/>
      <c r="CL322" s="619"/>
      <c r="CM322" s="620"/>
    </row>
    <row r="323" spans="1:91" s="344" customFormat="1">
      <c r="A323" s="374" t="s">
        <v>452</v>
      </c>
      <c r="B323" s="189"/>
      <c r="C323" s="189"/>
      <c r="D323" s="189"/>
      <c r="E323" s="182" t="s">
        <v>100</v>
      </c>
      <c r="F323" s="182" t="s">
        <v>100</v>
      </c>
      <c r="G323" s="182"/>
      <c r="H323" s="182" t="s">
        <v>100</v>
      </c>
      <c r="I323" s="189"/>
      <c r="J323" s="182" t="s">
        <v>100</v>
      </c>
      <c r="K323" s="189" t="s">
        <v>100</v>
      </c>
      <c r="L323" s="182"/>
      <c r="M323" s="182"/>
      <c r="N323" s="189" t="s">
        <v>100</v>
      </c>
      <c r="O323" s="189"/>
      <c r="P323" s="182"/>
      <c r="Q323" s="189"/>
      <c r="R323" s="189"/>
      <c r="S323" s="182" t="s">
        <v>100</v>
      </c>
      <c r="T323" s="182"/>
      <c r="U323" s="182"/>
      <c r="V323" s="182"/>
      <c r="W323" s="189"/>
      <c r="X323" s="189"/>
      <c r="Y323" s="189"/>
      <c r="Z323" s="189"/>
      <c r="AA323" s="189"/>
      <c r="AB323" s="189"/>
      <c r="AC323" s="189"/>
      <c r="AD323" s="189"/>
      <c r="AE323" s="189"/>
      <c r="AF323" s="189"/>
      <c r="AG323" s="189"/>
      <c r="AH323" s="189"/>
      <c r="AI323" s="339">
        <f t="shared" si="52"/>
        <v>7</v>
      </c>
      <c r="AJ323" s="340" t="str">
        <f>HYPERLINK("http://cincinnatireds.blog.daytondailynews.com/2018/01/24/hall-of-fame-voters-got-it-right/","Dayton Daily News")</f>
        <v>Dayton Daily News</v>
      </c>
      <c r="AK323" s="370">
        <v>43124</v>
      </c>
      <c r="AL323" s="352"/>
      <c r="AM323" s="352"/>
      <c r="AN323" s="352"/>
      <c r="AO323" s="352"/>
      <c r="AP323" s="352"/>
      <c r="AQ323" s="352"/>
      <c r="AR323" s="352"/>
      <c r="AS323" s="352"/>
      <c r="AT323" s="352"/>
      <c r="AU323" s="352"/>
      <c r="AV323" s="352"/>
      <c r="AW323" s="352"/>
      <c r="AX323" s="352"/>
      <c r="AY323" s="352"/>
      <c r="AZ323" s="352"/>
      <c r="BA323" s="352"/>
      <c r="BB323" s="352"/>
      <c r="BC323" s="352"/>
      <c r="BD323" s="352"/>
      <c r="BE323" s="352"/>
      <c r="BF323" s="352"/>
      <c r="BG323" s="352"/>
      <c r="BH323" s="352"/>
      <c r="BI323" s="352"/>
      <c r="BJ323" s="352"/>
      <c r="BK323" s="470"/>
      <c r="BL323" s="339"/>
      <c r="BM323" s="339"/>
      <c r="BN323" s="182"/>
      <c r="BO323" s="182"/>
      <c r="BP323" s="182"/>
      <c r="BQ323" s="182"/>
      <c r="BR323" s="182"/>
      <c r="BS323" s="182"/>
      <c r="BT323" s="182"/>
      <c r="BU323" s="182"/>
      <c r="BV323" s="182"/>
      <c r="BW323" s="182"/>
      <c r="BX323" s="182"/>
      <c r="BY323" s="182"/>
      <c r="BZ323" s="182"/>
      <c r="CA323" s="182"/>
      <c r="CB323" s="182"/>
      <c r="CC323" s="182"/>
      <c r="CD323" s="182"/>
      <c r="CE323" s="182"/>
      <c r="CF323" s="182"/>
      <c r="CG323" s="182"/>
      <c r="CH323" s="182"/>
      <c r="CI323" s="182"/>
      <c r="CJ323" s="497"/>
      <c r="CK323" s="618"/>
      <c r="CL323" s="619"/>
      <c r="CM323" s="620"/>
    </row>
    <row r="324" spans="1:91" s="344" customFormat="1">
      <c r="A324" s="374" t="s">
        <v>453</v>
      </c>
      <c r="B324" s="189"/>
      <c r="C324" s="189"/>
      <c r="D324" s="189"/>
      <c r="E324" s="182" t="s">
        <v>100</v>
      </c>
      <c r="F324" s="182"/>
      <c r="G324" s="182"/>
      <c r="H324" s="182" t="s">
        <v>100</v>
      </c>
      <c r="I324" s="189"/>
      <c r="J324" s="302" t="s">
        <v>100</v>
      </c>
      <c r="K324" s="189"/>
      <c r="L324" s="182" t="s">
        <v>100</v>
      </c>
      <c r="M324" s="182"/>
      <c r="N324" s="189"/>
      <c r="O324" s="189"/>
      <c r="P324" s="302" t="s">
        <v>100</v>
      </c>
      <c r="Q324" s="189"/>
      <c r="R324" s="189"/>
      <c r="S324" s="182" t="s">
        <v>100</v>
      </c>
      <c r="T324" s="182" t="s">
        <v>100</v>
      </c>
      <c r="U324" s="182"/>
      <c r="V324" s="182" t="s">
        <v>100</v>
      </c>
      <c r="W324" s="189"/>
      <c r="X324" s="189"/>
      <c r="Y324" s="189"/>
      <c r="Z324" s="189"/>
      <c r="AA324" s="189"/>
      <c r="AB324" s="189"/>
      <c r="AC324" s="189"/>
      <c r="AD324" s="189"/>
      <c r="AE324" s="189"/>
      <c r="AF324" s="189"/>
      <c r="AG324" s="189"/>
      <c r="AH324" s="189"/>
      <c r="AI324" s="339">
        <f t="shared" si="52"/>
        <v>8</v>
      </c>
      <c r="AJ324" s="330" t="str">
        <f>HYPERLINK("http://www.bbwaa.com/18-hof-ballots","BBWAA.com")</f>
        <v>BBWAA.com</v>
      </c>
      <c r="AK324" s="595">
        <v>43138</v>
      </c>
      <c r="AL324" s="352"/>
      <c r="AM324" s="352"/>
      <c r="AN324" s="352"/>
      <c r="AO324" s="352"/>
      <c r="AP324" s="352"/>
      <c r="AQ324" s="352"/>
      <c r="AR324" s="352"/>
      <c r="AS324" s="352"/>
      <c r="AT324" s="352"/>
      <c r="AU324" s="352"/>
      <c r="AV324" s="352"/>
      <c r="AW324" s="352"/>
      <c r="AX324" s="352"/>
      <c r="AY324" s="352"/>
      <c r="AZ324" s="352"/>
      <c r="BA324" s="352"/>
      <c r="BB324" s="352"/>
      <c r="BC324" s="352"/>
      <c r="BD324" s="352"/>
      <c r="BE324" s="352"/>
      <c r="BF324" s="352"/>
      <c r="BG324" s="352"/>
      <c r="BH324" s="352"/>
      <c r="BI324" s="352"/>
      <c r="BJ324" s="352"/>
      <c r="BK324" s="470"/>
      <c r="BL324" s="339"/>
      <c r="BM324" s="339"/>
      <c r="BN324" s="182"/>
      <c r="BO324" s="182"/>
      <c r="BP324" s="182"/>
      <c r="BQ324" s="182"/>
      <c r="BR324" s="182"/>
      <c r="BS324" s="182"/>
      <c r="BT324" s="182"/>
      <c r="BU324" s="182"/>
      <c r="BV324" s="182"/>
      <c r="BW324" s="182"/>
      <c r="BX324" s="182"/>
      <c r="BY324" s="182"/>
      <c r="BZ324" s="182"/>
      <c r="CA324" s="182"/>
      <c r="CB324" s="182"/>
      <c r="CC324" s="182"/>
      <c r="CD324" s="182"/>
      <c r="CE324" s="182"/>
      <c r="CF324" s="182"/>
      <c r="CG324" s="182"/>
      <c r="CH324" s="182"/>
      <c r="CI324" s="182"/>
      <c r="CJ324" s="497"/>
      <c r="CK324" s="618"/>
      <c r="CL324" s="619"/>
      <c r="CM324" s="620"/>
    </row>
    <row r="325" spans="1:91" s="344" customFormat="1">
      <c r="A325" s="374" t="s">
        <v>454</v>
      </c>
      <c r="B325" s="189"/>
      <c r="C325" s="189"/>
      <c r="D325" s="189"/>
      <c r="E325" s="302" t="s">
        <v>100</v>
      </c>
      <c r="F325" s="182" t="s">
        <v>100</v>
      </c>
      <c r="G325" s="182"/>
      <c r="H325" s="182" t="s">
        <v>100</v>
      </c>
      <c r="I325" s="189"/>
      <c r="J325" s="182" t="s">
        <v>100</v>
      </c>
      <c r="K325" s="189"/>
      <c r="L325" s="182" t="s">
        <v>100</v>
      </c>
      <c r="M325" s="182"/>
      <c r="N325" s="189"/>
      <c r="O325" s="189"/>
      <c r="P325" s="182" t="s">
        <v>100</v>
      </c>
      <c r="Q325" s="189"/>
      <c r="R325" s="189"/>
      <c r="S325" s="182" t="s">
        <v>100</v>
      </c>
      <c r="T325" s="182"/>
      <c r="U325" s="182"/>
      <c r="V325" s="182"/>
      <c r="W325" s="189"/>
      <c r="X325" s="189"/>
      <c r="Y325" s="189"/>
      <c r="Z325" s="189"/>
      <c r="AA325" s="189"/>
      <c r="AB325" s="189"/>
      <c r="AC325" s="189"/>
      <c r="AD325" s="189"/>
      <c r="AE325" s="189"/>
      <c r="AF325" s="189"/>
      <c r="AG325" s="189"/>
      <c r="AH325" s="189"/>
      <c r="AI325" s="339">
        <f t="shared" ref="AI325:AI344" si="81">COUNTIF(B325:AH325,"x")</f>
        <v>7</v>
      </c>
      <c r="AJ325" s="530" t="s">
        <v>115</v>
      </c>
      <c r="AK325" s="370">
        <v>43124</v>
      </c>
      <c r="AL325" s="352"/>
      <c r="AM325" s="187"/>
      <c r="AN325" s="187"/>
      <c r="AO325" s="187"/>
      <c r="AP325" s="187"/>
      <c r="AQ325" s="187"/>
      <c r="AR325" s="187"/>
      <c r="AS325" s="187"/>
      <c r="AT325" s="187"/>
      <c r="AU325" s="187"/>
      <c r="AV325" s="187"/>
      <c r="AW325" s="187"/>
      <c r="AX325" s="187"/>
      <c r="AY325" s="187"/>
      <c r="AZ325" s="187"/>
      <c r="BA325" s="187"/>
      <c r="BB325" s="187"/>
      <c r="BC325" s="187"/>
      <c r="BD325" s="187"/>
      <c r="BE325" s="187"/>
      <c r="BF325" s="187"/>
      <c r="BG325" s="187"/>
      <c r="BH325" s="187"/>
      <c r="BI325" s="187"/>
      <c r="BJ325" s="187"/>
      <c r="BK325" s="273"/>
      <c r="BL325" s="339"/>
      <c r="BM325" s="339"/>
      <c r="BN325" s="182"/>
      <c r="BO325" s="182"/>
      <c r="BP325" s="182"/>
      <c r="BQ325" s="182"/>
      <c r="BR325" s="182"/>
      <c r="BS325" s="182"/>
      <c r="BT325" s="182"/>
      <c r="BU325" s="182"/>
      <c r="BV325" s="182"/>
      <c r="BW325" s="182"/>
      <c r="BX325" s="182"/>
      <c r="BY325" s="182"/>
      <c r="BZ325" s="182"/>
      <c r="CA325" s="182"/>
      <c r="CB325" s="182"/>
      <c r="CC325" s="182"/>
      <c r="CD325" s="182"/>
      <c r="CE325" s="182"/>
      <c r="CF325" s="182"/>
      <c r="CG325" s="182"/>
      <c r="CH325" s="182"/>
      <c r="CI325" s="182"/>
      <c r="CJ325" s="497"/>
      <c r="CK325" s="618"/>
      <c r="CL325" s="619"/>
      <c r="CM325" s="620"/>
    </row>
    <row r="326" spans="1:91" s="344" customFormat="1">
      <c r="A326" s="374" t="s">
        <v>455</v>
      </c>
      <c r="B326" s="189" t="s">
        <v>100</v>
      </c>
      <c r="C326" s="189" t="s">
        <v>100</v>
      </c>
      <c r="D326" s="189"/>
      <c r="E326" s="549" t="s">
        <v>100</v>
      </c>
      <c r="F326" s="182" t="s">
        <v>100</v>
      </c>
      <c r="G326" s="182"/>
      <c r="H326" s="182" t="s">
        <v>100</v>
      </c>
      <c r="I326" s="189"/>
      <c r="J326" s="182" t="s">
        <v>100</v>
      </c>
      <c r="K326" s="189" t="s">
        <v>100</v>
      </c>
      <c r="L326" s="302" t="s">
        <v>100</v>
      </c>
      <c r="M326" s="182"/>
      <c r="N326" s="189"/>
      <c r="O326" s="189"/>
      <c r="P326" s="182"/>
      <c r="Q326" s="189"/>
      <c r="R326" s="189"/>
      <c r="S326" s="182" t="s">
        <v>100</v>
      </c>
      <c r="T326" s="182"/>
      <c r="U326" s="182"/>
      <c r="V326" s="182" t="s">
        <v>100</v>
      </c>
      <c r="W326" s="189"/>
      <c r="X326" s="189"/>
      <c r="Y326" s="189"/>
      <c r="Z326" s="189"/>
      <c r="AA326" s="189"/>
      <c r="AB326" s="189"/>
      <c r="AC326" s="189"/>
      <c r="AD326" s="189"/>
      <c r="AE326" s="189"/>
      <c r="AF326" s="189"/>
      <c r="AG326" s="189"/>
      <c r="AH326" s="189"/>
      <c r="AI326" s="339">
        <f t="shared" si="81"/>
        <v>10</v>
      </c>
      <c r="AJ326" s="330" t="str">
        <f>HYPERLINK("http://www.bbwaa.com/18-hof-ballots","BBWAA.com")</f>
        <v>BBWAA.com</v>
      </c>
      <c r="AK326" s="595">
        <v>43138</v>
      </c>
      <c r="AL326" s="352"/>
      <c r="AM326" s="352"/>
      <c r="AN326" s="352"/>
      <c r="AO326" s="352"/>
      <c r="AP326" s="352"/>
      <c r="AQ326" s="352"/>
      <c r="AR326" s="352"/>
      <c r="AS326" s="352"/>
      <c r="AT326" s="352"/>
      <c r="AU326" s="352"/>
      <c r="AV326" s="352"/>
      <c r="AW326" s="352"/>
      <c r="AX326" s="352"/>
      <c r="AY326" s="352"/>
      <c r="AZ326" s="352"/>
      <c r="BA326" s="352"/>
      <c r="BB326" s="352"/>
      <c r="BC326" s="352"/>
      <c r="BD326" s="352"/>
      <c r="BE326" s="352"/>
      <c r="BF326" s="352"/>
      <c r="BG326" s="352"/>
      <c r="BH326" s="352"/>
      <c r="BI326" s="352"/>
      <c r="BJ326" s="352"/>
      <c r="BK326" s="470"/>
      <c r="BL326" s="339"/>
      <c r="BM326" s="339"/>
      <c r="BN326" s="182"/>
      <c r="BO326" s="182"/>
      <c r="BP326" s="182"/>
      <c r="BQ326" s="182"/>
      <c r="BR326" s="182"/>
      <c r="BS326" s="182"/>
      <c r="BT326" s="182"/>
      <c r="BU326" s="182"/>
      <c r="BV326" s="182"/>
      <c r="BW326" s="182"/>
      <c r="BX326" s="182"/>
      <c r="BY326" s="182"/>
      <c r="BZ326" s="182"/>
      <c r="CA326" s="182"/>
      <c r="CB326" s="182"/>
      <c r="CC326" s="182"/>
      <c r="CD326" s="182"/>
      <c r="CE326" s="182"/>
      <c r="CF326" s="182"/>
      <c r="CG326" s="182"/>
      <c r="CH326" s="182"/>
      <c r="CI326" s="182"/>
      <c r="CJ326" s="497"/>
      <c r="CK326" s="618"/>
      <c r="CL326" s="619"/>
      <c r="CM326" s="620"/>
    </row>
    <row r="327" spans="1:91" s="344" customFormat="1">
      <c r="A327" s="374" t="s">
        <v>456</v>
      </c>
      <c r="B327" s="196"/>
      <c r="C327" s="189"/>
      <c r="D327" s="189"/>
      <c r="E327" s="549" t="s">
        <v>100</v>
      </c>
      <c r="F327" s="182" t="s">
        <v>100</v>
      </c>
      <c r="G327" s="182"/>
      <c r="H327" s="182" t="s">
        <v>100</v>
      </c>
      <c r="I327" s="366" t="s">
        <v>100</v>
      </c>
      <c r="J327" s="302" t="s">
        <v>100</v>
      </c>
      <c r="K327" s="189"/>
      <c r="L327" s="182"/>
      <c r="M327" s="302" t="s">
        <v>100</v>
      </c>
      <c r="N327" s="189"/>
      <c r="O327" s="189"/>
      <c r="P327" s="320"/>
      <c r="Q327" s="189" t="s">
        <v>100</v>
      </c>
      <c r="R327" s="189"/>
      <c r="S327" s="182" t="s">
        <v>100</v>
      </c>
      <c r="T327" s="182" t="s">
        <v>100</v>
      </c>
      <c r="U327" s="182"/>
      <c r="V327" s="302" t="s">
        <v>100</v>
      </c>
      <c r="W327" s="189"/>
      <c r="X327" s="189"/>
      <c r="Y327" s="189"/>
      <c r="Z327" s="189"/>
      <c r="AA327" s="189"/>
      <c r="AB327" s="189"/>
      <c r="AC327" s="189"/>
      <c r="AD327" s="189"/>
      <c r="AE327" s="189"/>
      <c r="AF327" s="189"/>
      <c r="AG327" s="189"/>
      <c r="AH327" s="189"/>
      <c r="AI327" s="339">
        <f t="shared" si="81"/>
        <v>10</v>
      </c>
      <c r="AJ327" s="530" t="s">
        <v>115</v>
      </c>
      <c r="AK327" s="370">
        <v>43127</v>
      </c>
      <c r="AL327" s="352"/>
      <c r="AM327" s="352"/>
      <c r="AN327" s="352"/>
      <c r="AO327" s="352"/>
      <c r="AP327" s="352"/>
      <c r="AQ327" s="352"/>
      <c r="AR327" s="352"/>
      <c r="AS327" s="352"/>
      <c r="AT327" s="352"/>
      <c r="AU327" s="352"/>
      <c r="AV327" s="352"/>
      <c r="AW327" s="352"/>
      <c r="AX327" s="352"/>
      <c r="AY327" s="352"/>
      <c r="AZ327" s="352"/>
      <c r="BA327" s="352"/>
      <c r="BB327" s="352"/>
      <c r="BC327" s="352"/>
      <c r="BD327" s="352"/>
      <c r="BE327" s="352"/>
      <c r="BF327" s="352"/>
      <c r="BG327" s="352"/>
      <c r="BH327" s="352"/>
      <c r="BI327" s="352"/>
      <c r="BJ327" s="352"/>
      <c r="BK327" s="470"/>
      <c r="BL327" s="339"/>
      <c r="BM327" s="339"/>
      <c r="BN327" s="182"/>
      <c r="BO327" s="182"/>
      <c r="BP327" s="182"/>
      <c r="BQ327" s="182"/>
      <c r="BR327" s="182"/>
      <c r="BS327" s="182"/>
      <c r="BT327" s="182"/>
      <c r="BU327" s="182"/>
      <c r="BV327" s="182"/>
      <c r="BW327" s="182"/>
      <c r="BX327" s="182"/>
      <c r="BY327" s="182"/>
      <c r="BZ327" s="182"/>
      <c r="CA327" s="182"/>
      <c r="CB327" s="182"/>
      <c r="CC327" s="182"/>
      <c r="CD327" s="182"/>
      <c r="CE327" s="182"/>
      <c r="CF327" s="182"/>
      <c r="CG327" s="182"/>
      <c r="CH327" s="182"/>
      <c r="CI327" s="182"/>
      <c r="CJ327" s="497"/>
      <c r="CK327" s="618"/>
      <c r="CL327" s="619"/>
      <c r="CM327" s="620"/>
    </row>
    <row r="328" spans="1:91" s="344" customFormat="1">
      <c r="A328" s="374" t="s">
        <v>457</v>
      </c>
      <c r="B328" s="189" t="s">
        <v>100</v>
      </c>
      <c r="C328" s="189" t="s">
        <v>100</v>
      </c>
      <c r="D328" s="189"/>
      <c r="E328" s="559" t="s">
        <v>100</v>
      </c>
      <c r="F328" s="182" t="s">
        <v>100</v>
      </c>
      <c r="G328" s="182"/>
      <c r="H328" s="182" t="s">
        <v>100</v>
      </c>
      <c r="I328" s="189"/>
      <c r="J328" s="182" t="s">
        <v>100</v>
      </c>
      <c r="K328" s="189"/>
      <c r="L328" s="302" t="s">
        <v>100</v>
      </c>
      <c r="M328" s="182"/>
      <c r="N328" s="189"/>
      <c r="O328" s="189"/>
      <c r="P328" s="182" t="s">
        <v>100</v>
      </c>
      <c r="Q328" s="189" t="s">
        <v>100</v>
      </c>
      <c r="R328" s="189"/>
      <c r="S328" s="182" t="s">
        <v>100</v>
      </c>
      <c r="T328" s="182"/>
      <c r="U328" s="182"/>
      <c r="V328" s="182"/>
      <c r="W328" s="189"/>
      <c r="X328" s="189"/>
      <c r="Y328" s="189"/>
      <c r="Z328" s="189"/>
      <c r="AA328" s="189"/>
      <c r="AB328" s="189"/>
      <c r="AC328" s="189"/>
      <c r="AD328" s="189"/>
      <c r="AE328" s="189"/>
      <c r="AF328" s="189"/>
      <c r="AG328" s="189"/>
      <c r="AH328" s="189"/>
      <c r="AI328" s="339">
        <f t="shared" si="81"/>
        <v>10</v>
      </c>
      <c r="AJ328" s="340" t="str">
        <f>HYPERLINK("http://m.startribune.com/thoughts-on-the-hall-of-fame-voting-and-my-ballot/470996843/","Star Tribune")</f>
        <v>Star Tribune</v>
      </c>
      <c r="AK328" s="370">
        <v>43124</v>
      </c>
      <c r="AL328" s="352"/>
      <c r="AM328" s="352"/>
      <c r="AN328" s="352"/>
      <c r="AO328" s="352"/>
      <c r="AP328" s="352"/>
      <c r="AQ328" s="352"/>
      <c r="AR328" s="352"/>
      <c r="AS328" s="352"/>
      <c r="AT328" s="352"/>
      <c r="AU328" s="352"/>
      <c r="AV328" s="352"/>
      <c r="AW328" s="352"/>
      <c r="AX328" s="352"/>
      <c r="AY328" s="352"/>
      <c r="AZ328" s="352"/>
      <c r="BA328" s="352"/>
      <c r="BB328" s="352"/>
      <c r="BC328" s="352"/>
      <c r="BD328" s="352"/>
      <c r="BE328" s="352"/>
      <c r="BF328" s="352"/>
      <c r="BG328" s="352"/>
      <c r="BH328" s="352"/>
      <c r="BI328" s="352"/>
      <c r="BJ328" s="352"/>
      <c r="BK328" s="470"/>
      <c r="BL328" s="339"/>
      <c r="BM328" s="339"/>
      <c r="BN328" s="182"/>
      <c r="BO328" s="182"/>
      <c r="BP328" s="182"/>
      <c r="BQ328" s="182"/>
      <c r="BR328" s="182"/>
      <c r="BS328" s="182"/>
      <c r="BT328" s="182"/>
      <c r="BU328" s="182"/>
      <c r="BV328" s="182"/>
      <c r="BW328" s="182"/>
      <c r="BX328" s="182"/>
      <c r="BY328" s="182"/>
      <c r="BZ328" s="182"/>
      <c r="CA328" s="182"/>
      <c r="CB328" s="182"/>
      <c r="CC328" s="182"/>
      <c r="CD328" s="182"/>
      <c r="CE328" s="182"/>
      <c r="CF328" s="182"/>
      <c r="CG328" s="182"/>
      <c r="CH328" s="182"/>
      <c r="CI328" s="182"/>
      <c r="CJ328" s="497"/>
      <c r="CK328" s="618"/>
      <c r="CL328" s="619"/>
      <c r="CM328" s="620"/>
    </row>
    <row r="329" spans="1:91" s="344" customFormat="1">
      <c r="A329" s="374" t="s">
        <v>458</v>
      </c>
      <c r="B329" s="189"/>
      <c r="C329" s="189"/>
      <c r="D329" s="189"/>
      <c r="E329" s="549" t="s">
        <v>100</v>
      </c>
      <c r="F329" s="182" t="s">
        <v>100</v>
      </c>
      <c r="G329" s="182"/>
      <c r="H329" s="182" t="s">
        <v>100</v>
      </c>
      <c r="I329" s="189" t="s">
        <v>100</v>
      </c>
      <c r="J329" s="182" t="s">
        <v>100</v>
      </c>
      <c r="K329" s="189" t="s">
        <v>100</v>
      </c>
      <c r="L329" s="182"/>
      <c r="M329" s="182"/>
      <c r="N329" s="189"/>
      <c r="O329" s="189"/>
      <c r="P329" s="182"/>
      <c r="Q329" s="189"/>
      <c r="R329" s="189"/>
      <c r="S329" s="182" t="s">
        <v>100</v>
      </c>
      <c r="T329" s="182" t="s">
        <v>100</v>
      </c>
      <c r="U329" s="182"/>
      <c r="V329" s="182" t="s">
        <v>100</v>
      </c>
      <c r="W329" s="189"/>
      <c r="X329" s="189"/>
      <c r="Y329" s="189"/>
      <c r="Z329" s="189"/>
      <c r="AA329" s="189"/>
      <c r="AB329" s="189"/>
      <c r="AC329" s="189"/>
      <c r="AD329" s="189"/>
      <c r="AE329" s="189"/>
      <c r="AF329" s="189"/>
      <c r="AG329" s="189"/>
      <c r="AH329" s="189"/>
      <c r="AI329" s="339">
        <f t="shared" ref="AI329" si="82">COUNTIF(B329:AH329,"x")</f>
        <v>9</v>
      </c>
      <c r="AJ329" s="330" t="str">
        <f>HYPERLINK("http://www.bbwaa.com/18-hof-ballots","BBWAA.com")</f>
        <v>BBWAA.com</v>
      </c>
      <c r="AK329" s="595">
        <v>43138</v>
      </c>
      <c r="AL329" s="352"/>
      <c r="AM329" s="352"/>
      <c r="AN329" s="352"/>
      <c r="AO329" s="352"/>
      <c r="AP329" s="352"/>
      <c r="AQ329" s="352"/>
      <c r="AR329" s="352"/>
      <c r="AS329" s="352"/>
      <c r="AT329" s="352"/>
      <c r="AU329" s="352"/>
      <c r="AV329" s="352"/>
      <c r="AW329" s="352"/>
      <c r="AX329" s="352"/>
      <c r="AY329" s="352"/>
      <c r="AZ329" s="352"/>
      <c r="BA329" s="352"/>
      <c r="BB329" s="352"/>
      <c r="BC329" s="352"/>
      <c r="BD329" s="352"/>
      <c r="BE329" s="352"/>
      <c r="BF329" s="352"/>
      <c r="BG329" s="352"/>
      <c r="BH329" s="352"/>
      <c r="BI329" s="352"/>
      <c r="BJ329" s="352"/>
      <c r="BK329" s="470"/>
      <c r="BL329" s="339"/>
      <c r="BM329" s="339"/>
      <c r="BN329" s="182"/>
      <c r="BO329" s="182"/>
      <c r="BP329" s="182"/>
      <c r="BQ329" s="182"/>
      <c r="BR329" s="182"/>
      <c r="BS329" s="182"/>
      <c r="BT329" s="182"/>
      <c r="BU329" s="182"/>
      <c r="BV329" s="182"/>
      <c r="BW329" s="182"/>
      <c r="BX329" s="182"/>
      <c r="BY329" s="182"/>
      <c r="BZ329" s="182"/>
      <c r="CA329" s="182"/>
      <c r="CB329" s="182"/>
      <c r="CC329" s="182"/>
      <c r="CD329" s="182"/>
      <c r="CE329" s="182"/>
      <c r="CF329" s="182"/>
      <c r="CG329" s="182"/>
      <c r="CH329" s="182"/>
      <c r="CI329" s="182"/>
      <c r="CJ329" s="497"/>
      <c r="CK329" s="618"/>
      <c r="CL329" s="619"/>
      <c r="CM329" s="620"/>
    </row>
    <row r="330" spans="1:91" s="344" customFormat="1">
      <c r="A330" s="374" t="s">
        <v>459</v>
      </c>
      <c r="B330" s="189" t="s">
        <v>100</v>
      </c>
      <c r="C330" s="189" t="s">
        <v>100</v>
      </c>
      <c r="D330" s="189"/>
      <c r="E330" s="559" t="s">
        <v>100</v>
      </c>
      <c r="F330" s="182" t="s">
        <v>100</v>
      </c>
      <c r="G330" s="182"/>
      <c r="H330" s="182" t="s">
        <v>100</v>
      </c>
      <c r="I330" s="189"/>
      <c r="J330" s="182" t="s">
        <v>100</v>
      </c>
      <c r="K330" s="366" t="s">
        <v>100</v>
      </c>
      <c r="L330" s="182" t="s">
        <v>100</v>
      </c>
      <c r="M330" s="182"/>
      <c r="N330" s="189"/>
      <c r="O330" s="189"/>
      <c r="P330" s="320"/>
      <c r="Q330" s="189"/>
      <c r="R330" s="189"/>
      <c r="S330" s="182" t="s">
        <v>100</v>
      </c>
      <c r="T330" s="182"/>
      <c r="U330" s="182"/>
      <c r="V330" s="302" t="s">
        <v>100</v>
      </c>
      <c r="W330" s="189"/>
      <c r="X330" s="189"/>
      <c r="Y330" s="189"/>
      <c r="Z330" s="189"/>
      <c r="AA330" s="189"/>
      <c r="AB330" s="189"/>
      <c r="AC330" s="189"/>
      <c r="AD330" s="189"/>
      <c r="AE330" s="189"/>
      <c r="AF330" s="189"/>
      <c r="AG330" s="189"/>
      <c r="AH330" s="189"/>
      <c r="AI330" s="339">
        <f t="shared" si="81"/>
        <v>10</v>
      </c>
      <c r="AJ330" s="340" t="str">
        <f>HYPERLINK("https://thebig920.iheart.com/featured/drew-olson/content/2018-01-24-drew-olsons-hall-of-fame-ballot/","The Big 920")</f>
        <v>The Big 920</v>
      </c>
      <c r="AK330" s="370">
        <v>43124</v>
      </c>
      <c r="AL330" s="352"/>
      <c r="AM330" s="352"/>
      <c r="AN330" s="352"/>
      <c r="AO330" s="352"/>
      <c r="AP330" s="352"/>
      <c r="AQ330" s="352"/>
      <c r="AR330" s="352"/>
      <c r="AS330" s="352"/>
      <c r="AT330" s="352"/>
      <c r="AU330" s="352"/>
      <c r="AV330" s="352"/>
      <c r="AW330" s="352"/>
      <c r="AX330" s="352"/>
      <c r="AY330" s="352"/>
      <c r="AZ330" s="352"/>
      <c r="BA330" s="352"/>
      <c r="BB330" s="352"/>
      <c r="BC330" s="352"/>
      <c r="BD330" s="352"/>
      <c r="BE330" s="352"/>
      <c r="BF330" s="352"/>
      <c r="BG330" s="352"/>
      <c r="BH330" s="352"/>
      <c r="BI330" s="352"/>
      <c r="BJ330" s="352"/>
      <c r="BK330" s="470"/>
      <c r="BL330" s="339"/>
      <c r="BM330" s="339"/>
      <c r="BN330" s="182"/>
      <c r="BO330" s="182"/>
      <c r="BP330" s="182"/>
      <c r="BQ330" s="182"/>
      <c r="BR330" s="182"/>
      <c r="BS330" s="182"/>
      <c r="BT330" s="182"/>
      <c r="BU330" s="182"/>
      <c r="BV330" s="182"/>
      <c r="BW330" s="182"/>
      <c r="BX330" s="182"/>
      <c r="BY330" s="182"/>
      <c r="BZ330" s="182"/>
      <c r="CA330" s="182"/>
      <c r="CB330" s="182"/>
      <c r="CC330" s="182"/>
      <c r="CD330" s="182"/>
      <c r="CE330" s="182"/>
      <c r="CF330" s="182"/>
      <c r="CG330" s="182"/>
      <c r="CH330" s="182"/>
      <c r="CI330" s="182"/>
      <c r="CJ330" s="497"/>
      <c r="CK330" s="647" t="s">
        <v>460</v>
      </c>
      <c r="CL330" s="648"/>
      <c r="CM330" s="649"/>
    </row>
    <row r="331" spans="1:91" s="344" customFormat="1">
      <c r="A331" s="374" t="s">
        <v>461</v>
      </c>
      <c r="B331" s="189"/>
      <c r="C331" s="189"/>
      <c r="D331" s="189"/>
      <c r="E331" s="549" t="s">
        <v>100</v>
      </c>
      <c r="F331" s="182" t="s">
        <v>100</v>
      </c>
      <c r="G331" s="182"/>
      <c r="H331" s="182" t="s">
        <v>100</v>
      </c>
      <c r="I331" s="189" t="s">
        <v>100</v>
      </c>
      <c r="J331" s="182" t="s">
        <v>100</v>
      </c>
      <c r="K331" s="189"/>
      <c r="L331" s="182" t="s">
        <v>100</v>
      </c>
      <c r="M331" s="182"/>
      <c r="N331" s="189"/>
      <c r="O331" s="189"/>
      <c r="P331" s="182" t="s">
        <v>100</v>
      </c>
      <c r="Q331" s="189"/>
      <c r="R331" s="189"/>
      <c r="S331" s="182" t="s">
        <v>100</v>
      </c>
      <c r="T331" s="182"/>
      <c r="U331" s="182"/>
      <c r="V331" s="182" t="s">
        <v>100</v>
      </c>
      <c r="W331" s="189"/>
      <c r="X331" s="189"/>
      <c r="Y331" s="189"/>
      <c r="Z331" s="189"/>
      <c r="AA331" s="189"/>
      <c r="AB331" s="189"/>
      <c r="AC331" s="189"/>
      <c r="AD331" s="189"/>
      <c r="AE331" s="189"/>
      <c r="AF331" s="189"/>
      <c r="AG331" s="189"/>
      <c r="AH331" s="189"/>
      <c r="AI331" s="339">
        <f t="shared" ref="AI331" si="83">COUNTIF(B331:AH331,"x")</f>
        <v>9</v>
      </c>
      <c r="AJ331" s="330" t="str">
        <f>HYPERLINK("http://www.bbwaa.com/18-hof-ballots","BBWAA.com")</f>
        <v>BBWAA.com</v>
      </c>
      <c r="AK331" s="595">
        <v>43138</v>
      </c>
      <c r="AL331" s="352"/>
      <c r="AM331" s="352"/>
      <c r="AN331" s="352"/>
      <c r="AO331" s="352"/>
      <c r="AP331" s="352"/>
      <c r="AQ331" s="352"/>
      <c r="AR331" s="352"/>
      <c r="AS331" s="352"/>
      <c r="AT331" s="352"/>
      <c r="AU331" s="352"/>
      <c r="AV331" s="352"/>
      <c r="AW331" s="352"/>
      <c r="AX331" s="352"/>
      <c r="AY331" s="352"/>
      <c r="AZ331" s="352"/>
      <c r="BA331" s="352"/>
      <c r="BB331" s="352"/>
      <c r="BC331" s="352"/>
      <c r="BD331" s="352"/>
      <c r="BE331" s="352"/>
      <c r="BF331" s="352"/>
      <c r="BG331" s="352"/>
      <c r="BH331" s="352"/>
      <c r="BI331" s="352"/>
      <c r="BJ331" s="352"/>
      <c r="BK331" s="470"/>
      <c r="BL331" s="339"/>
      <c r="BM331" s="339"/>
      <c r="BN331" s="182"/>
      <c r="BO331" s="182"/>
      <c r="BP331" s="182"/>
      <c r="BQ331" s="182"/>
      <c r="BR331" s="182"/>
      <c r="BS331" s="182"/>
      <c r="BT331" s="182"/>
      <c r="BU331" s="182"/>
      <c r="BV331" s="182"/>
      <c r="BW331" s="182"/>
      <c r="BX331" s="182"/>
      <c r="BY331" s="182"/>
      <c r="BZ331" s="182"/>
      <c r="CA331" s="182"/>
      <c r="CB331" s="182"/>
      <c r="CC331" s="182"/>
      <c r="CD331" s="182"/>
      <c r="CE331" s="182"/>
      <c r="CF331" s="182"/>
      <c r="CG331" s="182"/>
      <c r="CH331" s="182"/>
      <c r="CI331" s="182"/>
      <c r="CJ331" s="497"/>
      <c r="CK331" s="621"/>
      <c r="CL331" s="622"/>
      <c r="CM331" s="623"/>
    </row>
    <row r="332" spans="1:91" s="344" customFormat="1">
      <c r="A332" s="374" t="s">
        <v>462</v>
      </c>
      <c r="B332" s="366" t="s">
        <v>100</v>
      </c>
      <c r="C332" s="366" t="s">
        <v>100</v>
      </c>
      <c r="D332" s="189"/>
      <c r="E332" s="559" t="s">
        <v>100</v>
      </c>
      <c r="F332" s="182" t="s">
        <v>100</v>
      </c>
      <c r="G332" s="182"/>
      <c r="H332" s="182" t="s">
        <v>100</v>
      </c>
      <c r="I332" s="189"/>
      <c r="J332" s="182" t="s">
        <v>100</v>
      </c>
      <c r="K332" s="189"/>
      <c r="L332" s="182" t="s">
        <v>100</v>
      </c>
      <c r="M332" s="182" t="s">
        <v>100</v>
      </c>
      <c r="N332" s="189"/>
      <c r="O332" s="189"/>
      <c r="P332" s="182" t="s">
        <v>100</v>
      </c>
      <c r="Q332" s="189" t="s">
        <v>100</v>
      </c>
      <c r="R332" s="367"/>
      <c r="S332" s="182"/>
      <c r="T332" s="182"/>
      <c r="U332" s="182"/>
      <c r="V332" s="182"/>
      <c r="W332" s="189"/>
      <c r="X332" s="189"/>
      <c r="Y332" s="189"/>
      <c r="Z332" s="189"/>
      <c r="AA332" s="189"/>
      <c r="AB332" s="189"/>
      <c r="AC332" s="189"/>
      <c r="AD332" s="189"/>
      <c r="AE332" s="189"/>
      <c r="AF332" s="189"/>
      <c r="AG332" s="189"/>
      <c r="AH332" s="189"/>
      <c r="AI332" s="339">
        <f t="shared" si="81"/>
        <v>10</v>
      </c>
      <c r="AJ332" s="530" t="s">
        <v>113</v>
      </c>
      <c r="AK332" s="370">
        <v>43125</v>
      </c>
      <c r="AL332" s="352"/>
      <c r="AM332" s="352"/>
      <c r="AN332" s="352"/>
      <c r="AO332" s="352"/>
      <c r="AP332" s="352"/>
      <c r="AQ332" s="352"/>
      <c r="AR332" s="352"/>
      <c r="AS332" s="352"/>
      <c r="AT332" s="352"/>
      <c r="AU332" s="352"/>
      <c r="AV332" s="352"/>
      <c r="AW332" s="352"/>
      <c r="AX332" s="352"/>
      <c r="AY332" s="352"/>
      <c r="AZ332" s="352"/>
      <c r="BA332" s="352"/>
      <c r="BB332" s="352"/>
      <c r="BC332" s="352"/>
      <c r="BD332" s="352"/>
      <c r="BE332" s="352"/>
      <c r="BF332" s="352"/>
      <c r="BG332" s="352"/>
      <c r="BH332" s="352"/>
      <c r="BI332" s="352"/>
      <c r="BJ332" s="352"/>
      <c r="BK332" s="470"/>
      <c r="BL332" s="339"/>
      <c r="BM332" s="339"/>
      <c r="BN332" s="182"/>
      <c r="BO332" s="182"/>
      <c r="BP332" s="182"/>
      <c r="BQ332" s="182"/>
      <c r="BR332" s="182"/>
      <c r="BS332" s="182"/>
      <c r="BT332" s="182"/>
      <c r="BU332" s="182"/>
      <c r="BV332" s="182"/>
      <c r="BW332" s="182"/>
      <c r="BX332" s="182"/>
      <c r="BY332" s="182"/>
      <c r="BZ332" s="182"/>
      <c r="CA332" s="182"/>
      <c r="CB332" s="182"/>
      <c r="CC332" s="182"/>
      <c r="CD332" s="182"/>
      <c r="CE332" s="182"/>
      <c r="CF332" s="182"/>
      <c r="CG332" s="182"/>
      <c r="CH332" s="182"/>
      <c r="CI332" s="182"/>
      <c r="CJ332" s="497"/>
      <c r="CK332" s="621"/>
      <c r="CL332" s="622"/>
      <c r="CM332" s="623"/>
    </row>
    <row r="333" spans="1:91" s="344" customFormat="1">
      <c r="A333" s="374" t="s">
        <v>463</v>
      </c>
      <c r="B333" s="189" t="s">
        <v>100</v>
      </c>
      <c r="C333" s="189" t="s">
        <v>100</v>
      </c>
      <c r="D333" s="189"/>
      <c r="E333" s="559" t="s">
        <v>100</v>
      </c>
      <c r="F333" s="549" t="s">
        <v>100</v>
      </c>
      <c r="G333" s="182"/>
      <c r="H333" s="549" t="s">
        <v>100</v>
      </c>
      <c r="I333" s="189"/>
      <c r="J333" s="182" t="s">
        <v>100</v>
      </c>
      <c r="K333" s="189"/>
      <c r="L333" s="182" t="s">
        <v>100</v>
      </c>
      <c r="M333" s="182" t="s">
        <v>100</v>
      </c>
      <c r="N333" s="189"/>
      <c r="O333" s="189"/>
      <c r="P333" s="182"/>
      <c r="Q333" s="189"/>
      <c r="R333" s="189"/>
      <c r="S333" s="549" t="s">
        <v>100</v>
      </c>
      <c r="T333" s="182"/>
      <c r="U333" s="182"/>
      <c r="V333" s="182" t="s">
        <v>100</v>
      </c>
      <c r="W333" s="189"/>
      <c r="X333" s="189"/>
      <c r="Y333" s="189"/>
      <c r="Z333" s="189"/>
      <c r="AA333" s="189"/>
      <c r="AB333" s="189"/>
      <c r="AC333" s="189"/>
      <c r="AD333" s="189"/>
      <c r="AE333" s="189"/>
      <c r="AF333" s="189"/>
      <c r="AG333" s="189"/>
      <c r="AH333" s="189"/>
      <c r="AI333" s="339">
        <f t="shared" ref="AI333" si="84">COUNTIF(B333:AH333,"x")</f>
        <v>10</v>
      </c>
      <c r="AJ333" s="330" t="str">
        <f>HYPERLINK("http://www.bbwaa.com/18-hof-ballots","BBWAA.com")</f>
        <v>BBWAA.com</v>
      </c>
      <c r="AK333" s="595">
        <v>43138</v>
      </c>
      <c r="AL333" s="352"/>
      <c r="AM333" s="352"/>
      <c r="AN333" s="352"/>
      <c r="AO333" s="352"/>
      <c r="AP333" s="352"/>
      <c r="AQ333" s="352"/>
      <c r="AR333" s="352"/>
      <c r="AS333" s="352"/>
      <c r="AT333" s="352"/>
      <c r="AU333" s="352"/>
      <c r="AV333" s="352"/>
      <c r="AW333" s="352"/>
      <c r="AX333" s="352"/>
      <c r="AY333" s="352"/>
      <c r="AZ333" s="352"/>
      <c r="BA333" s="352"/>
      <c r="BB333" s="352"/>
      <c r="BC333" s="352"/>
      <c r="BD333" s="352"/>
      <c r="BE333" s="352"/>
      <c r="BF333" s="352"/>
      <c r="BG333" s="352"/>
      <c r="BH333" s="352"/>
      <c r="BI333" s="352"/>
      <c r="BJ333" s="352"/>
      <c r="BK333" s="470"/>
      <c r="BL333" s="339"/>
      <c r="BM333" s="339"/>
      <c r="BN333" s="182"/>
      <c r="BO333" s="182"/>
      <c r="BP333" s="182"/>
      <c r="BQ333" s="182"/>
      <c r="BR333" s="182"/>
      <c r="BS333" s="182"/>
      <c r="BT333" s="182"/>
      <c r="BU333" s="182"/>
      <c r="BV333" s="182"/>
      <c r="BW333" s="182"/>
      <c r="BX333" s="182"/>
      <c r="BY333" s="182"/>
      <c r="BZ333" s="182"/>
      <c r="CA333" s="182"/>
      <c r="CB333" s="182"/>
      <c r="CC333" s="182"/>
      <c r="CD333" s="182"/>
      <c r="CE333" s="182"/>
      <c r="CF333" s="182"/>
      <c r="CG333" s="182"/>
      <c r="CH333" s="182"/>
      <c r="CI333" s="182"/>
      <c r="CJ333" s="497"/>
      <c r="CK333" s="647" t="s">
        <v>464</v>
      </c>
      <c r="CL333" s="648"/>
      <c r="CM333" s="649"/>
    </row>
    <row r="334" spans="1:91" s="344" customFormat="1">
      <c r="A334" s="374" t="s">
        <v>465</v>
      </c>
      <c r="B334" s="189"/>
      <c r="C334" s="189"/>
      <c r="D334" s="189"/>
      <c r="E334" s="549" t="s">
        <v>100</v>
      </c>
      <c r="F334" s="549" t="s">
        <v>100</v>
      </c>
      <c r="G334" s="182"/>
      <c r="H334" s="549" t="s">
        <v>100</v>
      </c>
      <c r="I334" s="189"/>
      <c r="J334" s="366" t="s">
        <v>100</v>
      </c>
      <c r="K334" s="366" t="s">
        <v>100</v>
      </c>
      <c r="L334" s="366" t="s">
        <v>100</v>
      </c>
      <c r="M334" s="182"/>
      <c r="N334" s="189"/>
      <c r="O334" s="189"/>
      <c r="P334" s="182"/>
      <c r="Q334" s="189"/>
      <c r="R334" s="189"/>
      <c r="S334" s="549" t="s">
        <v>100</v>
      </c>
      <c r="T334" s="182"/>
      <c r="U334" s="182"/>
      <c r="V334" s="366" t="s">
        <v>100</v>
      </c>
      <c r="W334" s="189"/>
      <c r="X334" s="189"/>
      <c r="Y334" s="189"/>
      <c r="Z334" s="189"/>
      <c r="AA334" s="189"/>
      <c r="AB334" s="189"/>
      <c r="AC334" s="189"/>
      <c r="AD334" s="189"/>
      <c r="AE334" s="189"/>
      <c r="AF334" s="189"/>
      <c r="AG334" s="189"/>
      <c r="AH334" s="189"/>
      <c r="AI334" s="339">
        <f t="shared" si="81"/>
        <v>8</v>
      </c>
      <c r="AJ334" s="530" t="s">
        <v>138</v>
      </c>
      <c r="AK334" s="370">
        <v>43125</v>
      </c>
      <c r="AL334" s="352"/>
      <c r="AM334" s="352"/>
      <c r="AN334" s="352"/>
      <c r="AO334" s="352"/>
      <c r="AP334" s="352"/>
      <c r="AQ334" s="352"/>
      <c r="AR334" s="352"/>
      <c r="AS334" s="352"/>
      <c r="AT334" s="352"/>
      <c r="AU334" s="352"/>
      <c r="AV334" s="352"/>
      <c r="AW334" s="352"/>
      <c r="AX334" s="352"/>
      <c r="AY334" s="352"/>
      <c r="AZ334" s="352"/>
      <c r="BA334" s="352"/>
      <c r="BB334" s="352"/>
      <c r="BC334" s="352"/>
      <c r="BD334" s="352"/>
      <c r="BE334" s="352"/>
      <c r="BF334" s="352"/>
      <c r="BG334" s="352"/>
      <c r="BH334" s="352"/>
      <c r="BI334" s="352"/>
      <c r="BJ334" s="352"/>
      <c r="BK334" s="470"/>
      <c r="BL334" s="339"/>
      <c r="BM334" s="339"/>
      <c r="BN334" s="182"/>
      <c r="BO334" s="182"/>
      <c r="BP334" s="182"/>
      <c r="BQ334" s="182"/>
      <c r="BR334" s="182"/>
      <c r="BS334" s="182"/>
      <c r="BT334" s="182"/>
      <c r="BU334" s="182"/>
      <c r="BV334" s="182"/>
      <c r="BW334" s="182"/>
      <c r="BX334" s="182"/>
      <c r="BY334" s="182"/>
      <c r="BZ334" s="182"/>
      <c r="CA334" s="182"/>
      <c r="CB334" s="182"/>
      <c r="CC334" s="182"/>
      <c r="CD334" s="182"/>
      <c r="CE334" s="182"/>
      <c r="CF334" s="182"/>
      <c r="CG334" s="182"/>
      <c r="CH334" s="182"/>
      <c r="CI334" s="182"/>
      <c r="CJ334" s="497"/>
      <c r="CK334" s="621"/>
      <c r="CL334" s="622"/>
      <c r="CM334" s="623"/>
    </row>
    <row r="335" spans="1:91" s="344" customFormat="1">
      <c r="A335" s="374" t="s">
        <v>466</v>
      </c>
      <c r="B335" s="574"/>
      <c r="C335" s="574"/>
      <c r="D335" s="574"/>
      <c r="E335" s="549" t="s">
        <v>100</v>
      </c>
      <c r="F335" s="549" t="s">
        <v>100</v>
      </c>
      <c r="G335" s="570"/>
      <c r="H335" s="549" t="s">
        <v>100</v>
      </c>
      <c r="I335" s="574"/>
      <c r="J335" s="611" t="s">
        <v>100</v>
      </c>
      <c r="K335" s="574"/>
      <c r="L335" s="574"/>
      <c r="M335" s="570"/>
      <c r="N335" s="574" t="s">
        <v>100</v>
      </c>
      <c r="O335" s="574" t="s">
        <v>100</v>
      </c>
      <c r="P335" s="570"/>
      <c r="Q335" s="574"/>
      <c r="R335" s="574"/>
      <c r="S335" s="549" t="s">
        <v>100</v>
      </c>
      <c r="T335" s="570" t="s">
        <v>100</v>
      </c>
      <c r="U335" s="570"/>
      <c r="V335" s="574" t="s">
        <v>100</v>
      </c>
      <c r="W335" s="189"/>
      <c r="X335" s="189"/>
      <c r="Y335" s="189"/>
      <c r="Z335" s="189"/>
      <c r="AA335" s="189"/>
      <c r="AB335" s="189"/>
      <c r="AC335" s="189"/>
      <c r="AD335" s="189"/>
      <c r="AE335" s="189"/>
      <c r="AF335" s="189"/>
      <c r="AG335" s="189"/>
      <c r="AH335" s="189"/>
      <c r="AI335" s="339">
        <f t="shared" si="81"/>
        <v>9</v>
      </c>
      <c r="AJ335" s="330" t="str">
        <f t="shared" ref="AJ335:AJ342" si="85">HYPERLINK("http://www.bbwaa.com/18-hof-ballots","BBWAA.com")</f>
        <v>BBWAA.com</v>
      </c>
      <c r="AK335" s="595">
        <v>43138</v>
      </c>
      <c r="AL335" s="352"/>
      <c r="AM335" s="352"/>
      <c r="AN335" s="352"/>
      <c r="AO335" s="352"/>
      <c r="AP335" s="352"/>
      <c r="AQ335" s="352"/>
      <c r="AR335" s="352"/>
      <c r="AS335" s="352"/>
      <c r="AT335" s="352"/>
      <c r="AU335" s="352"/>
      <c r="AV335" s="352"/>
      <c r="AW335" s="352"/>
      <c r="AX335" s="352"/>
      <c r="AY335" s="352"/>
      <c r="AZ335" s="352"/>
      <c r="BA335" s="352"/>
      <c r="BB335" s="352"/>
      <c r="BC335" s="352"/>
      <c r="BD335" s="352"/>
      <c r="BE335" s="352"/>
      <c r="BF335" s="352"/>
      <c r="BG335" s="352"/>
      <c r="BH335" s="352"/>
      <c r="BI335" s="352"/>
      <c r="BJ335" s="352"/>
      <c r="BK335" s="470"/>
      <c r="BL335" s="339"/>
      <c r="BM335" s="339"/>
      <c r="BN335" s="182"/>
      <c r="BO335" s="182"/>
      <c r="BP335" s="182"/>
      <c r="BQ335" s="182"/>
      <c r="BR335" s="182"/>
      <c r="BS335" s="182"/>
      <c r="BT335" s="182"/>
      <c r="BU335" s="182"/>
      <c r="BV335" s="182"/>
      <c r="BW335" s="182"/>
      <c r="BX335" s="182"/>
      <c r="BY335" s="182"/>
      <c r="BZ335" s="182"/>
      <c r="CA335" s="182"/>
      <c r="CB335" s="182"/>
      <c r="CC335" s="182"/>
      <c r="CD335" s="182"/>
      <c r="CE335" s="182"/>
      <c r="CF335" s="182"/>
      <c r="CG335" s="182"/>
      <c r="CH335" s="182"/>
      <c r="CI335" s="182"/>
      <c r="CJ335" s="497"/>
      <c r="CK335" s="621"/>
      <c r="CL335" s="622"/>
      <c r="CM335" s="623"/>
    </row>
    <row r="336" spans="1:91" s="344" customFormat="1">
      <c r="A336" s="374" t="s">
        <v>467</v>
      </c>
      <c r="B336" s="612"/>
      <c r="C336" s="574"/>
      <c r="D336" s="574"/>
      <c r="E336" s="559" t="s">
        <v>100</v>
      </c>
      <c r="F336" s="549"/>
      <c r="G336" s="570"/>
      <c r="H336" s="549" t="s">
        <v>100</v>
      </c>
      <c r="I336" s="574"/>
      <c r="J336" s="574"/>
      <c r="K336" s="574" t="s">
        <v>100</v>
      </c>
      <c r="L336" s="574"/>
      <c r="M336" s="570"/>
      <c r="N336" s="574"/>
      <c r="O336" s="574"/>
      <c r="P336" s="570"/>
      <c r="Q336" s="574"/>
      <c r="R336" s="574"/>
      <c r="S336" s="549" t="s">
        <v>100</v>
      </c>
      <c r="T336" s="570"/>
      <c r="U336" s="570"/>
      <c r="V336" s="574"/>
      <c r="W336" s="189"/>
      <c r="X336" s="189"/>
      <c r="Y336" s="189"/>
      <c r="Z336" s="189"/>
      <c r="AA336" s="189"/>
      <c r="AB336" s="189"/>
      <c r="AC336" s="189"/>
      <c r="AD336" s="189"/>
      <c r="AE336" s="189"/>
      <c r="AF336" s="189"/>
      <c r="AG336" s="189"/>
      <c r="AH336" s="189"/>
      <c r="AI336" s="339">
        <f t="shared" ref="AI336:AI339" si="86">COUNTIF(B336:AH336,"x")</f>
        <v>4</v>
      </c>
      <c r="AJ336" s="330" t="str">
        <f t="shared" si="85"/>
        <v>BBWAA.com</v>
      </c>
      <c r="AK336" s="595">
        <v>43138</v>
      </c>
      <c r="AL336" s="352"/>
      <c r="AM336" s="352"/>
      <c r="AN336" s="352"/>
      <c r="AO336" s="352"/>
      <c r="AP336" s="352"/>
      <c r="AQ336" s="352"/>
      <c r="AR336" s="352"/>
      <c r="AS336" s="352"/>
      <c r="AT336" s="352"/>
      <c r="AU336" s="352"/>
      <c r="AV336" s="352"/>
      <c r="AW336" s="352"/>
      <c r="AX336" s="352"/>
      <c r="AY336" s="352"/>
      <c r="AZ336" s="352"/>
      <c r="BA336" s="352"/>
      <c r="BB336" s="352"/>
      <c r="BC336" s="352"/>
      <c r="BD336" s="352"/>
      <c r="BE336" s="352"/>
      <c r="BF336" s="352"/>
      <c r="BG336" s="352"/>
      <c r="BH336" s="352"/>
      <c r="BI336" s="352"/>
      <c r="BJ336" s="352"/>
      <c r="BK336" s="470"/>
      <c r="BL336" s="339"/>
      <c r="BM336" s="339"/>
      <c r="BN336" s="182"/>
      <c r="BO336" s="182"/>
      <c r="BP336" s="182"/>
      <c r="BQ336" s="182"/>
      <c r="BR336" s="182"/>
      <c r="BS336" s="182"/>
      <c r="BT336" s="182"/>
      <c r="BU336" s="182"/>
      <c r="BV336" s="182"/>
      <c r="BW336" s="182"/>
      <c r="BX336" s="182"/>
      <c r="BY336" s="182"/>
      <c r="BZ336" s="182"/>
      <c r="CA336" s="182"/>
      <c r="CB336" s="182"/>
      <c r="CC336" s="182"/>
      <c r="CD336" s="182"/>
      <c r="CE336" s="182"/>
      <c r="CF336" s="182"/>
      <c r="CG336" s="182"/>
      <c r="CH336" s="182"/>
      <c r="CI336" s="182"/>
      <c r="CJ336" s="497"/>
      <c r="CK336" s="621"/>
      <c r="CL336" s="622"/>
      <c r="CM336" s="623"/>
    </row>
    <row r="337" spans="1:91" s="344" customFormat="1">
      <c r="A337" s="374" t="s">
        <v>468</v>
      </c>
      <c r="B337" s="574" t="s">
        <v>100</v>
      </c>
      <c r="C337" s="574" t="s">
        <v>100</v>
      </c>
      <c r="D337" s="574"/>
      <c r="E337" s="549" t="s">
        <v>100</v>
      </c>
      <c r="F337" s="549" t="s">
        <v>100</v>
      </c>
      <c r="G337" s="570"/>
      <c r="H337" s="549" t="s">
        <v>100</v>
      </c>
      <c r="I337" s="612"/>
      <c r="J337" s="574" t="s">
        <v>100</v>
      </c>
      <c r="K337" s="574"/>
      <c r="L337" s="611" t="s">
        <v>100</v>
      </c>
      <c r="M337" s="570"/>
      <c r="N337" s="574"/>
      <c r="O337" s="574"/>
      <c r="P337" s="613" t="s">
        <v>100</v>
      </c>
      <c r="Q337" s="574"/>
      <c r="R337" s="574"/>
      <c r="S337" s="549" t="s">
        <v>100</v>
      </c>
      <c r="T337" s="570"/>
      <c r="U337" s="570"/>
      <c r="V337" s="574"/>
      <c r="W337" s="189"/>
      <c r="X337" s="189"/>
      <c r="Y337" s="189"/>
      <c r="Z337" s="189"/>
      <c r="AA337" s="189"/>
      <c r="AB337" s="189"/>
      <c r="AC337" s="189"/>
      <c r="AD337" s="189"/>
      <c r="AE337" s="189"/>
      <c r="AF337" s="189"/>
      <c r="AG337" s="189"/>
      <c r="AH337" s="189"/>
      <c r="AI337" s="339">
        <f t="shared" ref="AI337" si="87">COUNTIF(B337:AH337,"x")</f>
        <v>9</v>
      </c>
      <c r="AJ337" s="330" t="str">
        <f t="shared" si="85"/>
        <v>BBWAA.com</v>
      </c>
      <c r="AK337" s="595">
        <v>43138</v>
      </c>
      <c r="AL337" s="352"/>
      <c r="AM337" s="352"/>
      <c r="AN337" s="352"/>
      <c r="AO337" s="352"/>
      <c r="AP337" s="352"/>
      <c r="AQ337" s="352"/>
      <c r="AR337" s="352"/>
      <c r="AS337" s="352"/>
      <c r="AT337" s="352"/>
      <c r="AU337" s="352"/>
      <c r="AV337" s="352"/>
      <c r="AW337" s="352"/>
      <c r="AX337" s="352"/>
      <c r="AY337" s="352"/>
      <c r="AZ337" s="352"/>
      <c r="BA337" s="352"/>
      <c r="BB337" s="352"/>
      <c r="BC337" s="352"/>
      <c r="BD337" s="352"/>
      <c r="BE337" s="352"/>
      <c r="BF337" s="352"/>
      <c r="BG337" s="352"/>
      <c r="BH337" s="352"/>
      <c r="BI337" s="352"/>
      <c r="BJ337" s="352"/>
      <c r="BK337" s="470"/>
      <c r="BL337" s="339"/>
      <c r="BM337" s="339"/>
      <c r="BN337" s="182"/>
      <c r="BO337" s="182"/>
      <c r="BP337" s="182"/>
      <c r="BQ337" s="182"/>
      <c r="BR337" s="182"/>
      <c r="BS337" s="182"/>
      <c r="BT337" s="182"/>
      <c r="BU337" s="182"/>
      <c r="BV337" s="182"/>
      <c r="BW337" s="182"/>
      <c r="BX337" s="182"/>
      <c r="BY337" s="182"/>
      <c r="BZ337" s="182"/>
      <c r="CA337" s="182"/>
      <c r="CB337" s="182"/>
      <c r="CC337" s="182"/>
      <c r="CD337" s="182"/>
      <c r="CE337" s="182"/>
      <c r="CF337" s="182"/>
      <c r="CG337" s="182"/>
      <c r="CH337" s="182"/>
      <c r="CI337" s="182"/>
      <c r="CJ337" s="497"/>
      <c r="CK337" s="621"/>
      <c r="CL337" s="622"/>
      <c r="CM337" s="623"/>
    </row>
    <row r="338" spans="1:91" s="344" customFormat="1">
      <c r="A338" s="374" t="s">
        <v>469</v>
      </c>
      <c r="B338" s="574"/>
      <c r="C338" s="574"/>
      <c r="D338" s="574"/>
      <c r="E338" s="549"/>
      <c r="F338" s="549" t="s">
        <v>100</v>
      </c>
      <c r="G338" s="570"/>
      <c r="H338" s="549" t="s">
        <v>100</v>
      </c>
      <c r="I338" s="574"/>
      <c r="J338" s="574"/>
      <c r="K338" s="574" t="s">
        <v>100</v>
      </c>
      <c r="L338" s="574"/>
      <c r="M338" s="570"/>
      <c r="N338" s="574"/>
      <c r="O338" s="574"/>
      <c r="P338" s="570"/>
      <c r="Q338" s="574"/>
      <c r="R338" s="574"/>
      <c r="S338" s="549" t="s">
        <v>100</v>
      </c>
      <c r="T338" s="570" t="s">
        <v>100</v>
      </c>
      <c r="U338" s="570"/>
      <c r="V338" s="574"/>
      <c r="W338" s="189"/>
      <c r="X338" s="189"/>
      <c r="Y338" s="189"/>
      <c r="Z338" s="189"/>
      <c r="AA338" s="189"/>
      <c r="AB338" s="189"/>
      <c r="AC338" s="189"/>
      <c r="AD338" s="189"/>
      <c r="AE338" s="189"/>
      <c r="AF338" s="189"/>
      <c r="AG338" s="189"/>
      <c r="AH338" s="189"/>
      <c r="AI338" s="339">
        <f t="shared" si="86"/>
        <v>5</v>
      </c>
      <c r="AJ338" s="330" t="str">
        <f t="shared" si="85"/>
        <v>BBWAA.com</v>
      </c>
      <c r="AK338" s="595">
        <v>43138</v>
      </c>
      <c r="AL338" s="352"/>
      <c r="AM338" s="352"/>
      <c r="AN338" s="352"/>
      <c r="AO338" s="352"/>
      <c r="AP338" s="352"/>
      <c r="AQ338" s="352"/>
      <c r="AR338" s="352"/>
      <c r="AS338" s="352"/>
      <c r="AT338" s="352"/>
      <c r="AU338" s="352"/>
      <c r="AV338" s="352"/>
      <c r="AW338" s="352"/>
      <c r="AX338" s="352"/>
      <c r="AY338" s="352"/>
      <c r="AZ338" s="352"/>
      <c r="BA338" s="352"/>
      <c r="BB338" s="352"/>
      <c r="BC338" s="352"/>
      <c r="BD338" s="352"/>
      <c r="BE338" s="352"/>
      <c r="BF338" s="352"/>
      <c r="BG338" s="352"/>
      <c r="BH338" s="352"/>
      <c r="BI338" s="352"/>
      <c r="BJ338" s="352"/>
      <c r="BK338" s="470"/>
      <c r="BL338" s="339"/>
      <c r="BM338" s="339"/>
      <c r="BN338" s="182"/>
      <c r="BO338" s="182"/>
      <c r="BP338" s="182"/>
      <c r="BQ338" s="182"/>
      <c r="BR338" s="182"/>
      <c r="BS338" s="182"/>
      <c r="BT338" s="182"/>
      <c r="BU338" s="182"/>
      <c r="BV338" s="182"/>
      <c r="BW338" s="182"/>
      <c r="BX338" s="182"/>
      <c r="BY338" s="182"/>
      <c r="BZ338" s="182"/>
      <c r="CA338" s="182"/>
      <c r="CB338" s="182"/>
      <c r="CC338" s="182"/>
      <c r="CD338" s="182"/>
      <c r="CE338" s="182"/>
      <c r="CF338" s="182"/>
      <c r="CG338" s="182"/>
      <c r="CH338" s="182"/>
      <c r="CI338" s="182"/>
      <c r="CJ338" s="497"/>
      <c r="CK338" s="621"/>
      <c r="CL338" s="622"/>
      <c r="CM338" s="623"/>
    </row>
    <row r="339" spans="1:91" s="344" customFormat="1">
      <c r="A339" s="374" t="s">
        <v>470</v>
      </c>
      <c r="B339" s="574" t="s">
        <v>100</v>
      </c>
      <c r="C339" s="574" t="s">
        <v>100</v>
      </c>
      <c r="D339" s="574"/>
      <c r="E339" s="549" t="s">
        <v>100</v>
      </c>
      <c r="F339" s="549" t="s">
        <v>100</v>
      </c>
      <c r="G339" s="570"/>
      <c r="H339" s="549" t="s">
        <v>100</v>
      </c>
      <c r="I339" s="574" t="s">
        <v>100</v>
      </c>
      <c r="J339" s="574"/>
      <c r="K339" s="611" t="s">
        <v>100</v>
      </c>
      <c r="L339" s="574"/>
      <c r="M339" s="570"/>
      <c r="N339" s="574"/>
      <c r="O339" s="574"/>
      <c r="P339" s="570" t="s">
        <v>100</v>
      </c>
      <c r="Q339" s="574"/>
      <c r="R339" s="574"/>
      <c r="S339" s="549" t="s">
        <v>100</v>
      </c>
      <c r="T339" s="570"/>
      <c r="U339" s="570"/>
      <c r="V339" s="574"/>
      <c r="W339" s="189"/>
      <c r="X339" s="189"/>
      <c r="Y339" s="189"/>
      <c r="Z339" s="189"/>
      <c r="AA339" s="189"/>
      <c r="AB339" s="189"/>
      <c r="AC339" s="189"/>
      <c r="AD339" s="189"/>
      <c r="AE339" s="189"/>
      <c r="AF339" s="189"/>
      <c r="AG339" s="189"/>
      <c r="AH339" s="189"/>
      <c r="AI339" s="339">
        <f t="shared" si="86"/>
        <v>9</v>
      </c>
      <c r="AJ339" s="330" t="str">
        <f t="shared" si="85"/>
        <v>BBWAA.com</v>
      </c>
      <c r="AK339" s="595">
        <v>43138</v>
      </c>
      <c r="AL339" s="352"/>
      <c r="AM339" s="352"/>
      <c r="AN339" s="352"/>
      <c r="AO339" s="352"/>
      <c r="AP339" s="352"/>
      <c r="AQ339" s="352"/>
      <c r="AR339" s="352"/>
      <c r="AS339" s="352"/>
      <c r="AT339" s="352"/>
      <c r="AU339" s="352"/>
      <c r="AV339" s="352"/>
      <c r="AW339" s="352"/>
      <c r="AX339" s="352"/>
      <c r="AY339" s="352"/>
      <c r="AZ339" s="352"/>
      <c r="BA339" s="352"/>
      <c r="BB339" s="352"/>
      <c r="BC339" s="352"/>
      <c r="BD339" s="352"/>
      <c r="BE339" s="352"/>
      <c r="BF339" s="352"/>
      <c r="BG339" s="352"/>
      <c r="BH339" s="352"/>
      <c r="BI339" s="352"/>
      <c r="BJ339" s="352"/>
      <c r="BK339" s="470"/>
      <c r="BL339" s="339"/>
      <c r="BM339" s="339"/>
      <c r="BN339" s="182"/>
      <c r="BO339" s="182"/>
      <c r="BP339" s="182"/>
      <c r="BQ339" s="182"/>
      <c r="BR339" s="182"/>
      <c r="BS339" s="182"/>
      <c r="BT339" s="182"/>
      <c r="BU339" s="182"/>
      <c r="BV339" s="182"/>
      <c r="BW339" s="182"/>
      <c r="BX339" s="182"/>
      <c r="BY339" s="182"/>
      <c r="BZ339" s="182"/>
      <c r="CA339" s="182"/>
      <c r="CB339" s="182"/>
      <c r="CC339" s="182"/>
      <c r="CD339" s="182"/>
      <c r="CE339" s="182"/>
      <c r="CF339" s="182"/>
      <c r="CG339" s="182"/>
      <c r="CH339" s="182"/>
      <c r="CI339" s="182"/>
      <c r="CJ339" s="497"/>
      <c r="CK339" s="621"/>
      <c r="CL339" s="622"/>
      <c r="CM339" s="623"/>
    </row>
    <row r="340" spans="1:91" s="344" customFormat="1">
      <c r="A340" s="374" t="s">
        <v>471</v>
      </c>
      <c r="B340" s="574" t="s">
        <v>100</v>
      </c>
      <c r="C340" s="574" t="s">
        <v>100</v>
      </c>
      <c r="D340" s="574"/>
      <c r="E340" s="549" t="s">
        <v>100</v>
      </c>
      <c r="F340" s="549" t="s">
        <v>100</v>
      </c>
      <c r="G340" s="570"/>
      <c r="H340" s="549" t="s">
        <v>100</v>
      </c>
      <c r="I340" s="574"/>
      <c r="J340" s="574" t="s">
        <v>100</v>
      </c>
      <c r="K340" s="574"/>
      <c r="L340" s="574" t="s">
        <v>100</v>
      </c>
      <c r="M340" s="570"/>
      <c r="N340" s="574" t="s">
        <v>100</v>
      </c>
      <c r="O340" s="574"/>
      <c r="P340" s="570"/>
      <c r="Q340" s="574"/>
      <c r="R340" s="574"/>
      <c r="S340" s="549" t="s">
        <v>100</v>
      </c>
      <c r="T340" s="570"/>
      <c r="U340" s="570"/>
      <c r="V340" s="574" t="s">
        <v>100</v>
      </c>
      <c r="W340" s="189"/>
      <c r="X340" s="189"/>
      <c r="Y340" s="189"/>
      <c r="Z340" s="189"/>
      <c r="AA340" s="189"/>
      <c r="AB340" s="189"/>
      <c r="AC340" s="189"/>
      <c r="AD340" s="189"/>
      <c r="AE340" s="189"/>
      <c r="AF340" s="189"/>
      <c r="AG340" s="189"/>
      <c r="AH340" s="189"/>
      <c r="AI340" s="339">
        <f t="shared" ref="AI340" si="88">COUNTIF(B340:AH340,"x")</f>
        <v>10</v>
      </c>
      <c r="AJ340" s="330" t="str">
        <f t="shared" si="85"/>
        <v>BBWAA.com</v>
      </c>
      <c r="AK340" s="595">
        <v>43138</v>
      </c>
      <c r="AL340" s="352"/>
      <c r="AM340" s="352"/>
      <c r="AN340" s="352"/>
      <c r="AO340" s="352"/>
      <c r="AP340" s="352"/>
      <c r="AQ340" s="352"/>
      <c r="AR340" s="352"/>
      <c r="AS340" s="352"/>
      <c r="AT340" s="352"/>
      <c r="AU340" s="352"/>
      <c r="AV340" s="352"/>
      <c r="AW340" s="352"/>
      <c r="AX340" s="352"/>
      <c r="AY340" s="352"/>
      <c r="AZ340" s="352"/>
      <c r="BA340" s="352"/>
      <c r="BB340" s="352"/>
      <c r="BC340" s="352"/>
      <c r="BD340" s="352"/>
      <c r="BE340" s="352"/>
      <c r="BF340" s="352"/>
      <c r="BG340" s="352"/>
      <c r="BH340" s="352"/>
      <c r="BI340" s="352"/>
      <c r="BJ340" s="352"/>
      <c r="BK340" s="470"/>
      <c r="BL340" s="339"/>
      <c r="BM340" s="339"/>
      <c r="BN340" s="182"/>
      <c r="BO340" s="182"/>
      <c r="BP340" s="182"/>
      <c r="BQ340" s="182"/>
      <c r="BR340" s="182"/>
      <c r="BS340" s="182"/>
      <c r="BT340" s="182"/>
      <c r="BU340" s="182"/>
      <c r="BV340" s="182"/>
      <c r="BW340" s="182"/>
      <c r="BX340" s="182"/>
      <c r="BY340" s="182"/>
      <c r="BZ340" s="182"/>
      <c r="CA340" s="182"/>
      <c r="CB340" s="182"/>
      <c r="CC340" s="182"/>
      <c r="CD340" s="182"/>
      <c r="CE340" s="182"/>
      <c r="CF340" s="182"/>
      <c r="CG340" s="182"/>
      <c r="CH340" s="182"/>
      <c r="CI340" s="182"/>
      <c r="CJ340" s="497"/>
      <c r="CK340" s="621"/>
      <c r="CL340" s="622"/>
      <c r="CM340" s="623"/>
    </row>
    <row r="341" spans="1:91" s="344" customFormat="1">
      <c r="A341" s="374" t="s">
        <v>472</v>
      </c>
      <c r="B341" s="574" t="s">
        <v>100</v>
      </c>
      <c r="C341" s="574" t="s">
        <v>100</v>
      </c>
      <c r="D341" s="574"/>
      <c r="E341" s="549" t="s">
        <v>100</v>
      </c>
      <c r="F341" s="549" t="s">
        <v>100</v>
      </c>
      <c r="G341" s="570"/>
      <c r="H341" s="549" t="s">
        <v>100</v>
      </c>
      <c r="I341" s="574"/>
      <c r="J341" s="574" t="s">
        <v>100</v>
      </c>
      <c r="K341" s="574"/>
      <c r="L341" s="574" t="s">
        <v>100</v>
      </c>
      <c r="M341" s="570"/>
      <c r="N341" s="574"/>
      <c r="O341" s="574"/>
      <c r="P341" s="570" t="s">
        <v>100</v>
      </c>
      <c r="Q341" s="574"/>
      <c r="R341" s="574"/>
      <c r="S341" s="549" t="s">
        <v>100</v>
      </c>
      <c r="T341" s="570"/>
      <c r="U341" s="570"/>
      <c r="V341" s="574" t="s">
        <v>100</v>
      </c>
      <c r="W341" s="189"/>
      <c r="X341" s="189"/>
      <c r="Y341" s="189"/>
      <c r="Z341" s="189"/>
      <c r="AA341" s="189"/>
      <c r="AB341" s="189"/>
      <c r="AC341" s="189"/>
      <c r="AD341" s="189"/>
      <c r="AE341" s="189"/>
      <c r="AF341" s="189"/>
      <c r="AG341" s="189"/>
      <c r="AH341" s="189"/>
      <c r="AI341" s="339">
        <f t="shared" ref="AI341" si="89">COUNTIF(B341:AH341,"x")</f>
        <v>10</v>
      </c>
      <c r="AJ341" s="330" t="str">
        <f t="shared" si="85"/>
        <v>BBWAA.com</v>
      </c>
      <c r="AK341" s="595">
        <v>43138</v>
      </c>
      <c r="AL341" s="352"/>
      <c r="AM341" s="352"/>
      <c r="AN341" s="352"/>
      <c r="AO341" s="352"/>
      <c r="AP341" s="352"/>
      <c r="AQ341" s="352"/>
      <c r="AR341" s="352"/>
      <c r="AS341" s="352"/>
      <c r="AT341" s="352"/>
      <c r="AU341" s="352"/>
      <c r="AV341" s="352"/>
      <c r="AW341" s="352"/>
      <c r="AX341" s="352"/>
      <c r="AY341" s="352"/>
      <c r="AZ341" s="352"/>
      <c r="BA341" s="352"/>
      <c r="BB341" s="352"/>
      <c r="BC341" s="352"/>
      <c r="BD341" s="352"/>
      <c r="BE341" s="352"/>
      <c r="BF341" s="352"/>
      <c r="BG341" s="352"/>
      <c r="BH341" s="352"/>
      <c r="BI341" s="352"/>
      <c r="BJ341" s="352"/>
      <c r="BK341" s="470"/>
      <c r="BL341" s="339"/>
      <c r="BM341" s="339"/>
      <c r="BN341" s="182"/>
      <c r="BO341" s="182"/>
      <c r="BP341" s="182"/>
      <c r="BQ341" s="182"/>
      <c r="BR341" s="182"/>
      <c r="BS341" s="182"/>
      <c r="BT341" s="182"/>
      <c r="BU341" s="182"/>
      <c r="BV341" s="182"/>
      <c r="BW341" s="182"/>
      <c r="BX341" s="182"/>
      <c r="BY341" s="182"/>
      <c r="BZ341" s="182"/>
      <c r="CA341" s="182"/>
      <c r="CB341" s="182"/>
      <c r="CC341" s="182"/>
      <c r="CD341" s="182"/>
      <c r="CE341" s="182"/>
      <c r="CF341" s="182"/>
      <c r="CG341" s="182"/>
      <c r="CH341" s="182"/>
      <c r="CI341" s="182"/>
      <c r="CJ341" s="497"/>
      <c r="CK341" s="621"/>
      <c r="CL341" s="622"/>
      <c r="CM341" s="623"/>
    </row>
    <row r="342" spans="1:91" s="344" customFormat="1">
      <c r="A342" s="374" t="s">
        <v>473</v>
      </c>
      <c r="B342" s="574" t="s">
        <v>100</v>
      </c>
      <c r="C342" s="574" t="s">
        <v>100</v>
      </c>
      <c r="D342" s="574"/>
      <c r="E342" s="549" t="s">
        <v>100</v>
      </c>
      <c r="F342" s="559" t="s">
        <v>100</v>
      </c>
      <c r="G342" s="570"/>
      <c r="H342" s="549" t="s">
        <v>100</v>
      </c>
      <c r="I342" s="574"/>
      <c r="J342" s="574"/>
      <c r="K342" s="574"/>
      <c r="L342" s="574" t="s">
        <v>100</v>
      </c>
      <c r="M342" s="570" t="s">
        <v>100</v>
      </c>
      <c r="N342" s="574"/>
      <c r="O342" s="574"/>
      <c r="P342" s="570" t="s">
        <v>100</v>
      </c>
      <c r="Q342" s="574" t="s">
        <v>100</v>
      </c>
      <c r="R342" s="574"/>
      <c r="S342" s="549" t="s">
        <v>100</v>
      </c>
      <c r="T342" s="570"/>
      <c r="U342" s="570"/>
      <c r="V342" s="574"/>
      <c r="W342" s="189"/>
      <c r="X342" s="189"/>
      <c r="Y342" s="189"/>
      <c r="Z342" s="189"/>
      <c r="AA342" s="189"/>
      <c r="AB342" s="189"/>
      <c r="AC342" s="189"/>
      <c r="AD342" s="189"/>
      <c r="AE342" s="189"/>
      <c r="AF342" s="189"/>
      <c r="AG342" s="189"/>
      <c r="AH342" s="189"/>
      <c r="AI342" s="339">
        <f t="shared" ref="AI342" si="90">COUNTIF(B342:AH342,"x")</f>
        <v>10</v>
      </c>
      <c r="AJ342" s="330" t="str">
        <f t="shared" si="85"/>
        <v>BBWAA.com</v>
      </c>
      <c r="AK342" s="595">
        <v>43138</v>
      </c>
      <c r="AL342" s="352"/>
      <c r="AM342" s="352"/>
      <c r="AN342" s="352"/>
      <c r="AO342" s="352"/>
      <c r="AP342" s="352"/>
      <c r="AQ342" s="352"/>
      <c r="AR342" s="352"/>
      <c r="AS342" s="352"/>
      <c r="AT342" s="352"/>
      <c r="AU342" s="352"/>
      <c r="AV342" s="352"/>
      <c r="AW342" s="352"/>
      <c r="AX342" s="352"/>
      <c r="AY342" s="352"/>
      <c r="AZ342" s="352"/>
      <c r="BA342" s="352"/>
      <c r="BB342" s="352"/>
      <c r="BC342" s="352"/>
      <c r="BD342" s="352"/>
      <c r="BE342" s="352"/>
      <c r="BF342" s="352"/>
      <c r="BG342" s="352"/>
      <c r="BH342" s="352"/>
      <c r="BI342" s="352"/>
      <c r="BJ342" s="352"/>
      <c r="BK342" s="470"/>
      <c r="BL342" s="339"/>
      <c r="BM342" s="339"/>
      <c r="BN342" s="182"/>
      <c r="BO342" s="182"/>
      <c r="BP342" s="182"/>
      <c r="BQ342" s="182"/>
      <c r="BR342" s="182"/>
      <c r="BS342" s="182"/>
      <c r="BT342" s="182"/>
      <c r="BU342" s="182"/>
      <c r="BV342" s="182"/>
      <c r="BW342" s="182"/>
      <c r="BX342" s="182"/>
      <c r="BY342" s="182"/>
      <c r="BZ342" s="182"/>
      <c r="CA342" s="182"/>
      <c r="CB342" s="182"/>
      <c r="CC342" s="182"/>
      <c r="CD342" s="182"/>
      <c r="CE342" s="182"/>
      <c r="CF342" s="182"/>
      <c r="CG342" s="182"/>
      <c r="CH342" s="182"/>
      <c r="CI342" s="182"/>
      <c r="CJ342" s="497"/>
      <c r="CK342" s="621"/>
      <c r="CL342" s="622"/>
      <c r="CM342" s="623"/>
    </row>
    <row r="343" spans="1:91" s="344" customFormat="1">
      <c r="A343" s="374" t="s">
        <v>474</v>
      </c>
      <c r="B343" s="574"/>
      <c r="C343" s="574"/>
      <c r="D343" s="574"/>
      <c r="E343" s="549" t="s">
        <v>100</v>
      </c>
      <c r="F343" s="549"/>
      <c r="G343" s="570"/>
      <c r="H343" s="549" t="s">
        <v>100</v>
      </c>
      <c r="I343" s="574"/>
      <c r="J343" s="574" t="s">
        <v>100</v>
      </c>
      <c r="K343" s="574"/>
      <c r="L343" s="574" t="s">
        <v>100</v>
      </c>
      <c r="M343" s="570"/>
      <c r="N343" s="574"/>
      <c r="O343" s="574" t="s">
        <v>100</v>
      </c>
      <c r="P343" s="570" t="s">
        <v>100</v>
      </c>
      <c r="Q343" s="574"/>
      <c r="R343" s="574"/>
      <c r="S343" s="549" t="s">
        <v>100</v>
      </c>
      <c r="T343" s="570" t="s">
        <v>100</v>
      </c>
      <c r="U343" s="570"/>
      <c r="V343" s="574"/>
      <c r="W343" s="189"/>
      <c r="X343" s="189"/>
      <c r="Y343" s="189"/>
      <c r="Z343" s="189"/>
      <c r="AA343" s="189"/>
      <c r="AB343" s="189"/>
      <c r="AC343" s="189"/>
      <c r="AD343" s="189"/>
      <c r="AE343" s="189"/>
      <c r="AF343" s="189"/>
      <c r="AG343" s="189"/>
      <c r="AH343" s="189"/>
      <c r="AI343" s="339">
        <f t="shared" si="81"/>
        <v>8</v>
      </c>
      <c r="AJ343" s="530" t="s">
        <v>115</v>
      </c>
      <c r="AK343" s="370">
        <v>43126</v>
      </c>
      <c r="AL343" s="352"/>
      <c r="AM343" s="352"/>
      <c r="AN343" s="352"/>
      <c r="AO343" s="352"/>
      <c r="AP343" s="352"/>
      <c r="AQ343" s="352"/>
      <c r="AR343" s="352"/>
      <c r="AS343" s="352"/>
      <c r="AT343" s="352"/>
      <c r="AU343" s="352"/>
      <c r="AV343" s="352"/>
      <c r="AW343" s="352"/>
      <c r="AX343" s="352"/>
      <c r="AY343" s="352"/>
      <c r="AZ343" s="352"/>
      <c r="BA343" s="352"/>
      <c r="BB343" s="352"/>
      <c r="BC343" s="352"/>
      <c r="BD343" s="352"/>
      <c r="BE343" s="352"/>
      <c r="BF343" s="352"/>
      <c r="BG343" s="352"/>
      <c r="BH343" s="352"/>
      <c r="BI343" s="352"/>
      <c r="BJ343" s="352"/>
      <c r="BK343" s="470"/>
      <c r="BL343" s="339"/>
      <c r="BM343" s="339"/>
      <c r="BN343" s="182"/>
      <c r="BO343" s="182"/>
      <c r="BP343" s="182"/>
      <c r="BQ343" s="182"/>
      <c r="BR343" s="182"/>
      <c r="BS343" s="182"/>
      <c r="BT343" s="182"/>
      <c r="BU343" s="182"/>
      <c r="BV343" s="182"/>
      <c r="BW343" s="182"/>
      <c r="BX343" s="182"/>
      <c r="BY343" s="182"/>
      <c r="BZ343" s="182"/>
      <c r="CA343" s="182"/>
      <c r="CB343" s="182"/>
      <c r="CC343" s="182"/>
      <c r="CD343" s="182"/>
      <c r="CE343" s="182"/>
      <c r="CF343" s="182"/>
      <c r="CG343" s="182"/>
      <c r="CH343" s="182"/>
      <c r="CI343" s="182"/>
      <c r="CJ343" s="497"/>
      <c r="CK343" s="621"/>
      <c r="CL343" s="622"/>
      <c r="CM343" s="623"/>
    </row>
    <row r="344" spans="1:91" s="344" customFormat="1">
      <c r="A344" s="374" t="s">
        <v>475</v>
      </c>
      <c r="B344" s="574"/>
      <c r="C344" s="574"/>
      <c r="D344" s="574"/>
      <c r="E344" s="549" t="s">
        <v>100</v>
      </c>
      <c r="F344" s="570" t="s">
        <v>100</v>
      </c>
      <c r="G344" s="570"/>
      <c r="H344" s="570" t="s">
        <v>100</v>
      </c>
      <c r="I344" s="574"/>
      <c r="J344" s="570" t="s">
        <v>100</v>
      </c>
      <c r="K344" s="574"/>
      <c r="L344" s="570"/>
      <c r="M344" s="570"/>
      <c r="N344" s="574"/>
      <c r="O344" s="574"/>
      <c r="P344" s="570" t="s">
        <v>100</v>
      </c>
      <c r="Q344" s="574"/>
      <c r="R344" s="574"/>
      <c r="S344" s="570" t="s">
        <v>100</v>
      </c>
      <c r="T344" s="570"/>
      <c r="U344" s="570" t="s">
        <v>100</v>
      </c>
      <c r="V344" s="570" t="s">
        <v>100</v>
      </c>
      <c r="W344" s="189"/>
      <c r="X344" s="189"/>
      <c r="Y344" s="189"/>
      <c r="Z344" s="189"/>
      <c r="AA344" s="189"/>
      <c r="AB344" s="189"/>
      <c r="AC344" s="189"/>
      <c r="AD344" s="189"/>
      <c r="AE344" s="189"/>
      <c r="AF344" s="189"/>
      <c r="AG344" s="189"/>
      <c r="AH344" s="189"/>
      <c r="AI344" s="339">
        <f t="shared" si="81"/>
        <v>8</v>
      </c>
      <c r="AJ344" s="340" t="str">
        <f>HYPERLINK("http://www.masnsports.com/nationals-pastime/2018/01/my-2018-hall-of-fame-ballot.html","MASNSports.com")</f>
        <v>MASNSports.com</v>
      </c>
      <c r="AK344" s="370">
        <v>43124</v>
      </c>
      <c r="AL344" s="352"/>
      <c r="AM344" s="352"/>
      <c r="AN344" s="352"/>
      <c r="AO344" s="352"/>
      <c r="AP344" s="352"/>
      <c r="AQ344" s="352"/>
      <c r="AR344" s="352"/>
      <c r="AS344" s="352"/>
      <c r="AT344" s="352"/>
      <c r="AU344" s="352"/>
      <c r="AV344" s="352"/>
      <c r="AW344" s="352"/>
      <c r="AX344" s="352"/>
      <c r="AY344" s="352"/>
      <c r="AZ344" s="352"/>
      <c r="BA344" s="352"/>
      <c r="BB344" s="352"/>
      <c r="BC344" s="352"/>
      <c r="BD344" s="352"/>
      <c r="BE344" s="352"/>
      <c r="BF344" s="352"/>
      <c r="BG344" s="352"/>
      <c r="BH344" s="352"/>
      <c r="BI344" s="352"/>
      <c r="BJ344" s="352"/>
      <c r="BK344" s="470"/>
      <c r="BL344" s="339"/>
      <c r="BM344" s="339"/>
      <c r="BN344" s="182"/>
      <c r="BO344" s="182"/>
      <c r="BP344" s="182"/>
      <c r="BQ344" s="182"/>
      <c r="BR344" s="182"/>
      <c r="BS344" s="182"/>
      <c r="BT344" s="182"/>
      <c r="BU344" s="182"/>
      <c r="BV344" s="182"/>
      <c r="BW344" s="182"/>
      <c r="BX344" s="182"/>
      <c r="BY344" s="182"/>
      <c r="BZ344" s="182"/>
      <c r="CA344" s="182"/>
      <c r="CB344" s="182"/>
      <c r="CC344" s="182"/>
      <c r="CD344" s="182"/>
      <c r="CE344" s="182"/>
      <c r="CF344" s="182"/>
      <c r="CG344" s="182"/>
      <c r="CH344" s="182"/>
      <c r="CI344" s="182"/>
      <c r="CJ344" s="497"/>
      <c r="CK344" s="621"/>
      <c r="CL344" s="622"/>
      <c r="CM344" s="623"/>
    </row>
    <row r="345" spans="1:91" s="344" customFormat="1">
      <c r="A345" s="476" t="s">
        <v>476</v>
      </c>
      <c r="B345" s="574"/>
      <c r="C345" s="574"/>
      <c r="D345" s="574"/>
      <c r="E345" s="549"/>
      <c r="F345" s="570"/>
      <c r="G345" s="570"/>
      <c r="H345" s="570"/>
      <c r="I345" s="574"/>
      <c r="J345" s="570"/>
      <c r="K345" s="574"/>
      <c r="L345" s="570"/>
      <c r="M345" s="570"/>
      <c r="N345" s="574"/>
      <c r="O345" s="574"/>
      <c r="P345" s="570"/>
      <c r="Q345" s="574"/>
      <c r="R345" s="574"/>
      <c r="S345" s="570"/>
      <c r="T345" s="570"/>
      <c r="U345" s="570"/>
      <c r="V345" s="570"/>
      <c r="W345" s="189"/>
      <c r="X345" s="189"/>
      <c r="Y345" s="189"/>
      <c r="Z345" s="189"/>
      <c r="AA345" s="189"/>
      <c r="AB345" s="189"/>
      <c r="AC345" s="189"/>
      <c r="AD345" s="189"/>
      <c r="AE345" s="189"/>
      <c r="AF345" s="189"/>
      <c r="AG345" s="189"/>
      <c r="AH345" s="189"/>
      <c r="AI345" s="339">
        <f t="shared" si="52"/>
        <v>0</v>
      </c>
      <c r="AJ345" s="340"/>
      <c r="AK345" s="370">
        <v>43126</v>
      </c>
      <c r="AL345" s="352"/>
      <c r="AM345" s="352"/>
      <c r="AN345" s="352"/>
      <c r="AO345" s="352"/>
      <c r="AP345" s="352"/>
      <c r="AQ345" s="352"/>
      <c r="AR345" s="352"/>
      <c r="AS345" s="352"/>
      <c r="AT345" s="352"/>
      <c r="AU345" s="352"/>
      <c r="AV345" s="352"/>
      <c r="AW345" s="352"/>
      <c r="AX345" s="352"/>
      <c r="AY345" s="352"/>
      <c r="AZ345" s="352"/>
      <c r="BA345" s="352"/>
      <c r="BB345" s="352"/>
      <c r="BC345" s="352"/>
      <c r="BD345" s="352"/>
      <c r="BE345" s="352"/>
      <c r="BF345" s="352"/>
      <c r="BG345" s="352"/>
      <c r="BH345" s="352"/>
      <c r="BI345" s="352"/>
      <c r="BJ345" s="352"/>
      <c r="BK345" s="470"/>
      <c r="BL345" s="339"/>
      <c r="BM345" s="339"/>
      <c r="BN345" s="182"/>
      <c r="BO345" s="182"/>
      <c r="BP345" s="182"/>
      <c r="BQ345" s="182"/>
      <c r="BR345" s="182"/>
      <c r="BS345" s="182"/>
      <c r="BT345" s="182"/>
      <c r="BU345" s="182"/>
      <c r="BV345" s="182"/>
      <c r="BW345" s="182"/>
      <c r="BX345" s="182"/>
      <c r="BY345" s="182"/>
      <c r="BZ345" s="182"/>
      <c r="CA345" s="182"/>
      <c r="CB345" s="182"/>
      <c r="CC345" s="182"/>
      <c r="CD345" s="182"/>
      <c r="CE345" s="182"/>
      <c r="CF345" s="182"/>
      <c r="CG345" s="182"/>
      <c r="CH345" s="182"/>
      <c r="CI345" s="182"/>
      <c r="CJ345" s="497"/>
      <c r="CK345" s="618"/>
      <c r="CL345" s="619"/>
      <c r="CM345" s="620"/>
    </row>
    <row r="346" spans="1:91" ht="30" customHeight="1" thickBot="1">
      <c r="A346" s="616"/>
      <c r="B346" s="752" t="s">
        <v>477</v>
      </c>
      <c r="C346" s="753"/>
      <c r="D346" s="753"/>
      <c r="E346" s="573">
        <f>COUNTA(A346:A351)</f>
        <v>4</v>
      </c>
      <c r="F346" s="757" t="s">
        <v>478</v>
      </c>
      <c r="G346" s="758"/>
      <c r="H346" s="758"/>
      <c r="I346" s="578">
        <f>AVERAGE(AI347:AI350)</f>
        <v>7.75</v>
      </c>
      <c r="J346" s="752" t="s">
        <v>479</v>
      </c>
      <c r="K346" s="753"/>
      <c r="L346" s="753"/>
      <c r="M346" s="753"/>
      <c r="N346" s="753"/>
      <c r="O346" s="753"/>
      <c r="P346" s="753"/>
      <c r="Q346" s="753"/>
      <c r="R346" s="753"/>
      <c r="S346" s="753"/>
      <c r="T346" s="753"/>
      <c r="U346" s="753"/>
      <c r="V346" s="760"/>
      <c r="W346" s="568"/>
      <c r="X346" s="576"/>
      <c r="Y346" s="576"/>
      <c r="Z346" s="576"/>
      <c r="AA346" s="576"/>
      <c r="AB346" s="576"/>
      <c r="AC346" s="576"/>
      <c r="AD346" s="576"/>
      <c r="AE346" s="576"/>
      <c r="AF346" s="576"/>
      <c r="AG346" s="576"/>
      <c r="AH346" s="576"/>
      <c r="AI346" s="639"/>
      <c r="AJ346" s="490"/>
      <c r="AK346" s="639"/>
      <c r="AL346" s="639"/>
      <c r="AM346" s="639"/>
      <c r="AN346" s="639"/>
      <c r="AO346" s="639"/>
      <c r="AP346" s="639"/>
      <c r="AQ346" s="639"/>
      <c r="AR346" s="639"/>
      <c r="AS346" s="639"/>
      <c r="AT346" s="639"/>
      <c r="AU346" s="639"/>
      <c r="AV346" s="639"/>
      <c r="AW346" s="639"/>
      <c r="AX346" s="639"/>
      <c r="AY346" s="639"/>
      <c r="AZ346" s="639"/>
      <c r="BA346" s="639"/>
      <c r="BB346" s="639"/>
      <c r="BC346" s="639"/>
      <c r="BD346" s="639"/>
      <c r="BE346" s="639"/>
      <c r="BF346" s="639"/>
      <c r="BG346" s="639"/>
      <c r="BH346" s="639"/>
      <c r="BI346" s="639"/>
      <c r="BJ346" s="639"/>
      <c r="BK346" s="639"/>
      <c r="BL346" s="639"/>
      <c r="BM346" s="639"/>
      <c r="BN346" s="639"/>
      <c r="BO346" s="639"/>
      <c r="BP346" s="639"/>
      <c r="BQ346" s="639"/>
      <c r="BR346" s="639"/>
      <c r="BS346" s="639"/>
      <c r="BT346" s="639"/>
      <c r="BU346" s="639"/>
      <c r="BV346" s="639"/>
      <c r="BW346" s="639"/>
      <c r="BX346" s="639"/>
      <c r="BY346" s="639"/>
      <c r="BZ346" s="639"/>
      <c r="CA346" s="639"/>
      <c r="CB346" s="639"/>
      <c r="CC346" s="639"/>
      <c r="CD346" s="639"/>
      <c r="CE346" s="639"/>
      <c r="CF346" s="639"/>
      <c r="CG346" s="639"/>
      <c r="CH346" s="639"/>
      <c r="CI346" s="639"/>
      <c r="CJ346" s="643"/>
      <c r="CK346" s="749"/>
      <c r="CL346" s="750"/>
      <c r="CM346" s="751"/>
    </row>
    <row r="347" spans="1:91" ht="12.75" customHeight="1">
      <c r="A347" s="469" t="s">
        <v>480</v>
      </c>
      <c r="B347" s="575"/>
      <c r="C347" s="575"/>
      <c r="D347" s="640"/>
      <c r="E347" s="575" t="s">
        <v>100</v>
      </c>
      <c r="F347" s="575" t="s">
        <v>100</v>
      </c>
      <c r="G347" s="577"/>
      <c r="H347" s="575" t="s">
        <v>100</v>
      </c>
      <c r="I347" s="577"/>
      <c r="J347" s="575"/>
      <c r="K347" s="577"/>
      <c r="L347" s="575"/>
      <c r="M347" s="577"/>
      <c r="N347" s="575"/>
      <c r="O347" s="577"/>
      <c r="P347" s="577"/>
      <c r="Q347" s="577"/>
      <c r="R347" s="577"/>
      <c r="S347" s="575" t="s">
        <v>100</v>
      </c>
      <c r="T347" s="577"/>
      <c r="U347" s="579"/>
      <c r="V347" s="575"/>
      <c r="W347" s="639"/>
      <c r="X347" s="639"/>
      <c r="Y347" s="639"/>
      <c r="Z347" s="639"/>
      <c r="AA347" s="639"/>
      <c r="AB347" s="639"/>
      <c r="AC347" s="639"/>
      <c r="AD347" s="639"/>
      <c r="AE347" s="639"/>
      <c r="AF347" s="639"/>
      <c r="AG347" s="639"/>
      <c r="AH347" s="639"/>
      <c r="AI347" s="339">
        <f t="shared" ref="AI347:AI349" si="91">COUNTIF(B347:AH347,"x")</f>
        <v>4</v>
      </c>
      <c r="AJ347" s="490"/>
      <c r="AK347" s="471">
        <v>43092</v>
      </c>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6"/>
      <c r="BO347" s="136"/>
      <c r="BP347" s="136"/>
      <c r="BQ347" s="136"/>
      <c r="BR347" s="136"/>
      <c r="BS347" s="136"/>
      <c r="BT347" s="136"/>
      <c r="BU347" s="136"/>
      <c r="BV347" s="136"/>
      <c r="BW347" s="136"/>
      <c r="BX347" s="136"/>
      <c r="BY347" s="136"/>
      <c r="BZ347" s="136"/>
      <c r="CA347" s="136"/>
      <c r="CB347" s="136"/>
      <c r="CC347" s="136"/>
      <c r="CD347" s="136"/>
      <c r="CE347" s="136"/>
      <c r="CF347" s="136"/>
      <c r="CG347" s="136"/>
      <c r="CH347" s="136"/>
      <c r="CI347" s="136"/>
      <c r="CJ347" s="136"/>
      <c r="CK347" s="680"/>
      <c r="CL347" s="681"/>
      <c r="CM347" s="682"/>
    </row>
    <row r="348" spans="1:91" ht="12.75" customHeight="1">
      <c r="A348" s="469" t="s">
        <v>480</v>
      </c>
      <c r="B348" s="519" t="s">
        <v>100</v>
      </c>
      <c r="C348" s="519" t="s">
        <v>100</v>
      </c>
      <c r="D348" s="639"/>
      <c r="E348" s="519" t="s">
        <v>100</v>
      </c>
      <c r="F348" s="519" t="s">
        <v>100</v>
      </c>
      <c r="G348" s="520"/>
      <c r="H348" s="519" t="s">
        <v>100</v>
      </c>
      <c r="I348" s="520"/>
      <c r="J348" s="519" t="s">
        <v>100</v>
      </c>
      <c r="K348" s="520"/>
      <c r="L348" s="519" t="s">
        <v>100</v>
      </c>
      <c r="M348" s="520" t="s">
        <v>100</v>
      </c>
      <c r="N348" s="519"/>
      <c r="O348" s="520"/>
      <c r="P348" s="520"/>
      <c r="Q348" s="520"/>
      <c r="R348" s="520"/>
      <c r="S348" s="519" t="s">
        <v>100</v>
      </c>
      <c r="T348" s="520"/>
      <c r="U348" s="521"/>
      <c r="V348" s="519" t="s">
        <v>100</v>
      </c>
      <c r="W348" s="639"/>
      <c r="X348" s="639"/>
      <c r="Y348" s="639"/>
      <c r="Z348" s="639"/>
      <c r="AA348" s="639"/>
      <c r="AB348" s="639"/>
      <c r="AC348" s="639"/>
      <c r="AD348" s="639"/>
      <c r="AE348" s="639"/>
      <c r="AF348" s="639"/>
      <c r="AG348" s="639"/>
      <c r="AH348" s="639"/>
      <c r="AI348" s="339">
        <f t="shared" si="91"/>
        <v>10</v>
      </c>
      <c r="AJ348" s="490"/>
      <c r="AK348" s="471">
        <v>43097</v>
      </c>
      <c r="AL348" s="136"/>
      <c r="AM348" s="136"/>
      <c r="AN348" s="136"/>
      <c r="AO348" s="136"/>
      <c r="AP348" s="136"/>
      <c r="AQ348" s="136"/>
      <c r="AR348" s="136"/>
      <c r="AS348" s="136"/>
      <c r="AT348" s="136"/>
      <c r="AU348" s="136"/>
      <c r="AV348" s="136"/>
      <c r="AW348" s="136"/>
      <c r="AX348" s="136"/>
      <c r="AY348" s="136"/>
      <c r="AZ348" s="136"/>
      <c r="BA348" s="136"/>
      <c r="BB348" s="136"/>
      <c r="BC348" s="136"/>
      <c r="BD348" s="136"/>
      <c r="BE348" s="136"/>
      <c r="BF348" s="136"/>
      <c r="BG348" s="136"/>
      <c r="BH348" s="136"/>
      <c r="BI348" s="136"/>
      <c r="BJ348" s="136"/>
      <c r="BK348" s="136"/>
      <c r="BL348" s="136"/>
      <c r="BM348" s="136"/>
      <c r="BN348" s="136"/>
      <c r="BO348" s="136"/>
      <c r="BP348" s="136"/>
      <c r="BQ348" s="136"/>
      <c r="BR348" s="136"/>
      <c r="BS348" s="136"/>
      <c r="BT348" s="136"/>
      <c r="BU348" s="136"/>
      <c r="BV348" s="136"/>
      <c r="BW348" s="136"/>
      <c r="BX348" s="136"/>
      <c r="BY348" s="136"/>
      <c r="BZ348" s="136"/>
      <c r="CA348" s="136"/>
      <c r="CB348" s="136"/>
      <c r="CC348" s="136"/>
      <c r="CD348" s="136"/>
      <c r="CE348" s="136"/>
      <c r="CF348" s="136"/>
      <c r="CG348" s="136"/>
      <c r="CH348" s="136"/>
      <c r="CI348" s="136"/>
      <c r="CJ348" s="136"/>
      <c r="CK348" s="680"/>
      <c r="CL348" s="681"/>
      <c r="CM348" s="682"/>
    </row>
    <row r="349" spans="1:91" ht="12.75" customHeight="1">
      <c r="A349" s="469" t="s">
        <v>480</v>
      </c>
      <c r="B349" s="519" t="s">
        <v>100</v>
      </c>
      <c r="C349" s="519" t="s">
        <v>100</v>
      </c>
      <c r="D349" s="639"/>
      <c r="E349" s="519" t="s">
        <v>100</v>
      </c>
      <c r="F349" s="519" t="s">
        <v>100</v>
      </c>
      <c r="G349" s="520" t="s">
        <v>100</v>
      </c>
      <c r="H349" s="519" t="s">
        <v>100</v>
      </c>
      <c r="I349" s="520"/>
      <c r="J349" s="519"/>
      <c r="K349" s="520"/>
      <c r="L349" s="519"/>
      <c r="M349" s="520" t="s">
        <v>100</v>
      </c>
      <c r="N349" s="519"/>
      <c r="O349" s="520"/>
      <c r="P349" s="520" t="s">
        <v>100</v>
      </c>
      <c r="Q349" s="520" t="s">
        <v>100</v>
      </c>
      <c r="R349" s="520"/>
      <c r="S349" s="519" t="s">
        <v>100</v>
      </c>
      <c r="T349" s="520"/>
      <c r="U349" s="521"/>
      <c r="V349" s="519"/>
      <c r="W349" s="639"/>
      <c r="X349" s="639"/>
      <c r="Y349" s="639"/>
      <c r="Z349" s="639"/>
      <c r="AA349" s="639"/>
      <c r="AB349" s="639"/>
      <c r="AC349" s="639"/>
      <c r="AD349" s="639"/>
      <c r="AE349" s="639"/>
      <c r="AF349" s="639"/>
      <c r="AG349" s="639"/>
      <c r="AH349" s="639"/>
      <c r="AI349" s="339">
        <f t="shared" si="91"/>
        <v>10</v>
      </c>
      <c r="AJ349" s="490"/>
      <c r="AK349" s="471">
        <v>43124</v>
      </c>
      <c r="AL349" s="136"/>
      <c r="AM349" s="136"/>
      <c r="AN349" s="136"/>
      <c r="AO349" s="136"/>
      <c r="AP349" s="136"/>
      <c r="AQ349" s="136"/>
      <c r="AR349" s="136"/>
      <c r="AS349" s="136"/>
      <c r="AT349" s="136"/>
      <c r="AU349" s="136"/>
      <c r="AV349" s="136"/>
      <c r="AW349" s="136"/>
      <c r="AX349" s="136"/>
      <c r="AY349" s="136"/>
      <c r="AZ349" s="136"/>
      <c r="BA349" s="136"/>
      <c r="BB349" s="136"/>
      <c r="BC349" s="136"/>
      <c r="BD349" s="136"/>
      <c r="BE349" s="136"/>
      <c r="BF349" s="136"/>
      <c r="BG349" s="136"/>
      <c r="BH349" s="136"/>
      <c r="BI349" s="136"/>
      <c r="BJ349" s="136"/>
      <c r="BK349" s="136"/>
      <c r="BL349" s="136"/>
      <c r="BM349" s="136"/>
      <c r="BN349" s="136"/>
      <c r="BO349" s="136"/>
      <c r="BP349" s="136"/>
      <c r="BQ349" s="136"/>
      <c r="BR349" s="136"/>
      <c r="BS349" s="136"/>
      <c r="BT349" s="136"/>
      <c r="BU349" s="136"/>
      <c r="BV349" s="136"/>
      <c r="BW349" s="136"/>
      <c r="BX349" s="136"/>
      <c r="BY349" s="136"/>
      <c r="BZ349" s="136"/>
      <c r="CA349" s="136"/>
      <c r="CB349" s="136"/>
      <c r="CC349" s="136"/>
      <c r="CD349" s="136"/>
      <c r="CE349" s="136"/>
      <c r="CF349" s="136"/>
      <c r="CG349" s="136"/>
      <c r="CH349" s="136"/>
      <c r="CI349" s="136"/>
      <c r="CJ349" s="136"/>
      <c r="CK349" s="618"/>
      <c r="CL349" s="619"/>
      <c r="CM349" s="620"/>
    </row>
    <row r="350" spans="1:91" ht="12.75" customHeight="1">
      <c r="A350" s="469" t="s">
        <v>480</v>
      </c>
      <c r="B350" s="519"/>
      <c r="C350" s="519"/>
      <c r="D350" s="639"/>
      <c r="E350" s="519" t="s">
        <v>100</v>
      </c>
      <c r="F350" s="519" t="s">
        <v>100</v>
      </c>
      <c r="G350" s="520"/>
      <c r="H350" s="519" t="s">
        <v>100</v>
      </c>
      <c r="I350" s="520"/>
      <c r="J350" s="519" t="s">
        <v>100</v>
      </c>
      <c r="K350" s="520"/>
      <c r="L350" s="519"/>
      <c r="M350" s="520"/>
      <c r="N350" s="519"/>
      <c r="O350" s="520"/>
      <c r="P350" s="520" t="s">
        <v>100</v>
      </c>
      <c r="Q350" s="520"/>
      <c r="R350" s="520"/>
      <c r="S350" s="519" t="s">
        <v>100</v>
      </c>
      <c r="T350" s="520" t="s">
        <v>100</v>
      </c>
      <c r="U350" s="521"/>
      <c r="V350" s="519"/>
      <c r="W350" s="639"/>
      <c r="X350" s="639"/>
      <c r="Y350" s="639"/>
      <c r="Z350" s="639"/>
      <c r="AA350" s="639"/>
      <c r="AB350" s="639"/>
      <c r="AC350" s="639"/>
      <c r="AD350" s="639"/>
      <c r="AE350" s="639"/>
      <c r="AF350" s="639"/>
      <c r="AG350" s="639"/>
      <c r="AH350" s="639"/>
      <c r="AI350" s="339">
        <f t="shared" ref="AI350" si="92">COUNTIF(B350:AH350,"x")</f>
        <v>7</v>
      </c>
      <c r="AJ350" s="490"/>
      <c r="AK350" s="471">
        <v>43124</v>
      </c>
      <c r="AL350" s="136"/>
      <c r="AM350" s="136"/>
      <c r="AN350" s="136"/>
      <c r="AO350" s="136"/>
      <c r="AP350" s="136"/>
      <c r="AQ350" s="136"/>
      <c r="AR350" s="136"/>
      <c r="AS350" s="136"/>
      <c r="AT350" s="136"/>
      <c r="AU350" s="136"/>
      <c r="AV350" s="136"/>
      <c r="AW350" s="136"/>
      <c r="AX350" s="136"/>
      <c r="AY350" s="136"/>
      <c r="AZ350" s="136"/>
      <c r="BA350" s="136"/>
      <c r="BB350" s="136"/>
      <c r="BC350" s="136"/>
      <c r="BD350" s="136"/>
      <c r="BE350" s="136"/>
      <c r="BF350" s="136"/>
      <c r="BG350" s="136"/>
      <c r="BH350" s="136"/>
      <c r="BI350" s="136"/>
      <c r="BJ350" s="136"/>
      <c r="BK350" s="136"/>
      <c r="BL350" s="136"/>
      <c r="BM350" s="136"/>
      <c r="BN350" s="136"/>
      <c r="BO350" s="136"/>
      <c r="BP350" s="136"/>
      <c r="BQ350" s="136"/>
      <c r="BR350" s="136"/>
      <c r="BS350" s="136"/>
      <c r="BT350" s="136"/>
      <c r="BU350" s="136"/>
      <c r="BV350" s="136"/>
      <c r="BW350" s="136"/>
      <c r="BX350" s="136"/>
      <c r="BY350" s="136"/>
      <c r="BZ350" s="136"/>
      <c r="CA350" s="136"/>
      <c r="CB350" s="136"/>
      <c r="CC350" s="136"/>
      <c r="CD350" s="136"/>
      <c r="CE350" s="136"/>
      <c r="CF350" s="136"/>
      <c r="CG350" s="136"/>
      <c r="CH350" s="136"/>
      <c r="CI350" s="136"/>
      <c r="CJ350" s="136"/>
      <c r="CK350" s="680"/>
      <c r="CL350" s="681"/>
      <c r="CM350" s="682"/>
    </row>
    <row r="351" spans="1:91" ht="12.75" customHeight="1">
      <c r="A351" s="616"/>
      <c r="B351" s="136"/>
      <c r="C351" s="136"/>
      <c r="D351" s="136"/>
      <c r="E351" s="136"/>
      <c r="F351" s="136"/>
      <c r="G351" s="136"/>
      <c r="H351" s="136"/>
      <c r="I351" s="136"/>
      <c r="J351" s="136"/>
      <c r="K351" s="136"/>
      <c r="L351" s="136"/>
      <c r="M351" s="136"/>
      <c r="N351" s="136"/>
      <c r="O351" s="136"/>
      <c r="P351" s="136"/>
      <c r="Q351" s="136"/>
      <c r="R351" s="136"/>
      <c r="S351" s="136"/>
      <c r="T351" s="136"/>
      <c r="U351" s="136"/>
      <c r="V351" s="136"/>
      <c r="W351" s="136"/>
      <c r="X351" s="136"/>
      <c r="Y351" s="136"/>
      <c r="Z351" s="136"/>
      <c r="AA351" s="136"/>
      <c r="AB351" s="136"/>
      <c r="AC351" s="136"/>
      <c r="AD351" s="136"/>
      <c r="AE351" s="136"/>
      <c r="AF351" s="136"/>
      <c r="AG351" s="136"/>
      <c r="AH351" s="136"/>
      <c r="AI351" s="136"/>
      <c r="AJ351" s="180"/>
      <c r="AK351" s="136"/>
      <c r="AL351" s="136"/>
      <c r="AM351" s="136"/>
      <c r="AN351" s="136"/>
      <c r="AO351" s="136"/>
      <c r="AP351" s="136"/>
      <c r="AQ351" s="136"/>
      <c r="AR351" s="136"/>
      <c r="AS351" s="136"/>
      <c r="AT351" s="136"/>
      <c r="AU351" s="136"/>
      <c r="AV351" s="136"/>
      <c r="AW351" s="136"/>
      <c r="AX351" s="136"/>
      <c r="AY351" s="136"/>
      <c r="AZ351" s="136"/>
      <c r="BA351" s="136"/>
      <c r="BB351" s="136"/>
      <c r="BC351" s="136"/>
      <c r="BD351" s="136"/>
      <c r="BE351" s="136"/>
      <c r="BF351" s="136"/>
      <c r="BG351" s="136"/>
      <c r="BH351" s="136"/>
      <c r="BI351" s="136"/>
      <c r="BJ351" s="136"/>
      <c r="BK351" s="136"/>
      <c r="BL351" s="136"/>
      <c r="BM351" s="136"/>
      <c r="BN351" s="136"/>
      <c r="BO351" s="136"/>
      <c r="BP351" s="136"/>
      <c r="BQ351" s="136"/>
      <c r="BR351" s="136"/>
      <c r="BS351" s="136"/>
      <c r="BT351" s="136"/>
      <c r="BU351" s="136"/>
      <c r="BV351" s="136"/>
      <c r="BW351" s="136"/>
      <c r="BX351" s="136"/>
      <c r="BY351" s="136"/>
      <c r="BZ351" s="136"/>
      <c r="CA351" s="136"/>
      <c r="CB351" s="136"/>
      <c r="CC351" s="136"/>
      <c r="CD351" s="136"/>
      <c r="CE351" s="136"/>
      <c r="CF351" s="136"/>
      <c r="CG351" s="136"/>
      <c r="CH351" s="136"/>
      <c r="CI351" s="136"/>
      <c r="CJ351" s="136"/>
      <c r="CK351" s="136"/>
      <c r="CL351" s="136"/>
      <c r="CM351" s="136"/>
    </row>
    <row r="352" spans="1:91" ht="12.75" customHeight="1">
      <c r="A352" s="616"/>
      <c r="B352" s="746" t="s">
        <v>481</v>
      </c>
      <c r="C352" s="747"/>
      <c r="D352" s="747"/>
      <c r="E352" s="747"/>
      <c r="F352" s="747"/>
      <c r="G352" s="747"/>
      <c r="H352" s="747"/>
      <c r="I352" s="747"/>
      <c r="J352" s="747"/>
      <c r="K352" s="747"/>
      <c r="L352" s="747"/>
      <c r="M352" s="747"/>
      <c r="N352" s="747"/>
      <c r="O352" s="747"/>
      <c r="P352" s="747"/>
      <c r="Q352" s="747"/>
      <c r="R352" s="747"/>
      <c r="S352" s="747"/>
      <c r="T352" s="747"/>
      <c r="U352" s="747"/>
      <c r="V352" s="748"/>
      <c r="W352" s="136"/>
      <c r="X352" s="136"/>
      <c r="Y352" s="136"/>
      <c r="Z352" s="136"/>
      <c r="AA352" s="136"/>
      <c r="AB352" s="136"/>
      <c r="AC352" s="136"/>
      <c r="AD352" s="136"/>
      <c r="AE352" s="136"/>
      <c r="AF352" s="136"/>
      <c r="AG352" s="136"/>
      <c r="AH352" s="136"/>
      <c r="AI352" s="136"/>
      <c r="AJ352" s="180"/>
      <c r="AK352" s="136"/>
      <c r="AL352" s="136"/>
      <c r="AM352" s="136"/>
      <c r="AN352" s="136"/>
      <c r="AO352" s="136"/>
      <c r="AP352" s="136"/>
      <c r="AQ352" s="136"/>
      <c r="AR352" s="136"/>
      <c r="AS352" s="136"/>
      <c r="AT352" s="136"/>
      <c r="AU352" s="136"/>
      <c r="AV352" s="136"/>
      <c r="AW352" s="136"/>
      <c r="AX352" s="136"/>
      <c r="AY352" s="136"/>
      <c r="AZ352" s="136"/>
      <c r="BA352" s="136"/>
      <c r="BB352" s="136"/>
      <c r="BC352" s="136"/>
      <c r="BD352" s="136"/>
      <c r="BE352" s="136"/>
      <c r="BF352" s="136"/>
      <c r="BG352" s="136"/>
      <c r="BH352" s="136"/>
      <c r="BI352" s="136"/>
      <c r="BJ352" s="136"/>
      <c r="BK352" s="136"/>
      <c r="BL352" s="136"/>
      <c r="BM352" s="136"/>
      <c r="BN352" s="136"/>
      <c r="BO352" s="136"/>
      <c r="BP352" s="136"/>
      <c r="BQ352" s="136"/>
      <c r="BR352" s="136"/>
      <c r="BS352" s="136"/>
      <c r="BT352" s="136"/>
      <c r="BU352" s="136"/>
      <c r="BV352" s="136"/>
      <c r="BW352" s="136"/>
      <c r="BX352" s="136"/>
      <c r="BY352" s="136"/>
      <c r="BZ352" s="136"/>
      <c r="CA352" s="136"/>
      <c r="CB352" s="136"/>
      <c r="CC352" s="136"/>
      <c r="CD352" s="136"/>
      <c r="CE352" s="136"/>
      <c r="CF352" s="136"/>
      <c r="CG352" s="136"/>
      <c r="CH352" s="136"/>
      <c r="CI352" s="136"/>
      <c r="CJ352" s="136"/>
      <c r="CK352" s="136"/>
      <c r="CL352" s="136"/>
      <c r="CM352" s="136"/>
    </row>
    <row r="353" spans="1:91" ht="12.75" customHeight="1">
      <c r="A353" s="136"/>
      <c r="B353" s="534"/>
      <c r="C353" s="136"/>
      <c r="D353" s="631"/>
      <c r="E353" s="136"/>
      <c r="F353" s="136"/>
      <c r="G353" s="136"/>
      <c r="H353" s="136"/>
      <c r="I353" s="136"/>
      <c r="J353" s="136"/>
      <c r="K353" s="136"/>
      <c r="L353" s="136"/>
      <c r="M353" s="136"/>
      <c r="N353" s="136"/>
      <c r="O353" s="136"/>
      <c r="P353" s="136"/>
      <c r="Q353" s="136"/>
      <c r="R353" s="136"/>
      <c r="S353" s="136"/>
      <c r="T353" s="136"/>
      <c r="U353" s="136"/>
      <c r="V353" s="535"/>
      <c r="W353" s="631"/>
      <c r="X353" s="631"/>
      <c r="Y353" s="631"/>
      <c r="Z353" s="631"/>
      <c r="AA353" s="631"/>
      <c r="AB353" s="631"/>
      <c r="AC353" s="631"/>
      <c r="AD353" s="631"/>
      <c r="AE353" s="631"/>
      <c r="AF353" s="631"/>
      <c r="AG353" s="631"/>
      <c r="AH353" s="631"/>
      <c r="AI353" s="136"/>
      <c r="AJ353" s="180"/>
      <c r="AK353" s="136"/>
      <c r="AL353" s="136"/>
      <c r="AM353" s="136"/>
      <c r="AN353" s="136"/>
      <c r="AO353" s="136"/>
      <c r="AP353" s="136"/>
      <c r="AQ353" s="136"/>
      <c r="AR353" s="136"/>
      <c r="AS353" s="136"/>
      <c r="AT353" s="136"/>
      <c r="AU353" s="136"/>
      <c r="AV353" s="136"/>
      <c r="AW353" s="136"/>
      <c r="AX353" s="136"/>
      <c r="AY353" s="136"/>
      <c r="AZ353" s="136"/>
      <c r="BA353" s="136"/>
      <c r="BB353" s="136"/>
      <c r="BC353" s="136"/>
      <c r="BD353" s="136"/>
      <c r="BE353" s="136"/>
      <c r="BF353" s="136"/>
      <c r="BG353" s="136"/>
      <c r="BH353" s="136"/>
      <c r="BI353" s="136"/>
      <c r="BJ353" s="136"/>
      <c r="BK353" s="136"/>
      <c r="BL353" s="136"/>
      <c r="BM353" s="136"/>
      <c r="BN353" s="136"/>
      <c r="BO353" s="136"/>
      <c r="BP353" s="136"/>
      <c r="BQ353" s="136"/>
      <c r="BR353" s="136"/>
      <c r="BS353" s="136"/>
      <c r="BT353" s="136"/>
      <c r="BU353" s="136"/>
      <c r="BV353" s="136"/>
      <c r="BW353" s="136"/>
      <c r="BX353" s="136"/>
      <c r="BY353" s="136"/>
      <c r="BZ353" s="136"/>
      <c r="CA353" s="136"/>
      <c r="CB353" s="136"/>
      <c r="CC353" s="136"/>
      <c r="CD353" s="136"/>
      <c r="CE353" s="136"/>
      <c r="CF353" s="136"/>
      <c r="CG353" s="136"/>
      <c r="CH353" s="136"/>
      <c r="CI353" s="136"/>
      <c r="CJ353" s="136"/>
      <c r="CK353" s="136"/>
      <c r="CL353" s="136"/>
      <c r="CM353" s="136"/>
    </row>
    <row r="354" spans="1:91" ht="12.75" customHeight="1">
      <c r="A354" s="136"/>
      <c r="B354" s="737" t="s">
        <v>482</v>
      </c>
      <c r="C354" s="738"/>
      <c r="D354" s="738"/>
      <c r="E354" s="738"/>
      <c r="F354" s="738"/>
      <c r="G354" s="738"/>
      <c r="H354" s="738"/>
      <c r="I354" s="738"/>
      <c r="J354" s="738"/>
      <c r="K354" s="738"/>
      <c r="L354" s="738"/>
      <c r="M354" s="738"/>
      <c r="N354" s="738"/>
      <c r="O354" s="738"/>
      <c r="P354" s="738"/>
      <c r="Q354" s="738"/>
      <c r="R354" s="738"/>
      <c r="S354" s="738"/>
      <c r="T354" s="738"/>
      <c r="U354" s="738"/>
      <c r="V354" s="739"/>
      <c r="W354" s="631"/>
      <c r="X354" s="631"/>
      <c r="Y354" s="631"/>
      <c r="Z354" s="631"/>
      <c r="AA354" s="631"/>
      <c r="AB354" s="631"/>
      <c r="AC354" s="631"/>
      <c r="AD354" s="631"/>
      <c r="AE354" s="631"/>
      <c r="AF354" s="631"/>
      <c r="AG354" s="631"/>
      <c r="AH354" s="631"/>
      <c r="AI354" s="136"/>
      <c r="AJ354" s="180"/>
      <c r="AK354" s="136"/>
      <c r="AL354" s="136"/>
      <c r="AM354" s="136"/>
      <c r="AN354" s="136"/>
      <c r="AO354" s="136"/>
      <c r="AP354" s="136"/>
      <c r="AQ354" s="136"/>
      <c r="AR354" s="136"/>
      <c r="AS354" s="136"/>
      <c r="AT354" s="136"/>
      <c r="AU354" s="136"/>
      <c r="AV354" s="136"/>
      <c r="AW354" s="136"/>
      <c r="AX354" s="136"/>
      <c r="AY354" s="136"/>
      <c r="AZ354" s="136"/>
      <c r="BA354" s="136"/>
      <c r="BB354" s="136"/>
      <c r="BC354" s="136"/>
      <c r="BD354" s="136"/>
      <c r="BE354" s="136"/>
      <c r="BF354" s="136"/>
      <c r="BG354" s="136"/>
      <c r="BH354" s="136"/>
      <c r="BI354" s="136"/>
      <c r="BJ354" s="136"/>
      <c r="BK354" s="136"/>
      <c r="BL354" s="136"/>
      <c r="BM354" s="136"/>
      <c r="BN354" s="136"/>
      <c r="BO354" s="136"/>
      <c r="BP354" s="136"/>
      <c r="BQ354" s="136"/>
      <c r="BR354" s="136"/>
      <c r="BS354" s="136"/>
      <c r="BT354" s="136"/>
      <c r="BU354" s="136"/>
      <c r="BV354" s="136"/>
      <c r="BW354" s="136"/>
      <c r="BX354" s="136"/>
      <c r="BY354" s="136"/>
      <c r="BZ354" s="136"/>
      <c r="CA354" s="136"/>
      <c r="CB354" s="136"/>
      <c r="CC354" s="136"/>
      <c r="CD354" s="136"/>
      <c r="CE354" s="136"/>
      <c r="CF354" s="136"/>
      <c r="CG354" s="136"/>
      <c r="CH354" s="136"/>
      <c r="CI354" s="136"/>
      <c r="CJ354" s="136"/>
      <c r="CK354" s="136"/>
      <c r="CL354" s="136"/>
      <c r="CM354" s="136"/>
    </row>
    <row r="355" spans="1:91" ht="12.75" customHeight="1">
      <c r="B355" s="534"/>
      <c r="C355" s="136"/>
      <c r="D355" s="631"/>
      <c r="E355" s="631"/>
      <c r="F355" s="631"/>
      <c r="G355" s="631"/>
      <c r="H355" s="631"/>
      <c r="I355" s="631"/>
      <c r="J355" s="631"/>
      <c r="K355" s="631"/>
      <c r="L355" s="631"/>
      <c r="M355" s="631"/>
      <c r="N355" s="631"/>
      <c r="O355" s="631"/>
      <c r="P355" s="631"/>
      <c r="Q355" s="631"/>
      <c r="R355" s="631"/>
      <c r="S355" s="631"/>
      <c r="T355" s="631"/>
      <c r="U355" s="631"/>
      <c r="V355" s="536"/>
      <c r="W355" s="631"/>
      <c r="X355" s="631"/>
      <c r="Y355" s="631"/>
      <c r="Z355" s="631"/>
      <c r="AA355" s="631"/>
      <c r="AB355" s="631"/>
      <c r="AC355" s="631"/>
      <c r="AD355" s="631"/>
      <c r="AE355" s="631"/>
      <c r="AF355" s="631"/>
      <c r="AG355" s="631"/>
      <c r="AH355" s="631"/>
    </row>
    <row r="356" spans="1:91" ht="12.75" customHeight="1">
      <c r="B356" s="737" t="s">
        <v>483</v>
      </c>
      <c r="C356" s="738"/>
      <c r="D356" s="738"/>
      <c r="E356" s="738"/>
      <c r="F356" s="738"/>
      <c r="G356" s="738"/>
      <c r="H356" s="738"/>
      <c r="I356" s="738"/>
      <c r="J356" s="738"/>
      <c r="K356" s="738"/>
      <c r="L356" s="738"/>
      <c r="M356" s="738"/>
      <c r="N356" s="738"/>
      <c r="O356" s="738"/>
      <c r="P356" s="738"/>
      <c r="Q356" s="738"/>
      <c r="R356" s="738"/>
      <c r="S356" s="738"/>
      <c r="T356" s="738"/>
      <c r="U356" s="738"/>
      <c r="V356" s="739"/>
      <c r="W356" s="631"/>
      <c r="X356" s="631"/>
      <c r="Y356" s="631"/>
      <c r="Z356" s="631"/>
      <c r="AA356" s="631"/>
      <c r="AB356" s="631"/>
      <c r="AC356" s="631"/>
      <c r="AD356" s="631"/>
      <c r="AE356" s="631"/>
      <c r="AF356" s="631"/>
      <c r="AG356" s="631"/>
      <c r="AH356" s="631"/>
    </row>
    <row r="357" spans="1:91" ht="12.75" customHeight="1">
      <c r="B357" s="534"/>
      <c r="C357" s="136"/>
      <c r="D357" s="631"/>
      <c r="E357" s="631"/>
      <c r="F357" s="631"/>
      <c r="G357" s="631"/>
      <c r="H357" s="631"/>
      <c r="I357" s="631"/>
      <c r="J357" s="631"/>
      <c r="K357" s="631"/>
      <c r="L357" s="631"/>
      <c r="M357" s="631"/>
      <c r="N357" s="631"/>
      <c r="O357" s="631"/>
      <c r="P357" s="631"/>
      <c r="Q357" s="631"/>
      <c r="R357" s="631"/>
      <c r="S357" s="631"/>
      <c r="T357" s="631"/>
      <c r="U357" s="631"/>
      <c r="V357" s="536"/>
      <c r="W357" s="631"/>
      <c r="X357" s="631"/>
      <c r="Y357" s="631"/>
      <c r="Z357" s="631"/>
      <c r="AA357" s="631"/>
      <c r="AB357" s="631"/>
      <c r="AC357" s="631"/>
      <c r="AD357" s="631"/>
      <c r="AE357" s="631"/>
      <c r="AF357" s="631"/>
      <c r="AG357" s="631"/>
      <c r="AH357" s="631"/>
    </row>
    <row r="358" spans="1:91" ht="12.75" customHeight="1">
      <c r="B358" s="737" t="s">
        <v>484</v>
      </c>
      <c r="C358" s="738"/>
      <c r="D358" s="738"/>
      <c r="E358" s="738"/>
      <c r="F358" s="738"/>
      <c r="G358" s="738"/>
      <c r="H358" s="738"/>
      <c r="I358" s="738"/>
      <c r="J358" s="738"/>
      <c r="K358" s="738"/>
      <c r="L358" s="738"/>
      <c r="M358" s="738"/>
      <c r="N358" s="738"/>
      <c r="O358" s="738"/>
      <c r="P358" s="738"/>
      <c r="Q358" s="738"/>
      <c r="R358" s="738"/>
      <c r="S358" s="738"/>
      <c r="T358" s="738"/>
      <c r="U358" s="738"/>
      <c r="V358" s="739"/>
      <c r="W358" s="631"/>
      <c r="X358" s="631"/>
      <c r="Y358" s="631"/>
      <c r="Z358" s="631"/>
      <c r="AA358" s="631"/>
      <c r="AB358" s="631"/>
      <c r="AC358" s="631"/>
      <c r="AD358" s="631"/>
      <c r="AE358" s="631"/>
      <c r="AF358" s="631"/>
      <c r="AG358" s="631"/>
      <c r="AH358" s="631"/>
    </row>
    <row r="359" spans="1:91" ht="12.75" customHeight="1">
      <c r="B359" s="534"/>
      <c r="C359" s="136"/>
      <c r="D359" s="631"/>
      <c r="E359" s="631"/>
      <c r="F359" s="631"/>
      <c r="G359" s="631"/>
      <c r="H359" s="631"/>
      <c r="I359" s="631"/>
      <c r="J359" s="631"/>
      <c r="K359" s="631"/>
      <c r="L359" s="631"/>
      <c r="M359" s="631"/>
      <c r="N359" s="631"/>
      <c r="O359" s="631"/>
      <c r="P359" s="631"/>
      <c r="Q359" s="631"/>
      <c r="R359" s="631"/>
      <c r="S359" s="631"/>
      <c r="T359" s="631"/>
      <c r="U359" s="631"/>
      <c r="V359" s="536"/>
      <c r="W359" s="631"/>
      <c r="X359" s="631"/>
      <c r="Y359" s="631"/>
      <c r="Z359" s="631"/>
      <c r="AA359" s="631"/>
      <c r="AB359" s="631"/>
      <c r="AC359" s="631"/>
      <c r="AD359" s="631"/>
      <c r="AE359" s="631"/>
      <c r="AF359" s="631"/>
      <c r="AG359" s="631"/>
      <c r="AH359" s="631"/>
    </row>
    <row r="360" spans="1:91" ht="12.75" customHeight="1">
      <c r="B360" s="737" t="s">
        <v>485</v>
      </c>
      <c r="C360" s="738"/>
      <c r="D360" s="738"/>
      <c r="E360" s="738"/>
      <c r="F360" s="738"/>
      <c r="G360" s="738"/>
      <c r="H360" s="738"/>
      <c r="I360" s="738"/>
      <c r="J360" s="738"/>
      <c r="K360" s="738"/>
      <c r="L360" s="738"/>
      <c r="M360" s="738"/>
      <c r="N360" s="738"/>
      <c r="O360" s="738"/>
      <c r="P360" s="738"/>
      <c r="Q360" s="738"/>
      <c r="R360" s="738"/>
      <c r="S360" s="738"/>
      <c r="T360" s="738"/>
      <c r="U360" s="738"/>
      <c r="V360" s="739"/>
      <c r="W360" s="631"/>
      <c r="X360" s="631"/>
      <c r="Y360" s="631"/>
      <c r="Z360" s="631"/>
      <c r="AA360" s="631"/>
      <c r="AB360" s="631"/>
      <c r="AC360" s="631"/>
      <c r="AD360" s="631"/>
      <c r="AE360" s="631"/>
      <c r="AF360" s="631"/>
      <c r="AG360" s="631"/>
      <c r="AH360" s="631"/>
    </row>
    <row r="361" spans="1:91" ht="12.75" customHeight="1">
      <c r="B361" s="534"/>
      <c r="C361" s="136"/>
      <c r="D361" s="631"/>
      <c r="E361" s="631"/>
      <c r="F361" s="631"/>
      <c r="G361" s="631"/>
      <c r="H361" s="631"/>
      <c r="I361" s="631"/>
      <c r="J361" s="631"/>
      <c r="K361" s="631"/>
      <c r="L361" s="631"/>
      <c r="M361" s="631"/>
      <c r="N361" s="631"/>
      <c r="O361" s="631"/>
      <c r="P361" s="631"/>
      <c r="Q361" s="631"/>
      <c r="R361" s="631"/>
      <c r="S361" s="631"/>
      <c r="T361" s="631"/>
      <c r="U361" s="631"/>
      <c r="V361" s="536"/>
      <c r="W361" s="631"/>
      <c r="X361" s="631"/>
      <c r="Y361" s="631"/>
      <c r="Z361" s="631"/>
      <c r="AA361" s="631"/>
      <c r="AB361" s="631"/>
      <c r="AC361" s="631"/>
      <c r="AD361" s="631"/>
      <c r="AE361" s="631"/>
      <c r="AF361" s="631"/>
      <c r="AG361" s="631"/>
      <c r="AH361" s="631"/>
    </row>
    <row r="362" spans="1:91" ht="12.75" customHeight="1">
      <c r="B362" s="737" t="s">
        <v>486</v>
      </c>
      <c r="C362" s="738"/>
      <c r="D362" s="738"/>
      <c r="E362" s="738"/>
      <c r="F362" s="738"/>
      <c r="G362" s="738"/>
      <c r="H362" s="738"/>
      <c r="I362" s="738"/>
      <c r="J362" s="738"/>
      <c r="K362" s="738"/>
      <c r="L362" s="738"/>
      <c r="M362" s="738"/>
      <c r="N362" s="738"/>
      <c r="O362" s="738"/>
      <c r="P362" s="738"/>
      <c r="Q362" s="738"/>
      <c r="R362" s="738"/>
      <c r="S362" s="738"/>
      <c r="T362" s="738"/>
      <c r="U362" s="738"/>
      <c r="V362" s="739"/>
      <c r="W362" s="631"/>
      <c r="X362" s="631"/>
      <c r="Y362" s="631"/>
      <c r="Z362" s="631"/>
      <c r="AA362" s="631"/>
      <c r="AB362" s="631"/>
      <c r="AC362" s="631"/>
      <c r="AD362" s="631"/>
      <c r="AE362" s="631"/>
      <c r="AF362" s="631"/>
      <c r="AG362" s="631"/>
      <c r="AH362" s="631"/>
    </row>
    <row r="363" spans="1:91" ht="12.75" customHeight="1">
      <c r="B363" s="534"/>
      <c r="C363" s="136"/>
      <c r="D363" s="631"/>
      <c r="E363" s="631"/>
      <c r="F363" s="631"/>
      <c r="G363" s="631"/>
      <c r="H363" s="631"/>
      <c r="I363" s="631"/>
      <c r="J363" s="631"/>
      <c r="K363" s="631"/>
      <c r="L363" s="631"/>
      <c r="M363" s="631"/>
      <c r="N363" s="631"/>
      <c r="O363" s="631"/>
      <c r="P363" s="631"/>
      <c r="Q363" s="631"/>
      <c r="R363" s="631"/>
      <c r="S363" s="631"/>
      <c r="T363" s="631"/>
      <c r="U363" s="631"/>
      <c r="V363" s="536"/>
      <c r="W363" s="631"/>
      <c r="X363" s="631"/>
      <c r="Y363" s="631"/>
      <c r="Z363" s="631"/>
      <c r="AA363" s="631"/>
      <c r="AB363" s="631"/>
      <c r="AC363" s="631"/>
      <c r="AD363" s="631"/>
      <c r="AE363" s="631"/>
      <c r="AF363" s="631"/>
      <c r="AG363" s="631"/>
      <c r="AH363" s="631"/>
    </row>
    <row r="364" spans="1:91" ht="39" customHeight="1">
      <c r="B364" s="740" t="s">
        <v>487</v>
      </c>
      <c r="C364" s="741"/>
      <c r="D364" s="741"/>
      <c r="E364" s="741"/>
      <c r="F364" s="741"/>
      <c r="G364" s="741"/>
      <c r="H364" s="741"/>
      <c r="I364" s="741"/>
      <c r="J364" s="741"/>
      <c r="K364" s="741"/>
      <c r="L364" s="741"/>
      <c r="M364" s="741"/>
      <c r="N364" s="741"/>
      <c r="O364" s="741"/>
      <c r="P364" s="741"/>
      <c r="Q364" s="741"/>
      <c r="R364" s="741"/>
      <c r="S364" s="741"/>
      <c r="T364" s="741"/>
      <c r="U364" s="741"/>
      <c r="V364" s="742"/>
      <c r="W364" s="631"/>
      <c r="X364" s="631"/>
      <c r="Y364" s="631"/>
      <c r="Z364" s="631"/>
      <c r="AA364" s="631"/>
      <c r="AB364" s="631"/>
      <c r="AC364" s="631"/>
      <c r="AD364" s="631"/>
      <c r="AE364" s="631"/>
      <c r="AF364" s="631"/>
      <c r="AG364" s="631"/>
      <c r="AH364" s="631"/>
    </row>
    <row r="365" spans="1:91" ht="12.75" customHeight="1">
      <c r="B365" s="534"/>
      <c r="C365" s="136"/>
      <c r="D365" s="631"/>
      <c r="E365" s="631"/>
      <c r="F365" s="631"/>
      <c r="G365" s="631"/>
      <c r="H365" s="631"/>
      <c r="I365" s="631"/>
      <c r="J365" s="631"/>
      <c r="K365" s="631"/>
      <c r="L365" s="631"/>
      <c r="M365" s="631"/>
      <c r="N365" s="631"/>
      <c r="O365" s="631"/>
      <c r="P365" s="631"/>
      <c r="Q365" s="631"/>
      <c r="R365" s="631"/>
      <c r="S365" s="631"/>
      <c r="T365" s="631"/>
      <c r="U365" s="631"/>
      <c r="V365" s="536"/>
      <c r="W365" s="631"/>
      <c r="X365" s="631"/>
      <c r="Y365" s="631"/>
      <c r="Z365" s="631"/>
      <c r="AA365" s="631"/>
      <c r="AB365" s="631"/>
      <c r="AC365" s="631"/>
      <c r="AD365" s="631"/>
      <c r="AE365" s="631"/>
      <c r="AF365" s="631"/>
      <c r="AG365" s="631"/>
      <c r="AH365" s="631"/>
    </row>
    <row r="366" spans="1:91" ht="68.25" customHeight="1">
      <c r="B366" s="737" t="s">
        <v>488</v>
      </c>
      <c r="C366" s="738"/>
      <c r="D366" s="738"/>
      <c r="E366" s="738"/>
      <c r="F366" s="738"/>
      <c r="G366" s="738"/>
      <c r="H366" s="738"/>
      <c r="I366" s="738"/>
      <c r="J366" s="738"/>
      <c r="K366" s="738"/>
      <c r="L366" s="738"/>
      <c r="M366" s="738"/>
      <c r="N366" s="738"/>
      <c r="O366" s="738"/>
      <c r="P366" s="738"/>
      <c r="Q366" s="738"/>
      <c r="R366" s="738"/>
      <c r="S366" s="738"/>
      <c r="T366" s="738"/>
      <c r="U366" s="738"/>
      <c r="V366" s="739"/>
      <c r="W366" s="631"/>
      <c r="X366" s="631"/>
      <c r="Y366" s="631"/>
      <c r="Z366" s="631"/>
      <c r="AA366" s="631"/>
      <c r="AB366" s="631"/>
      <c r="AC366" s="631"/>
      <c r="AD366" s="631"/>
      <c r="AE366" s="631"/>
      <c r="AF366" s="631"/>
      <c r="AG366" s="631"/>
      <c r="AH366" s="631"/>
    </row>
    <row r="367" spans="1:91" ht="12.75" customHeight="1">
      <c r="B367" s="534"/>
      <c r="C367" s="136"/>
      <c r="D367" s="631"/>
      <c r="E367" s="631"/>
      <c r="F367" s="631"/>
      <c r="G367" s="631"/>
      <c r="H367" s="631"/>
      <c r="I367" s="631"/>
      <c r="J367" s="631"/>
      <c r="K367" s="631"/>
      <c r="L367" s="631"/>
      <c r="M367" s="631"/>
      <c r="N367" s="631"/>
      <c r="O367" s="631"/>
      <c r="P367" s="631"/>
      <c r="Q367" s="631"/>
      <c r="R367" s="631"/>
      <c r="S367" s="631"/>
      <c r="T367" s="631"/>
      <c r="U367" s="631"/>
      <c r="V367" s="536"/>
      <c r="W367" s="631"/>
      <c r="X367" s="631"/>
      <c r="Y367" s="631"/>
      <c r="Z367" s="631"/>
      <c r="AA367" s="631"/>
      <c r="AB367" s="631"/>
      <c r="AC367" s="631"/>
      <c r="AD367" s="631"/>
      <c r="AE367" s="631"/>
      <c r="AF367" s="631"/>
      <c r="AG367" s="631"/>
      <c r="AH367" s="631"/>
    </row>
    <row r="368" spans="1:91" ht="37.5" customHeight="1">
      <c r="A368" s="414"/>
      <c r="B368" s="737" t="s">
        <v>489</v>
      </c>
      <c r="C368" s="738"/>
      <c r="D368" s="738"/>
      <c r="E368" s="738"/>
      <c r="F368" s="738"/>
      <c r="G368" s="738"/>
      <c r="H368" s="738"/>
      <c r="I368" s="738"/>
      <c r="J368" s="738"/>
      <c r="K368" s="738"/>
      <c r="L368" s="738"/>
      <c r="M368" s="738"/>
      <c r="N368" s="738"/>
      <c r="O368" s="738"/>
      <c r="P368" s="738"/>
      <c r="Q368" s="738"/>
      <c r="R368" s="738"/>
      <c r="S368" s="738"/>
      <c r="T368" s="738"/>
      <c r="U368" s="738"/>
      <c r="V368" s="739"/>
      <c r="W368" s="631"/>
      <c r="X368" s="631"/>
      <c r="Y368" s="631"/>
      <c r="Z368" s="631"/>
      <c r="AA368" s="631"/>
      <c r="AB368" s="631"/>
      <c r="AC368" s="631"/>
      <c r="AD368" s="631"/>
      <c r="AE368" s="631"/>
      <c r="AF368" s="631"/>
      <c r="AG368" s="631"/>
      <c r="AH368" s="631"/>
    </row>
    <row r="369" spans="1:67" ht="13.5" customHeight="1">
      <c r="A369" s="414"/>
      <c r="B369" s="615"/>
      <c r="C369" s="616"/>
      <c r="D369" s="616"/>
      <c r="E369" s="616"/>
      <c r="F369" s="616"/>
      <c r="G369" s="616"/>
      <c r="H369" s="616"/>
      <c r="I369" s="616"/>
      <c r="J369" s="616"/>
      <c r="K369" s="616"/>
      <c r="L369" s="616"/>
      <c r="M369" s="616"/>
      <c r="N369" s="616"/>
      <c r="O369" s="616"/>
      <c r="P369" s="616"/>
      <c r="Q369" s="616"/>
      <c r="R369" s="616"/>
      <c r="S369" s="616"/>
      <c r="T369" s="616"/>
      <c r="U369" s="616"/>
      <c r="V369" s="617"/>
      <c r="W369" s="631"/>
      <c r="X369" s="631"/>
      <c r="Y369" s="631"/>
      <c r="Z369" s="631"/>
      <c r="AA369" s="631"/>
      <c r="AB369" s="631"/>
      <c r="AC369" s="631"/>
      <c r="AD369" s="631"/>
      <c r="AE369" s="631"/>
      <c r="AF369" s="631"/>
      <c r="AG369" s="631"/>
      <c r="AH369" s="631"/>
    </row>
    <row r="370" spans="1:67" ht="63.75" customHeight="1">
      <c r="A370" s="414"/>
      <c r="B370" s="740" t="s">
        <v>490</v>
      </c>
      <c r="C370" s="741"/>
      <c r="D370" s="741"/>
      <c r="E370" s="741"/>
      <c r="F370" s="741"/>
      <c r="G370" s="741"/>
      <c r="H370" s="741"/>
      <c r="I370" s="741"/>
      <c r="J370" s="741"/>
      <c r="K370" s="741"/>
      <c r="L370" s="741"/>
      <c r="M370" s="741"/>
      <c r="N370" s="741"/>
      <c r="O370" s="741"/>
      <c r="P370" s="741"/>
      <c r="Q370" s="741"/>
      <c r="R370" s="741"/>
      <c r="S370" s="741"/>
      <c r="T370" s="741"/>
      <c r="U370" s="741"/>
      <c r="V370" s="742"/>
      <c r="W370" s="631"/>
      <c r="X370" s="631"/>
      <c r="Y370" s="631"/>
      <c r="Z370" s="631"/>
      <c r="AA370" s="631"/>
      <c r="AB370" s="631"/>
      <c r="AC370" s="631"/>
      <c r="AD370" s="631"/>
      <c r="AE370" s="631"/>
      <c r="AF370" s="631"/>
      <c r="AG370" s="631"/>
      <c r="AH370" s="631"/>
    </row>
    <row r="371" spans="1:67" ht="12.75" customHeight="1">
      <c r="B371" s="534"/>
      <c r="C371" s="136"/>
      <c r="D371" s="631"/>
      <c r="E371" s="631"/>
      <c r="F371" s="631"/>
      <c r="G371" s="631"/>
      <c r="H371" s="631"/>
      <c r="I371" s="631"/>
      <c r="J371" s="631"/>
      <c r="K371" s="631"/>
      <c r="L371" s="631"/>
      <c r="M371" s="631"/>
      <c r="N371" s="631"/>
      <c r="O371" s="631"/>
      <c r="P371" s="631"/>
      <c r="Q371" s="631"/>
      <c r="R371" s="631"/>
      <c r="S371" s="631"/>
      <c r="T371" s="631"/>
      <c r="U371" s="631"/>
      <c r="V371" s="536"/>
      <c r="W371" s="631"/>
      <c r="X371" s="631"/>
      <c r="Y371" s="631"/>
      <c r="Z371" s="631"/>
      <c r="AA371" s="631"/>
      <c r="AB371" s="631"/>
      <c r="AC371" s="631"/>
      <c r="AD371" s="631"/>
      <c r="AE371" s="631"/>
      <c r="AF371" s="631"/>
      <c r="AG371" s="631"/>
      <c r="AH371" s="631"/>
    </row>
    <row r="372" spans="1:67" ht="12.75" customHeight="1">
      <c r="B372" s="743" t="s">
        <v>491</v>
      </c>
      <c r="C372" s="744"/>
      <c r="D372" s="744"/>
      <c r="E372" s="744"/>
      <c r="F372" s="744"/>
      <c r="G372" s="744"/>
      <c r="H372" s="744"/>
      <c r="I372" s="744"/>
      <c r="J372" s="744"/>
      <c r="K372" s="744"/>
      <c r="L372" s="744"/>
      <c r="M372" s="744"/>
      <c r="N372" s="744"/>
      <c r="O372" s="744"/>
      <c r="P372" s="744"/>
      <c r="Q372" s="744"/>
      <c r="R372" s="744"/>
      <c r="S372" s="744"/>
      <c r="T372" s="744"/>
      <c r="U372" s="744"/>
      <c r="V372" s="745"/>
      <c r="W372" s="631"/>
      <c r="X372" s="631"/>
      <c r="Y372" s="631"/>
      <c r="Z372" s="631"/>
      <c r="AA372" s="631"/>
      <c r="AB372" s="631"/>
      <c r="AC372" s="631"/>
      <c r="AD372" s="631"/>
      <c r="AE372" s="631"/>
      <c r="AF372" s="631"/>
      <c r="AG372" s="631"/>
      <c r="AH372" s="631"/>
    </row>
    <row r="373" spans="1:67" ht="12.75" customHeight="1">
      <c r="D373" s="631"/>
      <c r="E373" s="631"/>
      <c r="F373" s="631"/>
      <c r="G373" s="631"/>
      <c r="H373" s="631"/>
      <c r="I373" s="631"/>
      <c r="J373" s="631"/>
      <c r="K373" s="631"/>
      <c r="L373" s="631"/>
      <c r="M373" s="631"/>
      <c r="N373" s="631"/>
      <c r="O373" s="631"/>
      <c r="P373" s="631"/>
      <c r="Q373" s="631"/>
      <c r="R373" s="631"/>
      <c r="S373" s="631"/>
      <c r="T373" s="631"/>
      <c r="U373" s="631"/>
      <c r="V373" s="631"/>
      <c r="W373" s="631"/>
      <c r="X373" s="631"/>
      <c r="Y373" s="631"/>
      <c r="Z373" s="631"/>
      <c r="AA373" s="631"/>
      <c r="AB373" s="631"/>
      <c r="AC373" s="631"/>
      <c r="AD373" s="631"/>
      <c r="AE373" s="631"/>
      <c r="AF373" s="631"/>
      <c r="AG373" s="631"/>
      <c r="AH373" s="631"/>
    </row>
    <row r="374" spans="1:67" ht="12.75" customHeight="1">
      <c r="B374" s="736"/>
      <c r="C374" s="736"/>
      <c r="D374" s="736"/>
      <c r="E374" s="736"/>
      <c r="F374" s="736"/>
      <c r="G374" s="736"/>
      <c r="H374" s="736"/>
      <c r="I374" s="736"/>
      <c r="J374" s="736"/>
      <c r="K374" s="736"/>
      <c r="L374" s="736"/>
      <c r="M374" s="736"/>
      <c r="N374" s="736"/>
      <c r="O374" s="736"/>
      <c r="P374" s="736"/>
      <c r="Q374" s="736"/>
      <c r="R374" s="736"/>
      <c r="S374" s="736"/>
      <c r="T374" s="736"/>
      <c r="U374" s="736"/>
      <c r="V374" s="736"/>
      <c r="W374" s="631"/>
      <c r="X374" s="631"/>
      <c r="Y374" s="631"/>
      <c r="Z374" s="631"/>
      <c r="AA374" s="631"/>
      <c r="AB374" s="631"/>
      <c r="AC374" s="631"/>
      <c r="AD374" s="631"/>
      <c r="AE374" s="631"/>
      <c r="AF374" s="631"/>
      <c r="AG374" s="631"/>
      <c r="AH374" s="631"/>
    </row>
    <row r="375" spans="1:67" ht="12.75" customHeight="1">
      <c r="D375" s="631"/>
      <c r="E375" s="631"/>
      <c r="F375" s="631"/>
      <c r="G375" s="631"/>
      <c r="H375" s="631"/>
      <c r="I375" s="631"/>
      <c r="J375" s="631"/>
      <c r="K375" s="631"/>
      <c r="L375" s="631"/>
      <c r="M375" s="631"/>
      <c r="N375" s="631"/>
      <c r="O375" s="631"/>
      <c r="P375" s="631"/>
      <c r="Q375" s="631"/>
      <c r="R375" s="631"/>
      <c r="S375" s="631"/>
      <c r="T375" s="631"/>
      <c r="U375" s="631"/>
      <c r="V375" s="631"/>
      <c r="W375" s="631"/>
      <c r="X375" s="631"/>
      <c r="Y375" s="631"/>
      <c r="Z375" s="631"/>
      <c r="AA375" s="631"/>
      <c r="AB375" s="631"/>
      <c r="AC375" s="631"/>
      <c r="AD375" s="631"/>
      <c r="AE375" s="631"/>
      <c r="AF375" s="631"/>
      <c r="AG375" s="631"/>
      <c r="AH375" s="631"/>
      <c r="AJ375" s="631"/>
      <c r="AK375" s="631"/>
      <c r="AL375" s="631"/>
      <c r="AM375" s="631"/>
      <c r="AN375" s="631"/>
      <c r="AO375" s="631"/>
      <c r="AP375" s="631"/>
      <c r="AQ375" s="631"/>
      <c r="AR375" s="631"/>
      <c r="AS375" s="631"/>
      <c r="AT375" s="631"/>
      <c r="AU375" s="631"/>
      <c r="AV375" s="631"/>
      <c r="AW375" s="631"/>
      <c r="AX375" s="631"/>
      <c r="AY375" s="631"/>
      <c r="AZ375" s="631"/>
      <c r="BA375" s="631"/>
      <c r="BB375" s="631"/>
      <c r="BC375" s="631"/>
      <c r="BD375" s="631"/>
      <c r="BE375" s="631"/>
      <c r="BF375" s="631"/>
      <c r="BG375" s="631"/>
      <c r="BH375" s="631"/>
      <c r="BI375" s="631"/>
      <c r="BJ375" s="631"/>
      <c r="BK375" s="631"/>
      <c r="BL375" s="631"/>
      <c r="BM375" s="631"/>
      <c r="BN375" s="631"/>
      <c r="BO375" s="631"/>
    </row>
    <row r="376" spans="1:67" ht="12.75" customHeight="1">
      <c r="D376" s="631"/>
      <c r="E376" s="631"/>
      <c r="F376" s="631"/>
      <c r="G376" s="631"/>
      <c r="H376" s="631"/>
      <c r="I376" s="631"/>
      <c r="J376" s="631"/>
      <c r="K376" s="631"/>
      <c r="L376" s="631"/>
      <c r="M376" s="631"/>
      <c r="N376" s="631"/>
      <c r="O376" s="631"/>
      <c r="P376" s="631"/>
      <c r="Q376" s="631"/>
      <c r="R376" s="631"/>
      <c r="S376" s="631"/>
      <c r="T376" s="631"/>
      <c r="U376" s="631"/>
      <c r="V376" s="631"/>
      <c r="W376" s="631"/>
      <c r="X376" s="631"/>
      <c r="Y376" s="631"/>
      <c r="Z376" s="631"/>
      <c r="AA376" s="631"/>
      <c r="AB376" s="631"/>
      <c r="AC376" s="631"/>
      <c r="AD376" s="631"/>
      <c r="AE376" s="631"/>
      <c r="AF376" s="631"/>
      <c r="AG376" s="631"/>
      <c r="AH376" s="631"/>
      <c r="AJ376" s="631"/>
      <c r="AK376" s="631"/>
      <c r="AL376" s="631"/>
      <c r="AM376" s="631"/>
      <c r="AN376" s="631"/>
      <c r="AO376" s="631"/>
      <c r="AP376" s="631"/>
      <c r="AQ376" s="631"/>
      <c r="AR376" s="631"/>
      <c r="AS376" s="631"/>
      <c r="AT376" s="631"/>
      <c r="AU376" s="631"/>
      <c r="AV376" s="631"/>
      <c r="AW376" s="631"/>
      <c r="AX376" s="631"/>
      <c r="AY376" s="631"/>
      <c r="AZ376" s="631"/>
      <c r="BA376" s="631"/>
      <c r="BB376" s="631"/>
      <c r="BC376" s="631"/>
      <c r="BD376" s="631"/>
      <c r="BE376" s="631"/>
      <c r="BF376" s="631"/>
      <c r="BG376" s="631"/>
      <c r="BH376" s="631"/>
      <c r="BI376" s="631"/>
      <c r="BJ376" s="631"/>
      <c r="BK376" s="631"/>
      <c r="BL376" s="631"/>
      <c r="BM376" s="631"/>
      <c r="BN376" s="631"/>
      <c r="BO376" s="631"/>
    </row>
    <row r="377" spans="1:67" ht="12.75" customHeight="1">
      <c r="D377" s="533"/>
      <c r="E377" s="533"/>
      <c r="F377" s="533"/>
      <c r="G377" s="533"/>
      <c r="H377" s="533"/>
      <c r="I377" s="533"/>
      <c r="J377" s="533"/>
      <c r="K377" s="533"/>
      <c r="L377" s="533"/>
      <c r="M377" s="533"/>
      <c r="N377" s="533"/>
      <c r="O377" s="533"/>
      <c r="P377" s="533"/>
      <c r="Q377" s="533"/>
      <c r="R377" s="533"/>
      <c r="S377" s="533"/>
      <c r="T377" s="533"/>
      <c r="U377" s="533"/>
      <c r="V377" s="533"/>
      <c r="W377" s="533"/>
      <c r="X377" s="533"/>
      <c r="Y377" s="533"/>
      <c r="Z377" s="533"/>
      <c r="AA377" s="533"/>
      <c r="AB377" s="533"/>
      <c r="AC377" s="533"/>
      <c r="AD377" s="533"/>
      <c r="AE377" s="533"/>
      <c r="AF377" s="533"/>
      <c r="AG377" s="533"/>
      <c r="AH377" s="533"/>
      <c r="AJ377" s="631"/>
      <c r="AK377" s="631"/>
      <c r="AL377" s="631"/>
      <c r="AM377" s="631"/>
      <c r="AN377" s="631"/>
      <c r="AO377" s="631"/>
      <c r="AP377" s="631"/>
      <c r="AQ377" s="631"/>
      <c r="AR377" s="631"/>
      <c r="AS377" s="631"/>
      <c r="AT377" s="631"/>
      <c r="AU377" s="631"/>
      <c r="AV377" s="631"/>
      <c r="AW377" s="631"/>
      <c r="AX377" s="631"/>
      <c r="AY377" s="631"/>
      <c r="AZ377" s="631"/>
      <c r="BA377" s="631"/>
      <c r="BB377" s="631"/>
      <c r="BC377" s="631"/>
      <c r="BD377" s="631"/>
      <c r="BE377" s="631"/>
      <c r="BF377" s="631"/>
      <c r="BG377" s="631"/>
      <c r="BH377" s="631"/>
      <c r="BI377" s="631"/>
      <c r="BJ377" s="631"/>
      <c r="BK377" s="631"/>
      <c r="BL377" s="631"/>
      <c r="BM377" s="631"/>
      <c r="BN377" s="631"/>
      <c r="BO377" s="631"/>
    </row>
    <row r="378" spans="1:67" ht="12.75" customHeight="1">
      <c r="D378" s="533"/>
      <c r="E378" s="533"/>
      <c r="F378" s="533"/>
      <c r="G378" s="533"/>
      <c r="H378" s="533"/>
      <c r="I378" s="533"/>
      <c r="J378" s="533"/>
      <c r="K378" s="533"/>
      <c r="L378" s="533"/>
      <c r="M378" s="533"/>
      <c r="N378" s="533"/>
      <c r="O378" s="533"/>
      <c r="P378" s="533"/>
      <c r="Q378" s="533"/>
      <c r="R378" s="533"/>
      <c r="S378" s="533"/>
      <c r="T378" s="533"/>
      <c r="U378" s="533"/>
      <c r="V378" s="533"/>
      <c r="W378" s="533"/>
      <c r="X378" s="533"/>
      <c r="Y378" s="533"/>
      <c r="Z378" s="533"/>
      <c r="AA378" s="533"/>
      <c r="AB378" s="533"/>
      <c r="AC378" s="533"/>
      <c r="AD378" s="533"/>
      <c r="AE378" s="533"/>
      <c r="AF378" s="533"/>
      <c r="AG378" s="533"/>
      <c r="AH378" s="533"/>
      <c r="AJ378" s="631"/>
      <c r="AK378" s="631"/>
      <c r="AL378" s="631"/>
      <c r="AM378" s="631"/>
      <c r="AN378" s="631"/>
      <c r="AO378" s="631"/>
      <c r="AP378" s="631"/>
      <c r="AQ378" s="631"/>
      <c r="AR378" s="631"/>
      <c r="AS378" s="631"/>
      <c r="AT378" s="631"/>
      <c r="AU378" s="631"/>
      <c r="AV378" s="631"/>
      <c r="AW378" s="631"/>
      <c r="AX378" s="631"/>
      <c r="AY378" s="631"/>
      <c r="AZ378" s="631"/>
      <c r="BA378" s="631"/>
      <c r="BB378" s="631"/>
      <c r="BC378" s="631"/>
      <c r="BD378" s="631"/>
      <c r="BE378" s="631"/>
      <c r="BF378" s="631"/>
      <c r="BG378" s="631"/>
      <c r="BH378" s="631"/>
      <c r="BI378" s="631"/>
      <c r="BJ378" s="631"/>
      <c r="BK378" s="631"/>
      <c r="BL378" s="631"/>
      <c r="BM378" s="631"/>
      <c r="BN378" s="631"/>
      <c r="BO378" s="631"/>
    </row>
    <row r="379" spans="1:67" ht="12.75" customHeight="1">
      <c r="D379" s="533"/>
      <c r="E379" s="533"/>
      <c r="F379" s="533"/>
      <c r="G379" s="533"/>
      <c r="H379" s="533"/>
      <c r="I379" s="533"/>
      <c r="J379" s="533"/>
      <c r="K379" s="533"/>
      <c r="L379" s="533"/>
      <c r="M379" s="533"/>
      <c r="N379" s="533"/>
      <c r="O379" s="533"/>
      <c r="P379" s="533"/>
      <c r="Q379" s="533"/>
      <c r="R379" s="533"/>
      <c r="S379" s="533"/>
      <c r="T379" s="533"/>
      <c r="U379" s="533"/>
      <c r="V379" s="533"/>
      <c r="W379" s="533"/>
      <c r="X379" s="533"/>
      <c r="Y379" s="533"/>
      <c r="Z379" s="533"/>
      <c r="AA379" s="533"/>
      <c r="AB379" s="533"/>
      <c r="AC379" s="533"/>
      <c r="AD379" s="533"/>
      <c r="AE379" s="533"/>
      <c r="AF379" s="533"/>
      <c r="AG379" s="533"/>
      <c r="AH379" s="533"/>
      <c r="AJ379" s="631"/>
      <c r="AK379" s="631"/>
      <c r="AL379" s="631"/>
      <c r="AM379" s="631"/>
      <c r="AN379" s="631"/>
      <c r="AO379" s="631"/>
      <c r="AP379" s="631"/>
      <c r="AQ379" s="631"/>
      <c r="AR379" s="631"/>
      <c r="AS379" s="631"/>
      <c r="AT379" s="631"/>
      <c r="AU379" s="631"/>
      <c r="AV379" s="631"/>
      <c r="AW379" s="631"/>
      <c r="AX379" s="631"/>
      <c r="AY379" s="631"/>
      <c r="AZ379" s="631"/>
      <c r="BA379" s="631"/>
      <c r="BB379" s="631"/>
      <c r="BC379" s="631"/>
      <c r="BD379" s="631"/>
      <c r="BE379" s="631"/>
      <c r="BF379" s="631"/>
      <c r="BG379" s="631"/>
      <c r="BH379" s="631"/>
      <c r="BI379" s="631"/>
      <c r="BJ379" s="631"/>
      <c r="BK379" s="631"/>
      <c r="BL379" s="631"/>
      <c r="BM379" s="631"/>
      <c r="BN379" s="631"/>
      <c r="BO379" s="631"/>
    </row>
    <row r="380" spans="1:67" ht="12.75" customHeight="1">
      <c r="D380" s="533"/>
      <c r="E380" s="533"/>
      <c r="F380" s="533"/>
      <c r="G380" s="533"/>
      <c r="H380" s="533"/>
      <c r="I380" s="533"/>
      <c r="J380" s="533"/>
      <c r="K380" s="533"/>
      <c r="L380" s="533"/>
      <c r="M380" s="533"/>
      <c r="N380" s="533"/>
      <c r="O380" s="533"/>
      <c r="P380" s="533"/>
      <c r="Q380" s="533"/>
      <c r="R380" s="533"/>
      <c r="S380" s="533"/>
      <c r="T380" s="533"/>
      <c r="U380" s="533"/>
      <c r="V380" s="533"/>
      <c r="W380" s="533"/>
      <c r="X380" s="533"/>
      <c r="Y380" s="533"/>
      <c r="Z380" s="533"/>
      <c r="AA380" s="533"/>
      <c r="AB380" s="533"/>
      <c r="AC380" s="533"/>
      <c r="AD380" s="533"/>
      <c r="AE380" s="533"/>
      <c r="AF380" s="533"/>
      <c r="AG380" s="533"/>
      <c r="AH380" s="533"/>
      <c r="AJ380" s="631"/>
      <c r="AK380" s="631"/>
      <c r="AL380" s="631"/>
      <c r="AM380" s="631"/>
      <c r="AN380" s="631"/>
      <c r="AO380" s="631"/>
      <c r="AP380" s="631"/>
      <c r="AQ380" s="631"/>
      <c r="AR380" s="631"/>
      <c r="AS380" s="631"/>
      <c r="AT380" s="631"/>
      <c r="AU380" s="631"/>
      <c r="AV380" s="631"/>
      <c r="AW380" s="631"/>
      <c r="AX380" s="631"/>
      <c r="AY380" s="631"/>
      <c r="AZ380" s="631"/>
      <c r="BA380" s="631"/>
      <c r="BB380" s="631"/>
      <c r="BC380" s="631"/>
      <c r="BD380" s="631"/>
      <c r="BE380" s="631"/>
      <c r="BF380" s="631"/>
      <c r="BG380" s="631"/>
      <c r="BH380" s="631"/>
      <c r="BI380" s="631"/>
      <c r="BJ380" s="631"/>
      <c r="BK380" s="631"/>
      <c r="BL380" s="631"/>
      <c r="BM380" s="631"/>
      <c r="BN380" s="631"/>
      <c r="BO380" s="631"/>
    </row>
    <row r="381" spans="1:67" ht="12.75" customHeight="1">
      <c r="D381" s="533"/>
      <c r="E381" s="533"/>
      <c r="F381" s="533"/>
      <c r="G381" s="533"/>
      <c r="H381" s="533"/>
      <c r="I381" s="533"/>
      <c r="J381" s="533"/>
      <c r="K381" s="533"/>
      <c r="L381" s="533"/>
      <c r="M381" s="533"/>
      <c r="N381" s="533"/>
      <c r="O381" s="533"/>
      <c r="P381" s="533"/>
      <c r="Q381" s="533"/>
      <c r="R381" s="533"/>
      <c r="S381" s="533"/>
      <c r="T381" s="533"/>
      <c r="U381" s="533"/>
      <c r="V381" s="533"/>
      <c r="W381" s="533"/>
      <c r="X381" s="533"/>
      <c r="Y381" s="533"/>
      <c r="Z381" s="533"/>
      <c r="AA381" s="533"/>
      <c r="AB381" s="533"/>
      <c r="AC381" s="533"/>
      <c r="AD381" s="533"/>
      <c r="AE381" s="533"/>
      <c r="AF381" s="533"/>
      <c r="AG381" s="533"/>
      <c r="AH381" s="533"/>
      <c r="AJ381" s="631"/>
      <c r="AK381" s="631"/>
      <c r="AL381" s="631"/>
      <c r="AM381" s="631"/>
      <c r="AN381" s="631"/>
      <c r="AO381" s="631"/>
      <c r="AP381" s="631"/>
      <c r="AQ381" s="631"/>
      <c r="AR381" s="631"/>
      <c r="AS381" s="631"/>
      <c r="AT381" s="631"/>
      <c r="AU381" s="631"/>
      <c r="AV381" s="631"/>
      <c r="AW381" s="631"/>
      <c r="AX381" s="631"/>
      <c r="AY381" s="631"/>
      <c r="AZ381" s="631"/>
      <c r="BA381" s="631"/>
      <c r="BB381" s="631"/>
      <c r="BC381" s="631"/>
      <c r="BD381" s="631"/>
      <c r="BE381" s="631"/>
      <c r="BF381" s="631"/>
      <c r="BG381" s="631"/>
      <c r="BH381" s="631"/>
      <c r="BI381" s="631"/>
      <c r="BJ381" s="631"/>
      <c r="BK381" s="631"/>
      <c r="BL381" s="631"/>
      <c r="BM381" s="631"/>
      <c r="BN381" s="631"/>
      <c r="BO381" s="631"/>
    </row>
    <row r="382" spans="1:67" ht="12.75" customHeight="1">
      <c r="D382" s="533"/>
      <c r="E382" s="533"/>
      <c r="F382" s="533"/>
      <c r="G382" s="533"/>
      <c r="H382" s="533"/>
      <c r="I382" s="533"/>
      <c r="J382" s="533"/>
      <c r="K382" s="533"/>
      <c r="L382" s="533"/>
      <c r="M382" s="533"/>
      <c r="N382" s="533"/>
      <c r="O382" s="533"/>
      <c r="P382" s="533"/>
      <c r="Q382" s="533"/>
      <c r="R382" s="533"/>
      <c r="S382" s="533"/>
      <c r="T382" s="533"/>
      <c r="U382" s="533"/>
      <c r="V382" s="533"/>
      <c r="W382" s="533"/>
      <c r="X382" s="533"/>
      <c r="Y382" s="533"/>
      <c r="Z382" s="533"/>
      <c r="AA382" s="533"/>
      <c r="AB382" s="533"/>
      <c r="AC382" s="533"/>
      <c r="AD382" s="533"/>
      <c r="AE382" s="533"/>
      <c r="AF382" s="533"/>
      <c r="AG382" s="533"/>
      <c r="AH382" s="533"/>
      <c r="AJ382" s="631"/>
      <c r="AK382" s="631"/>
      <c r="AL382" s="631"/>
      <c r="AM382" s="631"/>
      <c r="AN382" s="631"/>
      <c r="AO382" s="631"/>
      <c r="AP382" s="631"/>
      <c r="AQ382" s="631"/>
      <c r="AR382" s="631"/>
      <c r="AS382" s="631"/>
      <c r="AT382" s="631"/>
      <c r="AU382" s="631"/>
      <c r="AV382" s="631"/>
      <c r="AW382" s="631"/>
      <c r="AX382" s="631"/>
      <c r="AY382" s="631"/>
      <c r="AZ382" s="631"/>
      <c r="BA382" s="631"/>
      <c r="BB382" s="631"/>
      <c r="BC382" s="631"/>
      <c r="BD382" s="631"/>
      <c r="BE382" s="631"/>
      <c r="BF382" s="631"/>
      <c r="BG382" s="631"/>
      <c r="BH382" s="631"/>
      <c r="BI382" s="631"/>
      <c r="BJ382" s="631"/>
      <c r="BK382" s="631"/>
      <c r="BL382" s="631"/>
      <c r="BM382" s="631"/>
      <c r="BN382" s="631"/>
      <c r="BO382" s="631"/>
    </row>
    <row r="383" spans="1:67" ht="12.75" customHeight="1">
      <c r="D383" s="533"/>
      <c r="E383" s="533"/>
      <c r="F383" s="533"/>
      <c r="G383" s="533"/>
      <c r="H383" s="533"/>
      <c r="I383" s="533"/>
      <c r="J383" s="533"/>
      <c r="K383" s="533"/>
      <c r="L383" s="533"/>
      <c r="M383" s="533"/>
      <c r="N383" s="533"/>
      <c r="O383" s="533"/>
      <c r="P383" s="533"/>
      <c r="Q383" s="533"/>
      <c r="R383" s="533"/>
      <c r="S383" s="533"/>
      <c r="T383" s="533"/>
      <c r="U383" s="533"/>
      <c r="V383" s="533"/>
      <c r="W383" s="533"/>
      <c r="X383" s="533"/>
      <c r="Y383" s="533"/>
      <c r="Z383" s="533"/>
      <c r="AA383" s="533"/>
      <c r="AB383" s="533"/>
      <c r="AC383" s="533"/>
      <c r="AD383" s="533"/>
      <c r="AE383" s="533"/>
      <c r="AF383" s="533"/>
      <c r="AG383" s="533"/>
      <c r="AH383" s="533"/>
      <c r="AJ383" s="631"/>
      <c r="AK383" s="631"/>
      <c r="AL383" s="631"/>
      <c r="AM383" s="631"/>
      <c r="AN383" s="631"/>
      <c r="AO383" s="631"/>
      <c r="AP383" s="631"/>
      <c r="AQ383" s="631"/>
      <c r="AR383" s="631"/>
      <c r="AS383" s="631"/>
      <c r="AT383" s="631"/>
      <c r="AU383" s="631"/>
      <c r="AV383" s="631"/>
      <c r="AW383" s="631"/>
      <c r="AX383" s="631"/>
      <c r="AY383" s="631"/>
      <c r="AZ383" s="631"/>
      <c r="BA383" s="631"/>
      <c r="BB383" s="631"/>
      <c r="BC383" s="631"/>
      <c r="BD383" s="631"/>
      <c r="BE383" s="631"/>
      <c r="BF383" s="631"/>
      <c r="BG383" s="631"/>
      <c r="BH383" s="631"/>
      <c r="BI383" s="631"/>
      <c r="BJ383" s="631"/>
      <c r="BK383" s="631"/>
      <c r="BL383" s="631"/>
      <c r="BM383" s="631"/>
      <c r="BN383" s="631"/>
      <c r="BO383" s="631"/>
    </row>
    <row r="384" spans="1:67" ht="12.75" customHeight="1">
      <c r="D384" s="533"/>
      <c r="E384" s="533"/>
      <c r="F384" s="533"/>
      <c r="G384" s="533"/>
      <c r="H384" s="533"/>
      <c r="I384" s="533"/>
      <c r="J384" s="533"/>
      <c r="K384" s="533"/>
      <c r="L384" s="533"/>
      <c r="M384" s="533"/>
      <c r="N384" s="533"/>
      <c r="O384" s="533"/>
      <c r="P384" s="533"/>
      <c r="Q384" s="533"/>
      <c r="R384" s="533"/>
      <c r="S384" s="533"/>
      <c r="T384" s="533"/>
      <c r="U384" s="533"/>
      <c r="V384" s="533"/>
      <c r="W384" s="533"/>
      <c r="X384" s="533"/>
      <c r="Y384" s="533"/>
      <c r="Z384" s="533"/>
      <c r="AA384" s="533"/>
      <c r="AB384" s="533"/>
      <c r="AC384" s="533"/>
      <c r="AD384" s="533"/>
      <c r="AE384" s="533"/>
      <c r="AF384" s="533"/>
      <c r="AG384" s="533"/>
      <c r="AH384" s="533"/>
      <c r="AJ384" s="631"/>
      <c r="AK384" s="631"/>
      <c r="AL384" s="631"/>
      <c r="AM384" s="631"/>
      <c r="AN384" s="631"/>
      <c r="AO384" s="631"/>
      <c r="AP384" s="631"/>
      <c r="AQ384" s="631"/>
      <c r="AR384" s="631"/>
      <c r="AS384" s="631"/>
      <c r="AT384" s="631"/>
      <c r="AU384" s="631"/>
      <c r="AV384" s="631"/>
      <c r="AW384" s="631"/>
      <c r="AX384" s="631"/>
      <c r="AY384" s="631"/>
      <c r="AZ384" s="631"/>
      <c r="BA384" s="631"/>
      <c r="BB384" s="631"/>
      <c r="BC384" s="631"/>
      <c r="BD384" s="631"/>
      <c r="BE384" s="631"/>
      <c r="BF384" s="631"/>
      <c r="BG384" s="631"/>
      <c r="BH384" s="631"/>
      <c r="BI384" s="631"/>
      <c r="BJ384" s="631"/>
      <c r="BK384" s="631"/>
      <c r="BL384" s="631"/>
      <c r="BM384" s="631"/>
      <c r="BN384" s="631"/>
      <c r="BO384" s="631"/>
    </row>
    <row r="385" spans="4:67" ht="12.75" customHeight="1">
      <c r="D385" s="533"/>
      <c r="E385" s="533"/>
      <c r="F385" s="533"/>
      <c r="G385" s="533"/>
      <c r="H385" s="533"/>
      <c r="I385" s="533"/>
      <c r="J385" s="533"/>
      <c r="K385" s="533"/>
      <c r="L385" s="533"/>
      <c r="M385" s="533"/>
      <c r="N385" s="533"/>
      <c r="O385" s="533"/>
      <c r="P385" s="533"/>
      <c r="Q385" s="533"/>
      <c r="R385" s="533"/>
      <c r="S385" s="533"/>
      <c r="T385" s="533"/>
      <c r="U385" s="533"/>
      <c r="V385" s="533"/>
      <c r="W385" s="533"/>
      <c r="X385" s="533"/>
      <c r="Y385" s="533"/>
      <c r="Z385" s="533"/>
      <c r="AA385" s="533"/>
      <c r="AB385" s="533"/>
      <c r="AC385" s="533"/>
      <c r="AD385" s="533"/>
      <c r="AE385" s="533"/>
      <c r="AF385" s="533"/>
      <c r="AG385" s="533"/>
      <c r="AH385" s="533"/>
      <c r="AJ385" s="631"/>
      <c r="AK385" s="631"/>
      <c r="AL385" s="631"/>
      <c r="AM385" s="631"/>
      <c r="AN385" s="631"/>
      <c r="AO385" s="631"/>
      <c r="AP385" s="631"/>
      <c r="AQ385" s="631"/>
      <c r="AR385" s="631"/>
      <c r="AS385" s="631"/>
      <c r="AT385" s="631"/>
      <c r="AU385" s="631"/>
      <c r="AV385" s="631"/>
      <c r="AW385" s="631"/>
      <c r="AX385" s="631"/>
      <c r="AY385" s="631"/>
      <c r="AZ385" s="631"/>
      <c r="BA385" s="631"/>
      <c r="BB385" s="631"/>
      <c r="BC385" s="631"/>
      <c r="BD385" s="631"/>
      <c r="BE385" s="631"/>
      <c r="BF385" s="631"/>
      <c r="BG385" s="631"/>
      <c r="BH385" s="631"/>
      <c r="BI385" s="631"/>
      <c r="BJ385" s="631"/>
      <c r="BK385" s="631"/>
      <c r="BL385" s="631"/>
      <c r="BM385" s="631"/>
      <c r="BN385" s="631"/>
      <c r="BO385" s="631"/>
    </row>
    <row r="386" spans="4:67" ht="12.75" customHeight="1">
      <c r="D386" s="533"/>
      <c r="E386" s="533"/>
      <c r="F386" s="533"/>
      <c r="G386" s="533"/>
      <c r="H386" s="533"/>
      <c r="I386" s="533"/>
      <c r="J386" s="533"/>
      <c r="K386" s="533"/>
      <c r="L386" s="533"/>
      <c r="M386" s="533"/>
      <c r="N386" s="533"/>
      <c r="O386" s="533"/>
      <c r="P386" s="533"/>
      <c r="Q386" s="533"/>
      <c r="R386" s="533"/>
      <c r="S386" s="533"/>
      <c r="T386" s="533"/>
      <c r="U386" s="533"/>
      <c r="V386" s="533"/>
      <c r="W386" s="533"/>
      <c r="X386" s="533"/>
      <c r="Y386" s="533"/>
      <c r="Z386" s="533"/>
      <c r="AA386" s="533"/>
      <c r="AB386" s="533"/>
      <c r="AC386" s="533"/>
      <c r="AD386" s="533"/>
      <c r="AE386" s="533"/>
      <c r="AF386" s="533"/>
      <c r="AG386" s="533"/>
      <c r="AH386" s="533"/>
      <c r="AJ386" s="631"/>
      <c r="AK386" s="631"/>
      <c r="AL386" s="631"/>
      <c r="AM386" s="631"/>
      <c r="AN386" s="631"/>
      <c r="AO386" s="631"/>
      <c r="AP386" s="631"/>
      <c r="AQ386" s="631"/>
      <c r="AR386" s="631"/>
      <c r="AS386" s="631"/>
      <c r="AT386" s="631"/>
      <c r="AU386" s="631"/>
      <c r="AV386" s="631"/>
      <c r="AW386" s="631"/>
      <c r="AX386" s="631"/>
      <c r="AY386" s="631"/>
      <c r="AZ386" s="631"/>
      <c r="BA386" s="631"/>
      <c r="BB386" s="631"/>
      <c r="BC386" s="631"/>
      <c r="BD386" s="631"/>
      <c r="BE386" s="631"/>
      <c r="BF386" s="631"/>
      <c r="BG386" s="631"/>
      <c r="BH386" s="631"/>
      <c r="BI386" s="631"/>
      <c r="BJ386" s="631"/>
      <c r="BK386" s="631"/>
      <c r="BL386" s="631"/>
      <c r="BM386" s="631"/>
      <c r="BN386" s="631"/>
      <c r="BO386" s="631"/>
    </row>
    <row r="387" spans="4:67" ht="12.75" customHeight="1">
      <c r="D387" s="533"/>
      <c r="E387" s="533"/>
      <c r="F387" s="533"/>
      <c r="G387" s="533"/>
      <c r="H387" s="533"/>
      <c r="I387" s="533"/>
      <c r="J387" s="533"/>
      <c r="K387" s="533"/>
      <c r="L387" s="533"/>
      <c r="M387" s="533"/>
      <c r="N387" s="533"/>
      <c r="O387" s="533"/>
      <c r="P387" s="533"/>
      <c r="Q387" s="533"/>
      <c r="R387" s="533"/>
      <c r="S387" s="533"/>
      <c r="T387" s="533"/>
      <c r="U387" s="533"/>
      <c r="V387" s="533"/>
      <c r="W387" s="533"/>
      <c r="X387" s="533"/>
      <c r="Y387" s="533"/>
      <c r="Z387" s="533"/>
      <c r="AA387" s="533"/>
      <c r="AB387" s="533"/>
      <c r="AC387" s="533"/>
      <c r="AD387" s="533"/>
      <c r="AE387" s="533"/>
      <c r="AF387" s="533"/>
      <c r="AG387" s="533"/>
      <c r="AH387" s="533"/>
      <c r="AJ387" s="631"/>
      <c r="AK387" s="631"/>
      <c r="AL387" s="631"/>
      <c r="AM387" s="631"/>
      <c r="AN387" s="631"/>
      <c r="AO387" s="631"/>
      <c r="AP387" s="631"/>
      <c r="AQ387" s="631"/>
      <c r="AR387" s="631"/>
      <c r="AS387" s="631"/>
      <c r="AT387" s="631"/>
      <c r="AU387" s="631"/>
      <c r="AV387" s="631"/>
      <c r="AW387" s="631"/>
      <c r="AX387" s="631"/>
      <c r="AY387" s="631"/>
      <c r="AZ387" s="631"/>
      <c r="BA387" s="631"/>
      <c r="BB387" s="631"/>
      <c r="BC387" s="631"/>
      <c r="BD387" s="631"/>
      <c r="BE387" s="631"/>
      <c r="BF387" s="631"/>
      <c r="BG387" s="631"/>
      <c r="BH387" s="631"/>
      <c r="BI387" s="631"/>
      <c r="BJ387" s="631"/>
      <c r="BK387" s="631"/>
      <c r="BL387" s="631"/>
      <c r="BM387" s="631"/>
      <c r="BN387" s="631"/>
      <c r="BO387" s="631"/>
    </row>
    <row r="388" spans="4:67" ht="12.75" customHeight="1">
      <c r="D388" s="533"/>
      <c r="E388" s="533"/>
      <c r="F388" s="533"/>
      <c r="G388" s="533"/>
      <c r="H388" s="533"/>
      <c r="I388" s="533"/>
      <c r="J388" s="533"/>
      <c r="K388" s="533"/>
      <c r="L388" s="533"/>
      <c r="M388" s="533"/>
      <c r="N388" s="533"/>
      <c r="O388" s="533"/>
      <c r="P388" s="533"/>
      <c r="Q388" s="533"/>
      <c r="R388" s="533"/>
      <c r="S388" s="533"/>
      <c r="T388" s="533"/>
      <c r="U388" s="533"/>
      <c r="V388" s="533"/>
      <c r="W388" s="533"/>
      <c r="X388" s="533"/>
      <c r="Y388" s="533"/>
      <c r="Z388" s="533"/>
      <c r="AA388" s="533"/>
      <c r="AB388" s="533"/>
      <c r="AC388" s="533"/>
      <c r="AD388" s="533"/>
      <c r="AE388" s="533"/>
      <c r="AF388" s="533"/>
      <c r="AG388" s="533"/>
      <c r="AH388" s="533"/>
      <c r="AJ388" s="631"/>
      <c r="AK388" s="631"/>
      <c r="AL388" s="631"/>
      <c r="AM388" s="631"/>
      <c r="AN388" s="631"/>
      <c r="AO388" s="631"/>
      <c r="AP388" s="631"/>
      <c r="AQ388" s="631"/>
      <c r="AR388" s="631"/>
      <c r="AS388" s="631"/>
      <c r="AT388" s="631"/>
      <c r="AU388" s="631"/>
      <c r="AV388" s="631"/>
      <c r="AW388" s="631"/>
      <c r="AX388" s="631"/>
      <c r="AY388" s="631"/>
      <c r="AZ388" s="631"/>
      <c r="BA388" s="631"/>
      <c r="BB388" s="631"/>
      <c r="BC388" s="631"/>
      <c r="BD388" s="631"/>
      <c r="BE388" s="631"/>
      <c r="BF388" s="631"/>
      <c r="BG388" s="631"/>
      <c r="BH388" s="631"/>
      <c r="BI388" s="631"/>
      <c r="BJ388" s="631"/>
      <c r="BK388" s="631"/>
      <c r="BL388" s="631"/>
      <c r="BM388" s="631"/>
      <c r="BN388" s="631"/>
      <c r="BO388" s="631"/>
    </row>
    <row r="389" spans="4:67" ht="12.75" customHeight="1">
      <c r="D389" s="533"/>
      <c r="E389" s="533"/>
      <c r="F389" s="533"/>
      <c r="G389" s="533"/>
      <c r="H389" s="533"/>
      <c r="I389" s="533"/>
      <c r="J389" s="533"/>
      <c r="K389" s="533"/>
      <c r="L389" s="533"/>
      <c r="M389" s="533"/>
      <c r="N389" s="533"/>
      <c r="O389" s="533"/>
      <c r="P389" s="533"/>
      <c r="Q389" s="533"/>
      <c r="R389" s="533"/>
      <c r="S389" s="533"/>
      <c r="T389" s="533"/>
      <c r="U389" s="533"/>
      <c r="V389" s="533"/>
      <c r="W389" s="533"/>
      <c r="X389" s="533"/>
      <c r="Y389" s="533"/>
      <c r="Z389" s="533"/>
      <c r="AA389" s="533"/>
      <c r="AB389" s="533"/>
      <c r="AC389" s="533"/>
      <c r="AD389" s="533"/>
      <c r="AE389" s="533"/>
      <c r="AF389" s="533"/>
      <c r="AG389" s="533"/>
      <c r="AH389" s="533"/>
      <c r="AJ389" s="631"/>
      <c r="AK389" s="631"/>
      <c r="AL389" s="631"/>
      <c r="AM389" s="631"/>
      <c r="AN389" s="631"/>
      <c r="AO389" s="631"/>
      <c r="AP389" s="631"/>
      <c r="AQ389" s="631"/>
      <c r="AR389" s="631"/>
      <c r="AS389" s="631"/>
      <c r="AT389" s="631"/>
      <c r="AU389" s="631"/>
      <c r="AV389" s="631"/>
      <c r="AW389" s="631"/>
      <c r="AX389" s="631"/>
      <c r="AY389" s="631"/>
      <c r="AZ389" s="631"/>
      <c r="BA389" s="631"/>
      <c r="BB389" s="631"/>
      <c r="BC389" s="631"/>
      <c r="BD389" s="631"/>
      <c r="BE389" s="631"/>
      <c r="BF389" s="631"/>
      <c r="BG389" s="631"/>
      <c r="BH389" s="631"/>
      <c r="BI389" s="631"/>
      <c r="BJ389" s="631"/>
      <c r="BK389" s="631"/>
      <c r="BL389" s="631"/>
      <c r="BM389" s="631"/>
      <c r="BN389" s="631"/>
      <c r="BO389" s="631"/>
    </row>
    <row r="390" spans="4:67" ht="12.75" customHeight="1">
      <c r="D390" s="533"/>
      <c r="E390" s="533"/>
      <c r="F390" s="533"/>
      <c r="G390" s="533"/>
      <c r="H390" s="533"/>
      <c r="I390" s="533"/>
      <c r="J390" s="533"/>
      <c r="K390" s="533"/>
      <c r="L390" s="533"/>
      <c r="M390" s="533"/>
      <c r="N390" s="533"/>
      <c r="O390" s="533"/>
      <c r="P390" s="533"/>
      <c r="Q390" s="533"/>
      <c r="R390" s="533"/>
      <c r="S390" s="533"/>
      <c r="T390" s="533"/>
      <c r="U390" s="533"/>
      <c r="V390" s="533"/>
      <c r="W390" s="533"/>
      <c r="X390" s="533"/>
      <c r="Y390" s="533"/>
      <c r="Z390" s="533"/>
      <c r="AA390" s="533"/>
      <c r="AB390" s="533"/>
      <c r="AC390" s="533"/>
      <c r="AD390" s="533"/>
      <c r="AE390" s="533"/>
      <c r="AF390" s="533"/>
      <c r="AG390" s="533"/>
      <c r="AH390" s="533"/>
      <c r="AJ390" s="631"/>
      <c r="AK390" s="631"/>
      <c r="AL390" s="631"/>
      <c r="AM390" s="631"/>
      <c r="AN390" s="631"/>
      <c r="AO390" s="631"/>
      <c r="AP390" s="631"/>
      <c r="AQ390" s="631"/>
      <c r="AR390" s="631"/>
      <c r="AS390" s="631"/>
      <c r="AT390" s="631"/>
      <c r="AU390" s="631"/>
      <c r="AV390" s="631"/>
      <c r="AW390" s="631"/>
      <c r="AX390" s="631"/>
      <c r="AY390" s="631"/>
      <c r="AZ390" s="631"/>
      <c r="BA390" s="631"/>
      <c r="BB390" s="631"/>
      <c r="BC390" s="631"/>
      <c r="BD390" s="631"/>
      <c r="BE390" s="631"/>
      <c r="BF390" s="631"/>
      <c r="BG390" s="631"/>
      <c r="BH390" s="631"/>
      <c r="BI390" s="631"/>
      <c r="BJ390" s="631"/>
      <c r="BK390" s="631"/>
      <c r="BL390" s="631"/>
      <c r="BM390" s="631"/>
      <c r="BN390" s="631"/>
      <c r="BO390" s="631"/>
    </row>
    <row r="391" spans="4:67" ht="12.75" customHeight="1">
      <c r="D391" s="533"/>
      <c r="E391" s="533"/>
      <c r="F391" s="533"/>
      <c r="G391" s="533"/>
      <c r="H391" s="533"/>
      <c r="I391" s="533"/>
      <c r="J391" s="533"/>
      <c r="K391" s="533"/>
      <c r="L391" s="533"/>
      <c r="M391" s="533"/>
      <c r="N391" s="533"/>
      <c r="O391" s="533"/>
      <c r="P391" s="533"/>
      <c r="Q391" s="533"/>
      <c r="R391" s="533"/>
      <c r="S391" s="533"/>
      <c r="T391" s="533"/>
      <c r="U391" s="533"/>
      <c r="V391" s="533"/>
      <c r="W391" s="533"/>
      <c r="X391" s="533"/>
      <c r="Y391" s="533"/>
      <c r="Z391" s="533"/>
      <c r="AA391" s="533"/>
      <c r="AB391" s="533"/>
      <c r="AC391" s="533"/>
      <c r="AD391" s="533"/>
      <c r="AE391" s="533"/>
      <c r="AF391" s="533"/>
      <c r="AG391" s="533"/>
      <c r="AH391" s="533"/>
      <c r="AJ391" s="631"/>
      <c r="AK391" s="631"/>
      <c r="AL391" s="631"/>
      <c r="AM391" s="631"/>
      <c r="AN391" s="631"/>
      <c r="AO391" s="631"/>
      <c r="AP391" s="631"/>
      <c r="AQ391" s="631"/>
      <c r="AR391" s="631"/>
      <c r="AS391" s="631"/>
      <c r="AT391" s="631"/>
      <c r="AU391" s="631"/>
      <c r="AV391" s="631"/>
      <c r="AW391" s="631"/>
      <c r="AX391" s="631"/>
      <c r="AY391" s="631"/>
      <c r="AZ391" s="631"/>
      <c r="BA391" s="631"/>
      <c r="BB391" s="631"/>
      <c r="BC391" s="631"/>
      <c r="BD391" s="631"/>
      <c r="BE391" s="631"/>
      <c r="BF391" s="631"/>
      <c r="BG391" s="631"/>
      <c r="BH391" s="631"/>
      <c r="BI391" s="631"/>
      <c r="BJ391" s="631"/>
      <c r="BK391" s="631"/>
      <c r="BL391" s="631"/>
      <c r="BM391" s="631"/>
      <c r="BN391" s="631"/>
      <c r="BO391" s="631"/>
    </row>
    <row r="392" spans="4:67" ht="12.75" customHeight="1">
      <c r="D392" s="533"/>
      <c r="E392" s="533"/>
      <c r="F392" s="533"/>
      <c r="G392" s="533"/>
      <c r="H392" s="533"/>
      <c r="I392" s="533"/>
      <c r="J392" s="533"/>
      <c r="K392" s="533"/>
      <c r="L392" s="533"/>
      <c r="M392" s="533"/>
      <c r="N392" s="533"/>
      <c r="O392" s="533"/>
      <c r="P392" s="533"/>
      <c r="Q392" s="533"/>
      <c r="R392" s="533"/>
      <c r="S392" s="533"/>
      <c r="T392" s="533"/>
      <c r="U392" s="533"/>
      <c r="V392" s="533"/>
      <c r="W392" s="533"/>
      <c r="X392" s="533"/>
      <c r="Y392" s="533"/>
      <c r="Z392" s="533"/>
      <c r="AA392" s="533"/>
      <c r="AB392" s="533"/>
      <c r="AC392" s="533"/>
      <c r="AD392" s="533"/>
      <c r="AE392" s="533"/>
      <c r="AF392" s="533"/>
      <c r="AG392" s="533"/>
      <c r="AH392" s="533"/>
      <c r="AJ392" s="631"/>
      <c r="AK392" s="631"/>
      <c r="AL392" s="631"/>
      <c r="AM392" s="631"/>
      <c r="AN392" s="631"/>
      <c r="AO392" s="631"/>
      <c r="AP392" s="631"/>
      <c r="AQ392" s="631"/>
      <c r="AR392" s="631"/>
      <c r="AS392" s="631"/>
      <c r="AT392" s="631"/>
      <c r="AU392" s="631"/>
      <c r="AV392" s="631"/>
      <c r="AW392" s="631"/>
      <c r="AX392" s="631"/>
      <c r="AY392" s="631"/>
      <c r="AZ392" s="631"/>
      <c r="BA392" s="631"/>
      <c r="BB392" s="631"/>
      <c r="BC392" s="631"/>
      <c r="BD392" s="631"/>
      <c r="BE392" s="631"/>
      <c r="BF392" s="631"/>
      <c r="BG392" s="631"/>
      <c r="BH392" s="631"/>
      <c r="BI392" s="631"/>
      <c r="BJ392" s="631"/>
      <c r="BK392" s="631"/>
      <c r="BL392" s="631"/>
      <c r="BM392" s="631"/>
      <c r="BN392" s="631"/>
      <c r="BO392" s="631"/>
    </row>
    <row r="393" spans="4:67" ht="12.75" customHeight="1">
      <c r="D393" s="533"/>
      <c r="E393" s="533"/>
      <c r="F393" s="533"/>
      <c r="G393" s="533"/>
      <c r="H393" s="533"/>
      <c r="I393" s="533"/>
      <c r="J393" s="533"/>
      <c r="K393" s="533"/>
      <c r="L393" s="533"/>
      <c r="M393" s="533"/>
      <c r="N393" s="533"/>
      <c r="O393" s="533"/>
      <c r="P393" s="533"/>
      <c r="Q393" s="533"/>
      <c r="R393" s="533"/>
      <c r="S393" s="533"/>
      <c r="T393" s="533"/>
      <c r="U393" s="533"/>
      <c r="V393" s="533"/>
      <c r="W393" s="533"/>
      <c r="X393" s="533"/>
      <c r="Y393" s="533"/>
      <c r="Z393" s="533"/>
      <c r="AA393" s="533"/>
      <c r="AB393" s="533"/>
      <c r="AC393" s="533"/>
      <c r="AD393" s="533"/>
      <c r="AE393" s="533"/>
      <c r="AF393" s="533"/>
      <c r="AG393" s="533"/>
      <c r="AH393" s="533"/>
      <c r="AJ393" s="631"/>
      <c r="AK393" s="631"/>
      <c r="AL393" s="631"/>
      <c r="AM393" s="631"/>
      <c r="AN393" s="631"/>
      <c r="AO393" s="631"/>
      <c r="AP393" s="631"/>
      <c r="AQ393" s="631"/>
      <c r="AR393" s="631"/>
      <c r="AS393" s="631"/>
      <c r="AT393" s="631"/>
      <c r="AU393" s="631"/>
      <c r="AV393" s="631"/>
      <c r="AW393" s="631"/>
      <c r="AX393" s="631"/>
      <c r="AY393" s="631"/>
      <c r="AZ393" s="631"/>
      <c r="BA393" s="631"/>
      <c r="BB393" s="631"/>
      <c r="BC393" s="631"/>
      <c r="BD393" s="631"/>
      <c r="BE393" s="631"/>
      <c r="BF393" s="631"/>
      <c r="BG393" s="631"/>
      <c r="BH393" s="631"/>
      <c r="BI393" s="631"/>
      <c r="BJ393" s="631"/>
      <c r="BK393" s="631"/>
      <c r="BL393" s="631"/>
      <c r="BM393" s="631"/>
      <c r="BN393" s="631"/>
      <c r="BO393" s="631"/>
    </row>
    <row r="394" spans="4:67" ht="12.75" customHeight="1">
      <c r="D394" s="533"/>
      <c r="E394" s="533"/>
      <c r="F394" s="533"/>
      <c r="G394" s="533"/>
      <c r="H394" s="533"/>
      <c r="I394" s="533"/>
      <c r="J394" s="533"/>
      <c r="K394" s="533"/>
      <c r="L394" s="533"/>
      <c r="M394" s="533"/>
      <c r="N394" s="533"/>
      <c r="O394" s="533"/>
      <c r="P394" s="533"/>
      <c r="Q394" s="533"/>
      <c r="R394" s="533"/>
      <c r="S394" s="533"/>
      <c r="T394" s="533"/>
      <c r="U394" s="533"/>
      <c r="V394" s="533"/>
      <c r="W394" s="533"/>
      <c r="X394" s="533"/>
      <c r="Y394" s="533"/>
      <c r="Z394" s="533"/>
      <c r="AA394" s="533"/>
      <c r="AB394" s="533"/>
      <c r="AC394" s="533"/>
      <c r="AD394" s="533"/>
      <c r="AE394" s="533"/>
      <c r="AF394" s="533"/>
      <c r="AG394" s="533"/>
      <c r="AH394" s="533"/>
      <c r="AJ394" s="631"/>
      <c r="AK394" s="631"/>
      <c r="AL394" s="631"/>
      <c r="AM394" s="631"/>
      <c r="AN394" s="631"/>
      <c r="AO394" s="631"/>
      <c r="AP394" s="631"/>
      <c r="AQ394" s="631"/>
      <c r="AR394" s="631"/>
      <c r="AS394" s="631"/>
      <c r="AT394" s="631"/>
      <c r="AU394" s="631"/>
      <c r="AV394" s="631"/>
      <c r="AW394" s="631"/>
      <c r="AX394" s="631"/>
      <c r="AY394" s="631"/>
      <c r="AZ394" s="631"/>
      <c r="BA394" s="631"/>
      <c r="BB394" s="631"/>
      <c r="BC394" s="631"/>
      <c r="BD394" s="631"/>
      <c r="BE394" s="631"/>
      <c r="BF394" s="631"/>
      <c r="BG394" s="631"/>
      <c r="BH394" s="631"/>
      <c r="BI394" s="631"/>
      <c r="BJ394" s="631"/>
      <c r="BK394" s="631"/>
      <c r="BL394" s="631"/>
      <c r="BM394" s="631"/>
      <c r="BN394" s="631"/>
      <c r="BO394" s="631"/>
    </row>
    <row r="395" spans="4:67" ht="12.75" customHeight="1">
      <c r="D395" s="533"/>
      <c r="E395" s="533"/>
      <c r="F395" s="533"/>
      <c r="G395" s="533"/>
      <c r="H395" s="533"/>
      <c r="I395" s="533"/>
      <c r="J395" s="533"/>
      <c r="K395" s="533"/>
      <c r="L395" s="533"/>
      <c r="M395" s="533"/>
      <c r="N395" s="533"/>
      <c r="O395" s="533"/>
      <c r="P395" s="533"/>
      <c r="Q395" s="533"/>
      <c r="R395" s="533"/>
      <c r="S395" s="533"/>
      <c r="T395" s="533"/>
      <c r="U395" s="533"/>
      <c r="V395" s="533"/>
      <c r="W395" s="533"/>
      <c r="X395" s="533"/>
      <c r="Y395" s="533"/>
      <c r="Z395" s="533"/>
      <c r="AA395" s="533"/>
      <c r="AB395" s="533"/>
      <c r="AC395" s="533"/>
      <c r="AD395" s="533"/>
      <c r="AE395" s="533"/>
      <c r="AF395" s="533"/>
      <c r="AG395" s="533"/>
      <c r="AH395" s="533"/>
      <c r="AJ395" s="631"/>
      <c r="AK395" s="631"/>
      <c r="AL395" s="631"/>
      <c r="AM395" s="631"/>
      <c r="AN395" s="631"/>
      <c r="AO395" s="631"/>
      <c r="AP395" s="631"/>
      <c r="AQ395" s="631"/>
      <c r="AR395" s="631"/>
      <c r="AS395" s="631"/>
      <c r="AT395" s="631"/>
      <c r="AU395" s="631"/>
      <c r="AV395" s="631"/>
      <c r="AW395" s="631"/>
      <c r="AX395" s="631"/>
      <c r="AY395" s="631"/>
      <c r="AZ395" s="631"/>
      <c r="BA395" s="631"/>
      <c r="BB395" s="631"/>
      <c r="BC395" s="631"/>
      <c r="BD395" s="631"/>
      <c r="BE395" s="631"/>
      <c r="BF395" s="631"/>
      <c r="BG395" s="631"/>
      <c r="BH395" s="631"/>
      <c r="BI395" s="631"/>
      <c r="BJ395" s="631"/>
      <c r="BK395" s="631"/>
      <c r="BL395" s="631"/>
      <c r="BM395" s="631"/>
      <c r="BN395" s="631"/>
      <c r="BO395" s="631"/>
    </row>
    <row r="396" spans="4:67" ht="12.75" customHeight="1">
      <c r="D396" s="533"/>
      <c r="E396" s="533"/>
      <c r="F396" s="533"/>
      <c r="G396" s="533"/>
      <c r="H396" s="533"/>
      <c r="I396" s="533"/>
      <c r="J396" s="533"/>
      <c r="K396" s="533"/>
      <c r="L396" s="533"/>
      <c r="M396" s="533"/>
      <c r="N396" s="533"/>
      <c r="O396" s="533"/>
      <c r="P396" s="533"/>
      <c r="Q396" s="533"/>
      <c r="R396" s="533"/>
      <c r="S396" s="533"/>
      <c r="T396" s="533"/>
      <c r="U396" s="533"/>
      <c r="V396" s="533"/>
      <c r="W396" s="533"/>
      <c r="X396" s="533"/>
      <c r="Y396" s="533"/>
      <c r="Z396" s="533"/>
      <c r="AA396" s="533"/>
      <c r="AB396" s="533"/>
      <c r="AC396" s="533"/>
      <c r="AD396" s="533"/>
      <c r="AE396" s="533"/>
      <c r="AF396" s="533"/>
      <c r="AG396" s="533"/>
      <c r="AH396" s="533"/>
      <c r="AJ396" s="631"/>
      <c r="AK396" s="631"/>
      <c r="AL396" s="631"/>
      <c r="AM396" s="631"/>
      <c r="AN396" s="631"/>
      <c r="AO396" s="631"/>
      <c r="AP396" s="631"/>
      <c r="AQ396" s="631"/>
      <c r="AR396" s="631"/>
      <c r="AS396" s="631"/>
      <c r="AT396" s="631"/>
      <c r="AU396" s="631"/>
      <c r="AV396" s="631"/>
      <c r="AW396" s="631"/>
      <c r="AX396" s="631"/>
      <c r="AY396" s="631"/>
      <c r="AZ396" s="631"/>
      <c r="BA396" s="631"/>
      <c r="BB396" s="631"/>
      <c r="BC396" s="631"/>
      <c r="BD396" s="631"/>
      <c r="BE396" s="631"/>
      <c r="BF396" s="631"/>
      <c r="BG396" s="631"/>
      <c r="BH396" s="631"/>
      <c r="BI396" s="631"/>
      <c r="BJ396" s="631"/>
      <c r="BK396" s="631"/>
      <c r="BL396" s="631"/>
      <c r="BM396" s="631"/>
      <c r="BN396" s="631"/>
      <c r="BO396" s="631"/>
    </row>
    <row r="397" spans="4:67" ht="12.75" customHeight="1">
      <c r="D397" s="533"/>
      <c r="E397" s="533"/>
      <c r="F397" s="533"/>
      <c r="G397" s="533"/>
      <c r="H397" s="533"/>
      <c r="I397" s="533"/>
      <c r="J397" s="533"/>
      <c r="K397" s="533"/>
      <c r="L397" s="533"/>
      <c r="M397" s="533"/>
      <c r="N397" s="533"/>
      <c r="O397" s="533"/>
      <c r="P397" s="533"/>
      <c r="Q397" s="533"/>
      <c r="R397" s="533"/>
      <c r="S397" s="533"/>
      <c r="T397" s="533"/>
      <c r="U397" s="533"/>
      <c r="V397" s="533"/>
      <c r="W397" s="533"/>
      <c r="X397" s="533"/>
      <c r="Y397" s="533"/>
      <c r="Z397" s="533"/>
      <c r="AA397" s="533"/>
      <c r="AB397" s="533"/>
      <c r="AC397" s="533"/>
      <c r="AD397" s="533"/>
      <c r="AE397" s="533"/>
      <c r="AF397" s="533"/>
      <c r="AG397" s="533"/>
      <c r="AH397" s="533"/>
      <c r="AJ397" s="631"/>
      <c r="AK397" s="631"/>
      <c r="AL397" s="631"/>
      <c r="AM397" s="631"/>
      <c r="AN397" s="631"/>
      <c r="AO397" s="631"/>
      <c r="AP397" s="631"/>
      <c r="AQ397" s="631"/>
      <c r="AR397" s="631"/>
      <c r="AS397" s="631"/>
      <c r="AT397" s="631"/>
      <c r="AU397" s="631"/>
      <c r="AV397" s="631"/>
      <c r="AW397" s="631"/>
      <c r="AX397" s="631"/>
      <c r="AY397" s="631"/>
      <c r="AZ397" s="631"/>
      <c r="BA397" s="631"/>
      <c r="BB397" s="631"/>
      <c r="BC397" s="631"/>
      <c r="BD397" s="631"/>
      <c r="BE397" s="631"/>
      <c r="BF397" s="631"/>
      <c r="BG397" s="631"/>
      <c r="BH397" s="631"/>
      <c r="BI397" s="631"/>
      <c r="BJ397" s="631"/>
      <c r="BK397" s="631"/>
      <c r="BL397" s="631"/>
      <c r="BM397" s="631"/>
      <c r="BN397" s="631"/>
      <c r="BO397" s="631"/>
    </row>
    <row r="398" spans="4:67" ht="12.75" customHeight="1">
      <c r="D398" s="533"/>
      <c r="E398" s="533"/>
      <c r="F398" s="533"/>
      <c r="G398" s="533"/>
      <c r="H398" s="533"/>
      <c r="I398" s="533"/>
      <c r="J398" s="533"/>
      <c r="K398" s="533"/>
      <c r="L398" s="533"/>
      <c r="M398" s="533"/>
      <c r="N398" s="533"/>
      <c r="O398" s="533"/>
      <c r="P398" s="533"/>
      <c r="Q398" s="533"/>
      <c r="R398" s="533"/>
      <c r="S398" s="533"/>
      <c r="T398" s="533"/>
      <c r="U398" s="533"/>
      <c r="V398" s="533"/>
      <c r="W398" s="533"/>
      <c r="X398" s="533"/>
      <c r="Y398" s="533"/>
      <c r="Z398" s="533"/>
      <c r="AA398" s="533"/>
      <c r="AB398" s="533"/>
      <c r="AC398" s="533"/>
      <c r="AD398" s="533"/>
      <c r="AE398" s="533"/>
      <c r="AF398" s="533"/>
      <c r="AG398" s="533"/>
      <c r="AH398" s="533"/>
      <c r="AJ398" s="631"/>
      <c r="AK398" s="631"/>
      <c r="AL398" s="631"/>
      <c r="AM398" s="631"/>
      <c r="AN398" s="631"/>
      <c r="AO398" s="631"/>
      <c r="AP398" s="631"/>
      <c r="AQ398" s="631"/>
      <c r="AR398" s="631"/>
      <c r="AS398" s="631"/>
      <c r="AT398" s="631"/>
      <c r="AU398" s="631"/>
      <c r="AV398" s="631"/>
      <c r="AW398" s="631"/>
      <c r="AX398" s="631"/>
      <c r="AY398" s="631"/>
      <c r="AZ398" s="631"/>
      <c r="BA398" s="631"/>
      <c r="BB398" s="631"/>
      <c r="BC398" s="631"/>
      <c r="BD398" s="631"/>
      <c r="BE398" s="631"/>
      <c r="BF398" s="631"/>
      <c r="BG398" s="631"/>
      <c r="BH398" s="631"/>
      <c r="BI398" s="631"/>
      <c r="BJ398" s="631"/>
      <c r="BK398" s="631"/>
      <c r="BL398" s="631"/>
      <c r="BM398" s="631"/>
      <c r="BN398" s="631"/>
      <c r="BO398" s="631"/>
    </row>
    <row r="399" spans="4:67" ht="12.75" customHeight="1">
      <c r="D399" s="533"/>
      <c r="E399" s="533"/>
      <c r="F399" s="533"/>
      <c r="G399" s="533"/>
      <c r="H399" s="533"/>
      <c r="I399" s="533"/>
      <c r="J399" s="533"/>
      <c r="K399" s="533"/>
      <c r="L399" s="533"/>
      <c r="M399" s="533"/>
      <c r="N399" s="533"/>
      <c r="O399" s="533"/>
      <c r="P399" s="533"/>
      <c r="Q399" s="533"/>
      <c r="R399" s="533"/>
      <c r="S399" s="533"/>
      <c r="T399" s="533"/>
      <c r="U399" s="533"/>
      <c r="V399" s="533"/>
      <c r="W399" s="533"/>
      <c r="X399" s="533"/>
      <c r="Y399" s="533"/>
      <c r="Z399" s="533"/>
      <c r="AA399" s="533"/>
      <c r="AB399" s="533"/>
      <c r="AC399" s="533"/>
      <c r="AD399" s="533"/>
      <c r="AE399" s="533"/>
      <c r="AF399" s="533"/>
      <c r="AG399" s="533"/>
      <c r="AH399" s="533"/>
      <c r="AJ399" s="533"/>
      <c r="AK399" s="533"/>
      <c r="AL399" s="533"/>
      <c r="AM399" s="533"/>
      <c r="AN399" s="533"/>
      <c r="AO399" s="533"/>
      <c r="AP399" s="533"/>
      <c r="AQ399" s="533"/>
      <c r="AR399" s="533"/>
      <c r="AS399" s="533"/>
      <c r="AT399" s="533"/>
      <c r="AU399" s="533"/>
      <c r="AV399" s="533"/>
      <c r="AW399" s="533"/>
      <c r="AX399" s="533"/>
      <c r="AY399" s="533"/>
      <c r="AZ399" s="533"/>
      <c r="BA399" s="533"/>
      <c r="BB399" s="533"/>
      <c r="BC399" s="533"/>
      <c r="BD399" s="533"/>
      <c r="BE399" s="533"/>
      <c r="BF399" s="533"/>
      <c r="BG399" s="533"/>
      <c r="BH399" s="533"/>
      <c r="BI399" s="533"/>
      <c r="BJ399" s="533"/>
      <c r="BK399" s="533"/>
      <c r="BL399" s="533"/>
      <c r="BM399" s="533"/>
      <c r="BN399" s="533"/>
      <c r="BO399" s="533"/>
    </row>
    <row r="400" spans="4:67" ht="12.75" customHeight="1">
      <c r="D400" s="533"/>
      <c r="E400" s="533"/>
      <c r="F400" s="533"/>
      <c r="G400" s="533"/>
      <c r="H400" s="533"/>
      <c r="I400" s="533"/>
      <c r="J400" s="533"/>
      <c r="K400" s="533"/>
      <c r="L400" s="533"/>
      <c r="M400" s="533"/>
      <c r="N400" s="533"/>
      <c r="O400" s="533"/>
      <c r="P400" s="533"/>
      <c r="Q400" s="533"/>
      <c r="R400" s="533"/>
      <c r="S400" s="533"/>
      <c r="T400" s="533"/>
      <c r="U400" s="533"/>
      <c r="V400" s="533"/>
      <c r="W400" s="533"/>
      <c r="X400" s="533"/>
      <c r="Y400" s="533"/>
      <c r="Z400" s="533"/>
      <c r="AA400" s="533"/>
      <c r="AB400" s="533"/>
      <c r="AC400" s="533"/>
      <c r="AD400" s="533"/>
      <c r="AE400" s="533"/>
      <c r="AF400" s="533"/>
      <c r="AG400" s="533"/>
      <c r="AH400" s="533"/>
      <c r="AJ400" s="533"/>
      <c r="AK400" s="533"/>
      <c r="AL400" s="533"/>
      <c r="AM400" s="533"/>
      <c r="AN400" s="533"/>
      <c r="AO400" s="533"/>
      <c r="AP400" s="533"/>
      <c r="AQ400" s="533"/>
      <c r="AR400" s="533"/>
      <c r="AS400" s="533"/>
      <c r="AT400" s="533"/>
      <c r="AU400" s="533"/>
      <c r="AV400" s="533"/>
      <c r="AW400" s="533"/>
      <c r="AX400" s="533"/>
      <c r="AY400" s="533"/>
      <c r="AZ400" s="533"/>
      <c r="BA400" s="533"/>
      <c r="BB400" s="533"/>
      <c r="BC400" s="533"/>
      <c r="BD400" s="533"/>
      <c r="BE400" s="533"/>
      <c r="BF400" s="533"/>
      <c r="BG400" s="533"/>
      <c r="BH400" s="533"/>
      <c r="BI400" s="533"/>
      <c r="BJ400" s="533"/>
      <c r="BK400" s="533"/>
      <c r="BL400" s="533"/>
      <c r="BM400" s="533"/>
      <c r="BN400" s="533"/>
      <c r="BO400" s="533"/>
    </row>
    <row r="401" spans="5:67" ht="12.75" customHeight="1">
      <c r="AJ401" s="533"/>
      <c r="AK401" s="533"/>
      <c r="AL401" s="533"/>
      <c r="AM401" s="533"/>
      <c r="AN401" s="533"/>
      <c r="AO401" s="533"/>
      <c r="AP401" s="533"/>
      <c r="AQ401" s="533"/>
      <c r="AR401" s="533"/>
      <c r="AS401" s="533"/>
      <c r="AT401" s="533"/>
      <c r="AU401" s="533"/>
      <c r="AV401" s="533"/>
      <c r="AW401" s="533"/>
      <c r="AX401" s="533"/>
      <c r="AY401" s="533"/>
      <c r="AZ401" s="533"/>
      <c r="BA401" s="533"/>
      <c r="BB401" s="533"/>
      <c r="BC401" s="533"/>
      <c r="BD401" s="533"/>
      <c r="BE401" s="533"/>
      <c r="BF401" s="533"/>
      <c r="BG401" s="533"/>
      <c r="BH401" s="533"/>
      <c r="BI401" s="533"/>
      <c r="BJ401" s="533"/>
      <c r="BK401" s="533"/>
      <c r="BL401" s="533"/>
      <c r="BM401" s="533"/>
      <c r="BN401" s="533"/>
      <c r="BO401" s="533"/>
    </row>
    <row r="402" spans="5:67" ht="12.75" customHeight="1">
      <c r="E402" s="636"/>
      <c r="F402" s="636"/>
      <c r="G402" s="636"/>
      <c r="H402" s="636"/>
      <c r="AJ402" s="533"/>
      <c r="AK402" s="533"/>
      <c r="AL402" s="533"/>
      <c r="AM402" s="533"/>
      <c r="AN402" s="533"/>
      <c r="AO402" s="533"/>
      <c r="AP402" s="533"/>
      <c r="AQ402" s="533"/>
      <c r="AR402" s="533"/>
      <c r="AS402" s="533"/>
      <c r="AT402" s="533"/>
      <c r="AU402" s="533"/>
      <c r="AV402" s="533"/>
      <c r="AW402" s="533"/>
      <c r="AX402" s="533"/>
      <c r="AY402" s="533"/>
      <c r="AZ402" s="533"/>
      <c r="BA402" s="533"/>
      <c r="BB402" s="533"/>
      <c r="BC402" s="533"/>
      <c r="BD402" s="533"/>
      <c r="BE402" s="533"/>
      <c r="BF402" s="533"/>
      <c r="BG402" s="533"/>
      <c r="BH402" s="533"/>
      <c r="BI402" s="533"/>
      <c r="BJ402" s="533"/>
      <c r="BK402" s="533"/>
      <c r="BL402" s="533"/>
      <c r="BM402" s="533"/>
      <c r="BN402" s="533"/>
      <c r="BO402" s="533"/>
    </row>
    <row r="403" spans="5:67" ht="12.75" customHeight="1">
      <c r="E403" s="636"/>
      <c r="F403" s="636"/>
      <c r="G403" s="636"/>
      <c r="H403" s="636"/>
      <c r="AJ403" s="533"/>
      <c r="AK403" s="533"/>
      <c r="AL403" s="533"/>
      <c r="AM403" s="533"/>
      <c r="AN403" s="533"/>
      <c r="AO403" s="533"/>
      <c r="AP403" s="533"/>
      <c r="AQ403" s="533"/>
      <c r="AR403" s="533"/>
      <c r="AS403" s="533"/>
      <c r="AT403" s="533"/>
      <c r="AU403" s="533"/>
      <c r="AV403" s="533"/>
      <c r="AW403" s="533"/>
      <c r="AX403" s="533"/>
      <c r="AY403" s="533"/>
      <c r="AZ403" s="533"/>
      <c r="BA403" s="533"/>
      <c r="BB403" s="533"/>
      <c r="BC403" s="533"/>
      <c r="BD403" s="533"/>
      <c r="BE403" s="533"/>
      <c r="BF403" s="533"/>
      <c r="BG403" s="533"/>
      <c r="BH403" s="533"/>
      <c r="BI403" s="533"/>
      <c r="BJ403" s="533"/>
      <c r="BK403" s="533"/>
      <c r="BL403" s="533"/>
      <c r="BM403" s="533"/>
      <c r="BN403" s="533"/>
      <c r="BO403" s="533"/>
    </row>
    <row r="404" spans="5:67" ht="12.75" customHeight="1">
      <c r="E404" s="636"/>
      <c r="F404" s="636"/>
      <c r="G404" s="636"/>
      <c r="H404" s="636"/>
      <c r="AJ404" s="533"/>
      <c r="AK404" s="533"/>
      <c r="AL404" s="533"/>
      <c r="AM404" s="533"/>
      <c r="AN404" s="533"/>
      <c r="AO404" s="533"/>
      <c r="AP404" s="533"/>
      <c r="AQ404" s="533"/>
      <c r="AR404" s="533"/>
      <c r="AS404" s="533"/>
      <c r="AT404" s="533"/>
      <c r="AU404" s="533"/>
      <c r="AV404" s="533"/>
      <c r="AW404" s="533"/>
      <c r="AX404" s="533"/>
      <c r="AY404" s="533"/>
      <c r="AZ404" s="533"/>
      <c r="BA404" s="533"/>
      <c r="BB404" s="533"/>
      <c r="BC404" s="533"/>
      <c r="BD404" s="533"/>
      <c r="BE404" s="533"/>
      <c r="BF404" s="533"/>
      <c r="BG404" s="533"/>
      <c r="BH404" s="533"/>
      <c r="BI404" s="533"/>
      <c r="BJ404" s="533"/>
      <c r="BK404" s="533"/>
      <c r="BL404" s="533"/>
      <c r="BM404" s="533"/>
      <c r="BN404" s="533"/>
      <c r="BO404" s="533"/>
    </row>
    <row r="405" spans="5:67" ht="12.75" customHeight="1">
      <c r="E405" s="636"/>
      <c r="F405" s="636"/>
      <c r="G405" s="636"/>
      <c r="H405" s="636"/>
      <c r="AJ405" s="533"/>
      <c r="AK405" s="533"/>
      <c r="AL405" s="533"/>
      <c r="AM405" s="533"/>
      <c r="AN405" s="533"/>
      <c r="AO405" s="533"/>
      <c r="AP405" s="533"/>
      <c r="AQ405" s="533"/>
      <c r="AR405" s="533"/>
      <c r="AS405" s="533"/>
      <c r="AT405" s="533"/>
      <c r="AU405" s="533"/>
      <c r="AV405" s="533"/>
      <c r="AW405" s="533"/>
      <c r="AX405" s="533"/>
      <c r="AY405" s="533"/>
      <c r="AZ405" s="533"/>
      <c r="BA405" s="533"/>
      <c r="BB405" s="533"/>
      <c r="BC405" s="533"/>
      <c r="BD405" s="533"/>
      <c r="BE405" s="533"/>
      <c r="BF405" s="533"/>
      <c r="BG405" s="533"/>
      <c r="BH405" s="533"/>
      <c r="BI405" s="533"/>
      <c r="BJ405" s="533"/>
      <c r="BK405" s="533"/>
      <c r="BL405" s="533"/>
      <c r="BM405" s="533"/>
      <c r="BN405" s="533"/>
      <c r="BO405" s="533"/>
    </row>
    <row r="406" spans="5:67" ht="12.75" customHeight="1">
      <c r="E406" s="636"/>
      <c r="F406" s="636"/>
      <c r="G406" s="636"/>
      <c r="H406" s="636"/>
      <c r="AJ406" s="533"/>
      <c r="AK406" s="533"/>
      <c r="AL406" s="533"/>
      <c r="AM406" s="533"/>
      <c r="AN406" s="533"/>
      <c r="AO406" s="533"/>
      <c r="AP406" s="533"/>
      <c r="AQ406" s="533"/>
      <c r="AR406" s="533"/>
      <c r="AS406" s="533"/>
      <c r="AT406" s="533"/>
      <c r="AU406" s="533"/>
      <c r="AV406" s="533"/>
      <c r="AW406" s="533"/>
      <c r="AX406" s="533"/>
      <c r="AY406" s="533"/>
      <c r="AZ406" s="533"/>
      <c r="BA406" s="533"/>
      <c r="BB406" s="533"/>
      <c r="BC406" s="533"/>
      <c r="BD406" s="533"/>
      <c r="BE406" s="533"/>
      <c r="BF406" s="533"/>
      <c r="BG406" s="533"/>
      <c r="BH406" s="533"/>
      <c r="BI406" s="533"/>
      <c r="BJ406" s="533"/>
      <c r="BK406" s="533"/>
      <c r="BL406" s="533"/>
      <c r="BM406" s="533"/>
      <c r="BN406" s="533"/>
      <c r="BO406" s="533"/>
    </row>
    <row r="407" spans="5:67" ht="12.75" customHeight="1">
      <c r="E407" s="636"/>
      <c r="F407" s="636"/>
      <c r="G407" s="636"/>
      <c r="H407" s="636"/>
      <c r="AJ407" s="533"/>
      <c r="AK407" s="533"/>
      <c r="AL407" s="533"/>
      <c r="AM407" s="533"/>
      <c r="AN407" s="533"/>
      <c r="AO407" s="533"/>
      <c r="AP407" s="533"/>
      <c r="AQ407" s="533"/>
      <c r="AR407" s="533"/>
      <c r="AS407" s="533"/>
      <c r="AT407" s="533"/>
      <c r="AU407" s="533"/>
      <c r="AV407" s="533"/>
      <c r="AW407" s="533"/>
      <c r="AX407" s="533"/>
      <c r="AY407" s="533"/>
      <c r="AZ407" s="533"/>
      <c r="BA407" s="533"/>
      <c r="BB407" s="533"/>
      <c r="BC407" s="533"/>
      <c r="BD407" s="533"/>
      <c r="BE407" s="533"/>
      <c r="BF407" s="533"/>
      <c r="BG407" s="533"/>
      <c r="BH407" s="533"/>
      <c r="BI407" s="533"/>
      <c r="BJ407" s="533"/>
      <c r="BK407" s="533"/>
      <c r="BL407" s="533"/>
      <c r="BM407" s="533"/>
      <c r="BN407" s="533"/>
      <c r="BO407" s="533"/>
    </row>
    <row r="408" spans="5:67" ht="12.75" customHeight="1">
      <c r="E408" s="636"/>
      <c r="F408" s="636"/>
      <c r="G408" s="636"/>
      <c r="H408" s="636"/>
      <c r="AJ408" s="533"/>
      <c r="AK408" s="533"/>
      <c r="AL408" s="533"/>
      <c r="AM408" s="533"/>
      <c r="AN408" s="533"/>
      <c r="AO408" s="533"/>
      <c r="AP408" s="533"/>
      <c r="AQ408" s="533"/>
      <c r="AR408" s="533"/>
      <c r="AS408" s="533"/>
      <c r="AT408" s="533"/>
      <c r="AU408" s="533"/>
      <c r="AV408" s="533"/>
      <c r="AW408" s="533"/>
      <c r="AX408" s="533"/>
      <c r="AY408" s="533"/>
      <c r="AZ408" s="533"/>
      <c r="BA408" s="533"/>
      <c r="BB408" s="533"/>
      <c r="BC408" s="533"/>
      <c r="BD408" s="533"/>
      <c r="BE408" s="533"/>
      <c r="BF408" s="533"/>
      <c r="BG408" s="533"/>
      <c r="BH408" s="533"/>
      <c r="BI408" s="533"/>
      <c r="BJ408" s="533"/>
      <c r="BK408" s="533"/>
      <c r="BL408" s="533"/>
      <c r="BM408" s="533"/>
      <c r="BN408" s="533"/>
      <c r="BO408" s="533"/>
    </row>
    <row r="409" spans="5:67" ht="12.75" customHeight="1">
      <c r="E409" s="636"/>
      <c r="F409" s="636"/>
      <c r="G409" s="636"/>
      <c r="H409" s="636"/>
      <c r="AJ409" s="533"/>
      <c r="AK409" s="533"/>
      <c r="AL409" s="533"/>
      <c r="AM409" s="533"/>
      <c r="AN409" s="533"/>
      <c r="AO409" s="533"/>
      <c r="AP409" s="533"/>
      <c r="AQ409" s="533"/>
      <c r="AR409" s="533"/>
      <c r="AS409" s="533"/>
      <c r="AT409" s="533"/>
      <c r="AU409" s="533"/>
      <c r="AV409" s="533"/>
      <c r="AW409" s="533"/>
      <c r="AX409" s="533"/>
      <c r="AY409" s="533"/>
      <c r="AZ409" s="533"/>
      <c r="BA409" s="533"/>
      <c r="BB409" s="533"/>
      <c r="BC409" s="533"/>
      <c r="BD409" s="533"/>
      <c r="BE409" s="533"/>
      <c r="BF409" s="533"/>
      <c r="BG409" s="533"/>
      <c r="BH409" s="533"/>
      <c r="BI409" s="533"/>
      <c r="BJ409" s="533"/>
      <c r="BK409" s="533"/>
      <c r="BL409" s="533"/>
      <c r="BM409" s="533"/>
      <c r="BN409" s="533"/>
      <c r="BO409" s="533"/>
    </row>
    <row r="410" spans="5:67" ht="12.75" customHeight="1">
      <c r="E410" s="636"/>
      <c r="F410" s="636"/>
      <c r="G410" s="636"/>
      <c r="H410" s="636"/>
      <c r="AJ410" s="533"/>
      <c r="AK410" s="533"/>
      <c r="AL410" s="533"/>
      <c r="AM410" s="533"/>
      <c r="AN410" s="533"/>
      <c r="AO410" s="533"/>
      <c r="AP410" s="533"/>
      <c r="AQ410" s="533"/>
      <c r="AR410" s="533"/>
      <c r="AS410" s="533"/>
      <c r="AT410" s="533"/>
      <c r="AU410" s="533"/>
      <c r="AV410" s="533"/>
      <c r="AW410" s="533"/>
      <c r="AX410" s="533"/>
      <c r="AY410" s="533"/>
      <c r="AZ410" s="533"/>
      <c r="BA410" s="533"/>
      <c r="BB410" s="533"/>
      <c r="BC410" s="533"/>
      <c r="BD410" s="533"/>
      <c r="BE410" s="533"/>
      <c r="BF410" s="533"/>
      <c r="BG410" s="533"/>
      <c r="BH410" s="533"/>
      <c r="BI410" s="533"/>
      <c r="BJ410" s="533"/>
      <c r="BK410" s="533"/>
      <c r="BL410" s="533"/>
      <c r="BM410" s="533"/>
      <c r="BN410" s="533"/>
      <c r="BO410" s="533"/>
    </row>
    <row r="411" spans="5:67" ht="12.75" customHeight="1">
      <c r="E411" s="636"/>
      <c r="F411" s="636"/>
      <c r="G411" s="636"/>
      <c r="H411" s="636"/>
      <c r="AJ411" s="533"/>
      <c r="AK411" s="533"/>
      <c r="AL411" s="533"/>
      <c r="AM411" s="533"/>
      <c r="AN411" s="533"/>
      <c r="AO411" s="533"/>
      <c r="AP411" s="533"/>
      <c r="AQ411" s="533"/>
      <c r="AR411" s="533"/>
      <c r="AS411" s="533"/>
      <c r="AT411" s="533"/>
      <c r="AU411" s="533"/>
      <c r="AV411" s="533"/>
      <c r="AW411" s="533"/>
      <c r="AX411" s="533"/>
      <c r="AY411" s="533"/>
      <c r="AZ411" s="533"/>
      <c r="BA411" s="533"/>
      <c r="BB411" s="533"/>
      <c r="BC411" s="533"/>
      <c r="BD411" s="533"/>
      <c r="BE411" s="533"/>
      <c r="BF411" s="533"/>
      <c r="BG411" s="533"/>
      <c r="BH411" s="533"/>
      <c r="BI411" s="533"/>
      <c r="BJ411" s="533"/>
      <c r="BK411" s="533"/>
      <c r="BL411" s="533"/>
      <c r="BM411" s="533"/>
      <c r="BN411" s="533"/>
      <c r="BO411" s="533"/>
    </row>
    <row r="412" spans="5:67" ht="12.75" customHeight="1">
      <c r="E412" s="636"/>
      <c r="F412" s="636"/>
      <c r="G412" s="636"/>
      <c r="H412" s="636"/>
      <c r="AJ412" s="533"/>
      <c r="AK412" s="533"/>
      <c r="AL412" s="533"/>
      <c r="AM412" s="533"/>
      <c r="AN412" s="533"/>
      <c r="AO412" s="533"/>
      <c r="AP412" s="533"/>
      <c r="AQ412" s="533"/>
      <c r="AR412" s="533"/>
      <c r="AS412" s="533"/>
      <c r="AT412" s="533"/>
      <c r="AU412" s="533"/>
      <c r="AV412" s="533"/>
      <c r="AW412" s="533"/>
      <c r="AX412" s="533"/>
      <c r="AY412" s="533"/>
      <c r="AZ412" s="533"/>
      <c r="BA412" s="533"/>
      <c r="BB412" s="533"/>
      <c r="BC412" s="533"/>
      <c r="BD412" s="533"/>
      <c r="BE412" s="533"/>
      <c r="BF412" s="533"/>
      <c r="BG412" s="533"/>
      <c r="BH412" s="533"/>
      <c r="BI412" s="533"/>
      <c r="BJ412" s="533"/>
      <c r="BK412" s="533"/>
      <c r="BL412" s="533"/>
      <c r="BM412" s="533"/>
      <c r="BN412" s="533"/>
      <c r="BO412" s="533"/>
    </row>
    <row r="413" spans="5:67" ht="12.75" customHeight="1">
      <c r="E413" s="636"/>
      <c r="F413" s="636"/>
      <c r="G413" s="636"/>
      <c r="H413" s="636"/>
      <c r="AJ413" s="533"/>
      <c r="AK413" s="533"/>
      <c r="AL413" s="533"/>
      <c r="AM413" s="533"/>
      <c r="AN413" s="533"/>
      <c r="AO413" s="533"/>
      <c r="AP413" s="533"/>
      <c r="AQ413" s="533"/>
      <c r="AR413" s="533"/>
      <c r="AS413" s="533"/>
      <c r="AT413" s="533"/>
      <c r="AU413" s="533"/>
      <c r="AV413" s="533"/>
      <c r="AW413" s="533"/>
      <c r="AX413" s="533"/>
      <c r="AY413" s="533"/>
      <c r="AZ413" s="533"/>
      <c r="BA413" s="533"/>
      <c r="BB413" s="533"/>
      <c r="BC413" s="533"/>
      <c r="BD413" s="533"/>
      <c r="BE413" s="533"/>
      <c r="BF413" s="533"/>
      <c r="BG413" s="533"/>
      <c r="BH413" s="533"/>
      <c r="BI413" s="533"/>
      <c r="BJ413" s="533"/>
      <c r="BK413" s="533"/>
      <c r="BL413" s="533"/>
      <c r="BM413" s="533"/>
      <c r="BN413" s="533"/>
      <c r="BO413" s="533"/>
    </row>
    <row r="414" spans="5:67" ht="12.75" customHeight="1">
      <c r="AJ414" s="533"/>
      <c r="AK414" s="533"/>
      <c r="AL414" s="533"/>
      <c r="AM414" s="533"/>
      <c r="AN414" s="533"/>
      <c r="AO414" s="533"/>
      <c r="AP414" s="533"/>
      <c r="AQ414" s="533"/>
      <c r="AR414" s="533"/>
      <c r="AS414" s="533"/>
      <c r="AT414" s="533"/>
      <c r="AU414" s="533"/>
      <c r="AV414" s="533"/>
      <c r="AW414" s="533"/>
      <c r="AX414" s="533"/>
      <c r="AY414" s="533"/>
      <c r="AZ414" s="533"/>
      <c r="BA414" s="533"/>
      <c r="BB414" s="533"/>
      <c r="BC414" s="533"/>
      <c r="BD414" s="533"/>
      <c r="BE414" s="533"/>
      <c r="BF414" s="533"/>
      <c r="BG414" s="533"/>
      <c r="BH414" s="533"/>
      <c r="BI414" s="533"/>
      <c r="BJ414" s="533"/>
      <c r="BK414" s="533"/>
      <c r="BL414" s="533"/>
      <c r="BM414" s="533"/>
      <c r="BN414" s="533"/>
      <c r="BO414" s="533"/>
    </row>
    <row r="415" spans="5:67" ht="12.75" customHeight="1">
      <c r="AJ415" s="533"/>
      <c r="AK415" s="533"/>
      <c r="AL415" s="533"/>
      <c r="AM415" s="533"/>
      <c r="AN415" s="533"/>
      <c r="AO415" s="533"/>
      <c r="AP415" s="533"/>
      <c r="AQ415" s="533"/>
      <c r="AR415" s="533"/>
      <c r="AS415" s="533"/>
      <c r="AT415" s="533"/>
      <c r="AU415" s="533"/>
      <c r="AV415" s="533"/>
      <c r="AW415" s="533"/>
      <c r="AX415" s="533"/>
      <c r="AY415" s="533"/>
      <c r="AZ415" s="533"/>
      <c r="BA415" s="533"/>
      <c r="BB415" s="533"/>
      <c r="BC415" s="533"/>
      <c r="BD415" s="533"/>
      <c r="BE415" s="533"/>
      <c r="BF415" s="533"/>
      <c r="BG415" s="533"/>
      <c r="BH415" s="533"/>
      <c r="BI415" s="533"/>
      <c r="BJ415" s="533"/>
      <c r="BK415" s="533"/>
      <c r="BL415" s="533"/>
      <c r="BM415" s="533"/>
      <c r="BN415" s="533"/>
      <c r="BO415" s="533"/>
    </row>
    <row r="416" spans="5:67" ht="12.75" customHeight="1">
      <c r="AJ416" s="533"/>
      <c r="AK416" s="533"/>
      <c r="AL416" s="533"/>
      <c r="AM416" s="533"/>
      <c r="AN416" s="533"/>
      <c r="AO416" s="533"/>
      <c r="AP416" s="533"/>
      <c r="AQ416" s="533"/>
      <c r="AR416" s="533"/>
      <c r="AS416" s="533"/>
      <c r="AT416" s="533"/>
      <c r="AU416" s="533"/>
      <c r="AV416" s="533"/>
      <c r="AW416" s="533"/>
      <c r="AX416" s="533"/>
      <c r="AY416" s="533"/>
      <c r="AZ416" s="533"/>
      <c r="BA416" s="533"/>
      <c r="BB416" s="533"/>
      <c r="BC416" s="533"/>
      <c r="BD416" s="533"/>
      <c r="BE416" s="533"/>
      <c r="BF416" s="533"/>
      <c r="BG416" s="533"/>
      <c r="BH416" s="533"/>
      <c r="BI416" s="533"/>
      <c r="BJ416" s="533"/>
      <c r="BK416" s="533"/>
      <c r="BL416" s="533"/>
      <c r="BM416" s="533"/>
      <c r="BN416" s="533"/>
      <c r="BO416" s="533"/>
    </row>
    <row r="417" spans="1:67" ht="12.75" customHeight="1">
      <c r="AJ417" s="533"/>
      <c r="AK417" s="533"/>
      <c r="AL417" s="533"/>
      <c r="AM417" s="533"/>
      <c r="AN417" s="533"/>
      <c r="AO417" s="533"/>
      <c r="AP417" s="533"/>
      <c r="AQ417" s="533"/>
      <c r="AR417" s="533"/>
      <c r="AS417" s="533"/>
      <c r="AT417" s="533"/>
      <c r="AU417" s="533"/>
      <c r="AV417" s="533"/>
      <c r="AW417" s="533"/>
      <c r="AX417" s="533"/>
      <c r="AY417" s="533"/>
      <c r="AZ417" s="533"/>
      <c r="BA417" s="533"/>
      <c r="BB417" s="533"/>
      <c r="BC417" s="533"/>
      <c r="BD417" s="533"/>
      <c r="BE417" s="533"/>
      <c r="BF417" s="533"/>
      <c r="BG417" s="533"/>
      <c r="BH417" s="533"/>
      <c r="BI417" s="533"/>
      <c r="BJ417" s="533"/>
      <c r="BK417" s="533"/>
      <c r="BL417" s="533"/>
      <c r="BM417" s="533"/>
      <c r="BN417" s="533"/>
      <c r="BO417" s="533"/>
    </row>
    <row r="418" spans="1:67" ht="12.75" customHeight="1">
      <c r="AJ418" s="533"/>
      <c r="AK418" s="533"/>
      <c r="AL418" s="533"/>
      <c r="AM418" s="533"/>
      <c r="AN418" s="533"/>
      <c r="AO418" s="533"/>
      <c r="AP418" s="533"/>
      <c r="AQ418" s="533"/>
      <c r="AR418" s="533"/>
      <c r="AS418" s="533"/>
      <c r="AT418" s="533"/>
      <c r="AU418" s="533"/>
      <c r="AV418" s="533"/>
      <c r="AW418" s="533"/>
      <c r="AX418" s="533"/>
      <c r="AY418" s="533"/>
      <c r="AZ418" s="533"/>
      <c r="BA418" s="533"/>
      <c r="BB418" s="533"/>
      <c r="BC418" s="533"/>
      <c r="BD418" s="533"/>
      <c r="BE418" s="533"/>
      <c r="BF418" s="533"/>
      <c r="BG418" s="533"/>
      <c r="BH418" s="533"/>
      <c r="BI418" s="533"/>
      <c r="BJ418" s="533"/>
      <c r="BK418" s="533"/>
      <c r="BL418" s="533"/>
      <c r="BM418" s="533"/>
      <c r="BN418" s="533"/>
      <c r="BO418" s="533"/>
    </row>
    <row r="419" spans="1:67" ht="12.75" customHeight="1">
      <c r="AJ419" s="533"/>
      <c r="AK419" s="533"/>
      <c r="AL419" s="533"/>
      <c r="AM419" s="533"/>
      <c r="AN419" s="533"/>
      <c r="AO419" s="533"/>
      <c r="AP419" s="533"/>
      <c r="AQ419" s="533"/>
      <c r="AR419" s="533"/>
      <c r="AS419" s="533"/>
      <c r="AT419" s="533"/>
      <c r="AU419" s="533"/>
      <c r="AV419" s="533"/>
      <c r="AW419" s="533"/>
      <c r="AX419" s="533"/>
      <c r="AY419" s="533"/>
      <c r="AZ419" s="533"/>
      <c r="BA419" s="533"/>
      <c r="BB419" s="533"/>
      <c r="BC419" s="533"/>
      <c r="BD419" s="533"/>
      <c r="BE419" s="533"/>
      <c r="BF419" s="533"/>
      <c r="BG419" s="533"/>
      <c r="BH419" s="533"/>
      <c r="BI419" s="533"/>
      <c r="BJ419" s="533"/>
      <c r="BK419" s="533"/>
      <c r="BL419" s="533"/>
      <c r="BM419" s="533"/>
      <c r="BN419" s="533"/>
      <c r="BO419" s="533"/>
    </row>
    <row r="420" spans="1:67" ht="12.75" customHeight="1">
      <c r="AJ420" s="533"/>
      <c r="AK420" s="533"/>
      <c r="AL420" s="533"/>
      <c r="AM420" s="533"/>
      <c r="AN420" s="533"/>
      <c r="AO420" s="533"/>
      <c r="AP420" s="533"/>
      <c r="AQ420" s="533"/>
      <c r="AR420" s="533"/>
      <c r="AS420" s="533"/>
      <c r="AT420" s="533"/>
      <c r="AU420" s="533"/>
      <c r="AV420" s="533"/>
      <c r="AW420" s="533"/>
      <c r="AX420" s="533"/>
      <c r="AY420" s="533"/>
      <c r="AZ420" s="533"/>
      <c r="BA420" s="533"/>
      <c r="BB420" s="533"/>
      <c r="BC420" s="533"/>
      <c r="BD420" s="533"/>
      <c r="BE420" s="533"/>
      <c r="BF420" s="533"/>
      <c r="BG420" s="533"/>
      <c r="BH420" s="533"/>
      <c r="BI420" s="533"/>
      <c r="BJ420" s="533"/>
      <c r="BK420" s="533"/>
      <c r="BL420" s="533"/>
      <c r="BM420" s="533"/>
      <c r="BN420" s="533"/>
      <c r="BO420" s="533"/>
    </row>
    <row r="421" spans="1:67" ht="12.75" customHeight="1">
      <c r="AJ421" s="533"/>
      <c r="AK421" s="533"/>
      <c r="AL421" s="533"/>
      <c r="AM421" s="533"/>
      <c r="AN421" s="533"/>
      <c r="AO421" s="533"/>
      <c r="AP421" s="533"/>
      <c r="AQ421" s="533"/>
      <c r="AR421" s="533"/>
      <c r="AS421" s="533"/>
      <c r="AT421" s="533"/>
      <c r="AU421" s="533"/>
      <c r="AV421" s="533"/>
      <c r="AW421" s="533"/>
      <c r="AX421" s="533"/>
      <c r="AY421" s="533"/>
      <c r="AZ421" s="533"/>
      <c r="BA421" s="533"/>
      <c r="BB421" s="533"/>
      <c r="BC421" s="533"/>
      <c r="BD421" s="533"/>
      <c r="BE421" s="533"/>
      <c r="BF421" s="533"/>
      <c r="BG421" s="533"/>
      <c r="BH421" s="533"/>
      <c r="BI421" s="533"/>
      <c r="BJ421" s="533"/>
      <c r="BK421" s="533"/>
      <c r="BL421" s="533"/>
      <c r="BM421" s="533"/>
      <c r="BN421" s="533"/>
      <c r="BO421" s="533"/>
    </row>
    <row r="422" spans="1:67" ht="12.75" customHeight="1">
      <c r="A422" s="344"/>
      <c r="B422" s="344"/>
      <c r="C422" s="344"/>
      <c r="D422" s="344"/>
      <c r="E422" s="344"/>
      <c r="F422" s="344"/>
      <c r="G422" s="344"/>
      <c r="H422" s="344"/>
      <c r="I422" s="344"/>
      <c r="J422" s="344"/>
      <c r="K422" s="344"/>
      <c r="L422" s="344"/>
      <c r="M422" s="344"/>
      <c r="N422" s="344"/>
      <c r="O422" s="344"/>
      <c r="P422" s="344"/>
      <c r="Q422" s="344"/>
      <c r="R422" s="344"/>
      <c r="S422" s="344"/>
      <c r="T422" s="344"/>
      <c r="U422" s="344"/>
      <c r="V422" s="344"/>
      <c r="W422" s="344"/>
      <c r="X422" s="344"/>
      <c r="Y422" s="344"/>
      <c r="Z422" s="344"/>
      <c r="AA422" s="344"/>
      <c r="AB422" s="344"/>
      <c r="AC422" s="344"/>
      <c r="AD422" s="344"/>
      <c r="AE422" s="344"/>
      <c r="AF422" s="344"/>
      <c r="AG422" s="344"/>
      <c r="AH422" s="344"/>
      <c r="AI422" s="344"/>
      <c r="AJ422" s="542"/>
      <c r="AK422" s="542"/>
      <c r="AL422" s="533"/>
      <c r="AM422" s="533"/>
      <c r="AN422" s="533"/>
      <c r="AO422" s="533"/>
      <c r="AP422" s="533"/>
      <c r="AQ422" s="533"/>
      <c r="AR422" s="533"/>
      <c r="AS422" s="533"/>
      <c r="AT422" s="533"/>
      <c r="AU422" s="533"/>
      <c r="AV422" s="533"/>
      <c r="AW422" s="533"/>
      <c r="AX422" s="533"/>
      <c r="AY422" s="533"/>
      <c r="AZ422" s="533"/>
      <c r="BA422" s="533"/>
      <c r="BB422" s="533"/>
      <c r="BC422" s="533"/>
      <c r="BD422" s="533"/>
      <c r="BE422" s="533"/>
      <c r="BF422" s="533"/>
      <c r="BG422" s="533"/>
      <c r="BH422" s="533"/>
      <c r="BI422" s="533"/>
      <c r="BJ422" s="533"/>
      <c r="BK422" s="533"/>
      <c r="BL422" s="533"/>
      <c r="BM422" s="533"/>
      <c r="BN422" s="533"/>
      <c r="BO422" s="533"/>
    </row>
    <row r="423" spans="1:67" ht="12.75" customHeight="1">
      <c r="A423" s="344"/>
      <c r="B423" s="344"/>
      <c r="C423" s="344"/>
      <c r="D423" s="344"/>
      <c r="E423" s="344"/>
      <c r="F423" s="344"/>
      <c r="G423" s="344"/>
      <c r="H423" s="344"/>
      <c r="I423" s="344"/>
      <c r="J423" s="344"/>
      <c r="K423" s="344"/>
      <c r="L423" s="344"/>
      <c r="M423" s="344"/>
      <c r="N423" s="344"/>
      <c r="O423" s="344"/>
      <c r="P423" s="344"/>
      <c r="Q423" s="344"/>
      <c r="R423" s="344"/>
      <c r="S423" s="344"/>
      <c r="T423" s="344"/>
      <c r="U423" s="344"/>
      <c r="V423" s="344"/>
      <c r="W423" s="344"/>
      <c r="X423" s="344"/>
      <c r="Y423" s="344"/>
      <c r="Z423" s="344"/>
      <c r="AA423" s="344"/>
      <c r="AB423" s="344"/>
      <c r="AC423" s="344"/>
      <c r="AD423" s="344"/>
      <c r="AE423" s="344"/>
      <c r="AF423" s="344"/>
      <c r="AG423" s="344"/>
      <c r="AH423" s="344"/>
      <c r="AI423" s="344"/>
      <c r="AJ423" s="475"/>
      <c r="AK423" s="344"/>
    </row>
    <row r="424" spans="1:67" s="344" customFormat="1" ht="12.75" customHeight="1">
      <c r="B424" s="538"/>
      <c r="C424" s="538"/>
      <c r="D424" s="538"/>
      <c r="E424" s="538"/>
      <c r="F424" s="538"/>
      <c r="G424" s="538"/>
      <c r="H424" s="538"/>
      <c r="I424" s="538"/>
      <c r="J424" s="538"/>
      <c r="K424" s="538"/>
      <c r="L424" s="538"/>
      <c r="M424" s="538"/>
      <c r="N424" s="538"/>
      <c r="O424" s="538"/>
      <c r="P424" s="538"/>
      <c r="Q424" s="538"/>
      <c r="R424" s="538"/>
      <c r="S424" s="538"/>
      <c r="T424" s="538"/>
      <c r="U424" s="538"/>
      <c r="V424" s="538"/>
      <c r="AI424" s="339"/>
      <c r="AJ424" s="340"/>
      <c r="AK424" s="532"/>
    </row>
    <row r="425" spans="1:67" ht="12.75" customHeight="1">
      <c r="A425" s="344"/>
      <c r="B425" s="538"/>
      <c r="C425" s="538"/>
      <c r="D425" s="543"/>
      <c r="E425" s="538"/>
      <c r="F425" s="538"/>
      <c r="G425" s="543"/>
      <c r="H425" s="538"/>
      <c r="I425" s="538"/>
      <c r="J425" s="543"/>
      <c r="K425" s="543"/>
      <c r="L425" s="538"/>
      <c r="M425" s="543"/>
      <c r="N425" s="543"/>
      <c r="O425" s="543"/>
      <c r="P425" s="538"/>
      <c r="Q425" s="538"/>
      <c r="R425" s="543"/>
      <c r="S425" s="538"/>
      <c r="T425" s="538"/>
      <c r="U425" s="543"/>
      <c r="V425" s="543"/>
      <c r="W425" s="344"/>
      <c r="X425" s="344"/>
      <c r="Y425" s="344"/>
      <c r="Z425" s="344"/>
      <c r="AA425" s="344"/>
      <c r="AB425" s="344"/>
      <c r="AC425" s="344"/>
      <c r="AD425" s="344"/>
      <c r="AE425" s="344"/>
      <c r="AF425" s="344"/>
      <c r="AG425" s="344"/>
      <c r="AH425" s="344"/>
      <c r="AI425" s="339"/>
      <c r="AJ425" s="340"/>
      <c r="AK425" s="532"/>
    </row>
    <row r="426" spans="1:67" ht="12.75" customHeight="1">
      <c r="A426" s="344"/>
      <c r="B426" s="543"/>
      <c r="C426" s="543"/>
      <c r="D426" s="538"/>
      <c r="E426" s="538"/>
      <c r="F426" s="538"/>
      <c r="G426" s="543"/>
      <c r="H426" s="538"/>
      <c r="I426" s="543"/>
      <c r="J426" s="538"/>
      <c r="K426" s="543"/>
      <c r="L426" s="538"/>
      <c r="M426" s="543"/>
      <c r="N426" s="543"/>
      <c r="O426" s="543"/>
      <c r="P426" s="538"/>
      <c r="Q426" s="543"/>
      <c r="R426" s="543"/>
      <c r="S426" s="538"/>
      <c r="T426" s="543"/>
      <c r="U426" s="543"/>
      <c r="V426" s="543"/>
      <c r="W426" s="344"/>
      <c r="X426" s="344"/>
      <c r="Y426" s="344"/>
      <c r="Z426" s="344"/>
      <c r="AA426" s="344"/>
      <c r="AB426" s="344"/>
      <c r="AC426" s="344"/>
      <c r="AD426" s="344"/>
      <c r="AE426" s="344"/>
      <c r="AF426" s="344"/>
      <c r="AG426" s="344"/>
      <c r="AH426" s="344"/>
      <c r="AI426" s="339"/>
      <c r="AJ426" s="340"/>
      <c r="AK426" s="532"/>
    </row>
    <row r="427" spans="1:67" ht="12.75" customHeight="1">
      <c r="A427" s="344"/>
      <c r="B427" s="543"/>
      <c r="C427" s="543"/>
      <c r="D427" s="543"/>
      <c r="E427" s="538"/>
      <c r="F427" s="538"/>
      <c r="G427" s="543"/>
      <c r="H427" s="538"/>
      <c r="I427" s="543"/>
      <c r="J427" s="538"/>
      <c r="K427" s="543"/>
      <c r="L427" s="538"/>
      <c r="M427" s="543"/>
      <c r="N427" s="543"/>
      <c r="O427" s="543"/>
      <c r="P427" s="538"/>
      <c r="Q427" s="543"/>
      <c r="R427" s="543"/>
      <c r="S427" s="538"/>
      <c r="T427" s="538"/>
      <c r="U427" s="543"/>
      <c r="V427" s="543"/>
      <c r="W427" s="344"/>
      <c r="X427" s="344"/>
      <c r="Y427" s="344"/>
      <c r="Z427" s="344"/>
      <c r="AA427" s="344"/>
      <c r="AB427" s="344"/>
      <c r="AC427" s="344"/>
      <c r="AD427" s="344"/>
      <c r="AE427" s="344"/>
      <c r="AF427" s="344"/>
      <c r="AG427" s="344"/>
      <c r="AH427" s="344"/>
      <c r="AI427" s="339"/>
      <c r="AJ427" s="340"/>
      <c r="AK427" s="532"/>
    </row>
    <row r="428" spans="1:67" ht="12.75" customHeight="1">
      <c r="A428" s="344"/>
      <c r="B428" s="543"/>
      <c r="C428" s="543"/>
      <c r="D428" s="543"/>
      <c r="E428" s="538" t="s">
        <v>100</v>
      </c>
      <c r="F428" s="538" t="s">
        <v>100</v>
      </c>
      <c r="G428" s="538"/>
      <c r="H428" s="538" t="s">
        <v>100</v>
      </c>
      <c r="I428" s="538" t="s">
        <v>100</v>
      </c>
      <c r="J428" s="538" t="s">
        <v>100</v>
      </c>
      <c r="K428" s="538" t="s">
        <v>100</v>
      </c>
      <c r="L428" s="538" t="s">
        <v>100</v>
      </c>
      <c r="M428" s="543"/>
      <c r="N428" s="538"/>
      <c r="O428" s="543"/>
      <c r="P428" s="538" t="s">
        <v>100</v>
      </c>
      <c r="Q428" s="543"/>
      <c r="R428" s="543"/>
      <c r="S428" s="538" t="s">
        <v>100</v>
      </c>
      <c r="T428" s="543"/>
      <c r="U428" s="543"/>
      <c r="V428" s="538"/>
      <c r="W428" s="344"/>
      <c r="X428" s="344"/>
      <c r="Y428" s="344"/>
      <c r="Z428" s="344"/>
      <c r="AA428" s="344"/>
      <c r="AB428" s="344"/>
      <c r="AC428" s="344"/>
      <c r="AD428" s="344"/>
      <c r="AE428" s="344"/>
      <c r="AF428" s="344"/>
      <c r="AG428" s="344"/>
      <c r="AH428" s="344"/>
      <c r="AI428" s="339">
        <f t="shared" ref="AI428" si="93">COUNTIF(B428:AH428,"x")</f>
        <v>9</v>
      </c>
      <c r="AJ428" s="530" t="s">
        <v>392</v>
      </c>
      <c r="AK428" s="341">
        <v>43116</v>
      </c>
    </row>
    <row r="429" spans="1:67" ht="12.75" customHeight="1">
      <c r="A429" s="344"/>
      <c r="B429" s="344"/>
      <c r="C429" s="344"/>
      <c r="D429" s="344"/>
      <c r="E429" s="344"/>
      <c r="F429" s="344"/>
      <c r="G429" s="344"/>
      <c r="H429" s="344"/>
      <c r="I429" s="344"/>
      <c r="J429" s="344"/>
      <c r="K429" s="344"/>
      <c r="L429" s="344"/>
      <c r="M429" s="344"/>
      <c r="N429" s="344"/>
      <c r="O429" s="344"/>
      <c r="P429" s="344"/>
      <c r="Q429" s="344"/>
      <c r="R429" s="344"/>
      <c r="S429" s="344"/>
      <c r="T429" s="344"/>
      <c r="U429" s="344"/>
      <c r="V429" s="344"/>
      <c r="W429" s="344"/>
      <c r="X429" s="344"/>
      <c r="Y429" s="344"/>
      <c r="Z429" s="344"/>
      <c r="AA429" s="344"/>
      <c r="AB429" s="344"/>
      <c r="AC429" s="344"/>
      <c r="AD429" s="344"/>
      <c r="AE429" s="344"/>
      <c r="AF429" s="344"/>
      <c r="AG429" s="344"/>
      <c r="AH429" s="344"/>
      <c r="AI429" s="344"/>
      <c r="AJ429" s="475"/>
      <c r="AK429" s="344"/>
    </row>
    <row r="430" spans="1:67" ht="12.75" customHeight="1">
      <c r="A430" s="344"/>
      <c r="B430" s="344"/>
      <c r="C430" s="344"/>
      <c r="D430" s="344"/>
      <c r="E430" s="344"/>
      <c r="F430" s="344"/>
      <c r="G430" s="344"/>
      <c r="H430" s="344"/>
      <c r="I430" s="344"/>
      <c r="J430" s="344"/>
      <c r="K430" s="344"/>
      <c r="L430" s="344"/>
      <c r="M430" s="344"/>
      <c r="N430" s="344"/>
      <c r="O430" s="344"/>
      <c r="P430" s="344"/>
      <c r="Q430" s="344"/>
      <c r="R430" s="344"/>
      <c r="S430" s="344"/>
      <c r="T430" s="344"/>
      <c r="U430" s="344"/>
      <c r="V430" s="344"/>
      <c r="W430" s="344"/>
      <c r="X430" s="344"/>
      <c r="Y430" s="344"/>
      <c r="Z430" s="344"/>
      <c r="AA430" s="344"/>
      <c r="AB430" s="344"/>
      <c r="AC430" s="344"/>
      <c r="AD430" s="344"/>
      <c r="AE430" s="344"/>
      <c r="AF430" s="344"/>
      <c r="AG430" s="344"/>
      <c r="AH430" s="344"/>
      <c r="AI430" s="344"/>
      <c r="AJ430" s="475"/>
      <c r="AK430" s="344"/>
    </row>
    <row r="515" spans="3:38" ht="12.75" customHeight="1">
      <c r="C515" s="519" t="s">
        <v>100</v>
      </c>
      <c r="D515" s="519" t="s">
        <v>100</v>
      </c>
      <c r="E515" s="182"/>
      <c r="F515" s="519" t="s">
        <v>100</v>
      </c>
      <c r="G515" s="519" t="s">
        <v>100</v>
      </c>
      <c r="H515" s="519"/>
      <c r="I515" s="519" t="s">
        <v>100</v>
      </c>
      <c r="J515" s="519"/>
      <c r="K515" s="519"/>
      <c r="L515" s="519" t="s">
        <v>100</v>
      </c>
      <c r="M515" s="522" t="s">
        <v>100</v>
      </c>
      <c r="N515" s="519"/>
      <c r="O515" s="519"/>
      <c r="P515" s="519"/>
      <c r="Q515" s="519"/>
      <c r="R515" s="519" t="s">
        <v>100</v>
      </c>
      <c r="S515" s="519" t="s">
        <v>100</v>
      </c>
      <c r="T515" s="519" t="s">
        <v>100</v>
      </c>
      <c r="U515" s="519"/>
      <c r="V515" s="519"/>
      <c r="W515" s="519"/>
      <c r="X515" s="182"/>
      <c r="Y515" s="182"/>
      <c r="Z515" s="182"/>
      <c r="AA515" s="182"/>
      <c r="AB515" s="182"/>
      <c r="AC515" s="182"/>
      <c r="AD515" s="182"/>
      <c r="AE515" s="182"/>
      <c r="AF515" s="182"/>
      <c r="AG515" s="182"/>
      <c r="AH515" s="182"/>
      <c r="AI515" s="182"/>
      <c r="AJ515" s="167">
        <f t="shared" ref="AJ515" si="94">COUNTIF(C515:AI515,"x")</f>
        <v>10</v>
      </c>
      <c r="AK515" s="340"/>
      <c r="AL515" s="341">
        <v>43122</v>
      </c>
    </row>
    <row r="687" spans="2:20" ht="12.75" customHeight="1">
      <c r="B687" s="511"/>
      <c r="C687" s="511"/>
      <c r="E687" s="511"/>
      <c r="F687" s="511"/>
      <c r="G687" s="511"/>
      <c r="H687" s="511"/>
      <c r="I687" s="511"/>
      <c r="J687" s="511"/>
      <c r="K687" s="511"/>
      <c r="L687" s="511"/>
      <c r="M687" s="511"/>
      <c r="N687" s="511"/>
      <c r="O687" s="511"/>
      <c r="P687" s="511"/>
      <c r="Q687" s="511"/>
      <c r="R687" s="511"/>
      <c r="S687" s="511"/>
      <c r="T687" s="511"/>
    </row>
    <row r="688" spans="2:20" ht="12.75" customHeight="1">
      <c r="B688" s="511"/>
      <c r="C688" s="511"/>
      <c r="E688" s="511"/>
      <c r="F688" s="511"/>
      <c r="G688" s="511"/>
      <c r="H688" s="511"/>
      <c r="I688" s="511"/>
      <c r="J688" s="511"/>
      <c r="K688" s="511"/>
      <c r="L688" s="511"/>
      <c r="M688" s="511"/>
      <c r="N688" s="511"/>
      <c r="O688" s="511"/>
      <c r="P688" s="511"/>
      <c r="Q688" s="511"/>
      <c r="R688" s="511"/>
      <c r="S688" s="511"/>
      <c r="T688" s="511"/>
    </row>
    <row r="689" spans="2:20" ht="12.75" customHeight="1">
      <c r="B689" s="511"/>
      <c r="C689" s="511"/>
      <c r="E689" s="511"/>
      <c r="F689" s="511"/>
      <c r="G689" s="511"/>
      <c r="H689" s="511"/>
      <c r="I689" s="511"/>
      <c r="J689" s="511"/>
      <c r="K689" s="511"/>
      <c r="L689" s="511"/>
      <c r="M689" s="511"/>
      <c r="N689" s="511"/>
      <c r="O689" s="511"/>
      <c r="P689" s="511"/>
      <c r="Q689" s="511"/>
      <c r="R689" s="511"/>
      <c r="S689" s="511"/>
      <c r="T689" s="511"/>
    </row>
    <row r="690" spans="2:20" ht="12.75" customHeight="1">
      <c r="B690" s="511"/>
      <c r="C690" s="511"/>
      <c r="E690" s="511"/>
      <c r="F690" s="511"/>
      <c r="G690" s="511"/>
      <c r="H690" s="511"/>
      <c r="I690" s="511"/>
      <c r="J690" s="511"/>
      <c r="K690" s="511"/>
      <c r="L690" s="511"/>
      <c r="M690" s="511"/>
      <c r="N690" s="511"/>
      <c r="O690" s="511"/>
      <c r="P690" s="511"/>
      <c r="Q690" s="511"/>
      <c r="R690" s="511"/>
      <c r="S690" s="511"/>
      <c r="T690" s="511"/>
    </row>
    <row r="691" spans="2:20" ht="12.75" customHeight="1">
      <c r="B691" s="511"/>
      <c r="C691" s="511"/>
      <c r="E691" s="511"/>
      <c r="F691" s="511"/>
      <c r="G691" s="511"/>
      <c r="H691" s="511"/>
      <c r="I691" s="511"/>
      <c r="J691" s="511"/>
      <c r="K691" s="511"/>
      <c r="L691" s="511"/>
      <c r="M691" s="511"/>
      <c r="N691" s="511"/>
      <c r="O691" s="511"/>
      <c r="P691" s="511"/>
      <c r="Q691" s="511"/>
      <c r="R691" s="511"/>
      <c r="S691" s="511"/>
      <c r="T691" s="511"/>
    </row>
    <row r="692" spans="2:20" ht="12.75" customHeight="1">
      <c r="B692" s="511"/>
      <c r="C692" s="511"/>
      <c r="E692" s="511"/>
      <c r="F692" s="511"/>
      <c r="G692" s="511"/>
      <c r="H692" s="511"/>
      <c r="I692" s="511"/>
      <c r="J692" s="511"/>
      <c r="K692" s="511"/>
      <c r="L692" s="511"/>
      <c r="M692" s="511"/>
      <c r="N692" s="511"/>
      <c r="O692" s="511"/>
      <c r="P692" s="511"/>
      <c r="Q692" s="511"/>
      <c r="R692" s="511"/>
      <c r="S692" s="511"/>
      <c r="T692" s="511"/>
    </row>
    <row r="693" spans="2:20" ht="12.75" customHeight="1">
      <c r="B693" s="511"/>
      <c r="C693" s="511"/>
      <c r="E693" s="511"/>
      <c r="F693" s="511"/>
      <c r="G693" s="511"/>
      <c r="H693" s="511"/>
      <c r="I693" s="511"/>
      <c r="J693" s="511"/>
      <c r="K693" s="511"/>
      <c r="L693" s="511"/>
      <c r="M693" s="511"/>
      <c r="N693" s="511"/>
      <c r="O693" s="511"/>
      <c r="P693" s="511"/>
      <c r="Q693" s="511"/>
      <c r="R693" s="511"/>
      <c r="S693" s="511"/>
      <c r="T693" s="511"/>
    </row>
    <row r="694" spans="2:20" ht="12.75" customHeight="1">
      <c r="B694" s="511"/>
      <c r="C694" s="511"/>
      <c r="E694" s="511"/>
      <c r="F694" s="511"/>
      <c r="G694" s="511"/>
      <c r="H694" s="511"/>
      <c r="I694" s="511"/>
      <c r="J694" s="511"/>
      <c r="K694" s="511"/>
      <c r="L694" s="511"/>
      <c r="M694" s="511"/>
      <c r="N694" s="511"/>
      <c r="O694" s="511"/>
      <c r="P694" s="511"/>
      <c r="Q694" s="511"/>
      <c r="R694" s="511"/>
      <c r="S694" s="511"/>
      <c r="T694" s="511"/>
    </row>
    <row r="695" spans="2:20" ht="12.75" customHeight="1">
      <c r="B695" s="511"/>
      <c r="C695" s="511"/>
      <c r="E695" s="511"/>
      <c r="F695" s="511"/>
      <c r="G695" s="511"/>
      <c r="H695" s="511"/>
      <c r="I695" s="511"/>
      <c r="J695" s="511"/>
      <c r="K695" s="511"/>
      <c r="L695" s="511"/>
      <c r="M695" s="511"/>
      <c r="N695" s="511"/>
      <c r="O695" s="511"/>
      <c r="P695" s="511"/>
      <c r="Q695" s="511"/>
      <c r="R695" s="511"/>
      <c r="S695" s="511"/>
      <c r="T695" s="511"/>
    </row>
    <row r="696" spans="2:20" ht="12.75" customHeight="1">
      <c r="B696" s="511"/>
      <c r="C696" s="511"/>
      <c r="E696" s="511"/>
      <c r="F696" s="511"/>
      <c r="G696" s="511"/>
      <c r="H696" s="511"/>
      <c r="I696" s="511"/>
      <c r="J696" s="511"/>
      <c r="K696" s="511"/>
      <c r="L696" s="511"/>
      <c r="M696" s="511"/>
      <c r="N696" s="511"/>
      <c r="O696" s="511"/>
      <c r="P696" s="511"/>
      <c r="Q696" s="511"/>
      <c r="R696" s="511"/>
      <c r="S696" s="511"/>
      <c r="T696" s="511"/>
    </row>
    <row r="697" spans="2:20" ht="12.75" customHeight="1">
      <c r="B697" s="511"/>
      <c r="C697" s="511"/>
      <c r="E697" s="511"/>
      <c r="F697" s="511"/>
      <c r="G697" s="511"/>
      <c r="H697" s="511"/>
      <c r="I697" s="511"/>
      <c r="J697" s="511"/>
      <c r="K697" s="511"/>
      <c r="L697" s="511"/>
      <c r="M697" s="511"/>
      <c r="N697" s="511"/>
      <c r="O697" s="511"/>
      <c r="P697" s="511"/>
      <c r="Q697" s="511"/>
      <c r="R697" s="511"/>
      <c r="S697" s="511"/>
      <c r="T697" s="511"/>
    </row>
    <row r="698" spans="2:20" ht="12.75" customHeight="1">
      <c r="B698" s="511"/>
      <c r="C698" s="511"/>
      <c r="E698" s="511"/>
      <c r="F698" s="511"/>
      <c r="G698" s="511"/>
      <c r="H698" s="511"/>
      <c r="I698" s="511"/>
      <c r="J698" s="511"/>
      <c r="K698" s="511"/>
      <c r="L698" s="511"/>
      <c r="M698" s="511"/>
      <c r="N698" s="511"/>
      <c r="O698" s="511"/>
      <c r="P698" s="511"/>
      <c r="Q698" s="511"/>
      <c r="R698" s="511"/>
      <c r="S698" s="511"/>
      <c r="T698" s="511"/>
    </row>
    <row r="699" spans="2:20" ht="12.75" customHeight="1">
      <c r="B699" s="511"/>
      <c r="C699" s="511"/>
      <c r="E699" s="511"/>
      <c r="F699" s="511"/>
      <c r="G699" s="511"/>
      <c r="H699" s="511"/>
      <c r="I699" s="511"/>
      <c r="J699" s="511"/>
      <c r="K699" s="511"/>
      <c r="L699" s="511"/>
      <c r="M699" s="511"/>
      <c r="N699" s="511"/>
      <c r="O699" s="511"/>
      <c r="P699" s="511"/>
      <c r="Q699" s="511"/>
      <c r="R699" s="511"/>
      <c r="S699" s="511"/>
      <c r="T699" s="511"/>
    </row>
    <row r="700" spans="2:20" ht="12.75" customHeight="1">
      <c r="B700" s="511"/>
      <c r="C700" s="511"/>
      <c r="E700" s="511"/>
      <c r="F700" s="511"/>
      <c r="G700" s="511"/>
      <c r="H700" s="511"/>
      <c r="I700" s="511"/>
      <c r="J700" s="511"/>
      <c r="K700" s="511"/>
      <c r="L700" s="511"/>
      <c r="M700" s="511"/>
      <c r="N700" s="511"/>
      <c r="O700" s="511"/>
      <c r="P700" s="511"/>
      <c r="Q700" s="511"/>
      <c r="R700" s="511"/>
      <c r="S700" s="511"/>
      <c r="T700" s="511"/>
    </row>
    <row r="701" spans="2:20" ht="12.75" customHeight="1">
      <c r="B701" s="511"/>
      <c r="C701" s="511"/>
      <c r="E701" s="511"/>
      <c r="F701" s="511"/>
      <c r="G701" s="511"/>
      <c r="H701" s="511"/>
      <c r="I701" s="511"/>
      <c r="J701" s="511"/>
      <c r="K701" s="511"/>
      <c r="L701" s="511"/>
      <c r="M701" s="511"/>
      <c r="N701" s="511"/>
      <c r="O701" s="511"/>
      <c r="P701" s="511"/>
      <c r="Q701" s="511"/>
      <c r="R701" s="511"/>
      <c r="S701" s="511"/>
      <c r="T701" s="511"/>
    </row>
    <row r="702" spans="2:20" ht="12.75" customHeight="1">
      <c r="B702" s="511"/>
      <c r="C702" s="511"/>
      <c r="E702" s="511"/>
      <c r="F702" s="511"/>
      <c r="G702" s="511"/>
      <c r="H702" s="511"/>
      <c r="I702" s="511"/>
      <c r="J702" s="511"/>
      <c r="K702" s="511"/>
      <c r="L702" s="511"/>
      <c r="M702" s="511"/>
      <c r="N702" s="511"/>
      <c r="O702" s="511"/>
      <c r="P702" s="511"/>
      <c r="Q702" s="511"/>
      <c r="R702" s="511"/>
      <c r="S702" s="511"/>
      <c r="T702" s="511"/>
    </row>
    <row r="703" spans="2:20" ht="12.75" customHeight="1">
      <c r="B703" s="511"/>
      <c r="C703" s="511"/>
      <c r="E703" s="511"/>
      <c r="F703" s="511"/>
      <c r="G703" s="511"/>
      <c r="H703" s="511"/>
      <c r="I703" s="511"/>
      <c r="J703" s="511"/>
      <c r="K703" s="511"/>
      <c r="L703" s="511"/>
      <c r="M703" s="511"/>
      <c r="N703" s="511"/>
      <c r="O703" s="511"/>
      <c r="P703" s="511"/>
      <c r="Q703" s="511"/>
      <c r="R703" s="511"/>
      <c r="S703" s="511"/>
      <c r="T703" s="511"/>
    </row>
    <row r="704" spans="2:20" ht="12.75" customHeight="1">
      <c r="B704" s="511"/>
      <c r="C704" s="511"/>
      <c r="E704" s="511"/>
      <c r="F704" s="511"/>
      <c r="G704" s="511"/>
      <c r="H704" s="511"/>
      <c r="I704" s="511"/>
      <c r="J704" s="511"/>
      <c r="K704" s="511"/>
      <c r="L704" s="511"/>
      <c r="M704" s="511"/>
      <c r="N704" s="511"/>
      <c r="O704" s="511"/>
      <c r="P704" s="511"/>
      <c r="Q704" s="511"/>
      <c r="R704" s="511"/>
      <c r="S704" s="511"/>
      <c r="T704" s="511"/>
    </row>
    <row r="705" spans="2:20" ht="12.75" customHeight="1">
      <c r="B705" s="511"/>
      <c r="C705" s="511"/>
      <c r="E705" s="511"/>
      <c r="F705" s="511"/>
      <c r="G705" s="511"/>
      <c r="H705" s="511"/>
      <c r="I705" s="511"/>
      <c r="J705" s="511"/>
      <c r="K705" s="511"/>
      <c r="L705" s="511"/>
      <c r="M705" s="511"/>
      <c r="N705" s="511"/>
      <c r="O705" s="511"/>
      <c r="P705" s="511"/>
      <c r="Q705" s="511"/>
      <c r="R705" s="511"/>
      <c r="S705" s="511"/>
      <c r="T705" s="511"/>
    </row>
    <row r="706" spans="2:20" ht="12.75" customHeight="1">
      <c r="B706" s="511"/>
      <c r="C706" s="511"/>
      <c r="E706" s="511"/>
      <c r="F706" s="511"/>
      <c r="G706" s="511"/>
      <c r="H706" s="511"/>
      <c r="I706" s="511"/>
      <c r="J706" s="511"/>
      <c r="K706" s="511"/>
      <c r="L706" s="511"/>
      <c r="M706" s="511"/>
      <c r="N706" s="511"/>
      <c r="O706" s="511"/>
      <c r="P706" s="511"/>
      <c r="Q706" s="511"/>
      <c r="R706" s="511"/>
      <c r="S706" s="511"/>
      <c r="T706" s="511"/>
    </row>
    <row r="707" spans="2:20" ht="12.75" customHeight="1">
      <c r="B707" s="511"/>
      <c r="C707" s="511"/>
      <c r="E707" s="511"/>
      <c r="F707" s="511"/>
      <c r="G707" s="511"/>
      <c r="H707" s="511"/>
      <c r="I707" s="511"/>
      <c r="J707" s="511"/>
      <c r="K707" s="511"/>
      <c r="L707" s="511"/>
      <c r="M707" s="511"/>
      <c r="N707" s="511"/>
      <c r="O707" s="511"/>
      <c r="P707" s="511"/>
      <c r="Q707" s="511"/>
      <c r="R707" s="511"/>
      <c r="S707" s="511"/>
      <c r="T707" s="511"/>
    </row>
    <row r="708" spans="2:20" ht="12.75" customHeight="1">
      <c r="B708" s="511"/>
      <c r="C708" s="511"/>
      <c r="E708" s="511"/>
      <c r="F708" s="511"/>
      <c r="G708" s="511"/>
      <c r="H708" s="511"/>
      <c r="I708" s="511"/>
      <c r="J708" s="511"/>
      <c r="K708" s="511"/>
      <c r="L708" s="511"/>
      <c r="M708" s="511"/>
      <c r="N708" s="511"/>
      <c r="O708" s="511"/>
      <c r="P708" s="511"/>
      <c r="Q708" s="511"/>
      <c r="R708" s="511"/>
      <c r="S708" s="511"/>
      <c r="T708" s="511"/>
    </row>
    <row r="709" spans="2:20" ht="12.75" customHeight="1">
      <c r="B709" s="511"/>
      <c r="C709" s="511"/>
      <c r="E709" s="511"/>
      <c r="F709" s="511"/>
      <c r="G709" s="511"/>
      <c r="H709" s="511"/>
      <c r="I709" s="511"/>
      <c r="J709" s="511"/>
      <c r="K709" s="511"/>
      <c r="L709" s="511"/>
      <c r="M709" s="511"/>
      <c r="N709" s="511"/>
      <c r="O709" s="511"/>
      <c r="P709" s="511"/>
      <c r="Q709" s="511"/>
      <c r="R709" s="511"/>
      <c r="S709" s="511"/>
      <c r="T709" s="511"/>
    </row>
    <row r="710" spans="2:20" ht="12.75" customHeight="1">
      <c r="B710" s="511"/>
      <c r="C710" s="511"/>
      <c r="E710" s="511"/>
      <c r="F710" s="511"/>
      <c r="G710" s="511"/>
      <c r="H710" s="511"/>
      <c r="I710" s="511"/>
      <c r="J710" s="511"/>
      <c r="K710" s="511"/>
      <c r="L710" s="511"/>
      <c r="M710" s="511"/>
      <c r="N710" s="511"/>
      <c r="O710" s="511"/>
      <c r="P710" s="511"/>
      <c r="Q710" s="511"/>
      <c r="R710" s="511"/>
      <c r="S710" s="511"/>
      <c r="T710" s="511"/>
    </row>
    <row r="711" spans="2:20" ht="12.75" customHeight="1">
      <c r="B711" s="511"/>
      <c r="C711" s="511"/>
      <c r="E711" s="511"/>
      <c r="F711" s="511"/>
      <c r="G711" s="511"/>
      <c r="H711" s="511"/>
      <c r="I711" s="511"/>
      <c r="J711" s="511"/>
      <c r="K711" s="511"/>
      <c r="L711" s="511"/>
      <c r="M711" s="511"/>
      <c r="N711" s="511"/>
      <c r="O711" s="511"/>
      <c r="P711" s="511"/>
      <c r="Q711" s="511"/>
      <c r="R711" s="511"/>
      <c r="S711" s="511"/>
      <c r="T711" s="511"/>
    </row>
    <row r="712" spans="2:20" ht="12.75" customHeight="1">
      <c r="B712" s="511"/>
      <c r="C712" s="511"/>
      <c r="E712" s="511"/>
      <c r="F712" s="511"/>
      <c r="G712" s="511"/>
      <c r="H712" s="511"/>
      <c r="I712" s="511"/>
      <c r="J712" s="511"/>
      <c r="K712" s="511"/>
      <c r="L712" s="511"/>
      <c r="M712" s="511"/>
      <c r="N712" s="511"/>
      <c r="O712" s="511"/>
      <c r="P712" s="511"/>
      <c r="Q712" s="511"/>
      <c r="R712" s="511"/>
      <c r="S712" s="511"/>
      <c r="T712" s="511"/>
    </row>
    <row r="713" spans="2:20" ht="12.75" customHeight="1">
      <c r="B713" s="511"/>
      <c r="C713" s="511"/>
      <c r="E713" s="511"/>
      <c r="F713" s="511"/>
      <c r="G713" s="511"/>
      <c r="H713" s="511"/>
      <c r="I713" s="511"/>
      <c r="J713" s="511"/>
      <c r="K713" s="511"/>
      <c r="L713" s="511"/>
      <c r="M713" s="511"/>
      <c r="N713" s="511"/>
      <c r="O713" s="511"/>
      <c r="P713" s="511"/>
      <c r="Q713" s="511"/>
      <c r="R713" s="511"/>
      <c r="S713" s="511"/>
      <c r="T713" s="511"/>
    </row>
    <row r="714" spans="2:20" ht="12.75" customHeight="1">
      <c r="B714" s="511"/>
      <c r="C714" s="511"/>
      <c r="E714" s="511"/>
      <c r="F714" s="511"/>
      <c r="G714" s="511"/>
      <c r="H714" s="511"/>
      <c r="I714" s="511"/>
      <c r="J714" s="511"/>
      <c r="K714" s="511"/>
      <c r="L714" s="511"/>
      <c r="M714" s="511"/>
      <c r="N714" s="511"/>
      <c r="O714" s="511"/>
      <c r="P714" s="511"/>
      <c r="Q714" s="511"/>
      <c r="R714" s="511"/>
      <c r="S714" s="511"/>
      <c r="T714" s="511"/>
    </row>
    <row r="715" spans="2:20" ht="12.75" customHeight="1">
      <c r="B715" s="511"/>
      <c r="C715" s="511"/>
      <c r="E715" s="511"/>
      <c r="F715" s="511"/>
      <c r="G715" s="511"/>
      <c r="H715" s="511"/>
      <c r="I715" s="511"/>
      <c r="J715" s="511"/>
      <c r="K715" s="511"/>
      <c r="L715" s="511"/>
      <c r="M715" s="511"/>
      <c r="N715" s="511"/>
      <c r="O715" s="511"/>
      <c r="P715" s="511"/>
      <c r="Q715" s="511"/>
      <c r="R715" s="511"/>
      <c r="S715" s="511"/>
      <c r="T715" s="511"/>
    </row>
    <row r="716" spans="2:20" ht="12.75" customHeight="1">
      <c r="B716" s="511"/>
      <c r="C716" s="511"/>
      <c r="E716" s="511"/>
      <c r="F716" s="511"/>
      <c r="G716" s="511"/>
      <c r="H716" s="511"/>
      <c r="I716" s="511"/>
      <c r="J716" s="511"/>
      <c r="K716" s="511"/>
      <c r="L716" s="511"/>
      <c r="M716" s="511"/>
      <c r="N716" s="511"/>
      <c r="O716" s="511"/>
      <c r="P716" s="511"/>
      <c r="Q716" s="511"/>
      <c r="R716" s="511"/>
      <c r="S716" s="511"/>
      <c r="T716" s="511"/>
    </row>
    <row r="717" spans="2:20" ht="12.75" customHeight="1">
      <c r="B717" s="511"/>
      <c r="C717" s="511"/>
      <c r="E717" s="511"/>
      <c r="F717" s="511"/>
      <c r="G717" s="511"/>
      <c r="H717" s="511"/>
      <c r="I717" s="511"/>
      <c r="J717" s="511"/>
      <c r="K717" s="511"/>
      <c r="L717" s="511"/>
      <c r="M717" s="511"/>
      <c r="N717" s="511"/>
      <c r="O717" s="511"/>
      <c r="P717" s="511"/>
      <c r="Q717" s="511"/>
      <c r="R717" s="511"/>
      <c r="S717" s="511"/>
      <c r="T717" s="511"/>
    </row>
    <row r="718" spans="2:20" ht="12.75" customHeight="1">
      <c r="B718" s="511"/>
      <c r="C718" s="511"/>
      <c r="E718" s="511"/>
      <c r="F718" s="511"/>
      <c r="G718" s="511"/>
      <c r="H718" s="511"/>
      <c r="I718" s="511"/>
      <c r="J718" s="511"/>
      <c r="K718" s="511"/>
      <c r="L718" s="511"/>
      <c r="M718" s="511"/>
      <c r="N718" s="511"/>
      <c r="O718" s="511"/>
      <c r="P718" s="511"/>
      <c r="Q718" s="511"/>
      <c r="R718" s="511"/>
      <c r="S718" s="511"/>
      <c r="T718" s="511"/>
    </row>
    <row r="719" spans="2:20" ht="12.75" customHeight="1">
      <c r="B719" s="511"/>
      <c r="C719" s="511"/>
      <c r="E719" s="511"/>
      <c r="F719" s="511"/>
      <c r="G719" s="511"/>
      <c r="H719" s="511"/>
      <c r="I719" s="511"/>
      <c r="J719" s="511"/>
      <c r="K719" s="511"/>
      <c r="L719" s="511"/>
      <c r="M719" s="511"/>
      <c r="N719" s="511"/>
      <c r="O719" s="511"/>
      <c r="P719" s="511"/>
      <c r="Q719" s="511"/>
      <c r="R719" s="511"/>
      <c r="S719" s="511"/>
      <c r="T719" s="511"/>
    </row>
    <row r="720" spans="2:20" ht="12.75" customHeight="1">
      <c r="B720" s="511"/>
      <c r="C720" s="511"/>
      <c r="E720" s="511"/>
      <c r="F720" s="511"/>
      <c r="G720" s="511"/>
      <c r="H720" s="511"/>
      <c r="I720" s="511"/>
      <c r="J720" s="511"/>
      <c r="K720" s="511"/>
      <c r="L720" s="511"/>
      <c r="M720" s="511"/>
      <c r="N720" s="511"/>
      <c r="O720" s="511"/>
      <c r="P720" s="511"/>
      <c r="Q720" s="511"/>
      <c r="R720" s="511"/>
      <c r="S720" s="511"/>
      <c r="T720" s="511"/>
    </row>
    <row r="721" spans="2:20" ht="12.75" customHeight="1">
      <c r="B721" s="511"/>
      <c r="C721" s="511"/>
      <c r="E721" s="511"/>
      <c r="F721" s="511"/>
      <c r="G721" s="511"/>
      <c r="H721" s="511"/>
      <c r="I721" s="511"/>
      <c r="J721" s="511"/>
      <c r="K721" s="511"/>
      <c r="L721" s="511"/>
      <c r="M721" s="511"/>
      <c r="N721" s="511"/>
      <c r="O721" s="511"/>
      <c r="P721" s="511"/>
      <c r="Q721" s="511"/>
      <c r="R721" s="511"/>
      <c r="S721" s="511"/>
      <c r="T721" s="511"/>
    </row>
    <row r="722" spans="2:20" ht="12.75" customHeight="1">
      <c r="B722" s="511"/>
      <c r="C722" s="511"/>
      <c r="E722" s="511"/>
      <c r="F722" s="511"/>
      <c r="G722" s="511"/>
      <c r="H722" s="511"/>
      <c r="I722" s="511"/>
      <c r="J722" s="511"/>
      <c r="K722" s="511"/>
      <c r="L722" s="511"/>
      <c r="M722" s="511"/>
      <c r="N722" s="511"/>
      <c r="O722" s="511"/>
      <c r="P722" s="511"/>
      <c r="Q722" s="511"/>
      <c r="R722" s="511"/>
      <c r="S722" s="511"/>
      <c r="T722" s="511"/>
    </row>
    <row r="723" spans="2:20" ht="12.75" customHeight="1">
      <c r="B723" s="511"/>
      <c r="C723" s="511"/>
      <c r="E723" s="511"/>
      <c r="F723" s="511"/>
      <c r="G723" s="511"/>
      <c r="H723" s="511"/>
      <c r="I723" s="511"/>
      <c r="J723" s="511"/>
      <c r="K723" s="511"/>
      <c r="L723" s="511"/>
      <c r="M723" s="511"/>
      <c r="N723" s="511"/>
      <c r="O723" s="511"/>
      <c r="P723" s="511"/>
      <c r="Q723" s="511"/>
      <c r="R723" s="511"/>
      <c r="S723" s="511"/>
      <c r="T723" s="511"/>
    </row>
    <row r="724" spans="2:20" ht="12.75" customHeight="1">
      <c r="B724" s="511"/>
      <c r="C724" s="511"/>
      <c r="E724" s="511"/>
      <c r="F724" s="511"/>
      <c r="G724" s="511"/>
      <c r="H724" s="511"/>
      <c r="I724" s="511"/>
      <c r="J724" s="511"/>
      <c r="K724" s="511"/>
      <c r="L724" s="511"/>
      <c r="M724" s="511"/>
      <c r="N724" s="511"/>
      <c r="O724" s="511"/>
      <c r="P724" s="511"/>
      <c r="Q724" s="511"/>
      <c r="R724" s="511"/>
      <c r="S724" s="511"/>
      <c r="T724" s="511"/>
    </row>
    <row r="725" spans="2:20" ht="12.75" customHeight="1">
      <c r="B725" s="511"/>
      <c r="C725" s="511"/>
      <c r="E725" s="511"/>
      <c r="F725" s="511"/>
      <c r="G725" s="511"/>
      <c r="H725" s="511"/>
      <c r="I725" s="511"/>
      <c r="J725" s="511"/>
      <c r="K725" s="511"/>
      <c r="L725" s="511"/>
      <c r="M725" s="511"/>
      <c r="N725" s="511"/>
      <c r="O725" s="511"/>
      <c r="P725" s="511"/>
      <c r="Q725" s="511"/>
      <c r="R725" s="511"/>
      <c r="S725" s="511"/>
      <c r="T725" s="511"/>
    </row>
    <row r="726" spans="2:20" ht="12.75" customHeight="1">
      <c r="B726" s="511"/>
      <c r="C726" s="511"/>
      <c r="E726" s="511"/>
      <c r="F726" s="511"/>
      <c r="G726" s="511"/>
      <c r="H726" s="511"/>
      <c r="I726" s="511"/>
      <c r="J726" s="511"/>
      <c r="K726" s="511"/>
      <c r="L726" s="511"/>
      <c r="M726" s="511"/>
      <c r="N726" s="511"/>
      <c r="O726" s="511"/>
      <c r="P726" s="511"/>
      <c r="Q726" s="511"/>
      <c r="R726" s="511"/>
      <c r="S726" s="511"/>
      <c r="T726" s="511"/>
    </row>
    <row r="727" spans="2:20" ht="12.75" customHeight="1">
      <c r="B727" s="511"/>
      <c r="C727" s="511"/>
      <c r="E727" s="511"/>
      <c r="F727" s="511"/>
      <c r="G727" s="511"/>
      <c r="H727" s="511"/>
      <c r="I727" s="511"/>
      <c r="J727" s="511"/>
      <c r="K727" s="511"/>
      <c r="L727" s="511"/>
      <c r="M727" s="511"/>
      <c r="N727" s="511"/>
      <c r="O727" s="511"/>
      <c r="P727" s="511"/>
      <c r="Q727" s="511"/>
      <c r="R727" s="511"/>
      <c r="S727" s="511"/>
      <c r="T727" s="511"/>
    </row>
    <row r="728" spans="2:20" ht="12.75" customHeight="1">
      <c r="B728" s="511"/>
      <c r="C728" s="511"/>
      <c r="E728" s="511"/>
      <c r="F728" s="511"/>
      <c r="G728" s="511"/>
      <c r="H728" s="511"/>
      <c r="I728" s="511"/>
      <c r="J728" s="511"/>
      <c r="K728" s="511"/>
      <c r="L728" s="511"/>
      <c r="M728" s="511"/>
      <c r="N728" s="511"/>
      <c r="O728" s="511"/>
      <c r="P728" s="511"/>
      <c r="Q728" s="511"/>
      <c r="R728" s="511"/>
      <c r="S728" s="511"/>
      <c r="T728" s="511"/>
    </row>
    <row r="729" spans="2:20" ht="12.75" customHeight="1">
      <c r="B729" s="511"/>
      <c r="C729" s="511"/>
      <c r="E729" s="511"/>
      <c r="F729" s="511"/>
      <c r="G729" s="511"/>
      <c r="H729" s="511"/>
      <c r="I729" s="511"/>
      <c r="J729" s="511"/>
      <c r="K729" s="511"/>
      <c r="L729" s="511"/>
      <c r="M729" s="511"/>
      <c r="N729" s="511"/>
      <c r="O729" s="511"/>
      <c r="P729" s="511"/>
      <c r="Q729" s="511"/>
      <c r="R729" s="511"/>
      <c r="S729" s="511"/>
      <c r="T729" s="511"/>
    </row>
    <row r="730" spans="2:20" ht="12.75" customHeight="1">
      <c r="B730" s="511"/>
      <c r="C730" s="511"/>
      <c r="E730" s="511"/>
      <c r="F730" s="511"/>
      <c r="G730" s="511"/>
      <c r="H730" s="511"/>
      <c r="I730" s="511"/>
      <c r="J730" s="511"/>
      <c r="K730" s="511"/>
      <c r="L730" s="511"/>
      <c r="M730" s="511"/>
      <c r="N730" s="511"/>
      <c r="O730" s="511"/>
      <c r="P730" s="511"/>
      <c r="Q730" s="511"/>
      <c r="R730" s="511"/>
      <c r="S730" s="511"/>
      <c r="T730" s="511"/>
    </row>
    <row r="731" spans="2:20" ht="12.75" customHeight="1">
      <c r="B731" s="511"/>
      <c r="C731" s="511"/>
      <c r="E731" s="511"/>
      <c r="F731" s="511"/>
      <c r="G731" s="511"/>
      <c r="H731" s="511"/>
      <c r="I731" s="511"/>
      <c r="J731" s="511"/>
      <c r="K731" s="511"/>
      <c r="L731" s="511"/>
      <c r="M731" s="511"/>
      <c r="N731" s="511"/>
      <c r="O731" s="511"/>
      <c r="P731" s="511"/>
      <c r="Q731" s="511"/>
      <c r="R731" s="511"/>
      <c r="S731" s="511"/>
      <c r="T731" s="511"/>
    </row>
    <row r="732" spans="2:20" ht="12.75" customHeight="1">
      <c r="B732" s="511"/>
      <c r="C732" s="511"/>
      <c r="E732" s="511"/>
      <c r="F732" s="511"/>
      <c r="G732" s="511"/>
      <c r="H732" s="511"/>
      <c r="I732" s="511"/>
      <c r="J732" s="511"/>
      <c r="K732" s="511"/>
      <c r="L732" s="511"/>
      <c r="M732" s="511"/>
      <c r="N732" s="511"/>
      <c r="O732" s="511"/>
      <c r="P732" s="511"/>
      <c r="Q732" s="511"/>
      <c r="R732" s="511"/>
      <c r="S732" s="511"/>
      <c r="T732" s="511"/>
    </row>
    <row r="733" spans="2:20" ht="12.75" customHeight="1">
      <c r="B733" s="511"/>
      <c r="C733" s="511"/>
      <c r="E733" s="511"/>
      <c r="F733" s="511"/>
      <c r="G733" s="511"/>
      <c r="H733" s="511"/>
      <c r="I733" s="511"/>
      <c r="J733" s="511"/>
      <c r="K733" s="511"/>
      <c r="L733" s="511"/>
      <c r="M733" s="511"/>
      <c r="N733" s="511"/>
      <c r="O733" s="511"/>
      <c r="P733" s="511"/>
      <c r="Q733" s="511"/>
      <c r="R733" s="511"/>
      <c r="S733" s="511"/>
      <c r="T733" s="511"/>
    </row>
    <row r="734" spans="2:20" ht="12.75" customHeight="1">
      <c r="B734" s="511"/>
      <c r="C734" s="511"/>
      <c r="E734" s="511"/>
      <c r="F734" s="511"/>
      <c r="G734" s="511"/>
      <c r="H734" s="511"/>
      <c r="I734" s="511"/>
      <c r="J734" s="511"/>
      <c r="K734" s="511"/>
      <c r="L734" s="511"/>
      <c r="M734" s="511"/>
      <c r="N734" s="511"/>
      <c r="O734" s="511"/>
      <c r="P734" s="511"/>
      <c r="Q734" s="511"/>
      <c r="R734" s="511"/>
      <c r="S734" s="511"/>
      <c r="T734" s="511"/>
    </row>
    <row r="735" spans="2:20" ht="12.75" customHeight="1">
      <c r="B735" s="511"/>
      <c r="C735" s="511"/>
      <c r="E735" s="511"/>
      <c r="F735" s="511"/>
      <c r="G735" s="511"/>
      <c r="H735" s="511"/>
      <c r="I735" s="511"/>
      <c r="J735" s="511"/>
      <c r="K735" s="511"/>
      <c r="L735" s="511"/>
      <c r="M735" s="511"/>
      <c r="N735" s="511"/>
      <c r="O735" s="511"/>
      <c r="P735" s="511"/>
      <c r="Q735" s="511"/>
      <c r="R735" s="511"/>
      <c r="S735" s="511"/>
      <c r="T735" s="511"/>
    </row>
    <row r="736" spans="2:20" ht="12.75" customHeight="1">
      <c r="B736" s="511"/>
      <c r="C736" s="511"/>
      <c r="E736" s="511"/>
      <c r="F736" s="511"/>
      <c r="G736" s="511"/>
      <c r="H736" s="511"/>
      <c r="I736" s="511"/>
      <c r="J736" s="511"/>
      <c r="K736" s="511"/>
      <c r="L736" s="511"/>
      <c r="M736" s="511"/>
      <c r="N736" s="511"/>
      <c r="O736" s="511"/>
      <c r="P736" s="511"/>
      <c r="Q736" s="511"/>
      <c r="R736" s="511"/>
      <c r="S736" s="511"/>
      <c r="T736" s="511"/>
    </row>
    <row r="737" spans="2:20" ht="12.75" customHeight="1">
      <c r="B737" s="511"/>
      <c r="C737" s="511"/>
      <c r="E737" s="511"/>
      <c r="F737" s="511"/>
      <c r="G737" s="511"/>
      <c r="H737" s="511"/>
      <c r="I737" s="511"/>
      <c r="J737" s="511"/>
      <c r="K737" s="511"/>
      <c r="L737" s="511"/>
      <c r="M737" s="511"/>
      <c r="N737" s="511"/>
      <c r="O737" s="511"/>
      <c r="P737" s="511"/>
      <c r="Q737" s="511"/>
      <c r="R737" s="511"/>
      <c r="S737" s="511"/>
      <c r="T737" s="511"/>
    </row>
    <row r="738" spans="2:20" ht="12.75" customHeight="1">
      <c r="B738" s="511"/>
      <c r="C738" s="511"/>
      <c r="E738" s="511"/>
      <c r="F738" s="511"/>
      <c r="G738" s="511"/>
      <c r="H738" s="511"/>
      <c r="I738" s="511"/>
      <c r="J738" s="511"/>
      <c r="K738" s="511"/>
      <c r="L738" s="511"/>
      <c r="M738" s="511"/>
      <c r="N738" s="511"/>
      <c r="O738" s="511"/>
      <c r="P738" s="511"/>
      <c r="Q738" s="511"/>
      <c r="R738" s="511"/>
      <c r="S738" s="511"/>
      <c r="T738" s="511"/>
    </row>
    <row r="739" spans="2:20" ht="12.75" customHeight="1">
      <c r="B739" s="511"/>
      <c r="C739" s="511"/>
      <c r="E739" s="511"/>
      <c r="F739" s="511"/>
      <c r="G739" s="511"/>
      <c r="H739" s="511"/>
      <c r="I739" s="511"/>
      <c r="J739" s="511"/>
      <c r="K739" s="511"/>
      <c r="L739" s="511"/>
      <c r="M739" s="511"/>
      <c r="N739" s="511"/>
      <c r="O739" s="511"/>
      <c r="P739" s="511"/>
      <c r="Q739" s="511"/>
      <c r="R739" s="511"/>
      <c r="S739" s="511"/>
      <c r="T739" s="511"/>
    </row>
    <row r="740" spans="2:20" ht="12.75" customHeight="1">
      <c r="B740" s="511"/>
      <c r="C740" s="511"/>
      <c r="E740" s="511"/>
      <c r="F740" s="511"/>
      <c r="G740" s="511"/>
      <c r="H740" s="511"/>
      <c r="I740" s="511"/>
      <c r="J740" s="511"/>
      <c r="K740" s="511"/>
      <c r="L740" s="511"/>
      <c r="M740" s="511"/>
      <c r="N740" s="511"/>
      <c r="O740" s="511"/>
      <c r="P740" s="511"/>
      <c r="Q740" s="511"/>
      <c r="R740" s="511"/>
      <c r="S740" s="511"/>
      <c r="T740" s="511"/>
    </row>
    <row r="741" spans="2:20" ht="12.75" customHeight="1">
      <c r="B741" s="511"/>
      <c r="C741" s="511"/>
      <c r="E741" s="511"/>
      <c r="F741" s="511"/>
      <c r="G741" s="511"/>
      <c r="H741" s="511"/>
      <c r="I741" s="511"/>
      <c r="J741" s="511"/>
      <c r="K741" s="511"/>
      <c r="L741" s="511"/>
      <c r="M741" s="511"/>
      <c r="N741" s="511"/>
      <c r="O741" s="511"/>
      <c r="P741" s="511"/>
      <c r="Q741" s="511"/>
      <c r="R741" s="511"/>
      <c r="S741" s="511"/>
      <c r="T741" s="511"/>
    </row>
    <row r="742" spans="2:20" ht="12.75" customHeight="1">
      <c r="B742" s="511"/>
      <c r="C742" s="511"/>
      <c r="E742" s="511"/>
      <c r="F742" s="511"/>
      <c r="G742" s="511"/>
      <c r="H742" s="511"/>
      <c r="I742" s="511"/>
      <c r="J742" s="511"/>
      <c r="K742" s="511"/>
      <c r="L742" s="511"/>
      <c r="M742" s="511"/>
      <c r="N742" s="511"/>
      <c r="O742" s="511"/>
      <c r="P742" s="511"/>
      <c r="Q742" s="511"/>
      <c r="R742" s="511"/>
      <c r="S742" s="511"/>
      <c r="T742" s="511"/>
    </row>
    <row r="743" spans="2:20" ht="12.75" customHeight="1">
      <c r="B743" s="511"/>
      <c r="C743" s="511"/>
      <c r="E743" s="511"/>
      <c r="F743" s="511"/>
      <c r="G743" s="511"/>
      <c r="H743" s="511"/>
      <c r="I743" s="511"/>
      <c r="J743" s="511"/>
      <c r="K743" s="511"/>
      <c r="L743" s="511"/>
      <c r="M743" s="511"/>
      <c r="N743" s="511"/>
      <c r="O743" s="511"/>
      <c r="P743" s="511"/>
      <c r="Q743" s="511"/>
      <c r="R743" s="511"/>
      <c r="S743" s="511"/>
      <c r="T743" s="511"/>
    </row>
    <row r="744" spans="2:20" ht="12.75" customHeight="1">
      <c r="B744" s="511"/>
      <c r="C744" s="511"/>
      <c r="E744" s="511"/>
      <c r="F744" s="511"/>
      <c r="G744" s="511"/>
      <c r="H744" s="511"/>
      <c r="I744" s="511"/>
      <c r="J744" s="511"/>
      <c r="K744" s="511"/>
      <c r="L744" s="511"/>
      <c r="M744" s="511"/>
      <c r="N744" s="511"/>
      <c r="O744" s="511"/>
      <c r="P744" s="511"/>
      <c r="Q744" s="511"/>
      <c r="R744" s="511"/>
      <c r="S744" s="511"/>
      <c r="T744" s="511"/>
    </row>
    <row r="745" spans="2:20" ht="12.75" customHeight="1">
      <c r="B745" s="511"/>
      <c r="C745" s="511"/>
      <c r="E745" s="511"/>
      <c r="F745" s="511"/>
      <c r="G745" s="511"/>
      <c r="H745" s="511"/>
      <c r="I745" s="511"/>
      <c r="J745" s="511"/>
      <c r="K745" s="511"/>
      <c r="L745" s="511"/>
      <c r="M745" s="511"/>
      <c r="N745" s="511"/>
      <c r="O745" s="511"/>
      <c r="P745" s="511"/>
      <c r="Q745" s="511"/>
      <c r="R745" s="511"/>
      <c r="S745" s="511"/>
      <c r="T745" s="511"/>
    </row>
    <row r="746" spans="2:20" ht="12.75" customHeight="1">
      <c r="B746" s="511"/>
      <c r="C746" s="511"/>
      <c r="E746" s="511"/>
      <c r="F746" s="511"/>
      <c r="G746" s="511"/>
      <c r="H746" s="511"/>
      <c r="I746" s="511"/>
      <c r="J746" s="511"/>
      <c r="K746" s="511"/>
      <c r="L746" s="511"/>
      <c r="M746" s="511"/>
      <c r="N746" s="511"/>
      <c r="O746" s="511"/>
      <c r="P746" s="511"/>
      <c r="Q746" s="511"/>
      <c r="R746" s="511"/>
      <c r="S746" s="511"/>
      <c r="T746" s="511"/>
    </row>
    <row r="747" spans="2:20" ht="12.75" customHeight="1">
      <c r="B747" s="511"/>
      <c r="C747" s="511"/>
      <c r="E747" s="511"/>
      <c r="F747" s="511"/>
      <c r="G747" s="511"/>
      <c r="H747" s="511"/>
      <c r="I747" s="511"/>
      <c r="J747" s="511"/>
      <c r="K747" s="511"/>
      <c r="L747" s="511"/>
      <c r="M747" s="511"/>
      <c r="N747" s="511"/>
      <c r="O747" s="511"/>
      <c r="P747" s="511"/>
      <c r="Q747" s="511"/>
      <c r="R747" s="511"/>
      <c r="S747" s="511"/>
      <c r="T747" s="511"/>
    </row>
    <row r="748" spans="2:20" ht="12.75" customHeight="1">
      <c r="B748" s="511"/>
      <c r="C748" s="511"/>
      <c r="E748" s="511"/>
      <c r="F748" s="511"/>
      <c r="G748" s="511"/>
      <c r="H748" s="511"/>
      <c r="I748" s="511"/>
      <c r="J748" s="511"/>
      <c r="K748" s="511"/>
      <c r="L748" s="511"/>
      <c r="M748" s="511"/>
      <c r="N748" s="511"/>
      <c r="O748" s="511"/>
      <c r="P748" s="511"/>
      <c r="Q748" s="511"/>
      <c r="R748" s="511"/>
      <c r="S748" s="511"/>
      <c r="T748" s="511"/>
    </row>
    <row r="749" spans="2:20" ht="12.75" customHeight="1">
      <c r="B749" s="511"/>
      <c r="C749" s="511"/>
      <c r="E749" s="511"/>
      <c r="F749" s="511"/>
      <c r="G749" s="511"/>
      <c r="H749" s="511"/>
      <c r="I749" s="511"/>
      <c r="J749" s="511"/>
      <c r="K749" s="511"/>
      <c r="L749" s="511"/>
      <c r="M749" s="511"/>
      <c r="N749" s="511"/>
      <c r="O749" s="511"/>
      <c r="P749" s="511"/>
      <c r="Q749" s="511"/>
      <c r="R749" s="511"/>
      <c r="S749" s="511"/>
      <c r="T749" s="511"/>
    </row>
    <row r="750" spans="2:20" ht="12.75" customHeight="1">
      <c r="B750" s="511"/>
      <c r="C750" s="511"/>
      <c r="E750" s="511"/>
      <c r="F750" s="511"/>
      <c r="G750" s="511"/>
      <c r="H750" s="511"/>
      <c r="I750" s="511"/>
      <c r="J750" s="511"/>
      <c r="K750" s="511"/>
      <c r="L750" s="511"/>
      <c r="M750" s="511"/>
      <c r="N750" s="511"/>
      <c r="O750" s="511"/>
      <c r="P750" s="511"/>
      <c r="Q750" s="511"/>
      <c r="R750" s="511"/>
      <c r="S750" s="511"/>
      <c r="T750" s="511"/>
    </row>
    <row r="751" spans="2:20" ht="12.75" customHeight="1">
      <c r="B751" s="511"/>
      <c r="C751" s="511"/>
      <c r="E751" s="511"/>
      <c r="F751" s="511"/>
      <c r="G751" s="511"/>
      <c r="H751" s="511"/>
      <c r="I751" s="511"/>
      <c r="J751" s="511"/>
      <c r="K751" s="511"/>
      <c r="L751" s="511"/>
      <c r="M751" s="511"/>
      <c r="N751" s="511"/>
      <c r="O751" s="511"/>
      <c r="P751" s="511"/>
      <c r="Q751" s="511"/>
      <c r="R751" s="511"/>
      <c r="S751" s="511"/>
      <c r="T751" s="511"/>
    </row>
    <row r="752" spans="2:20" ht="12.75" customHeight="1">
      <c r="B752" s="511"/>
      <c r="C752" s="511"/>
      <c r="E752" s="511"/>
      <c r="F752" s="511"/>
      <c r="G752" s="511"/>
      <c r="H752" s="511"/>
      <c r="I752" s="511"/>
      <c r="J752" s="511"/>
      <c r="K752" s="511"/>
      <c r="L752" s="511"/>
      <c r="M752" s="511"/>
      <c r="N752" s="511"/>
      <c r="O752" s="511"/>
      <c r="P752" s="511"/>
      <c r="Q752" s="511"/>
      <c r="R752" s="511"/>
      <c r="S752" s="511"/>
      <c r="T752" s="511"/>
    </row>
    <row r="753" spans="2:20" ht="12.75" customHeight="1">
      <c r="B753" s="511"/>
      <c r="C753" s="511"/>
      <c r="E753" s="511"/>
      <c r="F753" s="511"/>
      <c r="G753" s="511"/>
      <c r="H753" s="511"/>
      <c r="I753" s="511"/>
      <c r="J753" s="511"/>
      <c r="K753" s="511"/>
      <c r="L753" s="511"/>
      <c r="M753" s="511"/>
      <c r="N753" s="511"/>
      <c r="O753" s="511"/>
      <c r="P753" s="511"/>
      <c r="Q753" s="511"/>
      <c r="R753" s="511"/>
      <c r="S753" s="511"/>
      <c r="T753" s="511"/>
    </row>
    <row r="754" spans="2:20" ht="12.75" customHeight="1">
      <c r="B754" s="511"/>
      <c r="C754" s="511"/>
      <c r="E754" s="511"/>
      <c r="F754" s="511"/>
      <c r="G754" s="511"/>
      <c r="H754" s="511"/>
      <c r="I754" s="511"/>
      <c r="J754" s="511"/>
      <c r="K754" s="511"/>
      <c r="L754" s="511"/>
      <c r="M754" s="511"/>
      <c r="N754" s="511"/>
      <c r="O754" s="511"/>
      <c r="P754" s="511"/>
      <c r="Q754" s="511"/>
      <c r="R754" s="511"/>
      <c r="S754" s="511"/>
      <c r="T754" s="511"/>
    </row>
    <row r="755" spans="2:20" ht="12.75" customHeight="1">
      <c r="B755" s="511"/>
      <c r="C755" s="511"/>
      <c r="E755" s="511"/>
      <c r="F755" s="511"/>
      <c r="G755" s="511"/>
      <c r="H755" s="511"/>
      <c r="I755" s="511"/>
      <c r="J755" s="511"/>
      <c r="K755" s="511"/>
      <c r="L755" s="511"/>
      <c r="M755" s="511"/>
      <c r="N755" s="511"/>
      <c r="O755" s="511"/>
      <c r="P755" s="511"/>
      <c r="Q755" s="511"/>
      <c r="R755" s="511"/>
      <c r="S755" s="511"/>
      <c r="T755" s="511"/>
    </row>
    <row r="756" spans="2:20" ht="12.75" customHeight="1">
      <c r="B756" s="511"/>
      <c r="C756" s="511"/>
      <c r="E756" s="511"/>
      <c r="F756" s="511"/>
      <c r="G756" s="511"/>
      <c r="H756" s="511"/>
      <c r="I756" s="511"/>
      <c r="J756" s="511"/>
      <c r="K756" s="511"/>
      <c r="L756" s="511"/>
      <c r="M756" s="511"/>
      <c r="N756" s="511"/>
      <c r="O756" s="511"/>
      <c r="P756" s="511"/>
      <c r="Q756" s="511"/>
      <c r="R756" s="511"/>
      <c r="S756" s="511"/>
      <c r="T756" s="511"/>
    </row>
    <row r="757" spans="2:20" ht="12.75" customHeight="1">
      <c r="B757" s="511"/>
      <c r="C757" s="511"/>
      <c r="E757" s="511"/>
      <c r="F757" s="511"/>
      <c r="G757" s="511"/>
      <c r="H757" s="511"/>
      <c r="I757" s="511"/>
      <c r="J757" s="511"/>
      <c r="K757" s="511"/>
      <c r="L757" s="511"/>
      <c r="M757" s="511"/>
      <c r="N757" s="511"/>
      <c r="O757" s="511"/>
      <c r="P757" s="511"/>
      <c r="Q757" s="511"/>
      <c r="R757" s="511"/>
      <c r="S757" s="511"/>
      <c r="T757" s="511"/>
    </row>
    <row r="758" spans="2:20" ht="12.75" customHeight="1">
      <c r="B758" s="511"/>
      <c r="C758" s="511"/>
      <c r="E758" s="511"/>
      <c r="F758" s="511"/>
      <c r="G758" s="511"/>
      <c r="H758" s="511"/>
      <c r="I758" s="511"/>
      <c r="J758" s="511"/>
      <c r="K758" s="511"/>
      <c r="L758" s="511"/>
      <c r="M758" s="511"/>
      <c r="N758" s="511"/>
      <c r="O758" s="511"/>
      <c r="P758" s="511"/>
      <c r="Q758" s="511"/>
      <c r="R758" s="511"/>
      <c r="S758" s="511"/>
      <c r="T758" s="511"/>
    </row>
    <row r="759" spans="2:20" ht="12.75" customHeight="1">
      <c r="B759" s="511"/>
      <c r="C759" s="511"/>
      <c r="E759" s="511"/>
      <c r="F759" s="511"/>
      <c r="G759" s="511"/>
      <c r="H759" s="511"/>
      <c r="I759" s="511"/>
      <c r="J759" s="511"/>
      <c r="K759" s="511"/>
      <c r="L759" s="511"/>
      <c r="M759" s="511"/>
      <c r="N759" s="511"/>
      <c r="O759" s="511"/>
      <c r="P759" s="511"/>
      <c r="Q759" s="511"/>
      <c r="R759" s="511"/>
      <c r="S759" s="511"/>
      <c r="T759" s="511"/>
    </row>
    <row r="760" spans="2:20" ht="12.75" customHeight="1">
      <c r="B760" s="511"/>
      <c r="C760" s="511"/>
      <c r="E760" s="511"/>
      <c r="F760" s="511"/>
      <c r="G760" s="511"/>
      <c r="H760" s="511"/>
      <c r="I760" s="511"/>
      <c r="J760" s="511"/>
      <c r="K760" s="511"/>
      <c r="L760" s="511"/>
      <c r="M760" s="511"/>
      <c r="N760" s="511"/>
      <c r="O760" s="511"/>
      <c r="P760" s="511"/>
      <c r="Q760" s="511"/>
      <c r="R760" s="511"/>
      <c r="S760" s="511"/>
      <c r="T760" s="511"/>
    </row>
    <row r="761" spans="2:20" ht="12.75" customHeight="1">
      <c r="B761" s="511"/>
      <c r="C761" s="511"/>
      <c r="E761" s="511"/>
      <c r="F761" s="511"/>
      <c r="G761" s="511"/>
      <c r="H761" s="511"/>
      <c r="I761" s="511"/>
      <c r="J761" s="511"/>
      <c r="K761" s="511"/>
      <c r="L761" s="511"/>
      <c r="M761" s="511"/>
      <c r="N761" s="511"/>
      <c r="O761" s="511"/>
      <c r="P761" s="511"/>
      <c r="Q761" s="511"/>
      <c r="R761" s="511"/>
      <c r="S761" s="511"/>
      <c r="T761" s="511"/>
    </row>
    <row r="762" spans="2:20" ht="12.75" customHeight="1">
      <c r="B762" s="511"/>
      <c r="C762" s="511"/>
      <c r="E762" s="511"/>
      <c r="F762" s="511"/>
      <c r="G762" s="511"/>
      <c r="H762" s="511"/>
      <c r="I762" s="511"/>
      <c r="J762" s="511"/>
      <c r="K762" s="511"/>
      <c r="L762" s="511"/>
      <c r="M762" s="511"/>
      <c r="N762" s="511"/>
      <c r="O762" s="511"/>
      <c r="P762" s="511"/>
      <c r="Q762" s="511"/>
      <c r="R762" s="511"/>
      <c r="S762" s="511"/>
      <c r="T762" s="511"/>
    </row>
    <row r="763" spans="2:20" ht="12.75" customHeight="1">
      <c r="B763" s="511"/>
      <c r="C763" s="511"/>
      <c r="E763" s="511"/>
      <c r="F763" s="511"/>
      <c r="G763" s="511"/>
      <c r="H763" s="511"/>
      <c r="I763" s="511"/>
      <c r="J763" s="511"/>
      <c r="K763" s="511"/>
      <c r="L763" s="511"/>
      <c r="M763" s="511"/>
      <c r="N763" s="511"/>
      <c r="O763" s="511"/>
      <c r="P763" s="511"/>
      <c r="Q763" s="511"/>
      <c r="R763" s="511"/>
      <c r="S763" s="511"/>
      <c r="T763" s="511"/>
    </row>
    <row r="764" spans="2:20" ht="12.75" customHeight="1">
      <c r="B764" s="511"/>
      <c r="C764" s="511"/>
      <c r="E764" s="511"/>
      <c r="F764" s="511"/>
      <c r="G764" s="511"/>
      <c r="H764" s="511"/>
      <c r="I764" s="511"/>
      <c r="J764" s="511"/>
      <c r="K764" s="511"/>
      <c r="L764" s="511"/>
      <c r="M764" s="511"/>
      <c r="N764" s="511"/>
      <c r="O764" s="511"/>
      <c r="P764" s="511"/>
      <c r="Q764" s="511"/>
      <c r="R764" s="511"/>
      <c r="S764" s="511"/>
      <c r="T764" s="511"/>
    </row>
    <row r="765" spans="2:20" ht="12.75" customHeight="1">
      <c r="B765" s="511"/>
      <c r="C765" s="511"/>
      <c r="E765" s="511"/>
      <c r="F765" s="511"/>
      <c r="G765" s="511"/>
      <c r="H765" s="511"/>
      <c r="I765" s="511"/>
      <c r="J765" s="511"/>
      <c r="K765" s="511"/>
      <c r="L765" s="511"/>
      <c r="M765" s="511"/>
      <c r="N765" s="511"/>
      <c r="O765" s="511"/>
      <c r="P765" s="511"/>
      <c r="Q765" s="511"/>
      <c r="R765" s="511"/>
      <c r="S765" s="511"/>
      <c r="T765" s="511"/>
    </row>
    <row r="766" spans="2:20" ht="12.75" customHeight="1">
      <c r="B766" s="511"/>
      <c r="C766" s="511"/>
      <c r="E766" s="511"/>
      <c r="F766" s="511"/>
      <c r="G766" s="511"/>
      <c r="H766" s="511"/>
      <c r="I766" s="511"/>
      <c r="J766" s="511"/>
      <c r="K766" s="511"/>
      <c r="L766" s="511"/>
      <c r="M766" s="511"/>
      <c r="N766" s="511"/>
      <c r="O766" s="511"/>
      <c r="P766" s="511"/>
      <c r="Q766" s="511"/>
      <c r="R766" s="511"/>
      <c r="S766" s="511"/>
      <c r="T766" s="511"/>
    </row>
    <row r="767" spans="2:20" ht="12.75" customHeight="1">
      <c r="B767" s="511"/>
      <c r="C767" s="511"/>
      <c r="E767" s="511"/>
      <c r="F767" s="511"/>
      <c r="G767" s="511"/>
      <c r="H767" s="511"/>
      <c r="I767" s="511"/>
      <c r="J767" s="511"/>
      <c r="K767" s="511"/>
      <c r="L767" s="511"/>
      <c r="M767" s="511"/>
      <c r="N767" s="511"/>
      <c r="O767" s="511"/>
      <c r="P767" s="511"/>
      <c r="Q767" s="511"/>
      <c r="R767" s="511"/>
      <c r="S767" s="511"/>
      <c r="T767" s="511"/>
    </row>
    <row r="768" spans="2:20" ht="12.75" customHeight="1">
      <c r="B768" s="511"/>
      <c r="C768" s="511"/>
      <c r="E768" s="511"/>
      <c r="F768" s="511"/>
      <c r="G768" s="511"/>
      <c r="H768" s="511"/>
      <c r="I768" s="511"/>
      <c r="J768" s="511"/>
      <c r="K768" s="511"/>
      <c r="L768" s="511"/>
      <c r="M768" s="511"/>
      <c r="N768" s="511"/>
      <c r="O768" s="511"/>
      <c r="P768" s="511"/>
      <c r="Q768" s="511"/>
      <c r="R768" s="511"/>
      <c r="S768" s="511"/>
      <c r="T768" s="511"/>
    </row>
    <row r="769" spans="2:20" ht="12.75" customHeight="1">
      <c r="B769" s="511"/>
      <c r="C769" s="511"/>
      <c r="E769" s="511"/>
      <c r="F769" s="511"/>
      <c r="G769" s="511"/>
      <c r="H769" s="511"/>
      <c r="I769" s="511"/>
      <c r="J769" s="511"/>
      <c r="K769" s="511"/>
      <c r="L769" s="511"/>
      <c r="M769" s="511"/>
      <c r="N769" s="511"/>
      <c r="O769" s="511"/>
      <c r="P769" s="511"/>
      <c r="Q769" s="511"/>
      <c r="R769" s="511"/>
      <c r="S769" s="511"/>
      <c r="T769" s="511"/>
    </row>
    <row r="770" spans="2:20" ht="12.75" customHeight="1">
      <c r="B770" s="511"/>
      <c r="C770" s="511"/>
      <c r="E770" s="511"/>
      <c r="F770" s="511"/>
      <c r="G770" s="511"/>
      <c r="H770" s="511"/>
      <c r="I770" s="511"/>
      <c r="J770" s="511"/>
      <c r="K770" s="511"/>
      <c r="L770" s="511"/>
      <c r="M770" s="511"/>
      <c r="N770" s="511"/>
      <c r="O770" s="511"/>
      <c r="P770" s="511"/>
      <c r="Q770" s="511"/>
      <c r="R770" s="511"/>
      <c r="S770" s="511"/>
      <c r="T770" s="511"/>
    </row>
    <row r="771" spans="2:20" ht="12.75" customHeight="1">
      <c r="B771" s="511"/>
      <c r="C771" s="511"/>
      <c r="E771" s="511"/>
      <c r="F771" s="511"/>
      <c r="G771" s="511"/>
      <c r="H771" s="511"/>
      <c r="I771" s="511"/>
      <c r="J771" s="511"/>
      <c r="K771" s="511"/>
      <c r="L771" s="511"/>
      <c r="M771" s="511"/>
      <c r="N771" s="511"/>
      <c r="O771" s="511"/>
      <c r="P771" s="511"/>
      <c r="Q771" s="511"/>
      <c r="R771" s="511"/>
      <c r="S771" s="511"/>
      <c r="T771" s="511"/>
    </row>
    <row r="772" spans="2:20" ht="12.75" customHeight="1">
      <c r="B772" s="511"/>
      <c r="C772" s="511"/>
      <c r="E772" s="511"/>
      <c r="F772" s="511"/>
      <c r="G772" s="511"/>
      <c r="H772" s="511"/>
      <c r="I772" s="511"/>
      <c r="J772" s="511"/>
      <c r="K772" s="511"/>
      <c r="L772" s="511"/>
      <c r="M772" s="511"/>
      <c r="N772" s="511"/>
      <c r="O772" s="511"/>
      <c r="P772" s="511"/>
      <c r="Q772" s="511"/>
      <c r="R772" s="511"/>
      <c r="S772" s="511"/>
      <c r="T772" s="511"/>
    </row>
    <row r="773" spans="2:20" ht="12.75" customHeight="1">
      <c r="B773" s="511"/>
      <c r="C773" s="511"/>
      <c r="E773" s="511"/>
      <c r="F773" s="511"/>
      <c r="G773" s="511"/>
      <c r="H773" s="511"/>
      <c r="I773" s="511"/>
      <c r="J773" s="511"/>
      <c r="K773" s="511"/>
      <c r="L773" s="511"/>
      <c r="M773" s="511"/>
      <c r="N773" s="511"/>
      <c r="O773" s="511"/>
      <c r="P773" s="511"/>
      <c r="Q773" s="511"/>
      <c r="R773" s="511"/>
      <c r="S773" s="511"/>
      <c r="T773" s="511"/>
    </row>
    <row r="774" spans="2:20" ht="12.75" customHeight="1">
      <c r="B774" s="511"/>
      <c r="C774" s="511"/>
      <c r="E774" s="511"/>
      <c r="F774" s="511"/>
      <c r="G774" s="511"/>
      <c r="H774" s="511"/>
      <c r="I774" s="511"/>
      <c r="J774" s="511"/>
      <c r="K774" s="511"/>
      <c r="L774" s="511"/>
      <c r="M774" s="511"/>
      <c r="N774" s="511"/>
      <c r="O774" s="511"/>
      <c r="P774" s="511"/>
      <c r="Q774" s="511"/>
      <c r="R774" s="511"/>
      <c r="S774" s="511"/>
      <c r="T774" s="511"/>
    </row>
    <row r="775" spans="2:20" ht="12.75" customHeight="1">
      <c r="B775" s="511"/>
      <c r="C775" s="511"/>
      <c r="E775" s="511"/>
      <c r="F775" s="511"/>
      <c r="G775" s="511"/>
      <c r="H775" s="511"/>
      <c r="I775" s="511"/>
      <c r="J775" s="511"/>
      <c r="K775" s="511"/>
      <c r="L775" s="511"/>
      <c r="M775" s="511"/>
      <c r="N775" s="511"/>
      <c r="O775" s="511"/>
      <c r="P775" s="511"/>
      <c r="Q775" s="511"/>
      <c r="R775" s="511"/>
      <c r="S775" s="511"/>
      <c r="T775" s="511"/>
    </row>
    <row r="776" spans="2:20" ht="12.75" customHeight="1">
      <c r="B776" s="511"/>
      <c r="C776" s="511"/>
      <c r="E776" s="511"/>
      <c r="F776" s="511"/>
      <c r="G776" s="511"/>
      <c r="H776" s="511"/>
      <c r="I776" s="511"/>
      <c r="J776" s="511"/>
      <c r="K776" s="511"/>
      <c r="L776" s="511"/>
      <c r="M776" s="511"/>
      <c r="N776" s="511"/>
      <c r="O776" s="511"/>
      <c r="P776" s="511"/>
      <c r="Q776" s="511"/>
      <c r="R776" s="511"/>
      <c r="S776" s="511"/>
      <c r="T776" s="511"/>
    </row>
    <row r="777" spans="2:20" ht="12.75" customHeight="1">
      <c r="B777" s="511"/>
      <c r="C777" s="511"/>
      <c r="E777" s="511"/>
      <c r="F777" s="511"/>
      <c r="G777" s="511"/>
      <c r="H777" s="511"/>
      <c r="I777" s="511"/>
      <c r="J777" s="511"/>
      <c r="K777" s="511"/>
      <c r="L777" s="511"/>
      <c r="M777" s="511"/>
      <c r="N777" s="511"/>
      <c r="O777" s="511"/>
      <c r="P777" s="511"/>
      <c r="Q777" s="511"/>
      <c r="R777" s="511"/>
      <c r="S777" s="511"/>
      <c r="T777" s="511"/>
    </row>
    <row r="778" spans="2:20" ht="12.75" customHeight="1">
      <c r="B778" s="511"/>
      <c r="C778" s="511"/>
      <c r="E778" s="511"/>
      <c r="F778" s="511"/>
      <c r="G778" s="511"/>
      <c r="H778" s="511"/>
      <c r="I778" s="511"/>
      <c r="J778" s="511"/>
      <c r="K778" s="511"/>
      <c r="L778" s="511"/>
      <c r="M778" s="511"/>
      <c r="N778" s="511"/>
      <c r="O778" s="511"/>
      <c r="P778" s="511"/>
      <c r="Q778" s="511"/>
      <c r="R778" s="511"/>
      <c r="S778" s="511"/>
      <c r="T778" s="511"/>
    </row>
    <row r="779" spans="2:20" ht="12.75" customHeight="1">
      <c r="B779" s="511"/>
      <c r="C779" s="511"/>
      <c r="E779" s="511"/>
      <c r="F779" s="511"/>
      <c r="G779" s="511"/>
      <c r="H779" s="511"/>
      <c r="I779" s="511"/>
      <c r="J779" s="511"/>
      <c r="K779" s="511"/>
      <c r="L779" s="511"/>
      <c r="M779" s="511"/>
      <c r="N779" s="511"/>
      <c r="O779" s="511"/>
      <c r="P779" s="511"/>
      <c r="Q779" s="511"/>
      <c r="R779" s="511"/>
      <c r="S779" s="511"/>
      <c r="T779" s="511"/>
    </row>
    <row r="780" spans="2:20" ht="12.75" customHeight="1">
      <c r="B780" s="511"/>
      <c r="C780" s="511"/>
      <c r="E780" s="511"/>
      <c r="F780" s="511"/>
      <c r="G780" s="511"/>
      <c r="H780" s="511"/>
      <c r="I780" s="511"/>
      <c r="J780" s="511"/>
      <c r="K780" s="511"/>
      <c r="L780" s="511"/>
      <c r="M780" s="511"/>
      <c r="N780" s="511"/>
      <c r="O780" s="511"/>
      <c r="P780" s="511"/>
      <c r="Q780" s="511"/>
      <c r="R780" s="511"/>
      <c r="S780" s="511"/>
      <c r="T780" s="511"/>
    </row>
    <row r="781" spans="2:20" ht="12.75" customHeight="1">
      <c r="B781" s="511"/>
      <c r="C781" s="511"/>
      <c r="E781" s="511"/>
      <c r="F781" s="511"/>
      <c r="G781" s="511"/>
      <c r="H781" s="511"/>
      <c r="I781" s="511"/>
      <c r="J781" s="511"/>
      <c r="K781" s="511"/>
      <c r="L781" s="511"/>
      <c r="M781" s="511"/>
      <c r="N781" s="511"/>
      <c r="O781" s="511"/>
      <c r="P781" s="511"/>
      <c r="Q781" s="511"/>
      <c r="R781" s="511"/>
      <c r="S781" s="511"/>
      <c r="T781" s="511"/>
    </row>
    <row r="782" spans="2:20" ht="12.75" customHeight="1">
      <c r="B782" s="511"/>
      <c r="C782" s="511"/>
      <c r="E782" s="511"/>
      <c r="F782" s="511"/>
      <c r="G782" s="511"/>
      <c r="H782" s="511"/>
      <c r="I782" s="511"/>
      <c r="J782" s="511"/>
      <c r="K782" s="511"/>
      <c r="L782" s="511"/>
      <c r="M782" s="511"/>
      <c r="N782" s="511"/>
      <c r="O782" s="511"/>
      <c r="P782" s="511"/>
      <c r="Q782" s="511"/>
      <c r="R782" s="511"/>
      <c r="S782" s="511"/>
      <c r="T782" s="511"/>
    </row>
    <row r="783" spans="2:20" ht="12.75" customHeight="1">
      <c r="B783" s="511"/>
      <c r="C783" s="511"/>
      <c r="E783" s="511"/>
      <c r="F783" s="511"/>
      <c r="G783" s="511"/>
      <c r="H783" s="511"/>
      <c r="I783" s="511"/>
      <c r="J783" s="511"/>
      <c r="K783" s="511"/>
      <c r="L783" s="511"/>
      <c r="M783" s="511"/>
      <c r="N783" s="511"/>
      <c r="O783" s="511"/>
      <c r="P783" s="511"/>
      <c r="Q783" s="511"/>
      <c r="R783" s="511"/>
      <c r="S783" s="511"/>
      <c r="T783" s="511"/>
    </row>
    <row r="784" spans="2:20" ht="12.75" customHeight="1">
      <c r="B784" s="511"/>
      <c r="C784" s="511"/>
      <c r="E784" s="511"/>
      <c r="F784" s="511"/>
      <c r="G784" s="511"/>
      <c r="H784" s="511"/>
      <c r="I784" s="511"/>
      <c r="J784" s="511"/>
      <c r="K784" s="511"/>
      <c r="L784" s="511"/>
      <c r="M784" s="511"/>
      <c r="N784" s="511"/>
      <c r="O784" s="511"/>
      <c r="P784" s="511"/>
      <c r="Q784" s="511"/>
      <c r="R784" s="511"/>
      <c r="S784" s="511"/>
      <c r="T784" s="511"/>
    </row>
    <row r="785" spans="2:20" ht="12.75" customHeight="1">
      <c r="B785" s="511"/>
      <c r="C785" s="511"/>
      <c r="E785" s="511"/>
      <c r="F785" s="511"/>
      <c r="G785" s="511"/>
      <c r="H785" s="511"/>
      <c r="I785" s="511"/>
      <c r="J785" s="511"/>
      <c r="K785" s="511"/>
      <c r="L785" s="511"/>
      <c r="M785" s="511"/>
      <c r="N785" s="511"/>
      <c r="O785" s="511"/>
      <c r="P785" s="511"/>
      <c r="Q785" s="511"/>
      <c r="R785" s="511"/>
      <c r="S785" s="511"/>
      <c r="T785" s="511"/>
    </row>
    <row r="786" spans="2:20" ht="12.75" customHeight="1">
      <c r="B786" s="511"/>
      <c r="C786" s="511"/>
      <c r="E786" s="511"/>
      <c r="F786" s="511"/>
      <c r="G786" s="511"/>
      <c r="H786" s="511"/>
      <c r="I786" s="511"/>
      <c r="J786" s="511"/>
      <c r="K786" s="511"/>
      <c r="L786" s="511"/>
      <c r="M786" s="511"/>
      <c r="N786" s="511"/>
      <c r="O786" s="511"/>
      <c r="P786" s="511"/>
      <c r="Q786" s="511"/>
      <c r="R786" s="511"/>
      <c r="S786" s="511"/>
      <c r="T786" s="511"/>
    </row>
    <row r="787" spans="2:20" ht="12.75" customHeight="1">
      <c r="B787" s="511"/>
      <c r="C787" s="511"/>
      <c r="E787" s="511"/>
      <c r="F787" s="511"/>
      <c r="G787" s="511"/>
      <c r="H787" s="511"/>
      <c r="I787" s="511"/>
      <c r="J787" s="511"/>
      <c r="K787" s="511"/>
      <c r="L787" s="511"/>
      <c r="M787" s="511"/>
      <c r="N787" s="511"/>
      <c r="O787" s="511"/>
      <c r="P787" s="511"/>
      <c r="Q787" s="511"/>
      <c r="R787" s="511"/>
      <c r="S787" s="511"/>
      <c r="T787" s="511"/>
    </row>
    <row r="788" spans="2:20" ht="12.75" customHeight="1">
      <c r="B788" s="511"/>
      <c r="C788" s="511"/>
      <c r="E788" s="511"/>
      <c r="F788" s="511"/>
      <c r="G788" s="511"/>
      <c r="H788" s="511"/>
      <c r="I788" s="511"/>
      <c r="J788" s="511"/>
      <c r="K788" s="511"/>
      <c r="L788" s="511"/>
      <c r="M788" s="511"/>
      <c r="N788" s="511"/>
      <c r="O788" s="511"/>
      <c r="P788" s="511"/>
      <c r="Q788" s="511"/>
      <c r="R788" s="511"/>
      <c r="S788" s="511"/>
      <c r="T788" s="511"/>
    </row>
    <row r="789" spans="2:20" ht="12.75" customHeight="1">
      <c r="B789" s="511"/>
      <c r="C789" s="511"/>
      <c r="E789" s="511"/>
      <c r="F789" s="511"/>
      <c r="G789" s="511"/>
      <c r="H789" s="511"/>
      <c r="I789" s="511"/>
      <c r="J789" s="511"/>
      <c r="K789" s="511"/>
      <c r="L789" s="511"/>
      <c r="M789" s="511"/>
      <c r="N789" s="511"/>
      <c r="O789" s="511"/>
      <c r="P789" s="511"/>
      <c r="Q789" s="511"/>
      <c r="R789" s="511"/>
      <c r="S789" s="511"/>
      <c r="T789" s="511"/>
    </row>
    <row r="790" spans="2:20" ht="12.75" customHeight="1">
      <c r="B790" s="511"/>
      <c r="C790" s="511"/>
      <c r="E790" s="511"/>
      <c r="F790" s="511"/>
      <c r="G790" s="511"/>
      <c r="H790" s="511"/>
      <c r="I790" s="511"/>
      <c r="J790" s="511"/>
      <c r="K790" s="511"/>
      <c r="L790" s="511"/>
      <c r="M790" s="511"/>
      <c r="N790" s="511"/>
      <c r="O790" s="511"/>
      <c r="P790" s="511"/>
      <c r="Q790" s="511"/>
      <c r="R790" s="511"/>
      <c r="S790" s="511"/>
      <c r="T790" s="511"/>
    </row>
    <row r="791" spans="2:20" ht="12.75" customHeight="1">
      <c r="B791" s="511"/>
      <c r="C791" s="511"/>
      <c r="E791" s="511"/>
      <c r="F791" s="511"/>
      <c r="G791" s="511"/>
      <c r="H791" s="511"/>
      <c r="I791" s="511"/>
      <c r="J791" s="511"/>
      <c r="K791" s="511"/>
      <c r="L791" s="511"/>
      <c r="M791" s="511"/>
      <c r="N791" s="511"/>
      <c r="O791" s="511"/>
      <c r="P791" s="511"/>
      <c r="Q791" s="511"/>
      <c r="R791" s="511"/>
      <c r="S791" s="511"/>
      <c r="T791" s="511"/>
    </row>
    <row r="792" spans="2:20" ht="12.75" customHeight="1">
      <c r="B792" s="511"/>
      <c r="C792" s="511"/>
      <c r="E792" s="511"/>
      <c r="F792" s="511"/>
      <c r="G792" s="511"/>
      <c r="H792" s="511"/>
      <c r="I792" s="511"/>
      <c r="J792" s="511"/>
      <c r="K792" s="511"/>
      <c r="L792" s="511"/>
      <c r="M792" s="511"/>
      <c r="N792" s="511"/>
      <c r="O792" s="511"/>
      <c r="P792" s="511"/>
      <c r="Q792" s="511"/>
      <c r="R792" s="511"/>
      <c r="S792" s="511"/>
      <c r="T792" s="511"/>
    </row>
    <row r="793" spans="2:20" ht="12.75" customHeight="1">
      <c r="B793" s="511"/>
      <c r="C793" s="511"/>
      <c r="E793" s="511"/>
      <c r="F793" s="511"/>
      <c r="G793" s="511"/>
      <c r="H793" s="511"/>
      <c r="I793" s="511"/>
      <c r="J793" s="511"/>
      <c r="K793" s="511"/>
      <c r="L793" s="511"/>
      <c r="M793" s="511"/>
      <c r="N793" s="511"/>
      <c r="O793" s="511"/>
      <c r="P793" s="511"/>
      <c r="Q793" s="511"/>
      <c r="R793" s="511"/>
      <c r="S793" s="511"/>
      <c r="T793" s="511"/>
    </row>
    <row r="794" spans="2:20" ht="12.75" customHeight="1">
      <c r="B794" s="511"/>
      <c r="C794" s="511"/>
      <c r="E794" s="511"/>
      <c r="F794" s="511"/>
      <c r="G794" s="511"/>
      <c r="H794" s="511"/>
      <c r="I794" s="511"/>
      <c r="J794" s="511"/>
      <c r="K794" s="511"/>
      <c r="L794" s="511"/>
      <c r="M794" s="511"/>
      <c r="N794" s="511"/>
      <c r="O794" s="511"/>
      <c r="P794" s="511"/>
      <c r="Q794" s="511"/>
      <c r="R794" s="511"/>
      <c r="S794" s="511"/>
      <c r="T794" s="511"/>
    </row>
    <row r="795" spans="2:20" ht="12.75" customHeight="1">
      <c r="B795" s="511"/>
      <c r="C795" s="511"/>
      <c r="E795" s="511"/>
      <c r="F795" s="511"/>
      <c r="G795" s="511"/>
      <c r="H795" s="511"/>
      <c r="I795" s="511"/>
      <c r="J795" s="511"/>
      <c r="K795" s="511"/>
      <c r="L795" s="511"/>
      <c r="M795" s="511"/>
      <c r="N795" s="511"/>
      <c r="O795" s="511"/>
      <c r="P795" s="511"/>
      <c r="Q795" s="511"/>
      <c r="R795" s="511"/>
      <c r="S795" s="511"/>
      <c r="T795" s="511"/>
    </row>
    <row r="796" spans="2:20" ht="12.75" customHeight="1">
      <c r="B796" s="511"/>
      <c r="C796" s="511"/>
      <c r="E796" s="511"/>
      <c r="F796" s="511"/>
      <c r="G796" s="511"/>
      <c r="H796" s="511"/>
      <c r="I796" s="511"/>
      <c r="J796" s="511"/>
      <c r="K796" s="511"/>
      <c r="L796" s="511"/>
      <c r="M796" s="511"/>
      <c r="N796" s="511"/>
      <c r="O796" s="511"/>
      <c r="P796" s="511"/>
      <c r="Q796" s="511"/>
      <c r="R796" s="511"/>
      <c r="S796" s="511"/>
      <c r="T796" s="511"/>
    </row>
    <row r="797" spans="2:20" ht="12.75" customHeight="1">
      <c r="B797" s="511"/>
      <c r="C797" s="511"/>
      <c r="E797" s="511"/>
      <c r="F797" s="511"/>
      <c r="G797" s="511"/>
      <c r="H797" s="511"/>
      <c r="I797" s="511"/>
      <c r="J797" s="511"/>
      <c r="K797" s="511"/>
      <c r="L797" s="511"/>
      <c r="M797" s="511"/>
      <c r="N797" s="511"/>
      <c r="O797" s="511"/>
      <c r="P797" s="511"/>
      <c r="Q797" s="511"/>
      <c r="R797" s="511"/>
      <c r="S797" s="511"/>
      <c r="T797" s="511"/>
    </row>
    <row r="798" spans="2:20" ht="12.75" customHeight="1">
      <c r="B798" s="511"/>
      <c r="C798" s="511"/>
      <c r="E798" s="511"/>
      <c r="F798" s="511"/>
      <c r="G798" s="511"/>
      <c r="H798" s="511"/>
      <c r="I798" s="511"/>
      <c r="J798" s="511"/>
      <c r="K798" s="511"/>
      <c r="L798" s="511"/>
      <c r="M798" s="511"/>
      <c r="N798" s="511"/>
      <c r="O798" s="511"/>
      <c r="P798" s="511"/>
      <c r="Q798" s="511"/>
      <c r="R798" s="511"/>
      <c r="S798" s="511"/>
      <c r="T798" s="511"/>
    </row>
    <row r="799" spans="2:20" ht="12.75" customHeight="1">
      <c r="B799" s="511"/>
      <c r="C799" s="511"/>
      <c r="E799" s="511"/>
      <c r="F799" s="511"/>
      <c r="G799" s="511"/>
      <c r="H799" s="511"/>
      <c r="I799" s="511"/>
      <c r="J799" s="511"/>
      <c r="K799" s="511"/>
      <c r="L799" s="511"/>
      <c r="M799" s="511"/>
      <c r="N799" s="511"/>
      <c r="O799" s="511"/>
      <c r="P799" s="511"/>
      <c r="Q799" s="511"/>
      <c r="R799" s="511"/>
      <c r="S799" s="511"/>
      <c r="T799" s="511"/>
    </row>
    <row r="800" spans="2:20" ht="12.75" customHeight="1">
      <c r="B800" s="511"/>
      <c r="C800" s="511"/>
      <c r="E800" s="511"/>
      <c r="F800" s="511"/>
      <c r="G800" s="511"/>
      <c r="H800" s="511"/>
      <c r="I800" s="511"/>
      <c r="J800" s="511"/>
      <c r="K800" s="511"/>
      <c r="L800" s="511"/>
      <c r="M800" s="511"/>
      <c r="N800" s="511"/>
      <c r="O800" s="511"/>
      <c r="P800" s="511"/>
      <c r="Q800" s="511"/>
      <c r="R800" s="511"/>
      <c r="S800" s="511"/>
      <c r="T800" s="511"/>
    </row>
    <row r="801" spans="2:20" ht="12.75" customHeight="1">
      <c r="B801" s="511"/>
      <c r="C801" s="511"/>
      <c r="E801" s="511"/>
      <c r="F801" s="511"/>
      <c r="G801" s="511"/>
      <c r="H801" s="511"/>
      <c r="I801" s="511"/>
      <c r="J801" s="511"/>
      <c r="K801" s="511"/>
      <c r="L801" s="511"/>
      <c r="M801" s="511"/>
      <c r="N801" s="511"/>
      <c r="O801" s="511"/>
      <c r="P801" s="511"/>
      <c r="Q801" s="511"/>
      <c r="R801" s="511"/>
      <c r="S801" s="511"/>
      <c r="T801" s="511"/>
    </row>
    <row r="802" spans="2:20" ht="12.75" customHeight="1">
      <c r="B802" s="511"/>
      <c r="C802" s="511"/>
      <c r="E802" s="511"/>
      <c r="F802" s="511"/>
      <c r="G802" s="511"/>
      <c r="H802" s="511"/>
      <c r="I802" s="511"/>
      <c r="J802" s="511"/>
      <c r="K802" s="511"/>
      <c r="L802" s="511"/>
      <c r="M802" s="511"/>
      <c r="N802" s="511"/>
      <c r="O802" s="511"/>
      <c r="P802" s="511"/>
      <c r="Q802" s="511"/>
      <c r="R802" s="511"/>
      <c r="S802" s="511"/>
      <c r="T802" s="511"/>
    </row>
    <row r="803" spans="2:20" ht="12.75" customHeight="1">
      <c r="B803" s="511"/>
      <c r="C803" s="511"/>
      <c r="E803" s="511"/>
      <c r="F803" s="511"/>
      <c r="G803" s="511"/>
      <c r="H803" s="511"/>
      <c r="I803" s="511"/>
      <c r="J803" s="511"/>
      <c r="K803" s="511"/>
      <c r="L803" s="511"/>
      <c r="M803" s="511"/>
      <c r="N803" s="511"/>
      <c r="O803" s="511"/>
      <c r="P803" s="511"/>
      <c r="Q803" s="511"/>
      <c r="R803" s="511"/>
      <c r="S803" s="511"/>
      <c r="T803" s="511"/>
    </row>
    <row r="804" spans="2:20" ht="12.75" customHeight="1">
      <c r="B804" s="511"/>
      <c r="C804" s="511"/>
      <c r="E804" s="511"/>
      <c r="F804" s="511"/>
      <c r="G804" s="511"/>
      <c r="H804" s="511"/>
      <c r="I804" s="511"/>
      <c r="J804" s="511"/>
      <c r="K804" s="511"/>
      <c r="L804" s="511"/>
      <c r="M804" s="511"/>
      <c r="N804" s="511"/>
      <c r="O804" s="511"/>
      <c r="P804" s="511"/>
      <c r="Q804" s="511"/>
      <c r="R804" s="511"/>
      <c r="S804" s="511"/>
      <c r="T804" s="511"/>
    </row>
  </sheetData>
  <mergeCells count="135">
    <mergeCell ref="B370:V370"/>
    <mergeCell ref="F275:H275"/>
    <mergeCell ref="J346:V346"/>
    <mergeCell ref="F346:H346"/>
    <mergeCell ref="CK348:CM348"/>
    <mergeCell ref="CK215:CM215"/>
    <mergeCell ref="CK81:CM81"/>
    <mergeCell ref="CK136:CM136"/>
    <mergeCell ref="CK144:CM144"/>
    <mergeCell ref="CK159:CM159"/>
    <mergeCell ref="CK198:CM198"/>
    <mergeCell ref="CK206:CM206"/>
    <mergeCell ref="CK162:CM162"/>
    <mergeCell ref="CK85:CM85"/>
    <mergeCell ref="CK115:CM115"/>
    <mergeCell ref="CK177:CM177"/>
    <mergeCell ref="CK131:CM131"/>
    <mergeCell ref="CK190:CM190"/>
    <mergeCell ref="CK160:CM160"/>
    <mergeCell ref="CK273:CM273"/>
    <mergeCell ref="CK261:CM261"/>
    <mergeCell ref="CK330:CM330"/>
    <mergeCell ref="CK146:CM146"/>
    <mergeCell ref="B275:D275"/>
    <mergeCell ref="B346:D346"/>
    <mergeCell ref="B31:D31"/>
    <mergeCell ref="CK274:CM274"/>
    <mergeCell ref="CK176:CM176"/>
    <mergeCell ref="CK254:CM254"/>
    <mergeCell ref="CK260:CM260"/>
    <mergeCell ref="CK263:CM263"/>
    <mergeCell ref="CK266:CM266"/>
    <mergeCell ref="CK207:CM207"/>
    <mergeCell ref="CK275:CM275"/>
    <mergeCell ref="CK269:CM269"/>
    <mergeCell ref="CK257:CM257"/>
    <mergeCell ref="CK271:CM271"/>
    <mergeCell ref="CK197:CM197"/>
    <mergeCell ref="CK265:CM265"/>
    <mergeCell ref="CK229:CM229"/>
    <mergeCell ref="CK78:CM78"/>
    <mergeCell ref="CK61:CM61"/>
    <mergeCell ref="CK47:CM47"/>
    <mergeCell ref="CK77:CM77"/>
    <mergeCell ref="J31:V31"/>
    <mergeCell ref="F31:H31"/>
    <mergeCell ref="J275:V275"/>
    <mergeCell ref="CK298:CM298"/>
    <mergeCell ref="B374:V374"/>
    <mergeCell ref="B360:V360"/>
    <mergeCell ref="B362:V362"/>
    <mergeCell ref="B364:V364"/>
    <mergeCell ref="B366:V366"/>
    <mergeCell ref="B372:V372"/>
    <mergeCell ref="B368:V368"/>
    <mergeCell ref="B358:V358"/>
    <mergeCell ref="CK212:CM212"/>
    <mergeCell ref="B352:V352"/>
    <mergeCell ref="CK346:CM346"/>
    <mergeCell ref="CK244:CM244"/>
    <mergeCell ref="CK347:CM347"/>
    <mergeCell ref="CK235:CM235"/>
    <mergeCell ref="CK272:CM272"/>
    <mergeCell ref="CK216:CM216"/>
    <mergeCell ref="B354:V354"/>
    <mergeCell ref="B356:V356"/>
    <mergeCell ref="CK350:CM350"/>
    <mergeCell ref="CK276:CM276"/>
    <mergeCell ref="CK228:CM228"/>
    <mergeCell ref="CK223:CM223"/>
    <mergeCell ref="CK289:CM289"/>
    <mergeCell ref="CK246:CM246"/>
    <mergeCell ref="A1:A2"/>
    <mergeCell ref="E1:F2"/>
    <mergeCell ref="K1:L1"/>
    <mergeCell ref="M1:N1"/>
    <mergeCell ref="B1:D2"/>
    <mergeCell ref="AJ6:AK6"/>
    <mergeCell ref="AI1:AI2"/>
    <mergeCell ref="AJ1:CM1"/>
    <mergeCell ref="H2:I2"/>
    <mergeCell ref="K2:N2"/>
    <mergeCell ref="P2:R2"/>
    <mergeCell ref="AJ2:AK2"/>
    <mergeCell ref="AL2:CM2"/>
    <mergeCell ref="P1:R1"/>
    <mergeCell ref="AJ3:AK3"/>
    <mergeCell ref="AL3:CM3"/>
    <mergeCell ref="AJ4:AK4"/>
    <mergeCell ref="AL4:CM5"/>
    <mergeCell ref="AJ5:AK5"/>
    <mergeCell ref="CK7:CM7"/>
    <mergeCell ref="CK8:CM8"/>
    <mergeCell ref="CK9:CM9"/>
    <mergeCell ref="CK10:CM10"/>
    <mergeCell ref="CK22:CM23"/>
    <mergeCell ref="CK100:CM100"/>
    <mergeCell ref="CK147:CM147"/>
    <mergeCell ref="CK117:CM117"/>
    <mergeCell ref="CK139:CM139"/>
    <mergeCell ref="CK116:CM116"/>
    <mergeCell ref="CK104:CM104"/>
    <mergeCell ref="CK130:CM130"/>
    <mergeCell ref="CK37:CM37"/>
    <mergeCell ref="CK39:CM39"/>
    <mergeCell ref="CK86:CM86"/>
    <mergeCell ref="CK83:CM83"/>
    <mergeCell ref="CK43:CM43"/>
    <mergeCell ref="CK129:CM129"/>
    <mergeCell ref="CK98:CM98"/>
    <mergeCell ref="CK57:CM57"/>
    <mergeCell ref="CK145:CM145"/>
    <mergeCell ref="CK25:CM26"/>
    <mergeCell ref="CK33:CM33"/>
    <mergeCell ref="CK13:CM13"/>
    <mergeCell ref="CK333:CM333"/>
    <mergeCell ref="CK14:CM14"/>
    <mergeCell ref="CK15:CM15"/>
    <mergeCell ref="CK16:CM16"/>
    <mergeCell ref="BM14:BM31"/>
    <mergeCell ref="CK31:CM31"/>
    <mergeCell ref="CK193:CM193"/>
    <mergeCell ref="CK220:CM220"/>
    <mergeCell ref="CK132:CM132"/>
    <mergeCell ref="CK161:CM161"/>
    <mergeCell ref="CK183:CM183"/>
    <mergeCell ref="CK181:CM181"/>
    <mergeCell ref="CK36:CM36"/>
    <mergeCell ref="CK32:CM32"/>
    <mergeCell ref="CK35:CM35"/>
    <mergeCell ref="CK34:CM34"/>
    <mergeCell ref="CK76:CM76"/>
    <mergeCell ref="CK113:CM113"/>
    <mergeCell ref="CK158:CM158"/>
    <mergeCell ref="CK64:CM64"/>
  </mergeCells>
  <conditionalFormatting sqref="BM274:BM275 BM54:BM75 BM135:BM144 BM77:BM112 BM114:BM132 BM157 BM159:BM253 BM147:BM155">
    <cfRule type="cellIs" dxfId="338" priority="37" operator="lessThan">
      <formula>26</formula>
    </cfRule>
  </conditionalFormatting>
  <conditionalFormatting sqref="BM276:BM288 BM318:BM345">
    <cfRule type="cellIs" dxfId="337" priority="35" operator="lessThan">
      <formula>26</formula>
    </cfRule>
  </conditionalFormatting>
  <conditionalFormatting sqref="BM32 BM43:BM50 BM39:BM40">
    <cfRule type="cellIs" dxfId="336" priority="33" operator="lessThan">
      <formula>26</formula>
    </cfRule>
  </conditionalFormatting>
  <conditionalFormatting sqref="BM254 BM256:BM259">
    <cfRule type="cellIs" dxfId="335" priority="21" operator="lessThan">
      <formula>26</formula>
    </cfRule>
  </conditionalFormatting>
  <conditionalFormatting sqref="BM260:BM262">
    <cfRule type="cellIs" dxfId="334" priority="20" operator="lessThan">
      <formula>26</formula>
    </cfRule>
  </conditionalFormatting>
  <conditionalFormatting sqref="BM263:BM265">
    <cfRule type="cellIs" dxfId="333" priority="19" operator="lessThan">
      <formula>26</formula>
    </cfRule>
  </conditionalFormatting>
  <conditionalFormatting sqref="BM51:BM53">
    <cfRule type="cellIs" dxfId="332" priority="18" operator="lessThan">
      <formula>26</formula>
    </cfRule>
  </conditionalFormatting>
  <conditionalFormatting sqref="BM266:BM268">
    <cfRule type="cellIs" dxfId="331" priority="16" operator="lessThan">
      <formula>26</formula>
    </cfRule>
  </conditionalFormatting>
  <conditionalFormatting sqref="BM41:BM42">
    <cfRule type="cellIs" dxfId="330" priority="15" operator="lessThan">
      <formula>26</formula>
    </cfRule>
  </conditionalFormatting>
  <conditionalFormatting sqref="BM37:BM38">
    <cfRule type="cellIs" dxfId="329" priority="14" operator="lessThan">
      <formula>26</formula>
    </cfRule>
  </conditionalFormatting>
  <conditionalFormatting sqref="BM269:BM270">
    <cfRule type="cellIs" dxfId="328" priority="13" operator="lessThan">
      <formula>26</formula>
    </cfRule>
  </conditionalFormatting>
  <conditionalFormatting sqref="BM133:BM134">
    <cfRule type="cellIs" dxfId="327" priority="12" operator="lessThan">
      <formula>26</formula>
    </cfRule>
  </conditionalFormatting>
  <conditionalFormatting sqref="BM271">
    <cfRule type="cellIs" dxfId="326" priority="11" operator="lessThan">
      <formula>26</formula>
    </cfRule>
  </conditionalFormatting>
  <conditionalFormatting sqref="BM35:BM36">
    <cfRule type="cellIs" dxfId="325" priority="10" operator="lessThan">
      <formula>26</formula>
    </cfRule>
  </conditionalFormatting>
  <conditionalFormatting sqref="BM272:BM273">
    <cfRule type="cellIs" dxfId="324" priority="9" operator="lessThan">
      <formula>26</formula>
    </cfRule>
  </conditionalFormatting>
  <conditionalFormatting sqref="BM255">
    <cfRule type="cellIs" dxfId="323" priority="8" operator="lessThan">
      <formula>26</formula>
    </cfRule>
  </conditionalFormatting>
  <conditionalFormatting sqref="BM33:BM34">
    <cfRule type="cellIs" dxfId="322" priority="7" operator="lessThan">
      <formula>26</formula>
    </cfRule>
  </conditionalFormatting>
  <conditionalFormatting sqref="BM289:BM317">
    <cfRule type="cellIs" dxfId="321" priority="5" operator="lessThan">
      <formula>26</formula>
    </cfRule>
  </conditionalFormatting>
  <conditionalFormatting sqref="BM76">
    <cfRule type="cellIs" dxfId="320" priority="4" operator="lessThan">
      <formula>26</formula>
    </cfRule>
  </conditionalFormatting>
  <conditionalFormatting sqref="BM113">
    <cfRule type="cellIs" dxfId="319" priority="3" operator="lessThan">
      <formula>26</formula>
    </cfRule>
  </conditionalFormatting>
  <conditionalFormatting sqref="BM156">
    <cfRule type="cellIs" dxfId="318" priority="2" operator="lessThan">
      <formula>26</formula>
    </cfRule>
  </conditionalFormatting>
  <conditionalFormatting sqref="BM158">
    <cfRule type="cellIs" dxfId="317" priority="1" operator="lessThan">
      <formula>26</formula>
    </cfRule>
  </conditionalFormatting>
  <hyperlinks>
    <hyperlink ref="BM14" r:id="rId1" location="7" display="http://tangotiger.com/index.php/site/comments/scoring-system-for-hof-ballots-2015 - 7" xr:uid="{00000000-0004-0000-0200-000000000000}"/>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N801"/>
  <sheetViews>
    <sheetView workbookViewId="0" xr3:uid="{AEA406A1-0E4B-5B11-9CD5-51D6E497D94C}">
      <pane xSplit="1" ySplit="5" topLeftCell="B6" activePane="bottomRight" state="frozen"/>
      <selection pane="bottomRight" activeCell="A3" sqref="A3"/>
      <selection pane="bottomLeft" activeCell="A6" sqref="A6"/>
      <selection pane="topRight" activeCell="B1" sqref="B1"/>
    </sheetView>
  </sheetViews>
  <sheetFormatPr defaultColWidth="14.42578125" defaultRowHeight="12.75" customHeight="1" outlineLevelCol="1"/>
  <cols>
    <col min="1" max="1" width="28" style="137" customWidth="1"/>
    <col min="2" max="20" width="7.85546875" style="137" customWidth="1"/>
    <col min="21" max="35" width="6.7109375" style="137" hidden="1" customWidth="1" outlineLevel="1"/>
    <col min="36" max="36" width="6.7109375" style="137" customWidth="1" collapsed="1"/>
    <col min="37" max="37" width="20" style="491" customWidth="1"/>
    <col min="38" max="38" width="11.42578125" style="137" customWidth="1"/>
    <col min="39" max="39" width="1.42578125" style="137" hidden="1" customWidth="1"/>
    <col min="40" max="40" width="2.42578125" style="137" hidden="1" customWidth="1"/>
    <col min="41" max="64" width="3" style="137" hidden="1" customWidth="1"/>
    <col min="65" max="66" width="8" style="137" hidden="1" customWidth="1"/>
    <col min="67" max="89" width="3.7109375" style="137" hidden="1" customWidth="1"/>
    <col min="90" max="90" width="15.28515625" style="137" customWidth="1"/>
    <col min="91" max="91" width="2.28515625" style="137" customWidth="1"/>
    <col min="92" max="92" width="8.28515625" style="137" customWidth="1"/>
    <col min="93" max="16384" width="14.42578125" style="137"/>
  </cols>
  <sheetData>
    <row r="1" spans="1:92" ht="39.950000000000003" customHeight="1" thickTop="1" thickBot="1">
      <c r="A1" s="686" t="str">
        <f>HYPERLINK("http://www.twitter.com/NotMrTibbs", "Follow 
@NotMrTibbs")</f>
        <v>Follow 
@NotMrTibbs</v>
      </c>
      <c r="B1" s="407"/>
      <c r="C1" s="766" t="s">
        <v>0</v>
      </c>
      <c r="D1" s="696"/>
      <c r="E1" s="688">
        <f>(COUNTA($A32:$A347)-I1)</f>
        <v>309</v>
      </c>
      <c r="F1" s="689"/>
      <c r="G1" s="386"/>
      <c r="H1" s="473" t="s">
        <v>1</v>
      </c>
      <c r="I1" s="468">
        <f>COUNTA(A342:A347)</f>
        <v>5</v>
      </c>
      <c r="J1" s="387"/>
      <c r="K1" s="690" t="s">
        <v>2</v>
      </c>
      <c r="L1" s="691"/>
      <c r="M1" s="692">
        <f>(E1+I1)/442</f>
        <v>0.71040723981900455</v>
      </c>
      <c r="N1" s="693"/>
      <c r="O1" s="388"/>
      <c r="P1" s="719" t="s">
        <v>3</v>
      </c>
      <c r="Q1" s="720"/>
      <c r="R1" s="720"/>
      <c r="S1" s="626">
        <f>AVERAGE(AJ32:AJ347)</f>
        <v>8.4267515923566876</v>
      </c>
      <c r="T1" s="505">
        <f>SUM(B5:AI5)</f>
        <v>2646</v>
      </c>
      <c r="U1" s="389"/>
      <c r="V1" s="389"/>
      <c r="W1" s="433"/>
      <c r="X1" s="433"/>
      <c r="Y1" s="433"/>
      <c r="Z1" s="433"/>
      <c r="AA1" s="433"/>
      <c r="AB1" s="433"/>
      <c r="AC1" s="433"/>
      <c r="AD1" s="433"/>
      <c r="AE1" s="433"/>
      <c r="AF1" s="433"/>
      <c r="AG1" s="433"/>
      <c r="AH1" s="433"/>
      <c r="AI1" s="433"/>
      <c r="AJ1" s="702" t="s">
        <v>4</v>
      </c>
      <c r="AK1" s="704" t="s">
        <v>5</v>
      </c>
      <c r="AL1" s="705"/>
      <c r="AM1" s="705"/>
      <c r="AN1" s="705"/>
      <c r="AO1" s="705"/>
      <c r="AP1" s="705"/>
      <c r="AQ1" s="705"/>
      <c r="AR1" s="705"/>
      <c r="AS1" s="705"/>
      <c r="AT1" s="705"/>
      <c r="AU1" s="705"/>
      <c r="AV1" s="705"/>
      <c r="AW1" s="705"/>
      <c r="AX1" s="705"/>
      <c r="AY1" s="705"/>
      <c r="AZ1" s="705"/>
      <c r="BA1" s="705"/>
      <c r="BB1" s="705"/>
      <c r="BC1" s="705"/>
      <c r="BD1" s="705"/>
      <c r="BE1" s="705"/>
      <c r="BF1" s="705"/>
      <c r="BG1" s="705"/>
      <c r="BH1" s="705"/>
      <c r="BI1" s="705"/>
      <c r="BJ1" s="705"/>
      <c r="BK1" s="705"/>
      <c r="BL1" s="705"/>
      <c r="BM1" s="705"/>
      <c r="BN1" s="705"/>
      <c r="BO1" s="705"/>
      <c r="BP1" s="705"/>
      <c r="BQ1" s="705"/>
      <c r="BR1" s="705"/>
      <c r="BS1" s="705"/>
      <c r="BT1" s="705"/>
      <c r="BU1" s="705"/>
      <c r="BV1" s="705"/>
      <c r="BW1" s="705"/>
      <c r="BX1" s="705"/>
      <c r="BY1" s="705"/>
      <c r="BZ1" s="705"/>
      <c r="CA1" s="705"/>
      <c r="CB1" s="705"/>
      <c r="CC1" s="705"/>
      <c r="CD1" s="705"/>
      <c r="CE1" s="705"/>
      <c r="CF1" s="705"/>
      <c r="CG1" s="705"/>
      <c r="CH1" s="705"/>
      <c r="CI1" s="705"/>
      <c r="CJ1" s="705"/>
      <c r="CK1" s="705"/>
      <c r="CL1" s="705"/>
      <c r="CM1" s="705"/>
      <c r="CN1" s="706"/>
    </row>
    <row r="2" spans="1:92" ht="39.950000000000003" customHeight="1" thickTop="1" thickBot="1">
      <c r="A2" s="687"/>
      <c r="B2" s="408"/>
      <c r="C2" s="767"/>
      <c r="D2" s="768"/>
      <c r="E2" s="688"/>
      <c r="F2" s="689"/>
      <c r="G2" s="390"/>
      <c r="H2" s="707" t="s">
        <v>6</v>
      </c>
      <c r="I2" s="708"/>
      <c r="J2" s="391"/>
      <c r="K2" s="709" t="s">
        <v>492</v>
      </c>
      <c r="L2" s="710"/>
      <c r="M2" s="710"/>
      <c r="N2" s="711"/>
      <c r="O2" s="392"/>
      <c r="P2" s="712" t="s">
        <v>8</v>
      </c>
      <c r="Q2" s="713"/>
      <c r="R2" s="713"/>
      <c r="S2" s="630">
        <f>T2</f>
        <v>7.4140625</v>
      </c>
      <c r="T2" s="393">
        <f>(AJ13-T1)/AJ5</f>
        <v>7.4140625</v>
      </c>
      <c r="U2" s="394"/>
      <c r="V2" s="394"/>
      <c r="W2" s="434"/>
      <c r="X2" s="435"/>
      <c r="Y2" s="435"/>
      <c r="Z2" s="436"/>
      <c r="AA2" s="437"/>
      <c r="AB2" s="437"/>
      <c r="AC2" s="437"/>
      <c r="AD2" s="437"/>
      <c r="AE2" s="437"/>
      <c r="AF2" s="437"/>
      <c r="AG2" s="437"/>
      <c r="AH2" s="437"/>
      <c r="AI2" s="437"/>
      <c r="AJ2" s="703"/>
      <c r="AK2" s="714" t="s">
        <v>9</v>
      </c>
      <c r="AL2" s="715"/>
      <c r="AM2" s="716" t="s">
        <v>10</v>
      </c>
      <c r="AN2" s="717"/>
      <c r="AO2" s="717"/>
      <c r="AP2" s="717"/>
      <c r="AQ2" s="717"/>
      <c r="AR2" s="717"/>
      <c r="AS2" s="717"/>
      <c r="AT2" s="717"/>
      <c r="AU2" s="717"/>
      <c r="AV2" s="717"/>
      <c r="AW2" s="717"/>
      <c r="AX2" s="717"/>
      <c r="AY2" s="717"/>
      <c r="AZ2" s="717"/>
      <c r="BA2" s="717"/>
      <c r="BB2" s="717"/>
      <c r="BC2" s="717"/>
      <c r="BD2" s="717"/>
      <c r="BE2" s="717"/>
      <c r="BF2" s="717"/>
      <c r="BG2" s="717"/>
      <c r="BH2" s="717"/>
      <c r="BI2" s="717"/>
      <c r="BJ2" s="717"/>
      <c r="BK2" s="717"/>
      <c r="BL2" s="717"/>
      <c r="BM2" s="717"/>
      <c r="BN2" s="717"/>
      <c r="BO2" s="717"/>
      <c r="BP2" s="717"/>
      <c r="BQ2" s="717"/>
      <c r="BR2" s="717"/>
      <c r="BS2" s="717"/>
      <c r="BT2" s="717"/>
      <c r="BU2" s="717"/>
      <c r="BV2" s="717"/>
      <c r="BW2" s="717"/>
      <c r="BX2" s="717"/>
      <c r="BY2" s="717"/>
      <c r="BZ2" s="717"/>
      <c r="CA2" s="717"/>
      <c r="CB2" s="717"/>
      <c r="CC2" s="717"/>
      <c r="CD2" s="717"/>
      <c r="CE2" s="717"/>
      <c r="CF2" s="717"/>
      <c r="CG2" s="717"/>
      <c r="CH2" s="717"/>
      <c r="CI2" s="717"/>
      <c r="CJ2" s="717"/>
      <c r="CK2" s="717"/>
      <c r="CL2" s="717"/>
      <c r="CM2" s="717"/>
      <c r="CN2" s="718"/>
    </row>
    <row r="3" spans="1:92" ht="43.5" customHeight="1" thickBot="1">
      <c r="A3" s="395" t="s">
        <v>493</v>
      </c>
      <c r="B3" s="445" t="s">
        <v>494</v>
      </c>
      <c r="C3" s="445" t="s">
        <v>495</v>
      </c>
      <c r="D3" s="445" t="s">
        <v>496</v>
      </c>
      <c r="E3" s="446" t="s">
        <v>497</v>
      </c>
      <c r="F3" s="445" t="s">
        <v>498</v>
      </c>
      <c r="G3" s="445" t="s">
        <v>499</v>
      </c>
      <c r="H3" s="445" t="s">
        <v>500</v>
      </c>
      <c r="I3" s="447" t="s">
        <v>501</v>
      </c>
      <c r="J3" s="445" t="s">
        <v>502</v>
      </c>
      <c r="K3" s="446" t="s">
        <v>503</v>
      </c>
      <c r="L3" s="448" t="s">
        <v>504</v>
      </c>
      <c r="M3" s="446" t="s">
        <v>505</v>
      </c>
      <c r="N3" s="396" t="s">
        <v>506</v>
      </c>
      <c r="O3" s="445" t="s">
        <v>507</v>
      </c>
      <c r="P3" s="445" t="s">
        <v>508</v>
      </c>
      <c r="Q3" s="448" t="s">
        <v>509</v>
      </c>
      <c r="R3" s="445" t="s">
        <v>510</v>
      </c>
      <c r="S3" s="445" t="s">
        <v>511</v>
      </c>
      <c r="T3" s="445" t="s">
        <v>512</v>
      </c>
      <c r="U3" s="396" t="s">
        <v>513</v>
      </c>
      <c r="V3" s="396" t="s">
        <v>514</v>
      </c>
      <c r="W3" s="396" t="s">
        <v>515</v>
      </c>
      <c r="X3" s="396" t="s">
        <v>516</v>
      </c>
      <c r="Y3" s="396" t="s">
        <v>517</v>
      </c>
      <c r="Z3" s="396" t="s">
        <v>518</v>
      </c>
      <c r="AA3" s="396" t="s">
        <v>519</v>
      </c>
      <c r="AB3" s="396" t="s">
        <v>520</v>
      </c>
      <c r="AC3" s="396" t="s">
        <v>521</v>
      </c>
      <c r="AD3" s="396" t="s">
        <v>522</v>
      </c>
      <c r="AE3" s="396" t="s">
        <v>523</v>
      </c>
      <c r="AF3" s="396" t="s">
        <v>524</v>
      </c>
      <c r="AG3" s="396" t="s">
        <v>525</v>
      </c>
      <c r="AH3" s="396" t="s">
        <v>526</v>
      </c>
      <c r="AI3" s="396" t="s">
        <v>527</v>
      </c>
      <c r="AJ3" s="503"/>
      <c r="AK3" s="721" t="s">
        <v>45</v>
      </c>
      <c r="AL3" s="722"/>
      <c r="AM3" s="723" t="s">
        <v>46</v>
      </c>
      <c r="AN3" s="724"/>
      <c r="AO3" s="724"/>
      <c r="AP3" s="724"/>
      <c r="AQ3" s="724"/>
      <c r="AR3" s="724"/>
      <c r="AS3" s="724"/>
      <c r="AT3" s="724"/>
      <c r="AU3" s="724"/>
      <c r="AV3" s="724"/>
      <c r="AW3" s="724"/>
      <c r="AX3" s="724"/>
      <c r="AY3" s="724"/>
      <c r="AZ3" s="724"/>
      <c r="BA3" s="724"/>
      <c r="BB3" s="724"/>
      <c r="BC3" s="724"/>
      <c r="BD3" s="724"/>
      <c r="BE3" s="724"/>
      <c r="BF3" s="724"/>
      <c r="BG3" s="724"/>
      <c r="BH3" s="724"/>
      <c r="BI3" s="724"/>
      <c r="BJ3" s="724"/>
      <c r="BK3" s="724"/>
      <c r="BL3" s="724"/>
      <c r="BM3" s="724"/>
      <c r="BN3" s="724"/>
      <c r="BO3" s="724"/>
      <c r="BP3" s="724"/>
      <c r="BQ3" s="724"/>
      <c r="BR3" s="724"/>
      <c r="BS3" s="724"/>
      <c r="BT3" s="724"/>
      <c r="BU3" s="724"/>
      <c r="BV3" s="724"/>
      <c r="BW3" s="724"/>
      <c r="BX3" s="724"/>
      <c r="BY3" s="724"/>
      <c r="BZ3" s="724"/>
      <c r="CA3" s="724"/>
      <c r="CB3" s="724"/>
      <c r="CC3" s="724"/>
      <c r="CD3" s="724"/>
      <c r="CE3" s="724"/>
      <c r="CF3" s="724"/>
      <c r="CG3" s="724"/>
      <c r="CH3" s="724"/>
      <c r="CI3" s="724"/>
      <c r="CJ3" s="724"/>
      <c r="CK3" s="724"/>
      <c r="CL3" s="724"/>
      <c r="CM3" s="724"/>
      <c r="CN3" s="725"/>
    </row>
    <row r="4" spans="1:92" ht="17.25" customHeight="1" thickTop="1">
      <c r="A4" s="398" t="s">
        <v>47</v>
      </c>
      <c r="B4" s="478">
        <f t="shared" ref="B4:AI4" si="0">COUNTIF(B32:B349,"X")/($E$1+$I$1)</f>
        <v>0.88216560509554143</v>
      </c>
      <c r="C4" s="478">
        <f t="shared" si="0"/>
        <v>0.60191082802547768</v>
      </c>
      <c r="D4" s="478">
        <f t="shared" si="0"/>
        <v>0.59872611464968151</v>
      </c>
      <c r="E4" s="478">
        <f t="shared" si="0"/>
        <v>0.71974522292993626</v>
      </c>
      <c r="F4" s="478">
        <f t="shared" si="0"/>
        <v>0.73885350318471332</v>
      </c>
      <c r="G4" s="478">
        <f t="shared" si="0"/>
        <v>0.17197452229299362</v>
      </c>
      <c r="H4" s="478">
        <f t="shared" si="0"/>
        <v>0.62101910828025475</v>
      </c>
      <c r="I4" s="478">
        <f t="shared" si="0"/>
        <v>0.1751592356687898</v>
      </c>
      <c r="J4" s="478">
        <f t="shared" si="0"/>
        <v>0.57643312101910826</v>
      </c>
      <c r="K4" s="478">
        <f t="shared" si="0"/>
        <v>3.1847133757961783E-2</v>
      </c>
      <c r="L4" s="478">
        <f t="shared" si="0"/>
        <v>0.88216560509554143</v>
      </c>
      <c r="M4" s="478">
        <f t="shared" si="0"/>
        <v>0.24522292993630573</v>
      </c>
      <c r="N4" s="478">
        <f t="shared" si="0"/>
        <v>0.79299363057324845</v>
      </c>
      <c r="O4" s="478">
        <f t="shared" si="0"/>
        <v>0.50318471337579618</v>
      </c>
      <c r="P4" s="478">
        <f t="shared" si="0"/>
        <v>0.13057324840764331</v>
      </c>
      <c r="Q4" s="478">
        <f t="shared" si="0"/>
        <v>0.32802547770700635</v>
      </c>
      <c r="R4" s="478">
        <f t="shared" si="0"/>
        <v>8.9171974522292988E-2</v>
      </c>
      <c r="S4" s="478">
        <f t="shared" si="0"/>
        <v>0.10828025477707007</v>
      </c>
      <c r="T4" s="478">
        <f t="shared" si="0"/>
        <v>0.22292993630573249</v>
      </c>
      <c r="U4" s="399">
        <f t="shared" si="0"/>
        <v>0</v>
      </c>
      <c r="V4" s="399">
        <f t="shared" si="0"/>
        <v>0</v>
      </c>
      <c r="W4" s="399">
        <f t="shared" si="0"/>
        <v>0</v>
      </c>
      <c r="X4" s="399">
        <f t="shared" si="0"/>
        <v>0</v>
      </c>
      <c r="Y4" s="399">
        <f t="shared" si="0"/>
        <v>0</v>
      </c>
      <c r="Z4" s="399">
        <f t="shared" si="0"/>
        <v>0</v>
      </c>
      <c r="AA4" s="399">
        <f t="shared" si="0"/>
        <v>0</v>
      </c>
      <c r="AB4" s="399">
        <f t="shared" si="0"/>
        <v>0</v>
      </c>
      <c r="AC4" s="399">
        <f t="shared" si="0"/>
        <v>0</v>
      </c>
      <c r="AD4" s="399">
        <f t="shared" si="0"/>
        <v>3.1847133757961785E-3</v>
      </c>
      <c r="AE4" s="399">
        <f t="shared" si="0"/>
        <v>0</v>
      </c>
      <c r="AF4" s="399">
        <f t="shared" si="0"/>
        <v>0</v>
      </c>
      <c r="AG4" s="399">
        <f t="shared" si="0"/>
        <v>0</v>
      </c>
      <c r="AH4" s="399">
        <f t="shared" si="0"/>
        <v>3.1847133757961785E-3</v>
      </c>
      <c r="AI4" s="399">
        <f t="shared" si="0"/>
        <v>0</v>
      </c>
      <c r="AJ4" s="506">
        <v>3496</v>
      </c>
      <c r="AK4" s="726" t="s">
        <v>48</v>
      </c>
      <c r="AL4" s="727"/>
      <c r="AM4" s="728" t="s">
        <v>49</v>
      </c>
      <c r="AN4" s="729"/>
      <c r="AO4" s="729"/>
      <c r="AP4" s="729"/>
      <c r="AQ4" s="729"/>
      <c r="AR4" s="729"/>
      <c r="AS4" s="729"/>
      <c r="AT4" s="729"/>
      <c r="AU4" s="729"/>
      <c r="AV4" s="729"/>
      <c r="AW4" s="729"/>
      <c r="AX4" s="729"/>
      <c r="AY4" s="729"/>
      <c r="AZ4" s="729"/>
      <c r="BA4" s="729"/>
      <c r="BB4" s="729"/>
      <c r="BC4" s="729"/>
      <c r="BD4" s="729"/>
      <c r="BE4" s="729"/>
      <c r="BF4" s="729"/>
      <c r="BG4" s="729"/>
      <c r="BH4" s="729"/>
      <c r="BI4" s="729"/>
      <c r="BJ4" s="729"/>
      <c r="BK4" s="729"/>
      <c r="BL4" s="729"/>
      <c r="BM4" s="729"/>
      <c r="BN4" s="729"/>
      <c r="BO4" s="729"/>
      <c r="BP4" s="729"/>
      <c r="BQ4" s="729"/>
      <c r="BR4" s="729"/>
      <c r="BS4" s="729"/>
      <c r="BT4" s="729"/>
      <c r="BU4" s="729"/>
      <c r="BV4" s="729"/>
      <c r="BW4" s="729"/>
      <c r="BX4" s="729"/>
      <c r="BY4" s="729"/>
      <c r="BZ4" s="729"/>
      <c r="CA4" s="729"/>
      <c r="CB4" s="729"/>
      <c r="CC4" s="729"/>
      <c r="CD4" s="729"/>
      <c r="CE4" s="729"/>
      <c r="CF4" s="729"/>
      <c r="CG4" s="729"/>
      <c r="CH4" s="729"/>
      <c r="CI4" s="729"/>
      <c r="CJ4" s="729"/>
      <c r="CK4" s="729"/>
      <c r="CL4" s="729"/>
      <c r="CM4" s="729"/>
      <c r="CN4" s="730"/>
    </row>
    <row r="5" spans="1:92" ht="17.25" customHeight="1" thickBot="1">
      <c r="A5" s="400" t="s">
        <v>50</v>
      </c>
      <c r="B5" s="409">
        <f>COUNTIF(B32:B$347,"X")</f>
        <v>277</v>
      </c>
      <c r="C5" s="409">
        <f>COUNTIF(C32:C$347,"X")</f>
        <v>189</v>
      </c>
      <c r="D5" s="409">
        <f>COUNTIF(D32:D$347,"X")</f>
        <v>188</v>
      </c>
      <c r="E5" s="409">
        <f>COUNTIF(E32:E$347,"X")</f>
        <v>226</v>
      </c>
      <c r="F5" s="409">
        <f>COUNTIF(F32:F$347,"X")</f>
        <v>232</v>
      </c>
      <c r="G5" s="409">
        <f>COUNTIF(G32:G$347,"X")</f>
        <v>54</v>
      </c>
      <c r="H5" s="409">
        <f>COUNTIF(H32:H$347,"X")</f>
        <v>195</v>
      </c>
      <c r="I5" s="409">
        <f>COUNTIF(I32:I$347,"X")</f>
        <v>55</v>
      </c>
      <c r="J5" s="409">
        <f>COUNTIF(J32:J$347,"X")</f>
        <v>181</v>
      </c>
      <c r="K5" s="409">
        <f>COUNTIF(K32:K$347,"X")</f>
        <v>10</v>
      </c>
      <c r="L5" s="409">
        <f>COUNTIF(L32:L$347,"X")</f>
        <v>277</v>
      </c>
      <c r="M5" s="409">
        <f>COUNTIF(M32:M$347,"X")</f>
        <v>77</v>
      </c>
      <c r="N5" s="409">
        <f>COUNTIF(N32:N$347,"X")</f>
        <v>249</v>
      </c>
      <c r="O5" s="409">
        <f>COUNTIF(O32:O$347,"X")</f>
        <v>158</v>
      </c>
      <c r="P5" s="409">
        <f>COUNTIF(P32:P$347,"X")</f>
        <v>41</v>
      </c>
      <c r="Q5" s="409">
        <f>COUNTIF(Q32:Q$347,"X")</f>
        <v>103</v>
      </c>
      <c r="R5" s="409">
        <f>COUNTIF(R32:R$347,"X")</f>
        <v>28</v>
      </c>
      <c r="S5" s="409">
        <f>COUNTIF(S32:S$347,"X")</f>
        <v>34</v>
      </c>
      <c r="T5" s="409">
        <f>COUNTIF(T32:T$347,"X")</f>
        <v>70</v>
      </c>
      <c r="U5" s="409">
        <f>COUNTIF(U32:U$347,"X")</f>
        <v>0</v>
      </c>
      <c r="V5" s="409">
        <f>COUNTIF(V32:V$347,"X")</f>
        <v>0</v>
      </c>
      <c r="W5" s="409">
        <f>COUNTIF(W32:W$347,"X")</f>
        <v>0</v>
      </c>
      <c r="X5" s="409">
        <f>COUNTIF(X32:X$347,"X")</f>
        <v>0</v>
      </c>
      <c r="Y5" s="409">
        <f>COUNTIF(Y32:Y$347,"X")</f>
        <v>0</v>
      </c>
      <c r="Z5" s="409">
        <f>COUNTIF(Z32:Z$347,"X")</f>
        <v>0</v>
      </c>
      <c r="AA5" s="409">
        <f>COUNTIF(AA32:AA$347,"X")</f>
        <v>0</v>
      </c>
      <c r="AB5" s="409">
        <f>COUNTIF(AB32:AB$347,"X")</f>
        <v>0</v>
      </c>
      <c r="AC5" s="409">
        <f>COUNTIF(AC32:AC$347,"X")</f>
        <v>0</v>
      </c>
      <c r="AD5" s="409">
        <f>COUNTIF(AD32:AD$347,"X")</f>
        <v>1</v>
      </c>
      <c r="AE5" s="409">
        <f>COUNTIF(AE32:AE$347,"X")</f>
        <v>0</v>
      </c>
      <c r="AF5" s="409">
        <f>COUNTIF(AF32:AF$347,"X")</f>
        <v>0</v>
      </c>
      <c r="AG5" s="409">
        <f>COUNTIF(AG32:AG$347,"X")</f>
        <v>0</v>
      </c>
      <c r="AH5" s="409">
        <f>COUNTIF(AH32:AH$347,"X")</f>
        <v>1</v>
      </c>
      <c r="AI5" s="409">
        <f>COUNTIF(AI32:AI$347,"X")</f>
        <v>0</v>
      </c>
      <c r="AJ5" s="397">
        <f>442-E1-I1</f>
        <v>128</v>
      </c>
      <c r="AK5" s="734" t="s">
        <v>51</v>
      </c>
      <c r="AL5" s="735"/>
      <c r="AM5" s="731"/>
      <c r="AN5" s="732"/>
      <c r="AO5" s="732"/>
      <c r="AP5" s="732"/>
      <c r="AQ5" s="732"/>
      <c r="AR5" s="732"/>
      <c r="AS5" s="732"/>
      <c r="AT5" s="732"/>
      <c r="AU5" s="732"/>
      <c r="AV5" s="732"/>
      <c r="AW5" s="732"/>
      <c r="AX5" s="732"/>
      <c r="AY5" s="732"/>
      <c r="AZ5" s="732"/>
      <c r="BA5" s="732"/>
      <c r="BB5" s="732"/>
      <c r="BC5" s="732"/>
      <c r="BD5" s="732"/>
      <c r="BE5" s="732"/>
      <c r="BF5" s="732"/>
      <c r="BG5" s="732"/>
      <c r="BH5" s="732"/>
      <c r="BI5" s="732"/>
      <c r="BJ5" s="732"/>
      <c r="BK5" s="732"/>
      <c r="BL5" s="732"/>
      <c r="BM5" s="732"/>
      <c r="BN5" s="732"/>
      <c r="BO5" s="732"/>
      <c r="BP5" s="732"/>
      <c r="BQ5" s="732"/>
      <c r="BR5" s="732"/>
      <c r="BS5" s="732"/>
      <c r="BT5" s="732"/>
      <c r="BU5" s="732"/>
      <c r="BV5" s="732"/>
      <c r="BW5" s="732"/>
      <c r="BX5" s="732"/>
      <c r="BY5" s="732"/>
      <c r="BZ5" s="732"/>
      <c r="CA5" s="732"/>
      <c r="CB5" s="732"/>
      <c r="CC5" s="732"/>
      <c r="CD5" s="732"/>
      <c r="CE5" s="732"/>
      <c r="CF5" s="732"/>
      <c r="CG5" s="732"/>
      <c r="CH5" s="732"/>
      <c r="CI5" s="732"/>
      <c r="CJ5" s="732"/>
      <c r="CK5" s="732"/>
      <c r="CL5" s="732"/>
      <c r="CM5" s="732"/>
      <c r="CN5" s="733"/>
    </row>
    <row r="6" spans="1:92" ht="17.25" hidden="1" customHeight="1" thickTop="1" thickBot="1">
      <c r="A6" s="453" t="s">
        <v>52</v>
      </c>
      <c r="B6" s="454">
        <f>IF((327-B5)/(435-$E$1-$I$1)&lt;1,(327-B5)/(435-$E$1-$I$1),"Elim")</f>
        <v>0.41322314049586778</v>
      </c>
      <c r="C6" s="454" t="str">
        <f t="shared" ref="C6:AI6" si="1">IF((327-C5)/(435-$E$1-$I$1)&lt;1,(327-C5)/(435-$E$1-$I$1),"Elim")</f>
        <v>Elim</v>
      </c>
      <c r="D6" s="454" t="str">
        <f t="shared" si="1"/>
        <v>Elim</v>
      </c>
      <c r="E6" s="454">
        <f t="shared" si="1"/>
        <v>0.83471074380165289</v>
      </c>
      <c r="F6" s="454">
        <f t="shared" si="1"/>
        <v>0.78512396694214881</v>
      </c>
      <c r="G6" s="454" t="str">
        <f t="shared" si="1"/>
        <v>Elim</v>
      </c>
      <c r="H6" s="454" t="str">
        <f t="shared" si="1"/>
        <v>Elim</v>
      </c>
      <c r="I6" s="454" t="str">
        <f t="shared" si="1"/>
        <v>Elim</v>
      </c>
      <c r="J6" s="454" t="str">
        <f t="shared" si="1"/>
        <v>Elim</v>
      </c>
      <c r="K6" s="454" t="str">
        <f t="shared" si="1"/>
        <v>Elim</v>
      </c>
      <c r="L6" s="454">
        <f t="shared" si="1"/>
        <v>0.41322314049586778</v>
      </c>
      <c r="M6" s="454" t="str">
        <f t="shared" si="1"/>
        <v>Elim</v>
      </c>
      <c r="N6" s="454">
        <f t="shared" si="1"/>
        <v>0.64462809917355368</v>
      </c>
      <c r="O6" s="454" t="str">
        <f t="shared" si="1"/>
        <v>Elim</v>
      </c>
      <c r="P6" s="454" t="str">
        <f t="shared" si="1"/>
        <v>Elim</v>
      </c>
      <c r="Q6" s="454" t="str">
        <f t="shared" si="1"/>
        <v>Elim</v>
      </c>
      <c r="R6" s="454" t="str">
        <f t="shared" si="1"/>
        <v>Elim</v>
      </c>
      <c r="S6" s="454" t="str">
        <f t="shared" si="1"/>
        <v>Elim</v>
      </c>
      <c r="T6" s="454" t="str">
        <f t="shared" si="1"/>
        <v>Elim</v>
      </c>
      <c r="U6" s="454" t="str">
        <f t="shared" si="1"/>
        <v>Elim</v>
      </c>
      <c r="V6" s="454" t="str">
        <f t="shared" si="1"/>
        <v>Elim</v>
      </c>
      <c r="W6" s="454" t="str">
        <f t="shared" si="1"/>
        <v>Elim</v>
      </c>
      <c r="X6" s="454" t="str">
        <f t="shared" si="1"/>
        <v>Elim</v>
      </c>
      <c r="Y6" s="454" t="str">
        <f t="shared" si="1"/>
        <v>Elim</v>
      </c>
      <c r="Z6" s="454" t="str">
        <f t="shared" si="1"/>
        <v>Elim</v>
      </c>
      <c r="AA6" s="454" t="str">
        <f t="shared" si="1"/>
        <v>Elim</v>
      </c>
      <c r="AB6" s="454" t="str">
        <f t="shared" si="1"/>
        <v>Elim</v>
      </c>
      <c r="AC6" s="454" t="str">
        <f t="shared" si="1"/>
        <v>Elim</v>
      </c>
      <c r="AD6" s="454" t="str">
        <f t="shared" si="1"/>
        <v>Elim</v>
      </c>
      <c r="AE6" s="454" t="str">
        <f t="shared" si="1"/>
        <v>Elim</v>
      </c>
      <c r="AF6" s="454" t="str">
        <f t="shared" si="1"/>
        <v>Elim</v>
      </c>
      <c r="AG6" s="454" t="str">
        <f t="shared" si="1"/>
        <v>Elim</v>
      </c>
      <c r="AH6" s="454" t="str">
        <f t="shared" si="1"/>
        <v>Elim</v>
      </c>
      <c r="AI6" s="454" t="str">
        <f t="shared" si="1"/>
        <v>Elim</v>
      </c>
      <c r="AJ6" s="507"/>
      <c r="AK6" s="700" t="s">
        <v>53</v>
      </c>
      <c r="AL6" s="701"/>
      <c r="AM6" s="640"/>
      <c r="AN6" s="640"/>
      <c r="AO6" s="640"/>
      <c r="AP6" s="640"/>
      <c r="AQ6" s="640"/>
      <c r="AR6" s="640"/>
      <c r="AS6" s="640"/>
      <c r="AT6" s="640"/>
      <c r="AU6" s="640"/>
      <c r="AV6" s="640"/>
      <c r="AW6" s="640"/>
      <c r="AX6" s="640"/>
      <c r="AY6" s="640"/>
      <c r="AZ6" s="640"/>
      <c r="BA6" s="640"/>
      <c r="BB6" s="640"/>
      <c r="BC6" s="640"/>
      <c r="BD6" s="640"/>
      <c r="BE6" s="640"/>
      <c r="BF6" s="640"/>
      <c r="BG6" s="640"/>
      <c r="BH6" s="640"/>
      <c r="BI6" s="640"/>
      <c r="BJ6" s="640"/>
      <c r="BK6" s="640"/>
      <c r="BL6" s="640"/>
      <c r="BM6" s="640"/>
      <c r="BN6" s="640"/>
      <c r="BO6" s="640"/>
      <c r="BP6" s="640"/>
      <c r="BQ6" s="640"/>
      <c r="BR6" s="640"/>
      <c r="BS6" s="640"/>
      <c r="BT6" s="640"/>
      <c r="BU6" s="640"/>
      <c r="BV6" s="640"/>
      <c r="BW6" s="640"/>
      <c r="BX6" s="640"/>
      <c r="BY6" s="640"/>
      <c r="BZ6" s="640"/>
      <c r="CA6" s="640"/>
      <c r="CB6" s="640"/>
      <c r="CC6" s="640"/>
      <c r="CD6" s="640"/>
      <c r="CE6" s="640"/>
      <c r="CF6" s="640"/>
      <c r="CG6" s="640"/>
      <c r="CH6" s="640"/>
      <c r="CI6" s="640"/>
      <c r="CJ6" s="640"/>
      <c r="CK6" s="640"/>
      <c r="CL6" s="640"/>
      <c r="CM6" s="421"/>
      <c r="CN6" s="421"/>
    </row>
    <row r="7" spans="1:92" ht="17.25" hidden="1" customHeight="1">
      <c r="A7" s="455" t="s">
        <v>54</v>
      </c>
      <c r="B7" s="456">
        <f>327-B5</f>
        <v>50</v>
      </c>
      <c r="C7" s="456">
        <f t="shared" ref="C7:AI7" si="2">327-C5</f>
        <v>138</v>
      </c>
      <c r="D7" s="456">
        <f t="shared" si="2"/>
        <v>139</v>
      </c>
      <c r="E7" s="456">
        <f t="shared" si="2"/>
        <v>101</v>
      </c>
      <c r="F7" s="456">
        <f t="shared" si="2"/>
        <v>95</v>
      </c>
      <c r="G7" s="456">
        <f t="shared" si="2"/>
        <v>273</v>
      </c>
      <c r="H7" s="456">
        <f t="shared" si="2"/>
        <v>132</v>
      </c>
      <c r="I7" s="456">
        <f t="shared" si="2"/>
        <v>272</v>
      </c>
      <c r="J7" s="456">
        <f t="shared" si="2"/>
        <v>146</v>
      </c>
      <c r="K7" s="456">
        <f t="shared" si="2"/>
        <v>317</v>
      </c>
      <c r="L7" s="456">
        <f t="shared" si="2"/>
        <v>50</v>
      </c>
      <c r="M7" s="456">
        <f t="shared" si="2"/>
        <v>250</v>
      </c>
      <c r="N7" s="456">
        <f t="shared" si="2"/>
        <v>78</v>
      </c>
      <c r="O7" s="456">
        <f t="shared" si="2"/>
        <v>169</v>
      </c>
      <c r="P7" s="456">
        <f t="shared" si="2"/>
        <v>286</v>
      </c>
      <c r="Q7" s="456">
        <f t="shared" si="2"/>
        <v>224</v>
      </c>
      <c r="R7" s="456">
        <f t="shared" si="2"/>
        <v>299</v>
      </c>
      <c r="S7" s="456">
        <f t="shared" si="2"/>
        <v>293</v>
      </c>
      <c r="T7" s="456">
        <f t="shared" si="2"/>
        <v>257</v>
      </c>
      <c r="U7" s="456">
        <f t="shared" si="2"/>
        <v>327</v>
      </c>
      <c r="V7" s="456">
        <f t="shared" si="2"/>
        <v>327</v>
      </c>
      <c r="W7" s="456">
        <f t="shared" si="2"/>
        <v>327</v>
      </c>
      <c r="X7" s="456">
        <f t="shared" si="2"/>
        <v>327</v>
      </c>
      <c r="Y7" s="456">
        <f t="shared" si="2"/>
        <v>327</v>
      </c>
      <c r="Z7" s="456">
        <f t="shared" si="2"/>
        <v>327</v>
      </c>
      <c r="AA7" s="456">
        <f t="shared" si="2"/>
        <v>327</v>
      </c>
      <c r="AB7" s="456">
        <f t="shared" si="2"/>
        <v>327</v>
      </c>
      <c r="AC7" s="456">
        <f t="shared" si="2"/>
        <v>327</v>
      </c>
      <c r="AD7" s="456">
        <f t="shared" si="2"/>
        <v>326</v>
      </c>
      <c r="AE7" s="456">
        <f t="shared" si="2"/>
        <v>327</v>
      </c>
      <c r="AF7" s="456">
        <f t="shared" si="2"/>
        <v>327</v>
      </c>
      <c r="AG7" s="456">
        <f t="shared" si="2"/>
        <v>327</v>
      </c>
      <c r="AH7" s="456">
        <f t="shared" si="2"/>
        <v>326</v>
      </c>
      <c r="AI7" s="456">
        <f t="shared" si="2"/>
        <v>327</v>
      </c>
      <c r="AJ7" s="397"/>
      <c r="AK7" s="438"/>
      <c r="AL7" s="439"/>
      <c r="AM7" s="432"/>
      <c r="AN7" s="640"/>
      <c r="AO7" s="640"/>
      <c r="AP7" s="640"/>
      <c r="AQ7" s="640"/>
      <c r="AR7" s="640"/>
      <c r="AS7" s="640"/>
      <c r="AT7" s="640"/>
      <c r="AU7" s="640"/>
      <c r="AV7" s="640"/>
      <c r="AW7" s="640"/>
      <c r="AX7" s="640"/>
      <c r="AY7" s="640"/>
      <c r="AZ7" s="640"/>
      <c r="BA7" s="640"/>
      <c r="BB7" s="640"/>
      <c r="BC7" s="640"/>
      <c r="BD7" s="640"/>
      <c r="BE7" s="640"/>
      <c r="BF7" s="640"/>
      <c r="BG7" s="640"/>
      <c r="BH7" s="640"/>
      <c r="BI7" s="640"/>
      <c r="BJ7" s="640"/>
      <c r="BK7" s="640"/>
      <c r="BL7" s="640"/>
      <c r="BM7" s="640"/>
      <c r="BN7" s="640"/>
      <c r="BO7" s="640"/>
      <c r="BP7" s="640"/>
      <c r="BQ7" s="640"/>
      <c r="BR7" s="640"/>
      <c r="BS7" s="640"/>
      <c r="BT7" s="640"/>
      <c r="BU7" s="640"/>
      <c r="BV7" s="640"/>
      <c r="BW7" s="640"/>
      <c r="BX7" s="640"/>
      <c r="BY7" s="640"/>
      <c r="BZ7" s="640"/>
      <c r="CA7" s="640"/>
      <c r="CB7" s="640"/>
      <c r="CC7" s="640"/>
      <c r="CD7" s="640"/>
      <c r="CE7" s="640"/>
      <c r="CF7" s="640"/>
      <c r="CG7" s="640"/>
      <c r="CH7" s="640"/>
      <c r="CI7" s="640"/>
      <c r="CJ7" s="640"/>
      <c r="CK7" s="640"/>
      <c r="CL7" s="640"/>
      <c r="CM7" s="640"/>
      <c r="CN7" s="640"/>
    </row>
    <row r="8" spans="1:92" ht="17.25" hidden="1" customHeight="1" thickBot="1">
      <c r="A8" s="457" t="s">
        <v>57</v>
      </c>
      <c r="B8" s="458" t="str">
        <f t="shared" ref="B8:AI8" si="3">IF(22-B5&lt;1,"---",22-B5)</f>
        <v>---</v>
      </c>
      <c r="C8" s="458" t="str">
        <f t="shared" si="3"/>
        <v>---</v>
      </c>
      <c r="D8" s="458" t="str">
        <f t="shared" si="3"/>
        <v>---</v>
      </c>
      <c r="E8" s="458" t="str">
        <f t="shared" si="3"/>
        <v>---</v>
      </c>
      <c r="F8" s="458" t="str">
        <f t="shared" si="3"/>
        <v>---</v>
      </c>
      <c r="G8" s="458" t="str">
        <f t="shared" si="3"/>
        <v>---</v>
      </c>
      <c r="H8" s="458" t="str">
        <f t="shared" si="3"/>
        <v>---</v>
      </c>
      <c r="I8" s="458" t="str">
        <f t="shared" si="3"/>
        <v>---</v>
      </c>
      <c r="J8" s="458" t="str">
        <f t="shared" si="3"/>
        <v>---</v>
      </c>
      <c r="K8" s="458">
        <f t="shared" si="3"/>
        <v>12</v>
      </c>
      <c r="L8" s="458" t="str">
        <f t="shared" si="3"/>
        <v>---</v>
      </c>
      <c r="M8" s="458" t="str">
        <f t="shared" si="3"/>
        <v>---</v>
      </c>
      <c r="N8" s="458" t="str">
        <f t="shared" si="3"/>
        <v>---</v>
      </c>
      <c r="O8" s="458" t="str">
        <f t="shared" si="3"/>
        <v>---</v>
      </c>
      <c r="P8" s="458" t="str">
        <f t="shared" si="3"/>
        <v>---</v>
      </c>
      <c r="Q8" s="458" t="str">
        <f t="shared" si="3"/>
        <v>---</v>
      </c>
      <c r="R8" s="458" t="str">
        <f t="shared" si="3"/>
        <v>---</v>
      </c>
      <c r="S8" s="458" t="str">
        <f t="shared" si="3"/>
        <v>---</v>
      </c>
      <c r="T8" s="458" t="str">
        <f t="shared" si="3"/>
        <v>---</v>
      </c>
      <c r="U8" s="458">
        <f t="shared" si="3"/>
        <v>22</v>
      </c>
      <c r="V8" s="458">
        <f t="shared" si="3"/>
        <v>22</v>
      </c>
      <c r="W8" s="458">
        <f t="shared" si="3"/>
        <v>22</v>
      </c>
      <c r="X8" s="458">
        <f t="shared" si="3"/>
        <v>22</v>
      </c>
      <c r="Y8" s="458">
        <f t="shared" si="3"/>
        <v>22</v>
      </c>
      <c r="Z8" s="458">
        <f t="shared" si="3"/>
        <v>22</v>
      </c>
      <c r="AA8" s="458">
        <f t="shared" si="3"/>
        <v>22</v>
      </c>
      <c r="AB8" s="458">
        <f t="shared" si="3"/>
        <v>22</v>
      </c>
      <c r="AC8" s="458">
        <f t="shared" si="3"/>
        <v>22</v>
      </c>
      <c r="AD8" s="458">
        <f t="shared" si="3"/>
        <v>21</v>
      </c>
      <c r="AE8" s="458">
        <f t="shared" si="3"/>
        <v>22</v>
      </c>
      <c r="AF8" s="458">
        <f t="shared" si="3"/>
        <v>22</v>
      </c>
      <c r="AG8" s="458">
        <f t="shared" si="3"/>
        <v>22</v>
      </c>
      <c r="AH8" s="458">
        <f t="shared" si="3"/>
        <v>21</v>
      </c>
      <c r="AI8" s="458">
        <f t="shared" si="3"/>
        <v>22</v>
      </c>
      <c r="AJ8" s="397"/>
      <c r="AK8" s="440"/>
      <c r="AL8" s="441"/>
      <c r="AM8" s="637"/>
      <c r="AN8" s="639"/>
      <c r="AO8" s="639"/>
      <c r="AP8" s="639"/>
      <c r="AQ8" s="639"/>
      <c r="AR8" s="639"/>
      <c r="AS8" s="639"/>
      <c r="AT8" s="639"/>
      <c r="AU8" s="639"/>
      <c r="AV8" s="639"/>
      <c r="AW8" s="639"/>
      <c r="AX8" s="639"/>
      <c r="AY8" s="639"/>
      <c r="AZ8" s="639"/>
      <c r="BA8" s="639"/>
      <c r="BB8" s="639"/>
      <c r="BC8" s="639"/>
      <c r="BD8" s="639"/>
      <c r="BE8" s="639"/>
      <c r="BF8" s="639"/>
      <c r="BG8" s="639"/>
      <c r="BH8" s="639"/>
      <c r="BI8" s="639"/>
      <c r="BJ8" s="639"/>
      <c r="BK8" s="639"/>
      <c r="BL8" s="639"/>
      <c r="BM8" s="639"/>
      <c r="BN8" s="639"/>
      <c r="BO8" s="639"/>
      <c r="BP8" s="639"/>
      <c r="BQ8" s="639"/>
      <c r="BR8" s="639"/>
      <c r="BS8" s="639"/>
      <c r="BT8" s="639"/>
      <c r="BU8" s="639"/>
      <c r="BV8" s="639"/>
      <c r="BW8" s="639"/>
      <c r="BX8" s="639"/>
      <c r="BY8" s="639"/>
      <c r="BZ8" s="639"/>
      <c r="CA8" s="639"/>
      <c r="CB8" s="639"/>
      <c r="CC8" s="639"/>
      <c r="CD8" s="639"/>
      <c r="CE8" s="639"/>
      <c r="CF8" s="639"/>
      <c r="CG8" s="639"/>
      <c r="CH8" s="639"/>
      <c r="CI8" s="639"/>
      <c r="CJ8" s="639"/>
      <c r="CK8" s="639"/>
      <c r="CL8" s="639"/>
      <c r="CM8" s="639"/>
      <c r="CN8" s="639"/>
    </row>
    <row r="9" spans="1:92" ht="17.25" hidden="1" customHeight="1">
      <c r="A9" s="460" t="s">
        <v>528</v>
      </c>
      <c r="B9" s="461">
        <v>0.71599999999999997</v>
      </c>
      <c r="C9" s="461">
        <v>0.443</v>
      </c>
      <c r="D9" s="461">
        <v>0.45200000000000001</v>
      </c>
      <c r="E9" s="461"/>
      <c r="F9" s="461">
        <v>0.67300000000000004</v>
      </c>
      <c r="G9" s="461">
        <v>0.16600000000000001</v>
      </c>
      <c r="H9" s="461">
        <v>0.434</v>
      </c>
      <c r="I9" s="461">
        <v>0.20899999999999999</v>
      </c>
      <c r="J9" s="461">
        <v>0.43</v>
      </c>
      <c r="K9" s="461"/>
      <c r="L9" s="461">
        <v>0.69799999999999995</v>
      </c>
      <c r="M9" s="461"/>
      <c r="N9" s="461"/>
      <c r="O9" s="461">
        <v>0.52300000000000002</v>
      </c>
      <c r="P9" s="461">
        <v>0.11600000000000001</v>
      </c>
      <c r="Q9" s="461">
        <v>0.34100000000000003</v>
      </c>
      <c r="R9" s="461">
        <v>7.0000000000000007E-2</v>
      </c>
      <c r="S9" s="461">
        <v>0.105</v>
      </c>
      <c r="T9" s="461">
        <v>0.155</v>
      </c>
      <c r="U9" s="461"/>
      <c r="V9" s="461"/>
      <c r="W9" s="461"/>
      <c r="X9" s="461"/>
      <c r="Y9" s="461"/>
      <c r="Z9" s="461"/>
      <c r="AA9" s="461"/>
      <c r="AB9" s="461"/>
      <c r="AC9" s="461"/>
      <c r="AD9" s="461"/>
      <c r="AE9" s="461"/>
      <c r="AF9" s="461"/>
      <c r="AG9" s="461"/>
      <c r="AH9" s="461"/>
      <c r="AI9" s="461"/>
      <c r="AJ9" s="397"/>
      <c r="AK9" s="440"/>
      <c r="AL9" s="441"/>
      <c r="AM9" s="637"/>
      <c r="AN9" s="639"/>
      <c r="AO9" s="639"/>
      <c r="AP9" s="639"/>
      <c r="AQ9" s="639"/>
      <c r="AR9" s="639"/>
      <c r="AS9" s="639"/>
      <c r="AT9" s="639"/>
      <c r="AU9" s="639"/>
      <c r="AV9" s="639"/>
      <c r="AW9" s="639"/>
      <c r="AX9" s="639"/>
      <c r="AY9" s="639"/>
      <c r="AZ9" s="639"/>
      <c r="BA9" s="639"/>
      <c r="BB9" s="639"/>
      <c r="BC9" s="639"/>
      <c r="BD9" s="639"/>
      <c r="BE9" s="639"/>
      <c r="BF9" s="639"/>
      <c r="BG9" s="639"/>
      <c r="BH9" s="639"/>
      <c r="BI9" s="639"/>
      <c r="BJ9" s="639"/>
      <c r="BK9" s="639"/>
      <c r="BL9" s="639"/>
      <c r="BM9" s="639"/>
      <c r="BN9" s="639"/>
      <c r="BO9" s="639"/>
      <c r="BP9" s="639"/>
      <c r="BQ9" s="639"/>
      <c r="BR9" s="639"/>
      <c r="BS9" s="639"/>
      <c r="BT9" s="639"/>
      <c r="BU9" s="639"/>
      <c r="BV9" s="639"/>
      <c r="BW9" s="639"/>
      <c r="BX9" s="639"/>
      <c r="BY9" s="639"/>
      <c r="BZ9" s="639"/>
      <c r="CA9" s="639"/>
      <c r="CB9" s="639"/>
      <c r="CC9" s="639"/>
      <c r="CD9" s="639"/>
      <c r="CE9" s="639"/>
      <c r="CF9" s="639"/>
      <c r="CG9" s="639"/>
      <c r="CH9" s="639"/>
      <c r="CI9" s="639"/>
      <c r="CJ9" s="639"/>
      <c r="CK9" s="639"/>
      <c r="CL9" s="639"/>
      <c r="CM9" s="639"/>
      <c r="CN9" s="639"/>
    </row>
    <row r="10" spans="1:92" ht="17.25" hidden="1" customHeight="1">
      <c r="A10" s="462" t="s">
        <v>529</v>
      </c>
      <c r="B10" s="463">
        <f>B9-B21</f>
        <v>-6.1000000000000054E-2</v>
      </c>
      <c r="C10" s="463">
        <f>C9-C21</f>
        <v>-6.9000000000000006E-2</v>
      </c>
      <c r="D10" s="463">
        <f>D9-D21</f>
        <v>-5.4999999999999993E-2</v>
      </c>
      <c r="E10" s="463"/>
      <c r="F10" s="463">
        <f>F9-F21</f>
        <v>3.8000000000000034E-2</v>
      </c>
      <c r="G10" s="463">
        <f>G9-G21</f>
        <v>-1.3999999999999985E-2</v>
      </c>
      <c r="H10" s="463">
        <f>H9-H21</f>
        <v>-3.999999999999998E-2</v>
      </c>
      <c r="I10" s="463">
        <f>I9-I21</f>
        <v>1.8999999999999989E-2</v>
      </c>
      <c r="J10" s="463">
        <f>J9-J21</f>
        <v>-7.2000000000000008E-2</v>
      </c>
      <c r="K10" s="463"/>
      <c r="L10" s="463">
        <f>L9-L21</f>
        <v>-5.600000000000005E-2</v>
      </c>
      <c r="M10" s="463"/>
      <c r="N10" s="463"/>
      <c r="O10" s="463">
        <f t="shared" ref="O10:T10" si="4">O9-O21</f>
        <v>-7.8999999999999959E-2</v>
      </c>
      <c r="P10" s="463">
        <f t="shared" si="4"/>
        <v>2.0000000000000018E-3</v>
      </c>
      <c r="Q10" s="463">
        <f t="shared" si="4"/>
        <v>5.7000000000000051E-2</v>
      </c>
      <c r="R10" s="463">
        <f t="shared" si="4"/>
        <v>-5.9999999999999915E-3</v>
      </c>
      <c r="S10" s="463">
        <f t="shared" si="4"/>
        <v>1.4999999999999999E-2</v>
      </c>
      <c r="T10" s="463">
        <f t="shared" si="4"/>
        <v>1.3000000000000012E-2</v>
      </c>
      <c r="U10" s="463"/>
      <c r="V10" s="463"/>
      <c r="W10" s="463"/>
      <c r="X10" s="463"/>
      <c r="Y10" s="463"/>
      <c r="Z10" s="463"/>
      <c r="AA10" s="463"/>
      <c r="AB10" s="463"/>
      <c r="AC10" s="463"/>
      <c r="AD10" s="463"/>
      <c r="AE10" s="463"/>
      <c r="AF10" s="463"/>
      <c r="AG10" s="463"/>
      <c r="AH10" s="463"/>
      <c r="AI10" s="463"/>
      <c r="AJ10" s="397"/>
      <c r="AK10" s="440"/>
      <c r="AL10" s="441"/>
      <c r="AM10" s="637"/>
      <c r="AN10" s="639"/>
      <c r="AO10" s="639"/>
      <c r="AP10" s="639"/>
      <c r="AQ10" s="639"/>
      <c r="AR10" s="639"/>
      <c r="AS10" s="639"/>
      <c r="AT10" s="639"/>
      <c r="AU10" s="639"/>
      <c r="AV10" s="639"/>
      <c r="AW10" s="639"/>
      <c r="AX10" s="639"/>
      <c r="AY10" s="639"/>
      <c r="AZ10" s="639"/>
      <c r="BA10" s="639"/>
      <c r="BB10" s="639"/>
      <c r="BC10" s="639"/>
      <c r="BD10" s="639"/>
      <c r="BE10" s="639"/>
      <c r="BF10" s="639"/>
      <c r="BG10" s="639"/>
      <c r="BH10" s="639"/>
      <c r="BI10" s="639"/>
      <c r="BJ10" s="639"/>
      <c r="BK10" s="639"/>
      <c r="BL10" s="639"/>
      <c r="BM10" s="639"/>
      <c r="BN10" s="639"/>
      <c r="BO10" s="639"/>
      <c r="BP10" s="639"/>
      <c r="BQ10" s="639"/>
      <c r="BR10" s="639"/>
      <c r="BS10" s="639"/>
      <c r="BT10" s="639"/>
      <c r="BU10" s="639"/>
      <c r="BV10" s="639"/>
      <c r="BW10" s="639"/>
      <c r="BX10" s="639"/>
      <c r="BY10" s="639"/>
      <c r="BZ10" s="639"/>
      <c r="CA10" s="639"/>
      <c r="CB10" s="639"/>
      <c r="CC10" s="639"/>
      <c r="CD10" s="639"/>
      <c r="CE10" s="639"/>
      <c r="CF10" s="639"/>
      <c r="CG10" s="639"/>
      <c r="CH10" s="639"/>
      <c r="CI10" s="639"/>
      <c r="CJ10" s="639"/>
      <c r="CK10" s="639"/>
      <c r="CL10" s="639"/>
      <c r="CM10" s="639"/>
      <c r="CN10" s="639"/>
    </row>
    <row r="11" spans="1:92" ht="17.25" hidden="1" customHeight="1" thickBot="1">
      <c r="A11" s="459" t="s">
        <v>530</v>
      </c>
      <c r="B11" s="464">
        <v>-0.14299999999999999</v>
      </c>
      <c r="C11" s="464">
        <v>-3.9E-2</v>
      </c>
      <c r="D11" s="464">
        <v>-0.02</v>
      </c>
      <c r="E11" s="464"/>
      <c r="F11" s="464">
        <v>2.8000000000000001E-2</v>
      </c>
      <c r="G11" s="464">
        <v>-0.05</v>
      </c>
      <c r="H11" s="464">
        <v>-0.125</v>
      </c>
      <c r="I11" s="464">
        <v>5.2999999999999999E-2</v>
      </c>
      <c r="J11" s="464">
        <v>-0.184</v>
      </c>
      <c r="K11" s="464"/>
      <c r="L11" s="464">
        <v>-0.15</v>
      </c>
      <c r="M11" s="464"/>
      <c r="N11" s="464"/>
      <c r="O11" s="464">
        <v>-0.218</v>
      </c>
      <c r="P11" s="464">
        <v>-4.3999999999999997E-2</v>
      </c>
      <c r="Q11" s="464">
        <v>8.4000000000000005E-2</v>
      </c>
      <c r="R11" s="464">
        <v>-2E-3</v>
      </c>
      <c r="S11" s="464">
        <v>3.6999999999999998E-2</v>
      </c>
      <c r="T11" s="464">
        <v>-1.2E-2</v>
      </c>
      <c r="U11" s="465"/>
      <c r="V11" s="465"/>
      <c r="W11" s="465"/>
      <c r="X11" s="465"/>
      <c r="Y11" s="465"/>
      <c r="Z11" s="465"/>
      <c r="AA11" s="465"/>
      <c r="AB11" s="465"/>
      <c r="AC11" s="465"/>
      <c r="AD11" s="465"/>
      <c r="AE11" s="465"/>
      <c r="AF11" s="465"/>
      <c r="AG11" s="465"/>
      <c r="AH11" s="465"/>
      <c r="AI11" s="465"/>
      <c r="AJ11" s="397"/>
      <c r="AK11" s="440"/>
      <c r="AL11" s="441"/>
      <c r="AM11" s="637"/>
      <c r="AN11" s="639"/>
      <c r="AO11" s="639"/>
      <c r="AP11" s="639"/>
      <c r="AQ11" s="639"/>
      <c r="AR11" s="639"/>
      <c r="AS11" s="639"/>
      <c r="AT11" s="639"/>
      <c r="AU11" s="639"/>
      <c r="AV11" s="639"/>
      <c r="AW11" s="639"/>
      <c r="AX11" s="639"/>
      <c r="AY11" s="639"/>
      <c r="AZ11" s="639"/>
      <c r="BA11" s="639"/>
      <c r="BB11" s="639"/>
      <c r="BC11" s="639"/>
      <c r="BD11" s="639"/>
      <c r="BE11" s="639"/>
      <c r="BF11" s="639"/>
      <c r="BG11" s="639"/>
      <c r="BH11" s="639"/>
      <c r="BI11" s="639"/>
      <c r="BJ11" s="639"/>
      <c r="BK11" s="639"/>
      <c r="BL11" s="639"/>
      <c r="BM11" s="639"/>
      <c r="BN11" s="639"/>
      <c r="BO11" s="639"/>
      <c r="BP11" s="639"/>
      <c r="BQ11" s="639"/>
      <c r="BR11" s="639"/>
      <c r="BS11" s="639"/>
      <c r="BT11" s="639"/>
      <c r="BU11" s="639"/>
      <c r="BV11" s="639"/>
      <c r="BW11" s="639"/>
      <c r="BX11" s="639"/>
      <c r="BY11" s="639"/>
      <c r="BZ11" s="639"/>
      <c r="CA11" s="639"/>
      <c r="CB11" s="639"/>
      <c r="CC11" s="639"/>
      <c r="CD11" s="639"/>
      <c r="CE11" s="639"/>
      <c r="CF11" s="639"/>
      <c r="CG11" s="639"/>
      <c r="CH11" s="639"/>
      <c r="CI11" s="639"/>
      <c r="CJ11" s="639"/>
      <c r="CK11" s="639"/>
      <c r="CL11" s="639"/>
      <c r="CM11" s="639"/>
      <c r="CN11" s="639"/>
    </row>
    <row r="12" spans="1:92" ht="17.25" customHeight="1">
      <c r="A12" s="401" t="s">
        <v>65</v>
      </c>
      <c r="B12" s="402">
        <v>0.86199999999999999</v>
      </c>
      <c r="C12" s="402">
        <v>0.53800000000000003</v>
      </c>
      <c r="D12" s="402">
        <v>0.54100000000000004</v>
      </c>
      <c r="E12" s="402">
        <v>0.71699999999999997</v>
      </c>
      <c r="F12" s="402">
        <v>0.74</v>
      </c>
      <c r="G12" s="402">
        <v>0.16700000000000001</v>
      </c>
      <c r="H12" s="402">
        <v>0.58599999999999997</v>
      </c>
      <c r="I12" s="402">
        <v>0.217</v>
      </c>
      <c r="J12" s="402">
        <v>0.51800000000000002</v>
      </c>
      <c r="K12" s="402">
        <v>3.7999999999999999E-2</v>
      </c>
      <c r="L12" s="402">
        <v>0.86</v>
      </c>
      <c r="M12" s="402">
        <v>0.23799999999999999</v>
      </c>
      <c r="N12" s="402">
        <v>0.76</v>
      </c>
      <c r="O12" s="402">
        <v>0.45</v>
      </c>
      <c r="P12" s="402">
        <v>0.13300000000000001</v>
      </c>
      <c r="Q12" s="402">
        <v>0.34200000000000003</v>
      </c>
      <c r="R12" s="402">
        <v>8.5999999999999993E-2</v>
      </c>
      <c r="S12" s="402">
        <v>0.10199999999999999</v>
      </c>
      <c r="T12" s="402">
        <v>0.219</v>
      </c>
      <c r="U12" s="402">
        <v>0</v>
      </c>
      <c r="V12" s="402">
        <v>0</v>
      </c>
      <c r="W12" s="402">
        <v>0</v>
      </c>
      <c r="X12" s="402">
        <v>0</v>
      </c>
      <c r="Y12" s="402">
        <v>0</v>
      </c>
      <c r="Z12" s="402">
        <v>0</v>
      </c>
      <c r="AA12" s="402">
        <v>0</v>
      </c>
      <c r="AB12" s="402">
        <v>0</v>
      </c>
      <c r="AC12" s="402">
        <v>7.0000000000000001E-3</v>
      </c>
      <c r="AD12" s="402">
        <v>5.0000000000000001E-3</v>
      </c>
      <c r="AE12" s="402">
        <v>0</v>
      </c>
      <c r="AF12" s="402">
        <v>0</v>
      </c>
      <c r="AG12" s="402">
        <v>0</v>
      </c>
      <c r="AH12" s="402">
        <v>5.0000000000000001E-3</v>
      </c>
      <c r="AI12" s="402">
        <v>2E-3</v>
      </c>
      <c r="AJ12" s="397"/>
      <c r="AK12" s="438" t="s">
        <v>55</v>
      </c>
      <c r="AL12" s="439">
        <f>COUNTIF($AJ$32:$AJ$347,10)</f>
        <v>162</v>
      </c>
      <c r="AM12" s="637"/>
      <c r="AN12" s="639"/>
      <c r="AO12" s="639"/>
      <c r="AP12" s="639"/>
      <c r="AQ12" s="639"/>
      <c r="AR12" s="639"/>
      <c r="AS12" s="639"/>
      <c r="AT12" s="639"/>
      <c r="AU12" s="639"/>
      <c r="AV12" s="639"/>
      <c r="AW12" s="639"/>
      <c r="AX12" s="639"/>
      <c r="AY12" s="639"/>
      <c r="AZ12" s="639"/>
      <c r="BA12" s="639"/>
      <c r="BB12" s="639"/>
      <c r="BC12" s="639"/>
      <c r="BD12" s="639"/>
      <c r="BE12" s="639"/>
      <c r="BF12" s="639"/>
      <c r="BG12" s="639"/>
      <c r="BH12" s="639"/>
      <c r="BI12" s="639"/>
      <c r="BJ12" s="639"/>
      <c r="BK12" s="639"/>
      <c r="BL12" s="639"/>
      <c r="BM12" s="639"/>
      <c r="BN12" s="639"/>
      <c r="BO12" s="639"/>
      <c r="BP12" s="639"/>
      <c r="BQ12" s="639"/>
      <c r="BR12" s="639"/>
      <c r="BS12" s="639"/>
      <c r="BT12" s="639"/>
      <c r="BU12" s="639"/>
      <c r="BV12" s="639"/>
      <c r="BW12" s="639"/>
      <c r="BX12" s="639"/>
      <c r="BY12" s="639"/>
      <c r="BZ12" s="639"/>
      <c r="CA12" s="639"/>
      <c r="CB12" s="639"/>
      <c r="CC12" s="639"/>
      <c r="CD12" s="639"/>
      <c r="CE12" s="639"/>
      <c r="CF12" s="639"/>
      <c r="CG12" s="639"/>
      <c r="CH12" s="639"/>
      <c r="CI12" s="639"/>
      <c r="CJ12" s="639"/>
      <c r="CK12" s="639"/>
      <c r="CL12" s="639"/>
      <c r="CM12" s="639"/>
      <c r="CN12" s="639"/>
    </row>
    <row r="13" spans="1:92" ht="17.25" customHeight="1">
      <c r="A13" s="156" t="s">
        <v>66</v>
      </c>
      <c r="B13" s="362">
        <v>381</v>
      </c>
      <c r="C13" s="362">
        <v>238</v>
      </c>
      <c r="D13" s="362">
        <v>239</v>
      </c>
      <c r="E13" s="362">
        <v>317</v>
      </c>
      <c r="F13" s="362">
        <v>327</v>
      </c>
      <c r="G13" s="362">
        <v>74</v>
      </c>
      <c r="H13" s="362">
        <v>259</v>
      </c>
      <c r="I13" s="362">
        <v>96</v>
      </c>
      <c r="J13" s="362">
        <v>229</v>
      </c>
      <c r="K13" s="362">
        <v>17</v>
      </c>
      <c r="L13" s="362">
        <v>380</v>
      </c>
      <c r="M13" s="362">
        <v>105</v>
      </c>
      <c r="N13" s="362">
        <v>336</v>
      </c>
      <c r="O13" s="362">
        <v>199</v>
      </c>
      <c r="P13" s="362">
        <v>59</v>
      </c>
      <c r="Q13" s="362">
        <v>151</v>
      </c>
      <c r="R13" s="362">
        <v>38</v>
      </c>
      <c r="S13" s="362">
        <v>45</v>
      </c>
      <c r="T13" s="362">
        <v>97</v>
      </c>
      <c r="U13" s="362">
        <v>0</v>
      </c>
      <c r="V13" s="362">
        <v>0</v>
      </c>
      <c r="W13" s="362">
        <v>0</v>
      </c>
      <c r="X13" s="362">
        <v>0</v>
      </c>
      <c r="Y13" s="362">
        <v>0</v>
      </c>
      <c r="Z13" s="362">
        <v>0</v>
      </c>
      <c r="AA13" s="362">
        <v>0</v>
      </c>
      <c r="AB13" s="362">
        <v>0</v>
      </c>
      <c r="AC13" s="362">
        <v>3</v>
      </c>
      <c r="AD13" s="362">
        <v>2</v>
      </c>
      <c r="AE13" s="362">
        <v>0</v>
      </c>
      <c r="AF13" s="362">
        <v>0</v>
      </c>
      <c r="AG13" s="362">
        <v>0</v>
      </c>
      <c r="AH13" s="362">
        <v>2</v>
      </c>
      <c r="AI13" s="362">
        <v>1</v>
      </c>
      <c r="AJ13" s="449">
        <f>SUM(B13:AI13)</f>
        <v>3595</v>
      </c>
      <c r="AK13" s="440" t="s">
        <v>58</v>
      </c>
      <c r="AL13" s="441">
        <f>COUNTIF($AJ$32:$AJ$347,9)</f>
        <v>37</v>
      </c>
      <c r="AM13" s="637"/>
      <c r="AN13" s="639"/>
      <c r="AO13" s="639"/>
      <c r="AP13" s="639"/>
      <c r="AQ13" s="639"/>
      <c r="AR13" s="639"/>
      <c r="AS13" s="639"/>
      <c r="AT13" s="639"/>
      <c r="AU13" s="639"/>
      <c r="AV13" s="639"/>
      <c r="AW13" s="639"/>
      <c r="AX13" s="639"/>
      <c r="AY13" s="639"/>
      <c r="AZ13" s="639"/>
      <c r="BA13" s="639"/>
      <c r="BB13" s="639"/>
      <c r="BC13" s="639"/>
      <c r="BD13" s="639"/>
      <c r="BE13" s="639"/>
      <c r="BF13" s="639"/>
      <c r="BG13" s="639"/>
      <c r="BH13" s="639"/>
      <c r="BI13" s="639"/>
      <c r="BJ13" s="639"/>
      <c r="BK13" s="639"/>
      <c r="BL13" s="639"/>
      <c r="BM13" s="639"/>
      <c r="BN13" s="639"/>
      <c r="BO13" s="639"/>
      <c r="BP13" s="639"/>
      <c r="BQ13" s="639"/>
      <c r="BR13" s="639"/>
      <c r="BS13" s="639"/>
      <c r="BT13" s="639"/>
      <c r="BU13" s="639"/>
      <c r="BV13" s="639"/>
      <c r="BW13" s="639"/>
      <c r="BX13" s="639"/>
      <c r="BY13" s="639"/>
      <c r="BZ13" s="639"/>
      <c r="CA13" s="639"/>
      <c r="CB13" s="639"/>
      <c r="CC13" s="639"/>
      <c r="CD13" s="639"/>
      <c r="CE13" s="639"/>
      <c r="CF13" s="639"/>
      <c r="CG13" s="639"/>
      <c r="CH13" s="639"/>
      <c r="CI13" s="639"/>
      <c r="CJ13" s="639"/>
      <c r="CK13" s="639"/>
      <c r="CL13" s="639"/>
      <c r="CM13" s="639"/>
      <c r="CN13" s="639"/>
    </row>
    <row r="14" spans="1:92" ht="15" customHeight="1">
      <c r="A14" s="161" t="s">
        <v>531</v>
      </c>
      <c r="B14" s="162">
        <f>(COUNTA(B32:B276)+COUNTA(B343:B346))/(COUNTA($A$32:$A$276)+COUNTA($A$343:$A$346))</f>
        <v>0.87550200803212852</v>
      </c>
      <c r="C14" s="162">
        <f t="shared" ref="C14:T14" si="5">(COUNTA(C32:C276)+COUNTA(C343:C346))/(COUNTA($A$32:$A$276)+COUNTA($A$343:$A$346))</f>
        <v>0.64257028112449799</v>
      </c>
      <c r="D14" s="162">
        <f t="shared" si="5"/>
        <v>0.63052208835341361</v>
      </c>
      <c r="E14" s="162">
        <f t="shared" si="5"/>
        <v>0.72289156626506024</v>
      </c>
      <c r="F14" s="162">
        <f t="shared" si="5"/>
        <v>0.7269076305220884</v>
      </c>
      <c r="G14" s="162">
        <f t="shared" si="5"/>
        <v>0.1646586345381526</v>
      </c>
      <c r="H14" s="162">
        <f t="shared" si="5"/>
        <v>0.65863453815261042</v>
      </c>
      <c r="I14" s="162">
        <f t="shared" si="5"/>
        <v>0.1606425702811245</v>
      </c>
      <c r="J14" s="162">
        <f t="shared" si="5"/>
        <v>0.59036144578313254</v>
      </c>
      <c r="K14" s="162">
        <f t="shared" si="5"/>
        <v>4.0160642570281124E-2</v>
      </c>
      <c r="L14" s="162">
        <f t="shared" si="5"/>
        <v>0.8875502008032129</v>
      </c>
      <c r="M14" s="162">
        <f t="shared" si="5"/>
        <v>0.24899598393574296</v>
      </c>
      <c r="N14" s="162">
        <f t="shared" si="5"/>
        <v>0.79518072289156627</v>
      </c>
      <c r="O14" s="162">
        <f t="shared" si="5"/>
        <v>0.51004016064257029</v>
      </c>
      <c r="P14" s="162">
        <f t="shared" si="5"/>
        <v>0.11646586345381527</v>
      </c>
      <c r="Q14" s="162">
        <f t="shared" si="5"/>
        <v>0.30522088353413657</v>
      </c>
      <c r="R14" s="162">
        <f t="shared" si="5"/>
        <v>9.2369477911646583E-2</v>
      </c>
      <c r="S14" s="162">
        <f t="shared" si="5"/>
        <v>0.10843373493975904</v>
      </c>
      <c r="T14" s="162">
        <f t="shared" si="5"/>
        <v>0.23293172690763053</v>
      </c>
      <c r="U14" s="162">
        <f t="shared" ref="U14:AI14" si="6">(COUNTA(U32:U276)+COUNTA(U343:U347))/(COUNTA($A$32:$A$276)+COUNTA($A$343:$A$347))</f>
        <v>0</v>
      </c>
      <c r="V14" s="162">
        <f t="shared" si="6"/>
        <v>0</v>
      </c>
      <c r="W14" s="162">
        <f t="shared" si="6"/>
        <v>0</v>
      </c>
      <c r="X14" s="162">
        <f t="shared" si="6"/>
        <v>0</v>
      </c>
      <c r="Y14" s="162">
        <f t="shared" si="6"/>
        <v>0</v>
      </c>
      <c r="Z14" s="162">
        <f t="shared" si="6"/>
        <v>0</v>
      </c>
      <c r="AA14" s="162">
        <f t="shared" si="6"/>
        <v>0</v>
      </c>
      <c r="AB14" s="162">
        <f t="shared" si="6"/>
        <v>0</v>
      </c>
      <c r="AC14" s="162">
        <f t="shared" si="6"/>
        <v>0</v>
      </c>
      <c r="AD14" s="162">
        <f t="shared" si="6"/>
        <v>4.0000000000000001E-3</v>
      </c>
      <c r="AE14" s="162">
        <f t="shared" si="6"/>
        <v>0</v>
      </c>
      <c r="AF14" s="162">
        <f t="shared" si="6"/>
        <v>0</v>
      </c>
      <c r="AG14" s="162">
        <f t="shared" si="6"/>
        <v>0</v>
      </c>
      <c r="AH14" s="162">
        <f t="shared" si="6"/>
        <v>4.0000000000000001E-3</v>
      </c>
      <c r="AI14" s="162">
        <f t="shared" si="6"/>
        <v>0</v>
      </c>
      <c r="AJ14" s="504"/>
      <c r="AK14" s="440" t="s">
        <v>60</v>
      </c>
      <c r="AL14" s="441">
        <f>COUNTIF($AJ$32:$AJ$347,8)</f>
        <v>31</v>
      </c>
      <c r="AM14" s="637"/>
      <c r="AN14" s="639"/>
      <c r="AO14" s="639"/>
      <c r="AP14" s="639"/>
      <c r="AQ14" s="639"/>
      <c r="AR14" s="639"/>
      <c r="AS14" s="639"/>
      <c r="AT14" s="639"/>
      <c r="AU14" s="639"/>
      <c r="AV14" s="639"/>
      <c r="AW14" s="639"/>
      <c r="AX14" s="639"/>
      <c r="AY14" s="639"/>
      <c r="AZ14" s="639"/>
      <c r="BA14" s="639"/>
      <c r="BB14" s="639"/>
      <c r="BC14" s="639"/>
      <c r="BD14" s="639"/>
      <c r="BE14" s="639"/>
      <c r="BF14" s="639"/>
      <c r="BG14" s="639"/>
      <c r="BH14" s="639"/>
      <c r="BI14" s="639"/>
      <c r="BJ14" s="639"/>
      <c r="BK14" s="639"/>
      <c r="BL14" s="639"/>
      <c r="BM14" s="479"/>
      <c r="BN14" s="769" t="str">
        <f>HYPERLINK("http://tangotiger.com/index.php/site/comments/scoring-system-for-hof-ballots-2015#7", "'Voter versus Voters' Tango Score (0 to 100)")</f>
        <v>'Voter versus Voters' Tango Score (0 to 100)</v>
      </c>
      <c r="BO14" s="639"/>
      <c r="BP14" s="639"/>
      <c r="BQ14" s="639"/>
      <c r="BR14" s="639"/>
      <c r="BS14" s="639"/>
      <c r="BT14" s="639"/>
      <c r="BU14" s="639"/>
      <c r="BV14" s="639"/>
      <c r="BW14" s="639"/>
      <c r="BX14" s="639"/>
      <c r="BY14" s="639"/>
      <c r="BZ14" s="639"/>
      <c r="CA14" s="639"/>
      <c r="CB14" s="639"/>
      <c r="CC14" s="639"/>
      <c r="CD14" s="639"/>
      <c r="CE14" s="639"/>
      <c r="CF14" s="639"/>
      <c r="CG14" s="639"/>
      <c r="CH14" s="639"/>
      <c r="CI14" s="639"/>
      <c r="CJ14" s="639"/>
      <c r="CK14" s="639"/>
      <c r="CL14" s="639"/>
      <c r="CM14" s="639"/>
      <c r="CN14" s="639"/>
    </row>
    <row r="15" spans="1:92" ht="12.75" customHeight="1">
      <c r="A15" s="161" t="s">
        <v>68</v>
      </c>
      <c r="B15" s="164">
        <f>COUNTA(B278:B341)/COUNTA($A278:$A341)</f>
        <v>0.90625</v>
      </c>
      <c r="C15" s="164">
        <f t="shared" ref="C15:AI15" si="7">COUNTA(C278:C341)/COUNTA($A278:$A341)</f>
        <v>0.453125</v>
      </c>
      <c r="D15" s="164">
        <f t="shared" si="7"/>
        <v>0.484375</v>
      </c>
      <c r="E15" s="164">
        <f t="shared" si="7"/>
        <v>0.703125</v>
      </c>
      <c r="F15" s="164">
        <f t="shared" si="7"/>
        <v>0.78125</v>
      </c>
      <c r="G15" s="164">
        <f t="shared" si="7"/>
        <v>0.203125</v>
      </c>
      <c r="H15" s="164">
        <f t="shared" si="7"/>
        <v>0.484375</v>
      </c>
      <c r="I15" s="164">
        <f t="shared" si="7"/>
        <v>0.234375</v>
      </c>
      <c r="J15" s="164">
        <f t="shared" si="7"/>
        <v>0.53125</v>
      </c>
      <c r="K15" s="164">
        <f t="shared" si="7"/>
        <v>0</v>
      </c>
      <c r="L15" s="164">
        <f t="shared" si="7"/>
        <v>0.859375</v>
      </c>
      <c r="M15" s="164">
        <f t="shared" si="7"/>
        <v>0.234375</v>
      </c>
      <c r="N15" s="164">
        <f t="shared" si="7"/>
        <v>0.78125</v>
      </c>
      <c r="O15" s="164">
        <f t="shared" si="7"/>
        <v>0.484375</v>
      </c>
      <c r="P15" s="164">
        <f t="shared" si="7"/>
        <v>0.1875</v>
      </c>
      <c r="Q15" s="164">
        <f t="shared" si="7"/>
        <v>0.421875</v>
      </c>
      <c r="R15" s="164">
        <f t="shared" si="7"/>
        <v>7.8125E-2</v>
      </c>
      <c r="S15" s="164">
        <f t="shared" si="7"/>
        <v>0.109375</v>
      </c>
      <c r="T15" s="164">
        <f t="shared" si="7"/>
        <v>0.1875</v>
      </c>
      <c r="U15" s="164">
        <f t="shared" si="7"/>
        <v>0</v>
      </c>
      <c r="V15" s="164">
        <f t="shared" si="7"/>
        <v>0</v>
      </c>
      <c r="W15" s="164">
        <f t="shared" si="7"/>
        <v>0</v>
      </c>
      <c r="X15" s="164">
        <f t="shared" si="7"/>
        <v>0</v>
      </c>
      <c r="Y15" s="164">
        <f t="shared" si="7"/>
        <v>0</v>
      </c>
      <c r="Z15" s="164">
        <f t="shared" si="7"/>
        <v>0</v>
      </c>
      <c r="AA15" s="164">
        <f t="shared" si="7"/>
        <v>0</v>
      </c>
      <c r="AB15" s="164">
        <f t="shared" si="7"/>
        <v>0</v>
      </c>
      <c r="AC15" s="164">
        <f t="shared" si="7"/>
        <v>0</v>
      </c>
      <c r="AD15" s="164">
        <f t="shared" si="7"/>
        <v>0</v>
      </c>
      <c r="AE15" s="164">
        <f t="shared" si="7"/>
        <v>0</v>
      </c>
      <c r="AF15" s="164">
        <f t="shared" si="7"/>
        <v>0</v>
      </c>
      <c r="AG15" s="164">
        <f t="shared" si="7"/>
        <v>0</v>
      </c>
      <c r="AH15" s="164">
        <f t="shared" si="7"/>
        <v>0</v>
      </c>
      <c r="AI15" s="164">
        <f t="shared" si="7"/>
        <v>0</v>
      </c>
      <c r="AJ15" s="450"/>
      <c r="AK15" s="440" t="s">
        <v>62</v>
      </c>
      <c r="AL15" s="441">
        <f>COUNTIF($AJ$32:$AJ$347,7)</f>
        <v>23</v>
      </c>
      <c r="AM15" s="637"/>
      <c r="AN15" s="639"/>
      <c r="AO15" s="639"/>
      <c r="AP15" s="639"/>
      <c r="AQ15" s="639"/>
      <c r="AR15" s="639"/>
      <c r="AS15" s="639"/>
      <c r="AT15" s="639"/>
      <c r="AU15" s="639"/>
      <c r="AV15" s="639"/>
      <c r="AW15" s="639"/>
      <c r="AX15" s="639"/>
      <c r="AY15" s="639"/>
      <c r="AZ15" s="639"/>
      <c r="BA15" s="639"/>
      <c r="BB15" s="639"/>
      <c r="BC15" s="639"/>
      <c r="BD15" s="639"/>
      <c r="BE15" s="639"/>
      <c r="BF15" s="639"/>
      <c r="BG15" s="639"/>
      <c r="BH15" s="639"/>
      <c r="BI15" s="639"/>
      <c r="BJ15" s="639"/>
      <c r="BK15" s="639"/>
      <c r="BL15" s="639"/>
      <c r="BM15" s="313"/>
      <c r="BN15" s="770"/>
      <c r="BO15" s="639"/>
      <c r="BP15" s="639"/>
      <c r="BQ15" s="639"/>
      <c r="BR15" s="639"/>
      <c r="BS15" s="639"/>
      <c r="BT15" s="639"/>
      <c r="BU15" s="639"/>
      <c r="BV15" s="639"/>
      <c r="BW15" s="639"/>
      <c r="BX15" s="639"/>
      <c r="BY15" s="639"/>
      <c r="BZ15" s="639"/>
      <c r="CA15" s="639"/>
      <c r="CB15" s="639"/>
      <c r="CC15" s="639"/>
      <c r="CD15" s="639"/>
      <c r="CE15" s="639"/>
      <c r="CF15" s="639"/>
      <c r="CG15" s="639"/>
      <c r="CH15" s="639"/>
      <c r="CI15" s="639"/>
      <c r="CJ15" s="639"/>
      <c r="CK15" s="639"/>
      <c r="CL15" s="639"/>
      <c r="CM15" s="639"/>
      <c r="CN15" s="639"/>
    </row>
    <row r="16" spans="1:92" ht="12.75" customHeight="1">
      <c r="A16" s="161" t="s">
        <v>69</v>
      </c>
      <c r="B16" s="166">
        <f t="shared" ref="B16:AI16" si="8">B18/B19</f>
        <v>0.8125</v>
      </c>
      <c r="C16" s="166">
        <f t="shared" si="8"/>
        <v>0.3828125</v>
      </c>
      <c r="D16" s="166">
        <f t="shared" si="8"/>
        <v>0.3984375</v>
      </c>
      <c r="E16" s="166">
        <f t="shared" si="8"/>
        <v>0.7109375</v>
      </c>
      <c r="F16" s="166">
        <f t="shared" si="8"/>
        <v>0.7421875</v>
      </c>
      <c r="G16" s="166">
        <f t="shared" si="8"/>
        <v>0.15625</v>
      </c>
      <c r="H16" s="166">
        <f t="shared" si="8"/>
        <v>0.5</v>
      </c>
      <c r="I16" s="166">
        <f t="shared" si="8"/>
        <v>0.3203125</v>
      </c>
      <c r="J16" s="166">
        <f t="shared" si="8"/>
        <v>0.375</v>
      </c>
      <c r="K16" s="166">
        <f t="shared" ref="K16:R16" si="9">K18/K19</f>
        <v>5.46875E-2</v>
      </c>
      <c r="L16" s="166">
        <f t="shared" si="9"/>
        <v>0.8046875</v>
      </c>
      <c r="M16" s="166">
        <f t="shared" si="9"/>
        <v>0.21875</v>
      </c>
      <c r="N16" s="166">
        <f t="shared" si="9"/>
        <v>0.6796875</v>
      </c>
      <c r="O16" s="166">
        <f t="shared" si="9"/>
        <v>0.3203125</v>
      </c>
      <c r="P16" s="166">
        <f t="shared" si="9"/>
        <v>0.140625</v>
      </c>
      <c r="Q16" s="166">
        <f t="shared" si="9"/>
        <v>0.375</v>
      </c>
      <c r="R16" s="166">
        <f t="shared" si="9"/>
        <v>7.8125E-2</v>
      </c>
      <c r="S16" s="166">
        <f t="shared" si="8"/>
        <v>8.59375E-2</v>
      </c>
      <c r="T16" s="166">
        <f t="shared" si="8"/>
        <v>0.2109375</v>
      </c>
      <c r="U16" s="166">
        <f t="shared" si="8"/>
        <v>0</v>
      </c>
      <c r="V16" s="166">
        <f t="shared" ref="V16" si="10">V18/V19</f>
        <v>0</v>
      </c>
      <c r="W16" s="166">
        <f t="shared" si="8"/>
        <v>0</v>
      </c>
      <c r="X16" s="166">
        <f t="shared" si="8"/>
        <v>0</v>
      </c>
      <c r="Y16" s="166">
        <f t="shared" si="8"/>
        <v>0</v>
      </c>
      <c r="Z16" s="166">
        <f t="shared" si="8"/>
        <v>0</v>
      </c>
      <c r="AA16" s="166">
        <f t="shared" si="8"/>
        <v>0</v>
      </c>
      <c r="AB16" s="166">
        <f t="shared" si="8"/>
        <v>0</v>
      </c>
      <c r="AC16" s="166">
        <f t="shared" si="8"/>
        <v>2.34375E-2</v>
      </c>
      <c r="AD16" s="166">
        <f t="shared" ref="AD16:AE16" si="11">AD18/AD19</f>
        <v>7.8125E-3</v>
      </c>
      <c r="AE16" s="166">
        <f t="shared" si="11"/>
        <v>0</v>
      </c>
      <c r="AF16" s="166">
        <f t="shared" ref="AF16" si="12">AF18/AF19</f>
        <v>0</v>
      </c>
      <c r="AG16" s="166">
        <f t="shared" ref="AG16" si="13">AG18/AG19</f>
        <v>0</v>
      </c>
      <c r="AH16" s="166">
        <f t="shared" si="8"/>
        <v>7.8125E-3</v>
      </c>
      <c r="AI16" s="166">
        <f t="shared" si="8"/>
        <v>7.8125E-3</v>
      </c>
      <c r="AJ16" s="451"/>
      <c r="AK16" s="440" t="s">
        <v>64</v>
      </c>
      <c r="AL16" s="441">
        <f>COUNTIF($AJ$32:$AJ$347,6)</f>
        <v>21</v>
      </c>
      <c r="AM16" s="637"/>
      <c r="AN16" s="639"/>
      <c r="AO16" s="639"/>
      <c r="AP16" s="639"/>
      <c r="AQ16" s="639"/>
      <c r="AR16" s="639"/>
      <c r="AS16" s="639"/>
      <c r="AT16" s="639"/>
      <c r="AU16" s="639"/>
      <c r="AV16" s="639"/>
      <c r="AW16" s="639"/>
      <c r="AX16" s="639"/>
      <c r="AY16" s="639"/>
      <c r="AZ16" s="639"/>
      <c r="BA16" s="639"/>
      <c r="BB16" s="639"/>
      <c r="BC16" s="639"/>
      <c r="BD16" s="639"/>
      <c r="BE16" s="639"/>
      <c r="BF16" s="639"/>
      <c r="BG16" s="639"/>
      <c r="BH16" s="639"/>
      <c r="BI16" s="639"/>
      <c r="BJ16" s="639"/>
      <c r="BK16" s="639"/>
      <c r="BL16" s="639"/>
      <c r="BM16" s="313"/>
      <c r="BN16" s="770"/>
      <c r="BO16" s="639"/>
      <c r="BP16" s="639"/>
      <c r="BQ16" s="639"/>
      <c r="BR16" s="639"/>
      <c r="BS16" s="639"/>
      <c r="BT16" s="639"/>
      <c r="BU16" s="639"/>
      <c r="BV16" s="639"/>
      <c r="BW16" s="639"/>
      <c r="BX16" s="639"/>
      <c r="BY16" s="639"/>
      <c r="BZ16" s="639"/>
      <c r="CA16" s="639"/>
      <c r="CB16" s="639"/>
      <c r="CC16" s="639"/>
      <c r="CD16" s="639"/>
      <c r="CE16" s="639"/>
      <c r="CF16" s="639"/>
      <c r="CG16" s="639"/>
      <c r="CH16" s="639"/>
      <c r="CI16" s="639"/>
      <c r="CJ16" s="639"/>
      <c r="CK16" s="639"/>
      <c r="CL16" s="639"/>
      <c r="CM16" s="639"/>
      <c r="CN16" s="639"/>
    </row>
    <row r="17" spans="1:92" ht="12.75" customHeight="1" thickBot="1">
      <c r="A17" s="161" t="s">
        <v>70</v>
      </c>
      <c r="B17" s="166">
        <f t="shared" ref="B17:AI17" si="14">B16-B4</f>
        <v>-6.9665605095541427E-2</v>
      </c>
      <c r="C17" s="166">
        <f t="shared" si="14"/>
        <v>-0.21909832802547768</v>
      </c>
      <c r="D17" s="166">
        <f t="shared" si="14"/>
        <v>-0.20028861464968151</v>
      </c>
      <c r="E17" s="166">
        <f t="shared" si="14"/>
        <v>-8.8077229299362569E-3</v>
      </c>
      <c r="F17" s="166">
        <f t="shared" si="14"/>
        <v>3.3339968152866772E-3</v>
      </c>
      <c r="G17" s="166">
        <f t="shared" si="14"/>
        <v>-1.572452229299362E-2</v>
      </c>
      <c r="H17" s="166">
        <f t="shared" si="14"/>
        <v>-0.12101910828025475</v>
      </c>
      <c r="I17" s="166">
        <f t="shared" si="14"/>
        <v>0.1451532643312102</v>
      </c>
      <c r="J17" s="166">
        <f t="shared" si="14"/>
        <v>-0.20143312101910826</v>
      </c>
      <c r="K17" s="166">
        <f t="shared" ref="K17:R17" si="15">K16-K4</f>
        <v>2.2840366242038217E-2</v>
      </c>
      <c r="L17" s="166">
        <f t="shared" si="15"/>
        <v>-7.7478105095541427E-2</v>
      </c>
      <c r="M17" s="166">
        <f t="shared" si="15"/>
        <v>-2.6472929936305734E-2</v>
      </c>
      <c r="N17" s="166">
        <f t="shared" si="15"/>
        <v>-0.11330613057324845</v>
      </c>
      <c r="O17" s="166">
        <f t="shared" si="15"/>
        <v>-0.18287221337579618</v>
      </c>
      <c r="P17" s="166">
        <f t="shared" si="15"/>
        <v>1.0051751592356689E-2</v>
      </c>
      <c r="Q17" s="166">
        <f t="shared" si="15"/>
        <v>4.6974522292993648E-2</v>
      </c>
      <c r="R17" s="166">
        <f t="shared" si="15"/>
        <v>-1.1046974522292988E-2</v>
      </c>
      <c r="S17" s="166">
        <f t="shared" si="14"/>
        <v>-2.2342754777070067E-2</v>
      </c>
      <c r="T17" s="166">
        <f t="shared" si="14"/>
        <v>-1.199243630573249E-2</v>
      </c>
      <c r="U17" s="166">
        <f t="shared" si="14"/>
        <v>0</v>
      </c>
      <c r="V17" s="166">
        <f t="shared" ref="V17" si="16">V16-V4</f>
        <v>0</v>
      </c>
      <c r="W17" s="166">
        <f t="shared" si="14"/>
        <v>0</v>
      </c>
      <c r="X17" s="166">
        <f t="shared" si="14"/>
        <v>0</v>
      </c>
      <c r="Y17" s="166">
        <f t="shared" si="14"/>
        <v>0</v>
      </c>
      <c r="Z17" s="166">
        <f t="shared" si="14"/>
        <v>0</v>
      </c>
      <c r="AA17" s="166">
        <f t="shared" si="14"/>
        <v>0</v>
      </c>
      <c r="AB17" s="166">
        <f t="shared" si="14"/>
        <v>0</v>
      </c>
      <c r="AC17" s="166">
        <f t="shared" si="14"/>
        <v>2.34375E-2</v>
      </c>
      <c r="AD17" s="166">
        <f t="shared" ref="AD17:AE17" si="17">AD16-AD4</f>
        <v>4.6277866242038215E-3</v>
      </c>
      <c r="AE17" s="166">
        <f t="shared" si="17"/>
        <v>0</v>
      </c>
      <c r="AF17" s="166">
        <f t="shared" ref="AF17" si="18">AF16-AF4</f>
        <v>0</v>
      </c>
      <c r="AG17" s="166">
        <f t="shared" ref="AG17" si="19">AG16-AG4</f>
        <v>0</v>
      </c>
      <c r="AH17" s="166">
        <f t="shared" si="14"/>
        <v>4.6277866242038215E-3</v>
      </c>
      <c r="AI17" s="166">
        <f t="shared" si="14"/>
        <v>7.8125E-3</v>
      </c>
      <c r="AJ17" s="429"/>
      <c r="AK17" s="440" t="s">
        <v>74</v>
      </c>
      <c r="AL17" s="441">
        <f>COUNTIF($AJ$32:$AJ$347,5)</f>
        <v>19</v>
      </c>
      <c r="AM17" s="637"/>
      <c r="AN17" s="639"/>
      <c r="AO17" s="639"/>
      <c r="AP17" s="639"/>
      <c r="AQ17" s="639"/>
      <c r="AR17" s="639"/>
      <c r="AS17" s="639"/>
      <c r="AT17" s="639"/>
      <c r="AU17" s="639"/>
      <c r="AV17" s="639"/>
      <c r="AW17" s="639"/>
      <c r="AX17" s="639"/>
      <c r="AY17" s="639"/>
      <c r="AZ17" s="639"/>
      <c r="BA17" s="639"/>
      <c r="BB17" s="639"/>
      <c r="BC17" s="639"/>
      <c r="BD17" s="639"/>
      <c r="BE17" s="639"/>
      <c r="BF17" s="639"/>
      <c r="BG17" s="639"/>
      <c r="BH17" s="639"/>
      <c r="BI17" s="639"/>
      <c r="BJ17" s="639"/>
      <c r="BK17" s="639"/>
      <c r="BL17" s="639"/>
      <c r="BM17" s="313"/>
      <c r="BN17" s="770"/>
      <c r="BO17" s="639"/>
      <c r="BP17" s="639"/>
      <c r="BQ17" s="639"/>
      <c r="BR17" s="639"/>
      <c r="BS17" s="639"/>
      <c r="BT17" s="639"/>
      <c r="BU17" s="639"/>
      <c r="BV17" s="639"/>
      <c r="BW17" s="639"/>
      <c r="BX17" s="639"/>
      <c r="BY17" s="639"/>
      <c r="BZ17" s="639"/>
      <c r="CA17" s="639"/>
      <c r="CB17" s="639"/>
      <c r="CC17" s="639"/>
      <c r="CD17" s="639"/>
      <c r="CE17" s="639"/>
      <c r="CF17" s="639"/>
      <c r="CG17" s="639"/>
      <c r="CH17" s="639"/>
      <c r="CI17" s="639"/>
      <c r="CJ17" s="639"/>
      <c r="CK17" s="639"/>
      <c r="CL17" s="639"/>
      <c r="CM17" s="639"/>
      <c r="CN17" s="639"/>
    </row>
    <row r="18" spans="1:92" ht="12.75" hidden="1" customHeight="1">
      <c r="A18" s="641"/>
      <c r="B18" s="364">
        <f>B13-B5</f>
        <v>104</v>
      </c>
      <c r="C18" s="364">
        <f>C13-C5</f>
        <v>49</v>
      </c>
      <c r="D18" s="364">
        <f t="shared" ref="D18:AI18" si="20">D13-D5</f>
        <v>51</v>
      </c>
      <c r="E18" s="364">
        <f t="shared" si="20"/>
        <v>91</v>
      </c>
      <c r="F18" s="364">
        <f t="shared" si="20"/>
        <v>95</v>
      </c>
      <c r="G18" s="364">
        <f t="shared" si="20"/>
        <v>20</v>
      </c>
      <c r="H18" s="364">
        <f t="shared" si="20"/>
        <v>64</v>
      </c>
      <c r="I18" s="364">
        <f t="shared" si="20"/>
        <v>41</v>
      </c>
      <c r="J18" s="364">
        <f t="shared" si="20"/>
        <v>48</v>
      </c>
      <c r="K18" s="364">
        <f t="shared" ref="K18:R18" si="21">K13-K5</f>
        <v>7</v>
      </c>
      <c r="L18" s="364">
        <f t="shared" si="21"/>
        <v>103</v>
      </c>
      <c r="M18" s="364">
        <f t="shared" si="21"/>
        <v>28</v>
      </c>
      <c r="N18" s="364">
        <f t="shared" si="21"/>
        <v>87</v>
      </c>
      <c r="O18" s="364">
        <f t="shared" si="21"/>
        <v>41</v>
      </c>
      <c r="P18" s="364">
        <f t="shared" si="21"/>
        <v>18</v>
      </c>
      <c r="Q18" s="364">
        <f t="shared" si="21"/>
        <v>48</v>
      </c>
      <c r="R18" s="364">
        <f t="shared" si="21"/>
        <v>10</v>
      </c>
      <c r="S18" s="364">
        <f t="shared" si="20"/>
        <v>11</v>
      </c>
      <c r="T18" s="364">
        <f t="shared" si="20"/>
        <v>27</v>
      </c>
      <c r="U18" s="364">
        <f t="shared" si="20"/>
        <v>0</v>
      </c>
      <c r="V18" s="364">
        <f t="shared" ref="V18" si="22">V13-V5</f>
        <v>0</v>
      </c>
      <c r="W18" s="364">
        <f t="shared" si="20"/>
        <v>0</v>
      </c>
      <c r="X18" s="364">
        <f t="shared" si="20"/>
        <v>0</v>
      </c>
      <c r="Y18" s="364">
        <f t="shared" si="20"/>
        <v>0</v>
      </c>
      <c r="Z18" s="364">
        <f t="shared" si="20"/>
        <v>0</v>
      </c>
      <c r="AA18" s="364">
        <f t="shared" si="20"/>
        <v>0</v>
      </c>
      <c r="AB18" s="364">
        <f t="shared" si="20"/>
        <v>0</v>
      </c>
      <c r="AC18" s="364">
        <f t="shared" si="20"/>
        <v>3</v>
      </c>
      <c r="AD18" s="364">
        <f t="shared" ref="AD18:AE18" si="23">AD13-AD5</f>
        <v>1</v>
      </c>
      <c r="AE18" s="364">
        <f t="shared" si="23"/>
        <v>0</v>
      </c>
      <c r="AF18" s="364">
        <f t="shared" ref="AF18" si="24">AF13-AF5</f>
        <v>0</v>
      </c>
      <c r="AG18" s="364">
        <f t="shared" ref="AG18" si="25">AG13-AG5</f>
        <v>0</v>
      </c>
      <c r="AH18" s="364">
        <f t="shared" si="20"/>
        <v>1</v>
      </c>
      <c r="AI18" s="364">
        <f t="shared" si="20"/>
        <v>1</v>
      </c>
      <c r="AJ18" s="452"/>
      <c r="AK18" s="442"/>
      <c r="AL18" s="441"/>
      <c r="AM18" s="637"/>
      <c r="AN18" s="639"/>
      <c r="AO18" s="639"/>
      <c r="AP18" s="639"/>
      <c r="AQ18" s="639"/>
      <c r="AR18" s="639"/>
      <c r="AS18" s="639"/>
      <c r="AT18" s="639"/>
      <c r="AU18" s="639"/>
      <c r="AV18" s="639"/>
      <c r="AW18" s="639"/>
      <c r="AX18" s="639"/>
      <c r="AY18" s="639"/>
      <c r="AZ18" s="639"/>
      <c r="BA18" s="639"/>
      <c r="BB18" s="639"/>
      <c r="BC18" s="639"/>
      <c r="BD18" s="639"/>
      <c r="BE18" s="639"/>
      <c r="BF18" s="639"/>
      <c r="BG18" s="639"/>
      <c r="BH18" s="639"/>
      <c r="BI18" s="639"/>
      <c r="BJ18" s="639"/>
      <c r="BK18" s="639"/>
      <c r="BL18" s="639"/>
      <c r="BM18" s="313"/>
      <c r="BN18" s="770"/>
      <c r="BO18" s="639"/>
      <c r="BP18" s="639"/>
      <c r="BQ18" s="639"/>
      <c r="BR18" s="639"/>
      <c r="BS18" s="639"/>
      <c r="BT18" s="639"/>
      <c r="BU18" s="639"/>
      <c r="BV18" s="639"/>
      <c r="BW18" s="639"/>
      <c r="BX18" s="639"/>
      <c r="BY18" s="639"/>
      <c r="BZ18" s="639"/>
      <c r="CA18" s="639"/>
      <c r="CB18" s="639"/>
      <c r="CC18" s="639"/>
      <c r="CD18" s="639"/>
      <c r="CE18" s="639"/>
      <c r="CF18" s="639"/>
      <c r="CG18" s="639"/>
      <c r="CH18" s="639"/>
      <c r="CI18" s="639"/>
      <c r="CJ18" s="639"/>
      <c r="CK18" s="639"/>
      <c r="CL18" s="639"/>
      <c r="CM18" s="639"/>
      <c r="CN18" s="639"/>
    </row>
    <row r="19" spans="1:92" ht="12.75" hidden="1" customHeight="1">
      <c r="A19" s="641"/>
      <c r="B19" s="641">
        <f>442-$E1-$I$1</f>
        <v>128</v>
      </c>
      <c r="C19" s="641">
        <f t="shared" ref="C19:AI19" si="26">442-$E1-$I$1</f>
        <v>128</v>
      </c>
      <c r="D19" s="641">
        <f t="shared" si="26"/>
        <v>128</v>
      </c>
      <c r="E19" s="641">
        <f t="shared" si="26"/>
        <v>128</v>
      </c>
      <c r="F19" s="641">
        <f t="shared" si="26"/>
        <v>128</v>
      </c>
      <c r="G19" s="641">
        <f t="shared" si="26"/>
        <v>128</v>
      </c>
      <c r="H19" s="641">
        <f t="shared" si="26"/>
        <v>128</v>
      </c>
      <c r="I19" s="641">
        <f t="shared" si="26"/>
        <v>128</v>
      </c>
      <c r="J19" s="641">
        <f t="shared" si="26"/>
        <v>128</v>
      </c>
      <c r="K19" s="641">
        <f t="shared" si="26"/>
        <v>128</v>
      </c>
      <c r="L19" s="641">
        <f t="shared" si="26"/>
        <v>128</v>
      </c>
      <c r="M19" s="641">
        <f t="shared" si="26"/>
        <v>128</v>
      </c>
      <c r="N19" s="641">
        <f t="shared" si="26"/>
        <v>128</v>
      </c>
      <c r="O19" s="641">
        <f t="shared" si="26"/>
        <v>128</v>
      </c>
      <c r="P19" s="641">
        <f t="shared" si="26"/>
        <v>128</v>
      </c>
      <c r="Q19" s="641">
        <f t="shared" si="26"/>
        <v>128</v>
      </c>
      <c r="R19" s="641">
        <f t="shared" si="26"/>
        <v>128</v>
      </c>
      <c r="S19" s="641">
        <f t="shared" si="26"/>
        <v>128</v>
      </c>
      <c r="T19" s="641">
        <f t="shared" si="26"/>
        <v>128</v>
      </c>
      <c r="U19" s="641">
        <f t="shared" si="26"/>
        <v>128</v>
      </c>
      <c r="V19" s="641">
        <f t="shared" si="26"/>
        <v>128</v>
      </c>
      <c r="W19" s="641">
        <f t="shared" si="26"/>
        <v>128</v>
      </c>
      <c r="X19" s="641">
        <f t="shared" si="26"/>
        <v>128</v>
      </c>
      <c r="Y19" s="641">
        <f t="shared" si="26"/>
        <v>128</v>
      </c>
      <c r="Z19" s="641">
        <f t="shared" si="26"/>
        <v>128</v>
      </c>
      <c r="AA19" s="641">
        <f t="shared" si="26"/>
        <v>128</v>
      </c>
      <c r="AB19" s="641">
        <f t="shared" si="26"/>
        <v>128</v>
      </c>
      <c r="AC19" s="641">
        <f t="shared" si="26"/>
        <v>128</v>
      </c>
      <c r="AD19" s="641">
        <f t="shared" si="26"/>
        <v>128</v>
      </c>
      <c r="AE19" s="641">
        <f t="shared" si="26"/>
        <v>128</v>
      </c>
      <c r="AF19" s="641">
        <f t="shared" si="26"/>
        <v>128</v>
      </c>
      <c r="AG19" s="641">
        <f t="shared" si="26"/>
        <v>128</v>
      </c>
      <c r="AH19" s="641">
        <f t="shared" si="26"/>
        <v>128</v>
      </c>
      <c r="AI19" s="641">
        <f t="shared" si="26"/>
        <v>128</v>
      </c>
      <c r="AJ19" s="429"/>
      <c r="AK19" s="442"/>
      <c r="AL19" s="441"/>
      <c r="AM19" s="637"/>
      <c r="AN19" s="639"/>
      <c r="AO19" s="639"/>
      <c r="AP19" s="639"/>
      <c r="AQ19" s="639"/>
      <c r="AR19" s="639"/>
      <c r="AS19" s="639"/>
      <c r="AT19" s="639"/>
      <c r="AU19" s="639"/>
      <c r="AV19" s="639"/>
      <c r="AW19" s="639"/>
      <c r="AX19" s="639"/>
      <c r="AY19" s="639"/>
      <c r="AZ19" s="639"/>
      <c r="BA19" s="639"/>
      <c r="BB19" s="639"/>
      <c r="BC19" s="639"/>
      <c r="BD19" s="639"/>
      <c r="BE19" s="639"/>
      <c r="BF19" s="639"/>
      <c r="BG19" s="639"/>
      <c r="BH19" s="639"/>
      <c r="BI19" s="639"/>
      <c r="BJ19" s="639"/>
      <c r="BK19" s="639"/>
      <c r="BL19" s="639"/>
      <c r="BM19" s="313"/>
      <c r="BN19" s="770"/>
      <c r="BO19" s="639"/>
      <c r="BP19" s="639"/>
      <c r="BQ19" s="639"/>
      <c r="BR19" s="639"/>
      <c r="BS19" s="639"/>
      <c r="BT19" s="639"/>
      <c r="BU19" s="639"/>
      <c r="BV19" s="639"/>
      <c r="BW19" s="639"/>
      <c r="BX19" s="639"/>
      <c r="BY19" s="639"/>
      <c r="BZ19" s="639"/>
      <c r="CA19" s="639"/>
      <c r="CB19" s="639"/>
      <c r="CC19" s="639"/>
      <c r="CD19" s="639"/>
      <c r="CE19" s="639"/>
      <c r="CF19" s="639"/>
      <c r="CG19" s="639"/>
      <c r="CH19" s="639"/>
      <c r="CI19" s="639"/>
      <c r="CJ19" s="639"/>
      <c r="CK19" s="639"/>
      <c r="CL19" s="639"/>
      <c r="CM19" s="639"/>
      <c r="CN19" s="639"/>
    </row>
    <row r="20" spans="1:92" ht="12.75" hidden="1" customHeight="1">
      <c r="A20" s="403" t="s">
        <v>71</v>
      </c>
      <c r="B20" s="403">
        <f>RANK(B4,B4:AI4,0)</f>
        <v>1</v>
      </c>
      <c r="C20" s="403"/>
      <c r="D20" s="403"/>
      <c r="E20" s="403"/>
      <c r="F20" s="403"/>
      <c r="G20" s="403"/>
      <c r="H20" s="403"/>
      <c r="I20" s="403"/>
      <c r="J20" s="403"/>
      <c r="K20" s="403"/>
      <c r="L20" s="403"/>
      <c r="M20" s="403"/>
      <c r="N20" s="403"/>
      <c r="O20" s="403"/>
      <c r="P20" s="403"/>
      <c r="Q20" s="403"/>
      <c r="R20" s="403"/>
      <c r="S20" s="403"/>
      <c r="T20" s="403"/>
      <c r="U20" s="403"/>
      <c r="V20" s="403"/>
      <c r="W20" s="403"/>
      <c r="X20" s="403"/>
      <c r="Y20" s="403"/>
      <c r="Z20" s="403"/>
      <c r="AA20" s="403"/>
      <c r="AB20" s="403"/>
      <c r="AC20" s="403"/>
      <c r="AD20" s="403"/>
      <c r="AE20" s="403"/>
      <c r="AF20" s="403"/>
      <c r="AG20" s="403"/>
      <c r="AH20" s="403"/>
      <c r="AI20" s="403"/>
      <c r="AJ20" s="429"/>
      <c r="AK20" s="442"/>
      <c r="AL20" s="441"/>
      <c r="AM20" s="637"/>
      <c r="AN20" s="639"/>
      <c r="AO20" s="639"/>
      <c r="AP20" s="639"/>
      <c r="AQ20" s="639"/>
      <c r="AR20" s="639"/>
      <c r="AS20" s="639"/>
      <c r="AT20" s="639"/>
      <c r="AU20" s="639"/>
      <c r="AV20" s="639"/>
      <c r="AW20" s="639"/>
      <c r="AX20" s="639"/>
      <c r="AY20" s="639"/>
      <c r="AZ20" s="639"/>
      <c r="BA20" s="639"/>
      <c r="BB20" s="639"/>
      <c r="BC20" s="639"/>
      <c r="BD20" s="639"/>
      <c r="BE20" s="639"/>
      <c r="BF20" s="639"/>
      <c r="BG20" s="639"/>
      <c r="BH20" s="639"/>
      <c r="BI20" s="639"/>
      <c r="BJ20" s="639"/>
      <c r="BK20" s="639"/>
      <c r="BL20" s="639"/>
      <c r="BM20" s="313"/>
      <c r="BN20" s="770"/>
      <c r="BO20" s="639"/>
      <c r="BP20" s="639"/>
      <c r="BQ20" s="639"/>
      <c r="BR20" s="639"/>
      <c r="BS20" s="639"/>
      <c r="BT20" s="639"/>
      <c r="BU20" s="639"/>
      <c r="BV20" s="639"/>
      <c r="BW20" s="639"/>
      <c r="BX20" s="639"/>
      <c r="BY20" s="639"/>
      <c r="BZ20" s="639"/>
      <c r="CA20" s="639"/>
      <c r="CB20" s="639"/>
      <c r="CC20" s="639"/>
      <c r="CD20" s="639"/>
      <c r="CE20" s="639"/>
      <c r="CF20" s="639"/>
      <c r="CG20" s="639"/>
      <c r="CH20" s="639"/>
      <c r="CI20" s="639"/>
      <c r="CJ20" s="639"/>
      <c r="CK20" s="639"/>
      <c r="CL20" s="639"/>
      <c r="CM20" s="639"/>
      <c r="CN20" s="639"/>
    </row>
    <row r="21" spans="1:92" ht="12.75" hidden="1" customHeight="1" thickBot="1">
      <c r="A21" s="403" t="s">
        <v>532</v>
      </c>
      <c r="B21" s="404">
        <v>0.77700000000000002</v>
      </c>
      <c r="C21" s="404">
        <v>0.51200000000000001</v>
      </c>
      <c r="D21" s="404">
        <v>0.50700000000000001</v>
      </c>
      <c r="E21" s="404"/>
      <c r="F21" s="404">
        <v>0.63500000000000001</v>
      </c>
      <c r="G21" s="404">
        <v>0.18</v>
      </c>
      <c r="H21" s="404">
        <v>0.47399999999999998</v>
      </c>
      <c r="I21" s="404">
        <v>0.19</v>
      </c>
      <c r="J21" s="404">
        <v>0.502</v>
      </c>
      <c r="K21" s="404"/>
      <c r="L21" s="404">
        <v>0.754</v>
      </c>
      <c r="M21" s="404"/>
      <c r="N21" s="404"/>
      <c r="O21" s="404">
        <v>0.60199999999999998</v>
      </c>
      <c r="P21" s="404">
        <v>0.114</v>
      </c>
      <c r="Q21" s="404">
        <v>0.28399999999999997</v>
      </c>
      <c r="R21" s="404">
        <v>7.5999999999999998E-2</v>
      </c>
      <c r="S21" s="404">
        <v>0.09</v>
      </c>
      <c r="T21" s="404">
        <v>0.14199999999999999</v>
      </c>
      <c r="U21" s="404"/>
      <c r="V21" s="404"/>
      <c r="W21" s="404"/>
      <c r="X21" s="404"/>
      <c r="Y21" s="404"/>
      <c r="Z21" s="404"/>
      <c r="AA21" s="404"/>
      <c r="AB21" s="404"/>
      <c r="AC21" s="404"/>
      <c r="AD21" s="404"/>
      <c r="AE21" s="404"/>
      <c r="AF21" s="404"/>
      <c r="AG21" s="404"/>
      <c r="AH21" s="404"/>
      <c r="AI21" s="404"/>
      <c r="AJ21" s="429"/>
      <c r="AK21" s="442"/>
      <c r="AL21" s="441"/>
      <c r="AM21" s="637"/>
      <c r="AN21" s="639"/>
      <c r="AO21" s="639"/>
      <c r="AP21" s="639"/>
      <c r="AQ21" s="639"/>
      <c r="AR21" s="639"/>
      <c r="AS21" s="639"/>
      <c r="AT21" s="639"/>
      <c r="AU21" s="639"/>
      <c r="AV21" s="639"/>
      <c r="AW21" s="639"/>
      <c r="AX21" s="639"/>
      <c r="AY21" s="639"/>
      <c r="AZ21" s="639"/>
      <c r="BA21" s="639"/>
      <c r="BB21" s="639"/>
      <c r="BC21" s="639"/>
      <c r="BD21" s="639"/>
      <c r="BE21" s="639"/>
      <c r="BF21" s="639"/>
      <c r="BG21" s="639"/>
      <c r="BH21" s="639"/>
      <c r="BI21" s="639"/>
      <c r="BJ21" s="639"/>
      <c r="BK21" s="639"/>
      <c r="BL21" s="639"/>
      <c r="BM21" s="313"/>
      <c r="BN21" s="770"/>
      <c r="BO21" s="639"/>
      <c r="BP21" s="639"/>
      <c r="BQ21" s="639"/>
      <c r="BR21" s="639"/>
      <c r="BS21" s="639"/>
      <c r="BT21" s="639"/>
      <c r="BU21" s="639"/>
      <c r="BV21" s="639"/>
      <c r="BW21" s="639"/>
      <c r="BX21" s="639"/>
      <c r="BY21" s="639"/>
      <c r="BZ21" s="639"/>
      <c r="CA21" s="639"/>
      <c r="CB21" s="639"/>
      <c r="CC21" s="639"/>
      <c r="CD21" s="639"/>
      <c r="CE21" s="639"/>
      <c r="CF21" s="639"/>
      <c r="CG21" s="639"/>
      <c r="CH21" s="639"/>
      <c r="CI21" s="639"/>
      <c r="CJ21" s="639"/>
      <c r="CK21" s="639"/>
      <c r="CL21" s="639"/>
      <c r="CM21" s="639"/>
      <c r="CN21" s="639"/>
    </row>
    <row r="22" spans="1:92" ht="12.75" customHeight="1">
      <c r="A22" s="424" t="s">
        <v>73</v>
      </c>
      <c r="B22" s="415">
        <v>33</v>
      </c>
      <c r="C22" s="415">
        <v>28</v>
      </c>
      <c r="D22" s="415">
        <v>29</v>
      </c>
      <c r="E22" s="416"/>
      <c r="F22" s="415">
        <v>38</v>
      </c>
      <c r="G22" s="415">
        <v>10</v>
      </c>
      <c r="H22" s="415">
        <v>53</v>
      </c>
      <c r="I22" s="415">
        <v>10</v>
      </c>
      <c r="J22" s="415">
        <v>35</v>
      </c>
      <c r="K22" s="416"/>
      <c r="L22" s="415">
        <v>37</v>
      </c>
      <c r="M22" s="416"/>
      <c r="N22" s="416"/>
      <c r="O22" s="415">
        <v>18</v>
      </c>
      <c r="P22" s="415">
        <v>13</v>
      </c>
      <c r="Q22" s="415">
        <v>14</v>
      </c>
      <c r="R22" s="415">
        <v>7</v>
      </c>
      <c r="S22" s="415">
        <v>9</v>
      </c>
      <c r="T22" s="415">
        <v>21</v>
      </c>
      <c r="U22" s="416"/>
      <c r="V22" s="416"/>
      <c r="W22" s="416"/>
      <c r="X22" s="416"/>
      <c r="Y22" s="416"/>
      <c r="Z22" s="416"/>
      <c r="AA22" s="416"/>
      <c r="AB22" s="416"/>
      <c r="AC22" s="416"/>
      <c r="AD22" s="416"/>
      <c r="AE22" s="416"/>
      <c r="AF22" s="416"/>
      <c r="AG22" s="416"/>
      <c r="AH22" s="416"/>
      <c r="AI22" s="416"/>
      <c r="AJ22" s="429"/>
      <c r="AK22" s="440" t="s">
        <v>76</v>
      </c>
      <c r="AL22" s="441">
        <f>COUNTIF($AJ$32:$AJ$347,4)</f>
        <v>10</v>
      </c>
      <c r="AM22" s="637"/>
      <c r="AN22" s="639"/>
      <c r="AO22" s="639"/>
      <c r="AP22" s="639"/>
      <c r="AQ22" s="639"/>
      <c r="AR22" s="639"/>
      <c r="AS22" s="639"/>
      <c r="AT22" s="639"/>
      <c r="AU22" s="639"/>
      <c r="AV22" s="639"/>
      <c r="AW22" s="639"/>
      <c r="AX22" s="639"/>
      <c r="AY22" s="639"/>
      <c r="AZ22" s="639"/>
      <c r="BA22" s="639"/>
      <c r="BB22" s="639"/>
      <c r="BC22" s="639"/>
      <c r="BD22" s="639"/>
      <c r="BE22" s="639"/>
      <c r="BF22" s="639"/>
      <c r="BG22" s="639"/>
      <c r="BH22" s="639"/>
      <c r="BI22" s="639"/>
      <c r="BJ22" s="639"/>
      <c r="BK22" s="639"/>
      <c r="BL22" s="639"/>
      <c r="BM22" s="313"/>
      <c r="BN22" s="770"/>
      <c r="BO22" s="639"/>
      <c r="BP22" s="639"/>
      <c r="BQ22" s="639"/>
      <c r="BR22" s="639"/>
      <c r="BS22" s="639"/>
      <c r="BT22" s="639"/>
      <c r="BU22" s="639"/>
      <c r="BV22" s="639"/>
      <c r="BW22" s="639"/>
      <c r="BX22" s="639"/>
      <c r="BY22" s="639"/>
      <c r="BZ22" s="639"/>
      <c r="CA22" s="639"/>
      <c r="CB22" s="639"/>
      <c r="CC22" s="639"/>
      <c r="CD22" s="639"/>
      <c r="CE22" s="639"/>
      <c r="CF22" s="639"/>
      <c r="CG22" s="639"/>
      <c r="CH22" s="639"/>
      <c r="CI22" s="639"/>
      <c r="CJ22" s="639"/>
      <c r="CK22" s="639"/>
      <c r="CL22" s="639"/>
      <c r="CM22" s="639"/>
      <c r="CN22" s="639"/>
    </row>
    <row r="23" spans="1:92" ht="12.75" customHeight="1">
      <c r="A23" s="425" t="s">
        <v>75</v>
      </c>
      <c r="B23" s="411">
        <v>0</v>
      </c>
      <c r="C23" s="411">
        <v>-1</v>
      </c>
      <c r="D23" s="411">
        <v>-2</v>
      </c>
      <c r="E23" s="412"/>
      <c r="F23" s="411">
        <v>-12</v>
      </c>
      <c r="G23" s="411">
        <v>-11</v>
      </c>
      <c r="H23" s="411">
        <v>-5</v>
      </c>
      <c r="I23" s="411">
        <v>-11</v>
      </c>
      <c r="J23" s="411">
        <v>-9</v>
      </c>
      <c r="K23" s="412"/>
      <c r="L23" s="411">
        <v>0</v>
      </c>
      <c r="M23" s="412"/>
      <c r="N23" s="412"/>
      <c r="O23" s="411">
        <v>-35</v>
      </c>
      <c r="P23" s="411">
        <v>-10</v>
      </c>
      <c r="Q23" s="411">
        <v>-6</v>
      </c>
      <c r="R23" s="411">
        <v>-3</v>
      </c>
      <c r="S23" s="411">
        <v>-6</v>
      </c>
      <c r="T23" s="411">
        <v>-4</v>
      </c>
      <c r="U23" s="412"/>
      <c r="V23" s="412"/>
      <c r="W23" s="412"/>
      <c r="X23" s="412"/>
      <c r="Y23" s="412"/>
      <c r="Z23" s="412"/>
      <c r="AA23" s="412"/>
      <c r="AB23" s="412"/>
      <c r="AC23" s="412"/>
      <c r="AD23" s="412"/>
      <c r="AE23" s="412"/>
      <c r="AF23" s="412"/>
      <c r="AG23" s="412"/>
      <c r="AH23" s="412"/>
      <c r="AI23" s="412"/>
      <c r="AJ23" s="429"/>
      <c r="AK23" s="440" t="s">
        <v>78</v>
      </c>
      <c r="AL23" s="441">
        <f>COUNTIF($AJ$32:$AJ$347,3)</f>
        <v>5</v>
      </c>
      <c r="AM23" s="637"/>
      <c r="AN23" s="639"/>
      <c r="AO23" s="639"/>
      <c r="AP23" s="639"/>
      <c r="AQ23" s="639"/>
      <c r="AR23" s="639"/>
      <c r="AS23" s="639"/>
      <c r="AT23" s="639"/>
      <c r="AU23" s="639"/>
      <c r="AV23" s="639"/>
      <c r="AW23" s="639"/>
      <c r="AX23" s="639"/>
      <c r="AY23" s="639"/>
      <c r="AZ23" s="639"/>
      <c r="BA23" s="639"/>
      <c r="BB23" s="639"/>
      <c r="BC23" s="639"/>
      <c r="BD23" s="639"/>
      <c r="BE23" s="639"/>
      <c r="BF23" s="639"/>
      <c r="BG23" s="639"/>
      <c r="BH23" s="639"/>
      <c r="BI23" s="639"/>
      <c r="BJ23" s="639"/>
      <c r="BK23" s="639"/>
      <c r="BL23" s="639"/>
      <c r="BM23" s="313"/>
      <c r="BN23" s="770"/>
      <c r="BO23" s="639"/>
      <c r="BP23" s="639"/>
      <c r="BQ23" s="639"/>
      <c r="BR23" s="639"/>
      <c r="BS23" s="639"/>
      <c r="BT23" s="639"/>
      <c r="BU23" s="639"/>
      <c r="BV23" s="639"/>
      <c r="BW23" s="639"/>
      <c r="BX23" s="639"/>
      <c r="BY23" s="639"/>
      <c r="BZ23" s="639"/>
      <c r="CA23" s="639"/>
      <c r="CB23" s="639"/>
      <c r="CC23" s="639"/>
      <c r="CD23" s="639"/>
      <c r="CE23" s="639"/>
      <c r="CF23" s="639"/>
      <c r="CG23" s="639"/>
      <c r="CH23" s="639"/>
      <c r="CI23" s="639"/>
      <c r="CJ23" s="639"/>
      <c r="CK23" s="639"/>
      <c r="CL23" s="639"/>
      <c r="CM23" s="639"/>
      <c r="CN23" s="639"/>
    </row>
    <row r="24" spans="1:92" ht="12.75" customHeight="1">
      <c r="A24" s="417" t="s">
        <v>77</v>
      </c>
      <c r="B24" s="413">
        <f>B22+B23</f>
        <v>33</v>
      </c>
      <c r="C24" s="413">
        <f>C22+C23</f>
        <v>27</v>
      </c>
      <c r="D24" s="413">
        <f>D22+D23</f>
        <v>27</v>
      </c>
      <c r="E24" s="413"/>
      <c r="F24" s="413">
        <f>F22+F23</f>
        <v>26</v>
      </c>
      <c r="G24" s="413">
        <f>G22+G23</f>
        <v>-1</v>
      </c>
      <c r="H24" s="413">
        <f>H22+H23</f>
        <v>48</v>
      </c>
      <c r="I24" s="413">
        <f>I22+I23</f>
        <v>-1</v>
      </c>
      <c r="J24" s="413">
        <f>J22+J23</f>
        <v>26</v>
      </c>
      <c r="K24" s="413"/>
      <c r="L24" s="413">
        <f>L22+L23</f>
        <v>37</v>
      </c>
      <c r="M24" s="413"/>
      <c r="N24" s="413"/>
      <c r="O24" s="413">
        <f t="shared" ref="O24:T24" si="27">O22+O23</f>
        <v>-17</v>
      </c>
      <c r="P24" s="413">
        <f t="shared" si="27"/>
        <v>3</v>
      </c>
      <c r="Q24" s="413">
        <f t="shared" si="27"/>
        <v>8</v>
      </c>
      <c r="R24" s="413">
        <f t="shared" si="27"/>
        <v>4</v>
      </c>
      <c r="S24" s="413">
        <f t="shared" si="27"/>
        <v>3</v>
      </c>
      <c r="T24" s="413">
        <f t="shared" si="27"/>
        <v>17</v>
      </c>
      <c r="U24" s="413"/>
      <c r="V24" s="413"/>
      <c r="W24" s="413"/>
      <c r="X24" s="413"/>
      <c r="Y24" s="413"/>
      <c r="Z24" s="413"/>
      <c r="AA24" s="413"/>
      <c r="AB24" s="413"/>
      <c r="AC24" s="413"/>
      <c r="AD24" s="413"/>
      <c r="AE24" s="413"/>
      <c r="AF24" s="413"/>
      <c r="AG24" s="413"/>
      <c r="AH24" s="413"/>
      <c r="AI24" s="413"/>
      <c r="AJ24" s="430"/>
      <c r="AK24" s="440" t="s">
        <v>80</v>
      </c>
      <c r="AL24" s="441">
        <f>COUNTIF($AJ$32:$AJ$347,2)</f>
        <v>4</v>
      </c>
      <c r="AM24" s="637"/>
      <c r="AN24" s="639"/>
      <c r="AO24" s="639"/>
      <c r="AP24" s="639"/>
      <c r="AQ24" s="639"/>
      <c r="AR24" s="639"/>
      <c r="AS24" s="639"/>
      <c r="AT24" s="639"/>
      <c r="AU24" s="639"/>
      <c r="AV24" s="639"/>
      <c r="AW24" s="639"/>
      <c r="AX24" s="639"/>
      <c r="AY24" s="639"/>
      <c r="AZ24" s="639"/>
      <c r="BA24" s="639"/>
      <c r="BB24" s="639"/>
      <c r="BC24" s="639"/>
      <c r="BD24" s="639"/>
      <c r="BE24" s="639"/>
      <c r="BF24" s="639"/>
      <c r="BG24" s="639"/>
      <c r="BH24" s="639"/>
      <c r="BI24" s="639"/>
      <c r="BJ24" s="639"/>
      <c r="BK24" s="639"/>
      <c r="BL24" s="639"/>
      <c r="BM24" s="313"/>
      <c r="BN24" s="770"/>
      <c r="BO24" s="639"/>
      <c r="BP24" s="639"/>
      <c r="BQ24" s="639"/>
      <c r="BR24" s="639"/>
      <c r="BS24" s="639"/>
      <c r="BT24" s="639"/>
      <c r="BU24" s="639"/>
      <c r="BV24" s="639"/>
      <c r="BW24" s="639"/>
      <c r="BX24" s="639"/>
      <c r="BY24" s="639"/>
      <c r="BZ24" s="639"/>
      <c r="CA24" s="639"/>
      <c r="CB24" s="639"/>
      <c r="CC24" s="639"/>
      <c r="CD24" s="639"/>
      <c r="CE24" s="639"/>
      <c r="CF24" s="639"/>
      <c r="CG24" s="639"/>
      <c r="CH24" s="639"/>
      <c r="CI24" s="639"/>
      <c r="CJ24" s="639"/>
      <c r="CK24" s="639"/>
      <c r="CL24" s="639"/>
      <c r="CM24" s="639"/>
      <c r="CN24" s="639"/>
    </row>
    <row r="25" spans="1:92" ht="12.75" hidden="1" customHeight="1">
      <c r="A25" s="422" t="s">
        <v>533</v>
      </c>
      <c r="B25" s="423">
        <f>ROUNDUP(327-((415*B9)+(20*0.9)),0)</f>
        <v>12</v>
      </c>
      <c r="C25" s="423">
        <f>ROUNDUP(327-((415*C9)+(20*0.5)),0)</f>
        <v>134</v>
      </c>
      <c r="D25" s="423">
        <f>ROUNDUP(327-((415*D9)+(20*0.5)),0)</f>
        <v>130</v>
      </c>
      <c r="E25" s="423"/>
      <c r="F25" s="423">
        <f>ROUNDUP(327-((415*F9)+(20*0.5)),0)</f>
        <v>38</v>
      </c>
      <c r="G25" s="423">
        <f>ROUNDUP(327-((415*G9)+(20*0.2)),0)</f>
        <v>255</v>
      </c>
      <c r="H25" s="423">
        <f>ROUNDUP(327-((415*H9)+(20*0.5)),0)</f>
        <v>137</v>
      </c>
      <c r="I25" s="423">
        <f>ROUNDUP(327-((415*I9)+(20*0.1)),0)</f>
        <v>239</v>
      </c>
      <c r="J25" s="423">
        <f>ROUNDUP(327-((415*J9)+(20*0.9)),0)</f>
        <v>131</v>
      </c>
      <c r="K25" s="423"/>
      <c r="L25" s="423">
        <f>ROUNDUP(327-((415*L9)+(20*0.9)),0)</f>
        <v>20</v>
      </c>
      <c r="M25" s="423"/>
      <c r="N25" s="423"/>
      <c r="O25" s="423">
        <f>ROUNDUP(327-((415*O9)+(20*0.6)),0)</f>
        <v>98</v>
      </c>
      <c r="P25" s="423">
        <f>ROUNDUP(327-((415*P9)+(20*0.1)),0)</f>
        <v>277</v>
      </c>
      <c r="Q25" s="423">
        <f>ROUNDUP(327-((415*Q9)+(20*0)),0)</f>
        <v>186</v>
      </c>
      <c r="R25" s="423">
        <f>ROUNDUP(327-((415*R9)+(20*0)),0)</f>
        <v>298</v>
      </c>
      <c r="S25" s="423">
        <f>ROUNDUP(327-((415*S9)+(20*0.3)),0)</f>
        <v>278</v>
      </c>
      <c r="T25" s="423">
        <f>ROUNDUP(327-((415*T9)+(20*0.3)),0)</f>
        <v>257</v>
      </c>
      <c r="U25" s="423"/>
      <c r="V25" s="423"/>
      <c r="W25" s="423"/>
      <c r="X25" s="423"/>
      <c r="Y25" s="423"/>
      <c r="Z25" s="423"/>
      <c r="AA25" s="423"/>
      <c r="AB25" s="423"/>
      <c r="AC25" s="423"/>
      <c r="AD25" s="423"/>
      <c r="AE25" s="423"/>
      <c r="AF25" s="423"/>
      <c r="AG25" s="423"/>
      <c r="AH25" s="423"/>
      <c r="AI25" s="423"/>
      <c r="AJ25" s="430"/>
      <c r="AK25" s="440" t="s">
        <v>82</v>
      </c>
      <c r="AL25" s="441">
        <f>COUNTIF($AJ$32:$AJ$347,1)</f>
        <v>0</v>
      </c>
      <c r="AM25" s="637"/>
      <c r="AN25" s="639"/>
      <c r="AO25" s="639"/>
      <c r="AP25" s="639"/>
      <c r="AQ25" s="639"/>
      <c r="AR25" s="639"/>
      <c r="AS25" s="639"/>
      <c r="AT25" s="639"/>
      <c r="AU25" s="639"/>
      <c r="AV25" s="639"/>
      <c r="AW25" s="639"/>
      <c r="AX25" s="639"/>
      <c r="AY25" s="639"/>
      <c r="AZ25" s="639"/>
      <c r="BA25" s="639"/>
      <c r="BB25" s="639"/>
      <c r="BC25" s="639"/>
      <c r="BD25" s="639"/>
      <c r="BE25" s="639"/>
      <c r="BF25" s="639"/>
      <c r="BG25" s="639"/>
      <c r="BH25" s="639"/>
      <c r="BI25" s="639"/>
      <c r="BJ25" s="639"/>
      <c r="BK25" s="639"/>
      <c r="BL25" s="639"/>
      <c r="BM25" s="313"/>
      <c r="BN25" s="770"/>
      <c r="BO25" s="639"/>
      <c r="BP25" s="639"/>
      <c r="BQ25" s="639"/>
      <c r="BR25" s="639"/>
      <c r="BS25" s="639"/>
      <c r="BT25" s="639"/>
      <c r="BU25" s="639"/>
      <c r="BV25" s="639"/>
      <c r="BW25" s="639"/>
      <c r="BX25" s="639"/>
      <c r="BY25" s="639"/>
      <c r="BZ25" s="639"/>
      <c r="CA25" s="639"/>
      <c r="CB25" s="639"/>
      <c r="CC25" s="639"/>
      <c r="CD25" s="639"/>
      <c r="CE25" s="639"/>
      <c r="CF25" s="639"/>
      <c r="CG25" s="639"/>
      <c r="CH25" s="639"/>
      <c r="CI25" s="639"/>
      <c r="CJ25" s="639"/>
      <c r="CK25" s="639"/>
      <c r="CL25" s="639"/>
      <c r="CM25" s="639"/>
      <c r="CN25" s="639"/>
    </row>
    <row r="26" spans="1:92" ht="12.75" customHeight="1">
      <c r="A26" s="426" t="s">
        <v>534</v>
      </c>
      <c r="B26" s="472">
        <f t="shared" ref="B26:AI26" si="28">(COUNTA(B343:B347)/(COUNTA($A$343:$A$347)))</f>
        <v>1</v>
      </c>
      <c r="C26" s="472">
        <f t="shared" si="28"/>
        <v>0.6</v>
      </c>
      <c r="D26" s="472">
        <f t="shared" si="28"/>
        <v>0.6</v>
      </c>
      <c r="E26" s="472">
        <f t="shared" si="28"/>
        <v>1</v>
      </c>
      <c r="F26" s="472">
        <f t="shared" si="28"/>
        <v>0.8</v>
      </c>
      <c r="G26" s="472">
        <f t="shared" si="28"/>
        <v>0.2</v>
      </c>
      <c r="H26" s="472">
        <f t="shared" si="28"/>
        <v>0.2</v>
      </c>
      <c r="I26" s="472">
        <f t="shared" si="28"/>
        <v>0</v>
      </c>
      <c r="J26" s="472">
        <f t="shared" si="28"/>
        <v>0.2</v>
      </c>
      <c r="K26" s="472">
        <f t="shared" si="28"/>
        <v>0</v>
      </c>
      <c r="L26" s="472">
        <f t="shared" si="28"/>
        <v>0.6</v>
      </c>
      <c r="M26" s="472">
        <f t="shared" si="28"/>
        <v>0.4</v>
      </c>
      <c r="N26" s="472">
        <f t="shared" si="28"/>
        <v>0.6</v>
      </c>
      <c r="O26" s="472">
        <f t="shared" si="28"/>
        <v>0</v>
      </c>
      <c r="P26" s="472">
        <f t="shared" si="28"/>
        <v>0</v>
      </c>
      <c r="Q26" s="472">
        <f t="shared" si="28"/>
        <v>0.2</v>
      </c>
      <c r="R26" s="472">
        <f t="shared" si="28"/>
        <v>0.2</v>
      </c>
      <c r="S26" s="472">
        <f t="shared" si="28"/>
        <v>0</v>
      </c>
      <c r="T26" s="472">
        <f t="shared" si="28"/>
        <v>0.2</v>
      </c>
      <c r="U26" s="466">
        <f t="shared" si="28"/>
        <v>0</v>
      </c>
      <c r="V26" s="466">
        <f t="shared" si="28"/>
        <v>0</v>
      </c>
      <c r="W26" s="466">
        <f t="shared" si="28"/>
        <v>0</v>
      </c>
      <c r="X26" s="466">
        <f t="shared" si="28"/>
        <v>0</v>
      </c>
      <c r="Y26" s="466">
        <f t="shared" si="28"/>
        <v>0</v>
      </c>
      <c r="Z26" s="466">
        <f t="shared" si="28"/>
        <v>0</v>
      </c>
      <c r="AA26" s="466">
        <f t="shared" si="28"/>
        <v>0</v>
      </c>
      <c r="AB26" s="466">
        <f t="shared" si="28"/>
        <v>0</v>
      </c>
      <c r="AC26" s="466">
        <f t="shared" si="28"/>
        <v>0</v>
      </c>
      <c r="AD26" s="466">
        <f t="shared" si="28"/>
        <v>0</v>
      </c>
      <c r="AE26" s="466">
        <f t="shared" si="28"/>
        <v>0</v>
      </c>
      <c r="AF26" s="466">
        <f t="shared" si="28"/>
        <v>0</v>
      </c>
      <c r="AG26" s="466">
        <f t="shared" si="28"/>
        <v>0</v>
      </c>
      <c r="AH26" s="466">
        <f t="shared" si="28"/>
        <v>0</v>
      </c>
      <c r="AI26" s="466">
        <f t="shared" si="28"/>
        <v>0</v>
      </c>
      <c r="AJ26" s="430"/>
      <c r="AK26" s="440" t="s">
        <v>82</v>
      </c>
      <c r="AL26" s="441">
        <f>COUNTIF($AJ$32:$AJ$347,1)</f>
        <v>0</v>
      </c>
      <c r="AM26" s="637"/>
      <c r="AN26" s="639"/>
      <c r="AO26" s="639"/>
      <c r="AP26" s="639"/>
      <c r="AQ26" s="639"/>
      <c r="AR26" s="639"/>
      <c r="AS26" s="639"/>
      <c r="AT26" s="639"/>
      <c r="AU26" s="639"/>
      <c r="AV26" s="639"/>
      <c r="AW26" s="639"/>
      <c r="AX26" s="639"/>
      <c r="AY26" s="639"/>
      <c r="AZ26" s="639"/>
      <c r="BA26" s="639"/>
      <c r="BB26" s="639"/>
      <c r="BC26" s="639"/>
      <c r="BD26" s="639"/>
      <c r="BE26" s="639"/>
      <c r="BF26" s="639"/>
      <c r="BG26" s="639"/>
      <c r="BH26" s="639"/>
      <c r="BI26" s="639"/>
      <c r="BJ26" s="639"/>
      <c r="BK26" s="639"/>
      <c r="BL26" s="639"/>
      <c r="BM26" s="313"/>
      <c r="BN26" s="770"/>
      <c r="BO26" s="639"/>
      <c r="BP26" s="639"/>
      <c r="BQ26" s="639"/>
      <c r="BR26" s="639"/>
      <c r="BS26" s="639"/>
      <c r="BT26" s="639"/>
      <c r="BU26" s="639"/>
      <c r="BV26" s="639"/>
      <c r="BW26" s="639"/>
      <c r="BX26" s="639"/>
      <c r="BY26" s="639"/>
      <c r="BZ26" s="639"/>
      <c r="CA26" s="639"/>
      <c r="CB26" s="639"/>
      <c r="CC26" s="639"/>
      <c r="CD26" s="639"/>
      <c r="CE26" s="639"/>
      <c r="CF26" s="639"/>
      <c r="CG26" s="639"/>
      <c r="CH26" s="639"/>
      <c r="CI26" s="639"/>
      <c r="CJ26" s="639"/>
      <c r="CK26" s="639"/>
      <c r="CL26" s="639"/>
      <c r="CM26" s="639"/>
      <c r="CN26" s="639"/>
    </row>
    <row r="27" spans="1:92" ht="12.75" customHeight="1" thickBot="1">
      <c r="A27" s="427" t="s">
        <v>535</v>
      </c>
      <c r="B27" s="474">
        <f>15/$AJ$27</f>
        <v>1</v>
      </c>
      <c r="C27" s="474">
        <f>13/$AJ$27</f>
        <v>0.8666666666666667</v>
      </c>
      <c r="D27" s="474">
        <f>13/$AJ$27</f>
        <v>0.8666666666666667</v>
      </c>
      <c r="E27" s="474">
        <f>10/$AJ$27</f>
        <v>0.66666666666666663</v>
      </c>
      <c r="F27" s="474">
        <f>9/$AJ$27</f>
        <v>0.6</v>
      </c>
      <c r="G27" s="474">
        <f t="shared" ref="G27:K27" si="29">0/$AJ$27</f>
        <v>0</v>
      </c>
      <c r="H27" s="474">
        <f>11/$AJ$27</f>
        <v>0.73333333333333328</v>
      </c>
      <c r="I27" s="474">
        <f>2/$AJ$27</f>
        <v>0.13333333333333333</v>
      </c>
      <c r="J27" s="474">
        <f>12/$AJ$27</f>
        <v>0.8</v>
      </c>
      <c r="K27" s="474">
        <f t="shared" si="29"/>
        <v>0</v>
      </c>
      <c r="L27" s="474">
        <f>15/$AJ$27</f>
        <v>1</v>
      </c>
      <c r="M27" s="474">
        <f>6/$AJ$27</f>
        <v>0.4</v>
      </c>
      <c r="N27" s="474">
        <f>13/$AJ$27</f>
        <v>0.8666666666666667</v>
      </c>
      <c r="O27" s="474">
        <f>12/$AJ$27</f>
        <v>0.8</v>
      </c>
      <c r="P27" s="474">
        <f>1/$AJ$27</f>
        <v>6.6666666666666666E-2</v>
      </c>
      <c r="Q27" s="474">
        <f>4/$AJ$27</f>
        <v>0.26666666666666666</v>
      </c>
      <c r="R27" s="474">
        <f>3/$AJ$27</f>
        <v>0.2</v>
      </c>
      <c r="S27" s="474">
        <f>2/$AJ$27</f>
        <v>0.13333333333333333</v>
      </c>
      <c r="T27" s="474">
        <f>7/$AJ$27</f>
        <v>0.46666666666666667</v>
      </c>
      <c r="U27" s="467">
        <f t="shared" ref="U27:AI27" si="30">0/$AJ$27</f>
        <v>0</v>
      </c>
      <c r="V27" s="467">
        <f t="shared" si="30"/>
        <v>0</v>
      </c>
      <c r="W27" s="467">
        <f t="shared" si="30"/>
        <v>0</v>
      </c>
      <c r="X27" s="467">
        <f t="shared" si="30"/>
        <v>0</v>
      </c>
      <c r="Y27" s="467">
        <f t="shared" si="30"/>
        <v>0</v>
      </c>
      <c r="Z27" s="467">
        <f t="shared" si="30"/>
        <v>0</v>
      </c>
      <c r="AA27" s="467">
        <f t="shared" si="30"/>
        <v>0</v>
      </c>
      <c r="AB27" s="467">
        <f t="shared" si="30"/>
        <v>0</v>
      </c>
      <c r="AC27" s="467">
        <f t="shared" si="30"/>
        <v>0</v>
      </c>
      <c r="AD27" s="467">
        <f t="shared" si="30"/>
        <v>0</v>
      </c>
      <c r="AE27" s="467">
        <f t="shared" si="30"/>
        <v>0</v>
      </c>
      <c r="AF27" s="467">
        <f t="shared" si="30"/>
        <v>0</v>
      </c>
      <c r="AG27" s="467">
        <f t="shared" si="30"/>
        <v>0</v>
      </c>
      <c r="AH27" s="467">
        <f t="shared" si="30"/>
        <v>0</v>
      </c>
      <c r="AI27" s="467">
        <f t="shared" si="30"/>
        <v>0</v>
      </c>
      <c r="AJ27" s="431">
        <v>15</v>
      </c>
      <c r="AK27" s="443" t="s">
        <v>84</v>
      </c>
      <c r="AL27" s="444">
        <f>COUNTIF($AJ$32:$AJ$347,0)</f>
        <v>2</v>
      </c>
      <c r="AM27" s="637"/>
      <c r="AN27" s="639"/>
      <c r="AO27" s="639"/>
      <c r="AP27" s="639"/>
      <c r="AQ27" s="639"/>
      <c r="AR27" s="639"/>
      <c r="AS27" s="639"/>
      <c r="AT27" s="639"/>
      <c r="AU27" s="639"/>
      <c r="AV27" s="639"/>
      <c r="AW27" s="639"/>
      <c r="AX27" s="639"/>
      <c r="AY27" s="639"/>
      <c r="AZ27" s="639"/>
      <c r="BA27" s="639"/>
      <c r="BB27" s="639"/>
      <c r="BC27" s="639"/>
      <c r="BD27" s="639"/>
      <c r="BE27" s="639"/>
      <c r="BF27" s="639"/>
      <c r="BG27" s="639"/>
      <c r="BH27" s="639"/>
      <c r="BI27" s="639"/>
      <c r="BJ27" s="639"/>
      <c r="BK27" s="639"/>
      <c r="BL27" s="639"/>
      <c r="BM27" s="313"/>
      <c r="BN27" s="770"/>
      <c r="BO27" s="639"/>
      <c r="BP27" s="639"/>
      <c r="BQ27" s="639"/>
      <c r="BR27" s="639"/>
      <c r="BS27" s="639"/>
      <c r="BT27" s="639"/>
      <c r="BU27" s="639"/>
      <c r="BV27" s="639"/>
      <c r="BW27" s="639"/>
      <c r="BX27" s="639"/>
      <c r="BY27" s="639"/>
      <c r="BZ27" s="639"/>
      <c r="CA27" s="639"/>
      <c r="CB27" s="639"/>
      <c r="CC27" s="639"/>
      <c r="CD27" s="639"/>
      <c r="CE27" s="639"/>
      <c r="CF27" s="639"/>
      <c r="CG27" s="639"/>
      <c r="CH27" s="639"/>
      <c r="CI27" s="639"/>
      <c r="CJ27" s="639"/>
      <c r="CK27" s="639"/>
      <c r="CL27" s="480"/>
      <c r="CM27" s="639"/>
      <c r="CN27" s="639"/>
    </row>
    <row r="28" spans="1:92" ht="22.5" hidden="1" customHeight="1">
      <c r="A28" s="405" t="s">
        <v>85</v>
      </c>
      <c r="B28" s="406" t="s">
        <v>86</v>
      </c>
      <c r="C28" s="406" t="s">
        <v>87</v>
      </c>
      <c r="D28" s="406"/>
      <c r="E28" s="406"/>
      <c r="F28" s="406"/>
      <c r="G28" s="406"/>
      <c r="H28" s="406"/>
      <c r="I28" s="406"/>
      <c r="J28" s="406"/>
      <c r="K28" s="406"/>
      <c r="L28" s="406"/>
      <c r="M28" s="406"/>
      <c r="N28" s="406"/>
      <c r="O28" s="406"/>
      <c r="P28" s="406"/>
      <c r="Q28" s="406"/>
      <c r="R28" s="406"/>
      <c r="S28" s="406"/>
      <c r="T28" s="406"/>
      <c r="U28" s="406"/>
      <c r="V28" s="406"/>
      <c r="W28" s="406"/>
      <c r="X28" s="406"/>
      <c r="Y28" s="406" t="s">
        <v>88</v>
      </c>
      <c r="Z28" s="406"/>
      <c r="AA28" s="406" t="s">
        <v>86</v>
      </c>
      <c r="AB28" s="406" t="s">
        <v>89</v>
      </c>
      <c r="AC28" s="406" t="s">
        <v>86</v>
      </c>
      <c r="AD28" s="406"/>
      <c r="AE28" s="406"/>
      <c r="AF28" s="406"/>
      <c r="AG28" s="406"/>
      <c r="AH28" s="406"/>
      <c r="AI28" s="406"/>
      <c r="AJ28" s="641"/>
      <c r="AK28" s="487"/>
      <c r="AL28" s="640"/>
      <c r="AM28" s="639"/>
      <c r="AN28" s="639"/>
      <c r="AO28" s="639"/>
      <c r="AP28" s="639"/>
      <c r="AQ28" s="639"/>
      <c r="AR28" s="639"/>
      <c r="AS28" s="639"/>
      <c r="AT28" s="639"/>
      <c r="AU28" s="639"/>
      <c r="AV28" s="639"/>
      <c r="AW28" s="639"/>
      <c r="AX28" s="639"/>
      <c r="AY28" s="639"/>
      <c r="AZ28" s="639"/>
      <c r="BA28" s="639"/>
      <c r="BB28" s="639"/>
      <c r="BC28" s="639"/>
      <c r="BD28" s="639"/>
      <c r="BE28" s="639"/>
      <c r="BF28" s="639"/>
      <c r="BG28" s="639"/>
      <c r="BH28" s="639"/>
      <c r="BI28" s="639"/>
      <c r="BJ28" s="639"/>
      <c r="BK28" s="639"/>
      <c r="BL28" s="639"/>
      <c r="BM28" s="313"/>
      <c r="BN28" s="770"/>
      <c r="BO28" s="639"/>
      <c r="BP28" s="639"/>
      <c r="BQ28" s="639"/>
      <c r="BR28" s="639"/>
      <c r="BS28" s="639"/>
      <c r="BT28" s="639"/>
      <c r="BU28" s="639"/>
      <c r="BV28" s="639"/>
      <c r="BW28" s="639"/>
      <c r="BX28" s="639"/>
      <c r="BY28" s="639"/>
      <c r="BZ28" s="639"/>
      <c r="CA28" s="639"/>
      <c r="CB28" s="639"/>
      <c r="CC28" s="639"/>
      <c r="CD28" s="639"/>
      <c r="CE28" s="639"/>
      <c r="CF28" s="639"/>
      <c r="CG28" s="639"/>
      <c r="CH28" s="639"/>
      <c r="CI28" s="639"/>
      <c r="CJ28" s="639"/>
      <c r="CK28" s="639"/>
      <c r="CL28" s="639"/>
      <c r="CM28" s="639"/>
      <c r="CN28" s="639"/>
    </row>
    <row r="29" spans="1:92" ht="12.75" hidden="1" customHeight="1">
      <c r="A29" s="175" t="s">
        <v>90</v>
      </c>
      <c r="B29" s="173">
        <f>2/4</f>
        <v>0.5</v>
      </c>
      <c r="C29" s="176">
        <f>4/4</f>
        <v>1</v>
      </c>
      <c r="D29" s="173">
        <f>3/4</f>
        <v>0.75</v>
      </c>
      <c r="E29" s="173"/>
      <c r="F29" s="173"/>
      <c r="G29" s="173">
        <f>3/4</f>
        <v>0.75</v>
      </c>
      <c r="H29" s="173"/>
      <c r="I29" s="173"/>
      <c r="J29" s="173"/>
      <c r="K29" s="173"/>
      <c r="L29" s="173"/>
      <c r="M29" s="173"/>
      <c r="N29" s="173"/>
      <c r="O29" s="173"/>
      <c r="P29" s="173"/>
      <c r="Q29" s="173"/>
      <c r="R29" s="173"/>
      <c r="S29" s="173"/>
      <c r="T29" s="173"/>
      <c r="U29" s="173"/>
      <c r="V29" s="173"/>
      <c r="W29" s="173"/>
      <c r="X29" s="173"/>
      <c r="Y29" s="173">
        <f>2/4</f>
        <v>0.5</v>
      </c>
      <c r="Z29" s="173"/>
      <c r="AA29" s="176">
        <f>4/4</f>
        <v>1</v>
      </c>
      <c r="AB29" s="173">
        <f>3/4</f>
        <v>0.75</v>
      </c>
      <c r="AC29" s="173">
        <f>1/4</f>
        <v>0.25</v>
      </c>
      <c r="AD29" s="173"/>
      <c r="AE29" s="177"/>
      <c r="AF29" s="177"/>
      <c r="AG29" s="177"/>
      <c r="AH29" s="177"/>
      <c r="AI29" s="177"/>
      <c r="AJ29" s="641"/>
      <c r="AK29" s="641"/>
      <c r="AL29" s="639"/>
      <c r="AM29" s="639"/>
      <c r="AN29" s="639"/>
      <c r="AO29" s="639"/>
      <c r="AP29" s="639"/>
      <c r="AQ29" s="639"/>
      <c r="AR29" s="639"/>
      <c r="AS29" s="639"/>
      <c r="AT29" s="639"/>
      <c r="AU29" s="639"/>
      <c r="AV29" s="639"/>
      <c r="AW29" s="639"/>
      <c r="AX29" s="639"/>
      <c r="AY29" s="639"/>
      <c r="AZ29" s="639"/>
      <c r="BA29" s="639"/>
      <c r="BB29" s="639"/>
      <c r="BC29" s="639"/>
      <c r="BD29" s="639"/>
      <c r="BE29" s="639"/>
      <c r="BF29" s="639"/>
      <c r="BG29" s="639"/>
      <c r="BH29" s="639"/>
      <c r="BI29" s="639"/>
      <c r="BJ29" s="639"/>
      <c r="BK29" s="639"/>
      <c r="BL29" s="639"/>
      <c r="BM29" s="313"/>
      <c r="BN29" s="770"/>
      <c r="BO29" s="639"/>
      <c r="BP29" s="639"/>
      <c r="BQ29" s="639"/>
      <c r="BR29" s="639"/>
      <c r="BS29" s="639"/>
      <c r="BT29" s="639"/>
      <c r="BU29" s="639"/>
      <c r="BV29" s="639"/>
      <c r="BW29" s="639"/>
      <c r="BX29" s="639"/>
      <c r="BY29" s="639"/>
      <c r="BZ29" s="639"/>
      <c r="CA29" s="639"/>
      <c r="CB29" s="639"/>
      <c r="CC29" s="639"/>
      <c r="CD29" s="639"/>
      <c r="CE29" s="639"/>
      <c r="CF29" s="639"/>
      <c r="CG29" s="639"/>
      <c r="CH29" s="639"/>
      <c r="CI29" s="639"/>
      <c r="CJ29" s="639"/>
      <c r="CK29" s="639"/>
      <c r="CL29" s="639"/>
      <c r="CM29" s="639"/>
      <c r="CN29" s="639"/>
    </row>
    <row r="30" spans="1:92" ht="22.5" hidden="1" customHeight="1">
      <c r="A30" s="175" t="s">
        <v>91</v>
      </c>
      <c r="B30" s="173">
        <f>14/25</f>
        <v>0.56000000000000005</v>
      </c>
      <c r="C30" s="173">
        <f>19/25</f>
        <v>0.76</v>
      </c>
      <c r="D30" s="173"/>
      <c r="E30" s="173"/>
      <c r="F30" s="173"/>
      <c r="G30" s="173"/>
      <c r="H30" s="173"/>
      <c r="I30" s="173"/>
      <c r="J30" s="173"/>
      <c r="K30" s="173"/>
      <c r="L30" s="173"/>
      <c r="M30" s="173"/>
      <c r="N30" s="173"/>
      <c r="O30" s="173"/>
      <c r="P30" s="173"/>
      <c r="Q30" s="173"/>
      <c r="R30" s="173"/>
      <c r="S30" s="173"/>
      <c r="T30" s="173"/>
      <c r="U30" s="173"/>
      <c r="V30" s="173"/>
      <c r="W30" s="173"/>
      <c r="X30" s="173"/>
      <c r="Y30" s="173">
        <f>9/25</f>
        <v>0.36</v>
      </c>
      <c r="Z30" s="173"/>
      <c r="AA30" s="173">
        <f>14/25</f>
        <v>0.56000000000000005</v>
      </c>
      <c r="AB30" s="173">
        <f>14/24</f>
        <v>0.58333333333333337</v>
      </c>
      <c r="AC30" s="173">
        <f>9/25</f>
        <v>0.36</v>
      </c>
      <c r="AD30" s="173"/>
      <c r="AE30" s="177"/>
      <c r="AF30" s="177"/>
      <c r="AG30" s="177"/>
      <c r="AH30" s="177"/>
      <c r="AI30" s="177"/>
      <c r="AJ30" s="641"/>
      <c r="AK30" s="641"/>
      <c r="AL30" s="641"/>
      <c r="AM30" s="639"/>
      <c r="AN30" s="639"/>
      <c r="AO30" s="639"/>
      <c r="AP30" s="639"/>
      <c r="AQ30" s="639"/>
      <c r="AR30" s="639"/>
      <c r="AS30" s="639"/>
      <c r="AT30" s="639"/>
      <c r="AU30" s="639"/>
      <c r="AV30" s="639"/>
      <c r="AW30" s="639"/>
      <c r="AX30" s="639"/>
      <c r="AY30" s="639"/>
      <c r="AZ30" s="639"/>
      <c r="BA30" s="639"/>
      <c r="BB30" s="639"/>
      <c r="BC30" s="639"/>
      <c r="BD30" s="639"/>
      <c r="BE30" s="639"/>
      <c r="BF30" s="639"/>
      <c r="BG30" s="639"/>
      <c r="BH30" s="639"/>
      <c r="BI30" s="639"/>
      <c r="BJ30" s="639"/>
      <c r="BK30" s="639"/>
      <c r="BL30" s="639"/>
      <c r="BM30" s="313"/>
      <c r="BN30" s="770"/>
      <c r="BO30" s="639"/>
      <c r="BP30" s="639"/>
      <c r="BQ30" s="639"/>
      <c r="BR30" s="639"/>
      <c r="BS30" s="639"/>
      <c r="BT30" s="639"/>
      <c r="BU30" s="639"/>
      <c r="BV30" s="639"/>
      <c r="BW30" s="639"/>
      <c r="BX30" s="639"/>
      <c r="BY30" s="639"/>
      <c r="BZ30" s="639"/>
      <c r="CA30" s="639"/>
      <c r="CB30" s="639"/>
      <c r="CC30" s="639"/>
      <c r="CD30" s="639"/>
      <c r="CE30" s="639"/>
      <c r="CF30" s="639"/>
      <c r="CG30" s="639"/>
      <c r="CH30" s="639"/>
      <c r="CI30" s="639"/>
      <c r="CJ30" s="639"/>
      <c r="CK30" s="639"/>
      <c r="CL30" s="639"/>
      <c r="CM30" s="639"/>
      <c r="CN30" s="639"/>
    </row>
    <row r="31" spans="1:92" ht="30" customHeight="1">
      <c r="A31" s="178"/>
      <c r="B31" s="777" t="s">
        <v>92</v>
      </c>
      <c r="C31" s="778"/>
      <c r="D31" s="778"/>
      <c r="E31" s="418">
        <f>COUNTA(A31:A277)</f>
        <v>245</v>
      </c>
      <c r="F31" s="782" t="s">
        <v>94</v>
      </c>
      <c r="G31" s="783"/>
      <c r="H31" s="783"/>
      <c r="I31" s="783"/>
      <c r="J31" s="783"/>
      <c r="K31" s="783"/>
      <c r="L31" s="783"/>
      <c r="M31" s="783"/>
      <c r="N31" s="783"/>
      <c r="O31" s="783"/>
      <c r="P31" s="783"/>
      <c r="Q31" s="783"/>
      <c r="R31" s="783"/>
      <c r="S31" s="783"/>
      <c r="T31" s="783"/>
      <c r="U31" s="783"/>
      <c r="V31" s="783"/>
      <c r="W31" s="783"/>
      <c r="X31" s="783"/>
      <c r="Y31" s="783"/>
      <c r="Z31" s="783"/>
      <c r="AA31" s="783"/>
      <c r="AB31" s="783"/>
      <c r="AC31" s="783"/>
      <c r="AD31" s="783"/>
      <c r="AE31" s="783"/>
      <c r="AF31" s="783"/>
      <c r="AG31" s="783"/>
      <c r="AH31" s="783"/>
      <c r="AI31" s="784"/>
      <c r="AJ31" s="167" t="s">
        <v>95</v>
      </c>
      <c r="AK31" s="167" t="s">
        <v>96</v>
      </c>
      <c r="AL31" s="167" t="s">
        <v>97</v>
      </c>
      <c r="AM31" s="641"/>
      <c r="AN31" s="641"/>
      <c r="AO31" s="641"/>
      <c r="AP31" s="641"/>
      <c r="AQ31" s="641"/>
      <c r="AR31" s="641"/>
      <c r="AS31" s="641"/>
      <c r="AT31" s="641"/>
      <c r="AU31" s="641"/>
      <c r="AV31" s="641"/>
      <c r="AW31" s="641"/>
      <c r="AX31" s="641"/>
      <c r="AY31" s="641"/>
      <c r="AZ31" s="641"/>
      <c r="BA31" s="641"/>
      <c r="BB31" s="641"/>
      <c r="BC31" s="641"/>
      <c r="BD31" s="641"/>
      <c r="BE31" s="641"/>
      <c r="BF31" s="641"/>
      <c r="BG31" s="641"/>
      <c r="BH31" s="641"/>
      <c r="BI31" s="641"/>
      <c r="BJ31" s="641"/>
      <c r="BK31" s="641"/>
      <c r="BL31" s="641"/>
      <c r="BM31" s="318" t="str">
        <f>HYPERLINK("http://tangotiger.com/index.php/site/article/initial-scoring-system-for-hof-ballots-2016", "Tango Score 
(0 to 100)")</f>
        <v>Tango Score 
(0 to 100)</v>
      </c>
      <c r="BN31" s="771"/>
      <c r="BO31" s="179"/>
      <c r="BP31" s="179"/>
      <c r="BQ31" s="179"/>
      <c r="BR31" s="179"/>
      <c r="BS31" s="179"/>
      <c r="BT31" s="179"/>
      <c r="BU31" s="179"/>
      <c r="BV31" s="179"/>
      <c r="BW31" s="179"/>
      <c r="BX31" s="179"/>
      <c r="BY31" s="179"/>
      <c r="BZ31" s="179"/>
      <c r="CA31" s="179"/>
      <c r="CB31" s="179"/>
      <c r="CC31" s="179"/>
      <c r="CD31" s="179"/>
      <c r="CE31" s="179"/>
      <c r="CF31" s="179"/>
      <c r="CG31" s="179"/>
      <c r="CH31" s="179"/>
      <c r="CI31" s="179"/>
      <c r="CJ31" s="179"/>
      <c r="CK31" s="179"/>
      <c r="CL31" s="659" t="s">
        <v>98</v>
      </c>
      <c r="CM31" s="660"/>
      <c r="CN31" s="661"/>
    </row>
    <row r="32" spans="1:92" s="344" customFormat="1">
      <c r="A32" s="335" t="s">
        <v>99</v>
      </c>
      <c r="B32" s="182" t="s">
        <v>100</v>
      </c>
      <c r="C32" s="182" t="s">
        <v>100</v>
      </c>
      <c r="D32" s="182" t="s">
        <v>100</v>
      </c>
      <c r="E32" s="182" t="s">
        <v>100</v>
      </c>
      <c r="F32" s="182"/>
      <c r="G32" s="182"/>
      <c r="H32" s="182" t="s">
        <v>100</v>
      </c>
      <c r="I32" s="182"/>
      <c r="J32" s="182" t="s">
        <v>100</v>
      </c>
      <c r="K32" s="182"/>
      <c r="L32" s="182" t="s">
        <v>100</v>
      </c>
      <c r="M32" s="182"/>
      <c r="N32" s="182" t="s">
        <v>100</v>
      </c>
      <c r="O32" s="182" t="s">
        <v>100</v>
      </c>
      <c r="P32" s="182"/>
      <c r="Q32" s="182"/>
      <c r="R32" s="182"/>
      <c r="S32" s="320"/>
      <c r="T32" s="182"/>
      <c r="U32" s="182"/>
      <c r="V32" s="182"/>
      <c r="W32" s="182"/>
      <c r="X32" s="182"/>
      <c r="Y32" s="182"/>
      <c r="Z32" s="182"/>
      <c r="AA32" s="182"/>
      <c r="AB32" s="182"/>
      <c r="AC32" s="182"/>
      <c r="AD32" s="182"/>
      <c r="AE32" s="182"/>
      <c r="AF32" s="182"/>
      <c r="AG32" s="182"/>
      <c r="AH32" s="182"/>
      <c r="AI32" s="182"/>
      <c r="AJ32" s="339">
        <f t="shared" ref="AJ32:AJ33" si="31">COUNTIF(B32:AI32,"x")</f>
        <v>9</v>
      </c>
      <c r="AK32" s="493" t="str">
        <f>HYPERLINK("http://apps.bostonglobe.com/sports/graphics/2017/01/baseball-hof/","Boston Globe")</f>
        <v>Boston Globe</v>
      </c>
      <c r="AL32" s="341">
        <v>42740</v>
      </c>
      <c r="AM32" s="352"/>
      <c r="AN32" s="352"/>
      <c r="AO32" s="352"/>
      <c r="AP32" s="352"/>
      <c r="AQ32" s="352"/>
      <c r="AR32" s="352"/>
      <c r="AS32" s="352"/>
      <c r="AT32" s="352"/>
      <c r="AU32" s="352"/>
      <c r="AV32" s="352"/>
      <c r="AW32" s="352"/>
      <c r="AX32" s="352"/>
      <c r="AY32" s="352"/>
      <c r="AZ32" s="352"/>
      <c r="BA32" s="352"/>
      <c r="BB32" s="352"/>
      <c r="BC32" s="352"/>
      <c r="BD32" s="352"/>
      <c r="BE32" s="352"/>
      <c r="BF32" s="352"/>
      <c r="BG32" s="352"/>
      <c r="BH32" s="352"/>
      <c r="BI32" s="352"/>
      <c r="BJ32" s="352"/>
      <c r="BK32" s="352"/>
      <c r="BL32" s="470"/>
      <c r="BM32" s="339"/>
      <c r="BN32" s="339"/>
      <c r="BO32" s="182"/>
      <c r="BP32" s="182"/>
      <c r="BQ32" s="182"/>
      <c r="BR32" s="182"/>
      <c r="BS32" s="182"/>
      <c r="BT32" s="182"/>
      <c r="BU32" s="182"/>
      <c r="BV32" s="182"/>
      <c r="BW32" s="182"/>
      <c r="BX32" s="182"/>
      <c r="BY32" s="182"/>
      <c r="BZ32" s="182"/>
      <c r="CA32" s="182"/>
      <c r="CB32" s="182"/>
      <c r="CC32" s="182"/>
      <c r="CD32" s="182"/>
      <c r="CE32" s="182"/>
      <c r="CF32" s="182"/>
      <c r="CG32" s="182"/>
      <c r="CH32" s="182"/>
      <c r="CI32" s="182"/>
      <c r="CJ32" s="182"/>
      <c r="CK32" s="182"/>
      <c r="CL32" s="680"/>
      <c r="CM32" s="681"/>
      <c r="CN32" s="682"/>
    </row>
    <row r="33" spans="1:92" s="344" customFormat="1">
      <c r="A33" s="335" t="s">
        <v>101</v>
      </c>
      <c r="B33" s="182" t="s">
        <v>100</v>
      </c>
      <c r="C33" s="182"/>
      <c r="D33" s="182"/>
      <c r="E33" s="182"/>
      <c r="F33" s="182" t="s">
        <v>100</v>
      </c>
      <c r="G33" s="182" t="s">
        <v>100</v>
      </c>
      <c r="H33" s="302" t="s">
        <v>100</v>
      </c>
      <c r="I33" s="182"/>
      <c r="J33" s="182"/>
      <c r="K33" s="182"/>
      <c r="L33" s="182" t="s">
        <v>100</v>
      </c>
      <c r="M33" s="182"/>
      <c r="N33" s="182" t="s">
        <v>100</v>
      </c>
      <c r="O33" s="182"/>
      <c r="P33" s="182"/>
      <c r="Q33" s="182"/>
      <c r="R33" s="182"/>
      <c r="S33" s="182"/>
      <c r="T33" s="182"/>
      <c r="U33" s="182"/>
      <c r="V33" s="182"/>
      <c r="W33" s="182"/>
      <c r="X33" s="182"/>
      <c r="Y33" s="182"/>
      <c r="Z33" s="182"/>
      <c r="AA33" s="182"/>
      <c r="AB33" s="182"/>
      <c r="AC33" s="182"/>
      <c r="AD33" s="182"/>
      <c r="AE33" s="182"/>
      <c r="AF33" s="182"/>
      <c r="AG33" s="182"/>
      <c r="AH33" s="182"/>
      <c r="AI33" s="182"/>
      <c r="AJ33" s="339">
        <f t="shared" si="31"/>
        <v>6</v>
      </c>
      <c r="AK33" s="493" t="str">
        <f>HYPERLINK("http://www.marinij.com/sports/20161228/dave-albee-climate-changing-for-baseball-hall-of-fame-voting","Marin IJ")</f>
        <v>Marin IJ</v>
      </c>
      <c r="AL33" s="341">
        <v>42732</v>
      </c>
      <c r="AM33" s="352"/>
      <c r="AN33" s="352"/>
      <c r="AO33" s="352"/>
      <c r="AP33" s="352"/>
      <c r="AQ33" s="352"/>
      <c r="AR33" s="352"/>
      <c r="AS33" s="352"/>
      <c r="AT33" s="352"/>
      <c r="AU33" s="352"/>
      <c r="AV33" s="352"/>
      <c r="AW33" s="352"/>
      <c r="AX33" s="352"/>
      <c r="AY33" s="352"/>
      <c r="AZ33" s="352"/>
      <c r="BA33" s="352"/>
      <c r="BB33" s="352"/>
      <c r="BC33" s="352"/>
      <c r="BD33" s="352"/>
      <c r="BE33" s="352"/>
      <c r="BF33" s="352"/>
      <c r="BG33" s="352"/>
      <c r="BH33" s="352"/>
      <c r="BI33" s="352"/>
      <c r="BJ33" s="352"/>
      <c r="BK33" s="352"/>
      <c r="BL33" s="470"/>
      <c r="BM33" s="339"/>
      <c r="BN33" s="339"/>
      <c r="BO33" s="182"/>
      <c r="BP33" s="182"/>
      <c r="BQ33" s="182"/>
      <c r="BR33" s="182"/>
      <c r="BS33" s="182"/>
      <c r="BT33" s="182"/>
      <c r="BU33" s="182"/>
      <c r="BV33" s="182"/>
      <c r="BW33" s="182"/>
      <c r="BX33" s="182"/>
      <c r="BY33" s="182"/>
      <c r="BZ33" s="182"/>
      <c r="CA33" s="182"/>
      <c r="CB33" s="182"/>
      <c r="CC33" s="182"/>
      <c r="CD33" s="182"/>
      <c r="CE33" s="182"/>
      <c r="CF33" s="182"/>
      <c r="CG33" s="182"/>
      <c r="CH33" s="182"/>
      <c r="CI33" s="182"/>
      <c r="CJ33" s="182"/>
      <c r="CK33" s="182"/>
      <c r="CL33" s="680"/>
      <c r="CM33" s="681"/>
      <c r="CN33" s="682"/>
    </row>
    <row r="34" spans="1:92" s="344" customFormat="1">
      <c r="A34" s="335" t="s">
        <v>102</v>
      </c>
      <c r="B34" s="302" t="s">
        <v>100</v>
      </c>
      <c r="C34" s="182" t="s">
        <v>100</v>
      </c>
      <c r="D34" s="182" t="s">
        <v>100</v>
      </c>
      <c r="E34" s="182" t="s">
        <v>100</v>
      </c>
      <c r="F34" s="182" t="s">
        <v>100</v>
      </c>
      <c r="G34" s="182"/>
      <c r="H34" s="302" t="s">
        <v>100</v>
      </c>
      <c r="I34" s="182"/>
      <c r="J34" s="182"/>
      <c r="K34" s="182"/>
      <c r="L34" s="182" t="s">
        <v>100</v>
      </c>
      <c r="M34" s="182"/>
      <c r="N34" s="182" t="s">
        <v>100</v>
      </c>
      <c r="O34" s="182"/>
      <c r="P34" s="182"/>
      <c r="Q34" s="182" t="s">
        <v>100</v>
      </c>
      <c r="R34" s="182"/>
      <c r="S34" s="182"/>
      <c r="T34" s="182"/>
      <c r="U34" s="182"/>
      <c r="V34" s="182"/>
      <c r="W34" s="182"/>
      <c r="X34" s="182"/>
      <c r="Y34" s="182"/>
      <c r="Z34" s="182"/>
      <c r="AA34" s="182"/>
      <c r="AB34" s="182"/>
      <c r="AC34" s="182"/>
      <c r="AD34" s="182"/>
      <c r="AE34" s="182"/>
      <c r="AF34" s="182"/>
      <c r="AG34" s="182"/>
      <c r="AH34" s="182"/>
      <c r="AI34" s="182"/>
      <c r="AJ34" s="339">
        <f t="shared" ref="AJ34:AJ35" si="32">COUNTIF(B34:AI34,"x")</f>
        <v>9</v>
      </c>
      <c r="AK34" s="482" t="s">
        <v>115</v>
      </c>
      <c r="AL34" s="341">
        <v>42752</v>
      </c>
      <c r="AM34" s="352"/>
      <c r="AN34" s="352"/>
      <c r="AO34" s="352"/>
      <c r="AP34" s="352"/>
      <c r="AQ34" s="352"/>
      <c r="AR34" s="352"/>
      <c r="AS34" s="352"/>
      <c r="AT34" s="352"/>
      <c r="AU34" s="352"/>
      <c r="AV34" s="352"/>
      <c r="AW34" s="352"/>
      <c r="AX34" s="352"/>
      <c r="AY34" s="352"/>
      <c r="AZ34" s="352"/>
      <c r="BA34" s="352"/>
      <c r="BB34" s="352"/>
      <c r="BC34" s="352"/>
      <c r="BD34" s="352"/>
      <c r="BE34" s="352"/>
      <c r="BF34" s="352"/>
      <c r="BG34" s="352"/>
      <c r="BH34" s="352"/>
      <c r="BI34" s="352"/>
      <c r="BJ34" s="352"/>
      <c r="BK34" s="352"/>
      <c r="BL34" s="470"/>
      <c r="BM34" s="339"/>
      <c r="BN34" s="339"/>
      <c r="BO34" s="182"/>
      <c r="BP34" s="182"/>
      <c r="BQ34" s="182"/>
      <c r="BR34" s="182"/>
      <c r="BS34" s="182"/>
      <c r="BT34" s="182"/>
      <c r="BU34" s="182"/>
      <c r="BV34" s="182"/>
      <c r="BW34" s="182"/>
      <c r="BX34" s="182"/>
      <c r="BY34" s="182"/>
      <c r="BZ34" s="182"/>
      <c r="CA34" s="182"/>
      <c r="CB34" s="182"/>
      <c r="CC34" s="182"/>
      <c r="CD34" s="182"/>
      <c r="CE34" s="182"/>
      <c r="CF34" s="182"/>
      <c r="CG34" s="182"/>
      <c r="CH34" s="182"/>
      <c r="CI34" s="182"/>
      <c r="CJ34" s="182"/>
      <c r="CK34" s="182"/>
      <c r="CL34" s="618"/>
      <c r="CM34" s="619"/>
      <c r="CN34" s="620"/>
    </row>
    <row r="35" spans="1:92" s="344" customFormat="1">
      <c r="A35" s="335" t="s">
        <v>104</v>
      </c>
      <c r="B35" s="182" t="s">
        <v>100</v>
      </c>
      <c r="C35" s="182" t="s">
        <v>100</v>
      </c>
      <c r="D35" s="182" t="s">
        <v>100</v>
      </c>
      <c r="E35" s="182" t="s">
        <v>100</v>
      </c>
      <c r="F35" s="182" t="s">
        <v>100</v>
      </c>
      <c r="G35" s="182"/>
      <c r="H35" s="182" t="s">
        <v>100</v>
      </c>
      <c r="I35" s="182"/>
      <c r="J35" s="182" t="s">
        <v>100</v>
      </c>
      <c r="K35" s="182"/>
      <c r="L35" s="182" t="s">
        <v>100</v>
      </c>
      <c r="M35" s="182"/>
      <c r="N35" s="182" t="s">
        <v>100</v>
      </c>
      <c r="O35" s="320"/>
      <c r="P35" s="182"/>
      <c r="Q35" s="302" t="s">
        <v>100</v>
      </c>
      <c r="R35" s="182"/>
      <c r="S35" s="182"/>
      <c r="T35" s="182"/>
      <c r="U35" s="182"/>
      <c r="V35" s="182"/>
      <c r="W35" s="182"/>
      <c r="X35" s="182"/>
      <c r="Y35" s="182"/>
      <c r="Z35" s="182"/>
      <c r="AA35" s="182"/>
      <c r="AB35" s="182"/>
      <c r="AC35" s="182"/>
      <c r="AD35" s="182"/>
      <c r="AE35" s="182"/>
      <c r="AF35" s="182"/>
      <c r="AG35" s="182"/>
      <c r="AH35" s="182"/>
      <c r="AI35" s="182"/>
      <c r="AJ35" s="339">
        <f t="shared" si="32"/>
        <v>10</v>
      </c>
      <c r="AK35" s="493" t="str">
        <f>HYPERLINK("https://twitter.com/NashSportsEd/status/806185446690668548","Twitter")</f>
        <v>Twitter</v>
      </c>
      <c r="AL35" s="341">
        <v>42710</v>
      </c>
      <c r="AM35" s="352"/>
      <c r="AN35" s="352">
        <f>IF(B35=1,0,0)</f>
        <v>0</v>
      </c>
      <c r="AO35" s="352">
        <f>IF(D35=1,13,0)</f>
        <v>0</v>
      </c>
      <c r="AP35" s="352">
        <f>IF(E35=1,8,0)</f>
        <v>0</v>
      </c>
      <c r="AQ35" s="352">
        <f>IF(G35=1,8,0)</f>
        <v>0</v>
      </c>
      <c r="AR35" s="352">
        <f>IF(I35=1,0,0)</f>
        <v>0</v>
      </c>
      <c r="AS35" s="352">
        <f>IF(J35=1,0,0)</f>
        <v>0</v>
      </c>
      <c r="AT35" s="352" t="e">
        <f>IF(#REF!=1,0,0)</f>
        <v>#REF!</v>
      </c>
      <c r="AU35" s="352">
        <f>IF(K35=1,19,0)</f>
        <v>0</v>
      </c>
      <c r="AV35" s="352">
        <f>IF(N35=1,13,0)</f>
        <v>0</v>
      </c>
      <c r="AW35" s="352">
        <f>IF(O35=1,0,0)</f>
        <v>0</v>
      </c>
      <c r="AX35" s="352">
        <f>IF(P35=1,3,0)</f>
        <v>0</v>
      </c>
      <c r="AY35" s="352">
        <f>IF(S35=1,8,0)</f>
        <v>0</v>
      </c>
      <c r="AZ35" s="352">
        <f>IF(T35=1,4,0)</f>
        <v>0</v>
      </c>
      <c r="BA35" s="352">
        <f>IF(U35=1,2,0)</f>
        <v>0</v>
      </c>
      <c r="BB35" s="352">
        <f>IF(W35=1,8,0)</f>
        <v>0</v>
      </c>
      <c r="BC35" s="352">
        <f>IF(X35=1,16,0)</f>
        <v>0</v>
      </c>
      <c r="BD35" s="352">
        <f>IF(Y35=1,13,0)</f>
        <v>0</v>
      </c>
      <c r="BE35" s="352">
        <f>IF(Z35=1,10,0)</f>
        <v>0</v>
      </c>
      <c r="BF35" s="352">
        <f>IF(AA35=1,2,0)</f>
        <v>0</v>
      </c>
      <c r="BG35" s="352">
        <f>IF(AB35=1,6,0)</f>
        <v>0</v>
      </c>
      <c r="BH35" s="352">
        <f>IF(AC35=1,1,0)</f>
        <v>0</v>
      </c>
      <c r="BI35" s="352">
        <f t="shared" ref="BI35" si="33">IF(AF35=1,8,0)</f>
        <v>0</v>
      </c>
      <c r="BJ35" s="352">
        <f t="shared" ref="BJ35" si="34">IF(AH35=1,2,0)</f>
        <v>0</v>
      </c>
      <c r="BK35" s="352">
        <f t="shared" ref="BK35" si="35">IF(AI35=1,3,0)</f>
        <v>0</v>
      </c>
      <c r="BL35" s="470" t="e">
        <f>LARGE(AN35:BK35,1)+LARGE(AN35:BK35,2)+LARGE(AN35:BK35,3)+LARGE(AN35:BK35,4)+LARGE(AN35:BK35,5)+LARGE(AN35:BK35,6)+LARGE(AN35:BK35,7)+LARGE(AN35:BK35,8)</f>
        <v>#REF!</v>
      </c>
      <c r="BM35" s="339" t="e">
        <f t="shared" ref="BM35" si="36">BL35</f>
        <v>#REF!</v>
      </c>
      <c r="BN35" s="339"/>
      <c r="BO35" s="182"/>
      <c r="BP35" s="182"/>
      <c r="BQ35" s="182"/>
      <c r="BR35" s="182"/>
      <c r="BS35" s="182"/>
      <c r="BT35" s="182"/>
      <c r="BU35" s="182"/>
      <c r="BV35" s="182"/>
      <c r="BW35" s="182"/>
      <c r="BX35" s="182"/>
      <c r="BY35" s="182"/>
      <c r="BZ35" s="182"/>
      <c r="CA35" s="182"/>
      <c r="CB35" s="182"/>
      <c r="CC35" s="182"/>
      <c r="CD35" s="182"/>
      <c r="CE35" s="182"/>
      <c r="CF35" s="182"/>
      <c r="CG35" s="182"/>
      <c r="CH35" s="182"/>
      <c r="CI35" s="182"/>
      <c r="CJ35" s="182"/>
      <c r="CK35" s="182"/>
      <c r="CL35" s="680" t="s">
        <v>536</v>
      </c>
      <c r="CM35" s="681"/>
      <c r="CN35" s="682"/>
    </row>
    <row r="36" spans="1:92" s="344" customFormat="1">
      <c r="A36" s="335" t="s">
        <v>110</v>
      </c>
      <c r="B36" s="182" t="s">
        <v>100</v>
      </c>
      <c r="C36" s="182"/>
      <c r="D36" s="182"/>
      <c r="E36" s="182" t="s">
        <v>100</v>
      </c>
      <c r="F36" s="182" t="s">
        <v>100</v>
      </c>
      <c r="G36" s="182"/>
      <c r="H36" s="182" t="s">
        <v>100</v>
      </c>
      <c r="I36" s="320"/>
      <c r="J36" s="182" t="s">
        <v>100</v>
      </c>
      <c r="K36" s="182" t="s">
        <v>100</v>
      </c>
      <c r="L36" s="182" t="s">
        <v>100</v>
      </c>
      <c r="M36" s="182"/>
      <c r="N36" s="182" t="s">
        <v>100</v>
      </c>
      <c r="O36" s="182"/>
      <c r="P36" s="182"/>
      <c r="Q36" s="182" t="s">
        <v>100</v>
      </c>
      <c r="R36" s="182"/>
      <c r="S36" s="302" t="s">
        <v>100</v>
      </c>
      <c r="T36" s="182"/>
      <c r="U36" s="182"/>
      <c r="V36" s="182"/>
      <c r="W36" s="182"/>
      <c r="X36" s="182"/>
      <c r="Y36" s="182"/>
      <c r="Z36" s="182"/>
      <c r="AA36" s="182"/>
      <c r="AB36" s="182"/>
      <c r="AC36" s="182"/>
      <c r="AD36" s="182"/>
      <c r="AE36" s="182"/>
      <c r="AF36" s="182"/>
      <c r="AG36" s="182"/>
      <c r="AH36" s="182"/>
      <c r="AI36" s="182"/>
      <c r="AJ36" s="339">
        <f t="shared" ref="AJ36:AJ341" si="37">COUNTIF(B36:AI36,"x")</f>
        <v>10</v>
      </c>
      <c r="AK36" s="482" t="s">
        <v>537</v>
      </c>
      <c r="AL36" s="341">
        <v>42732</v>
      </c>
      <c r="AM36" s="352"/>
      <c r="AN36" s="352"/>
      <c r="AO36" s="352"/>
      <c r="AP36" s="352"/>
      <c r="AQ36" s="352"/>
      <c r="AR36" s="352"/>
      <c r="AS36" s="352"/>
      <c r="AT36" s="352"/>
      <c r="AU36" s="352"/>
      <c r="AV36" s="352"/>
      <c r="AW36" s="352"/>
      <c r="AX36" s="352"/>
      <c r="AY36" s="352"/>
      <c r="AZ36" s="352"/>
      <c r="BA36" s="352"/>
      <c r="BB36" s="352"/>
      <c r="BC36" s="352"/>
      <c r="BD36" s="352"/>
      <c r="BE36" s="352"/>
      <c r="BF36" s="352"/>
      <c r="BG36" s="352"/>
      <c r="BH36" s="352"/>
      <c r="BI36" s="352"/>
      <c r="BJ36" s="352"/>
      <c r="BK36" s="352"/>
      <c r="BL36" s="470"/>
      <c r="BM36" s="339"/>
      <c r="BN36" s="339"/>
      <c r="BO36" s="182"/>
      <c r="BP36" s="182"/>
      <c r="BQ36" s="182"/>
      <c r="BR36" s="182"/>
      <c r="BS36" s="182"/>
      <c r="BT36" s="182"/>
      <c r="BU36" s="182"/>
      <c r="BV36" s="182"/>
      <c r="BW36" s="182"/>
      <c r="BX36" s="182"/>
      <c r="BY36" s="182"/>
      <c r="BZ36" s="182"/>
      <c r="CA36" s="182"/>
      <c r="CB36" s="182"/>
      <c r="CC36" s="182"/>
      <c r="CD36" s="182"/>
      <c r="CE36" s="182"/>
      <c r="CF36" s="182"/>
      <c r="CG36" s="182"/>
      <c r="CH36" s="182"/>
      <c r="CI36" s="182"/>
      <c r="CJ36" s="182"/>
      <c r="CK36" s="182"/>
      <c r="CL36" s="618"/>
      <c r="CM36" s="619"/>
      <c r="CN36" s="620"/>
    </row>
    <row r="37" spans="1:92" s="344" customFormat="1">
      <c r="A37" s="335" t="s">
        <v>111</v>
      </c>
      <c r="B37" s="182" t="s">
        <v>100</v>
      </c>
      <c r="C37" s="182"/>
      <c r="D37" s="182"/>
      <c r="E37" s="182" t="s">
        <v>100</v>
      </c>
      <c r="F37" s="182" t="s">
        <v>100</v>
      </c>
      <c r="G37" s="182"/>
      <c r="H37" s="182" t="s">
        <v>100</v>
      </c>
      <c r="I37" s="182"/>
      <c r="J37" s="182" t="s">
        <v>100</v>
      </c>
      <c r="K37" s="182"/>
      <c r="L37" s="182" t="s">
        <v>100</v>
      </c>
      <c r="M37" s="182"/>
      <c r="N37" s="182" t="s">
        <v>100</v>
      </c>
      <c r="O37" s="320"/>
      <c r="P37" s="182"/>
      <c r="Q37" s="182" t="s">
        <v>100</v>
      </c>
      <c r="R37" s="182"/>
      <c r="S37" s="182"/>
      <c r="T37" s="302" t="s">
        <v>100</v>
      </c>
      <c r="U37" s="182"/>
      <c r="V37" s="182"/>
      <c r="W37" s="182"/>
      <c r="X37" s="182"/>
      <c r="Y37" s="182"/>
      <c r="Z37" s="182"/>
      <c r="AA37" s="182"/>
      <c r="AB37" s="182"/>
      <c r="AC37" s="182"/>
      <c r="AD37" s="182"/>
      <c r="AE37" s="182"/>
      <c r="AF37" s="182"/>
      <c r="AG37" s="182"/>
      <c r="AH37" s="182"/>
      <c r="AI37" s="182"/>
      <c r="AJ37" s="339">
        <f t="shared" si="37"/>
        <v>9</v>
      </c>
      <c r="AK37" s="482" t="s">
        <v>115</v>
      </c>
      <c r="AL37" s="341">
        <v>42716</v>
      </c>
      <c r="AM37" s="352"/>
      <c r="AN37" s="352"/>
      <c r="AO37" s="352"/>
      <c r="AP37" s="352"/>
      <c r="AQ37" s="352"/>
      <c r="AR37" s="352"/>
      <c r="AS37" s="352"/>
      <c r="AT37" s="352"/>
      <c r="AU37" s="352"/>
      <c r="AV37" s="352"/>
      <c r="AW37" s="352"/>
      <c r="AX37" s="352"/>
      <c r="AY37" s="352"/>
      <c r="AZ37" s="352"/>
      <c r="BA37" s="352"/>
      <c r="BB37" s="352"/>
      <c r="BC37" s="352"/>
      <c r="BD37" s="352"/>
      <c r="BE37" s="352"/>
      <c r="BF37" s="352"/>
      <c r="BG37" s="352"/>
      <c r="BH37" s="352"/>
      <c r="BI37" s="352"/>
      <c r="BJ37" s="352"/>
      <c r="BK37" s="352"/>
      <c r="BL37" s="470"/>
      <c r="BM37" s="339"/>
      <c r="BN37" s="339"/>
      <c r="BO37" s="182"/>
      <c r="BP37" s="182"/>
      <c r="BQ37" s="182"/>
      <c r="BR37" s="182"/>
      <c r="BS37" s="182"/>
      <c r="BT37" s="182"/>
      <c r="BU37" s="182"/>
      <c r="BV37" s="182"/>
      <c r="BW37" s="182"/>
      <c r="BX37" s="182"/>
      <c r="BY37" s="182"/>
      <c r="BZ37" s="182"/>
      <c r="CA37" s="182"/>
      <c r="CB37" s="182"/>
      <c r="CC37" s="182"/>
      <c r="CD37" s="182"/>
      <c r="CE37" s="182"/>
      <c r="CF37" s="182"/>
      <c r="CG37" s="182"/>
      <c r="CH37" s="182"/>
      <c r="CI37" s="182"/>
      <c r="CJ37" s="182"/>
      <c r="CK37" s="182"/>
      <c r="CL37" s="680"/>
      <c r="CM37" s="681"/>
      <c r="CN37" s="682"/>
    </row>
    <row r="38" spans="1:92" s="344" customFormat="1">
      <c r="A38" s="335" t="s">
        <v>112</v>
      </c>
      <c r="B38" s="182" t="s">
        <v>100</v>
      </c>
      <c r="C38" s="182"/>
      <c r="D38" s="182"/>
      <c r="E38" s="182"/>
      <c r="F38" s="302" t="s">
        <v>100</v>
      </c>
      <c r="G38" s="182"/>
      <c r="H38" s="302" t="s">
        <v>100</v>
      </c>
      <c r="I38" s="182"/>
      <c r="J38" s="302" t="s">
        <v>100</v>
      </c>
      <c r="K38" s="182"/>
      <c r="L38" s="182" t="s">
        <v>100</v>
      </c>
      <c r="M38" s="182"/>
      <c r="N38" s="182" t="s">
        <v>100</v>
      </c>
      <c r="O38" s="182" t="s">
        <v>100</v>
      </c>
      <c r="P38" s="182"/>
      <c r="Q38" s="182" t="s">
        <v>100</v>
      </c>
      <c r="R38" s="182"/>
      <c r="S38" s="182"/>
      <c r="T38" s="182"/>
      <c r="U38" s="182"/>
      <c r="V38" s="182"/>
      <c r="W38" s="182"/>
      <c r="X38" s="182"/>
      <c r="Y38" s="182"/>
      <c r="Z38" s="182"/>
      <c r="AA38" s="182"/>
      <c r="AB38" s="182"/>
      <c r="AC38" s="182"/>
      <c r="AD38" s="182"/>
      <c r="AE38" s="182"/>
      <c r="AF38" s="182"/>
      <c r="AG38" s="182"/>
      <c r="AH38" s="182"/>
      <c r="AI38" s="182"/>
      <c r="AJ38" s="339">
        <f t="shared" si="37"/>
        <v>8</v>
      </c>
      <c r="AK38" s="483" t="s">
        <v>113</v>
      </c>
      <c r="AL38" s="341">
        <v>42731</v>
      </c>
      <c r="AM38" s="352"/>
      <c r="AN38" s="352"/>
      <c r="AO38" s="352"/>
      <c r="AP38" s="352"/>
      <c r="AQ38" s="352"/>
      <c r="AR38" s="352"/>
      <c r="AS38" s="352"/>
      <c r="AT38" s="352"/>
      <c r="AU38" s="352"/>
      <c r="AV38" s="352"/>
      <c r="AW38" s="352"/>
      <c r="AX38" s="352"/>
      <c r="AY38" s="352"/>
      <c r="AZ38" s="352"/>
      <c r="BA38" s="352"/>
      <c r="BB38" s="352"/>
      <c r="BC38" s="352"/>
      <c r="BD38" s="352"/>
      <c r="BE38" s="352"/>
      <c r="BF38" s="352"/>
      <c r="BG38" s="352"/>
      <c r="BH38" s="352"/>
      <c r="BI38" s="352"/>
      <c r="BJ38" s="352"/>
      <c r="BK38" s="352"/>
      <c r="BL38" s="470"/>
      <c r="BM38" s="339"/>
      <c r="BN38" s="339"/>
      <c r="BO38" s="182"/>
      <c r="BP38" s="182"/>
      <c r="BQ38" s="182"/>
      <c r="BR38" s="182"/>
      <c r="BS38" s="182"/>
      <c r="BT38" s="182"/>
      <c r="BU38" s="182"/>
      <c r="BV38" s="182"/>
      <c r="BW38" s="182"/>
      <c r="BX38" s="182"/>
      <c r="BY38" s="182"/>
      <c r="BZ38" s="182"/>
      <c r="CA38" s="182"/>
      <c r="CB38" s="182"/>
      <c r="CC38" s="182"/>
      <c r="CD38" s="182"/>
      <c r="CE38" s="182"/>
      <c r="CF38" s="182"/>
      <c r="CG38" s="182"/>
      <c r="CH38" s="182"/>
      <c r="CI38" s="182"/>
      <c r="CJ38" s="182"/>
      <c r="CK38" s="182"/>
      <c r="CL38" s="618"/>
      <c r="CM38" s="619"/>
      <c r="CN38" s="620"/>
    </row>
    <row r="39" spans="1:92" s="344" customFormat="1">
      <c r="A39" s="335" t="s">
        <v>114</v>
      </c>
      <c r="B39" s="302" t="s">
        <v>100</v>
      </c>
      <c r="C39" s="182"/>
      <c r="D39" s="182"/>
      <c r="E39" s="182" t="s">
        <v>100</v>
      </c>
      <c r="F39" s="182" t="s">
        <v>100</v>
      </c>
      <c r="G39" s="182"/>
      <c r="H39" s="302" t="s">
        <v>100</v>
      </c>
      <c r="I39" s="182"/>
      <c r="J39" s="182"/>
      <c r="K39" s="182"/>
      <c r="L39" s="302" t="s">
        <v>100</v>
      </c>
      <c r="M39" s="182"/>
      <c r="N39" s="182"/>
      <c r="O39" s="182"/>
      <c r="P39" s="182"/>
      <c r="Q39" s="182"/>
      <c r="R39" s="182"/>
      <c r="S39" s="182"/>
      <c r="T39" s="182"/>
      <c r="U39" s="182"/>
      <c r="V39" s="182"/>
      <c r="W39" s="182"/>
      <c r="X39" s="182"/>
      <c r="Y39" s="182"/>
      <c r="Z39" s="182"/>
      <c r="AA39" s="182"/>
      <c r="AB39" s="182"/>
      <c r="AC39" s="182"/>
      <c r="AD39" s="182"/>
      <c r="AE39" s="182"/>
      <c r="AF39" s="182"/>
      <c r="AG39" s="182"/>
      <c r="AH39" s="182"/>
      <c r="AI39" s="182"/>
      <c r="AJ39" s="339">
        <f t="shared" si="37"/>
        <v>5</v>
      </c>
      <c r="AK39" s="483" t="s">
        <v>115</v>
      </c>
      <c r="AL39" s="341">
        <v>42730</v>
      </c>
      <c r="AM39" s="352"/>
      <c r="AN39" s="352"/>
      <c r="AO39" s="352"/>
      <c r="AP39" s="352"/>
      <c r="AQ39" s="352"/>
      <c r="AR39" s="352"/>
      <c r="AS39" s="352"/>
      <c r="AT39" s="352"/>
      <c r="AU39" s="352"/>
      <c r="AV39" s="352"/>
      <c r="AW39" s="352"/>
      <c r="AX39" s="352"/>
      <c r="AY39" s="352"/>
      <c r="AZ39" s="352"/>
      <c r="BA39" s="352"/>
      <c r="BB39" s="352"/>
      <c r="BC39" s="352"/>
      <c r="BD39" s="352"/>
      <c r="BE39" s="352"/>
      <c r="BF39" s="352"/>
      <c r="BG39" s="352"/>
      <c r="BH39" s="352"/>
      <c r="BI39" s="352"/>
      <c r="BJ39" s="352"/>
      <c r="BK39" s="352"/>
      <c r="BL39" s="470"/>
      <c r="BM39" s="339"/>
      <c r="BN39" s="339"/>
      <c r="BO39" s="182"/>
      <c r="BP39" s="182"/>
      <c r="BQ39" s="182"/>
      <c r="BR39" s="182"/>
      <c r="BS39" s="182"/>
      <c r="BT39" s="182"/>
      <c r="BU39" s="182"/>
      <c r="BV39" s="182"/>
      <c r="BW39" s="182"/>
      <c r="BX39" s="182"/>
      <c r="BY39" s="182"/>
      <c r="BZ39" s="182"/>
      <c r="CA39" s="182"/>
      <c r="CB39" s="182"/>
      <c r="CC39" s="182"/>
      <c r="CD39" s="182"/>
      <c r="CE39" s="182"/>
      <c r="CF39" s="182"/>
      <c r="CG39" s="182"/>
      <c r="CH39" s="182"/>
      <c r="CI39" s="182"/>
      <c r="CJ39" s="182"/>
      <c r="CK39" s="182"/>
      <c r="CL39" s="618"/>
      <c r="CM39" s="619"/>
      <c r="CN39" s="620"/>
    </row>
    <row r="40" spans="1:92" s="344" customFormat="1">
      <c r="A40" s="335" t="s">
        <v>116</v>
      </c>
      <c r="B40" s="182" t="s">
        <v>100</v>
      </c>
      <c r="C40" s="182" t="s">
        <v>100</v>
      </c>
      <c r="D40" s="182" t="s">
        <v>100</v>
      </c>
      <c r="E40" s="182" t="s">
        <v>100</v>
      </c>
      <c r="F40" s="182"/>
      <c r="G40" s="182"/>
      <c r="H40" s="182" t="s">
        <v>100</v>
      </c>
      <c r="I40" s="182"/>
      <c r="J40" s="182"/>
      <c r="K40" s="182"/>
      <c r="L40" s="182" t="s">
        <v>100</v>
      </c>
      <c r="M40" s="182"/>
      <c r="N40" s="182" t="s">
        <v>100</v>
      </c>
      <c r="O40" s="182"/>
      <c r="P40" s="182"/>
      <c r="Q40" s="182"/>
      <c r="R40" s="182"/>
      <c r="S40" s="182"/>
      <c r="T40" s="182"/>
      <c r="U40" s="182"/>
      <c r="V40" s="182"/>
      <c r="W40" s="182"/>
      <c r="X40" s="182"/>
      <c r="Y40" s="182"/>
      <c r="Z40" s="182"/>
      <c r="AA40" s="182"/>
      <c r="AB40" s="182"/>
      <c r="AC40" s="182"/>
      <c r="AD40" s="182"/>
      <c r="AE40" s="182"/>
      <c r="AF40" s="182"/>
      <c r="AG40" s="182"/>
      <c r="AH40" s="182"/>
      <c r="AI40" s="182"/>
      <c r="AJ40" s="339">
        <f t="shared" si="37"/>
        <v>7</v>
      </c>
      <c r="AK40" s="493" t="str">
        <f>HYPERLINK("http://www.mercurynews.com/2017/01/16/baggarlys-ballot-bonds-clemens-no-brainer-hall-of-famers/?utm_medium=Social&amp;utm_campaign=Echobox&amp;utm_source=Twitter&amp;utm_term=Autofeed#link_time=1484572166","SJ Mercury News")</f>
        <v>SJ Mercury News</v>
      </c>
      <c r="AL40" s="341">
        <v>42751</v>
      </c>
      <c r="AM40" s="352"/>
      <c r="AN40" s="352"/>
      <c r="AO40" s="352"/>
      <c r="AP40" s="352"/>
      <c r="AQ40" s="352"/>
      <c r="AR40" s="352"/>
      <c r="AS40" s="352"/>
      <c r="AT40" s="352"/>
      <c r="AU40" s="352"/>
      <c r="AV40" s="352"/>
      <c r="AW40" s="352"/>
      <c r="AX40" s="352"/>
      <c r="AY40" s="352"/>
      <c r="AZ40" s="352"/>
      <c r="BA40" s="352"/>
      <c r="BB40" s="352"/>
      <c r="BC40" s="352"/>
      <c r="BD40" s="352"/>
      <c r="BE40" s="352"/>
      <c r="BF40" s="352"/>
      <c r="BG40" s="352"/>
      <c r="BH40" s="352"/>
      <c r="BI40" s="352"/>
      <c r="BJ40" s="352"/>
      <c r="BK40" s="352"/>
      <c r="BL40" s="470"/>
      <c r="BM40" s="339"/>
      <c r="BN40" s="339"/>
      <c r="BO40" s="182"/>
      <c r="BP40" s="182"/>
      <c r="BQ40" s="182"/>
      <c r="BR40" s="182"/>
      <c r="BS40" s="182"/>
      <c r="BT40" s="182"/>
      <c r="BU40" s="182"/>
      <c r="BV40" s="182"/>
      <c r="BW40" s="182"/>
      <c r="BX40" s="182"/>
      <c r="BY40" s="182"/>
      <c r="BZ40" s="182"/>
      <c r="CA40" s="182"/>
      <c r="CB40" s="182"/>
      <c r="CC40" s="182"/>
      <c r="CD40" s="182"/>
      <c r="CE40" s="182"/>
      <c r="CF40" s="182"/>
      <c r="CG40" s="182"/>
      <c r="CH40" s="182"/>
      <c r="CI40" s="182"/>
      <c r="CJ40" s="182"/>
      <c r="CK40" s="182"/>
      <c r="CL40" s="618"/>
      <c r="CM40" s="619"/>
      <c r="CN40" s="620"/>
    </row>
    <row r="41" spans="1:92" s="344" customFormat="1">
      <c r="A41" s="335" t="s">
        <v>117</v>
      </c>
      <c r="B41" s="182" t="s">
        <v>100</v>
      </c>
      <c r="C41" s="302" t="s">
        <v>100</v>
      </c>
      <c r="D41" s="302" t="s">
        <v>100</v>
      </c>
      <c r="E41" s="182" t="s">
        <v>100</v>
      </c>
      <c r="F41" s="182" t="s">
        <v>100</v>
      </c>
      <c r="G41" s="182"/>
      <c r="H41" s="182" t="s">
        <v>100</v>
      </c>
      <c r="I41" s="182"/>
      <c r="J41" s="182" t="s">
        <v>100</v>
      </c>
      <c r="K41" s="182"/>
      <c r="L41" s="182" t="s">
        <v>100</v>
      </c>
      <c r="M41" s="182"/>
      <c r="N41" s="182" t="s">
        <v>100</v>
      </c>
      <c r="O41" s="182" t="s">
        <v>100</v>
      </c>
      <c r="P41" s="182"/>
      <c r="Q41" s="320"/>
      <c r="R41" s="182"/>
      <c r="S41" s="182"/>
      <c r="T41" s="182"/>
      <c r="U41" s="182"/>
      <c r="V41" s="182"/>
      <c r="W41" s="182"/>
      <c r="X41" s="182"/>
      <c r="Y41" s="182"/>
      <c r="Z41" s="182"/>
      <c r="AA41" s="182"/>
      <c r="AB41" s="182"/>
      <c r="AC41" s="182"/>
      <c r="AD41" s="182"/>
      <c r="AE41" s="182"/>
      <c r="AF41" s="182"/>
      <c r="AG41" s="182"/>
      <c r="AH41" s="182"/>
      <c r="AI41" s="182"/>
      <c r="AJ41" s="339">
        <f t="shared" si="37"/>
        <v>10</v>
      </c>
      <c r="AK41" s="493" t="str">
        <f>HYPERLINK("https://twitter.com/ChrisBahr_FOX/status/813759789691965440","Twitter")</f>
        <v>Twitter</v>
      </c>
      <c r="AL41" s="341">
        <v>42731</v>
      </c>
      <c r="AM41" s="352"/>
      <c r="AN41" s="352"/>
      <c r="AO41" s="352"/>
      <c r="AP41" s="352"/>
      <c r="AQ41" s="352"/>
      <c r="AR41" s="352"/>
      <c r="AS41" s="352"/>
      <c r="AT41" s="352"/>
      <c r="AU41" s="352"/>
      <c r="AV41" s="352"/>
      <c r="AW41" s="352"/>
      <c r="AX41" s="352"/>
      <c r="AY41" s="352"/>
      <c r="AZ41" s="352"/>
      <c r="BA41" s="352"/>
      <c r="BB41" s="352"/>
      <c r="BC41" s="352"/>
      <c r="BD41" s="352"/>
      <c r="BE41" s="352"/>
      <c r="BF41" s="352"/>
      <c r="BG41" s="352"/>
      <c r="BH41" s="352"/>
      <c r="BI41" s="352"/>
      <c r="BJ41" s="352"/>
      <c r="BK41" s="352"/>
      <c r="BL41" s="470"/>
      <c r="BM41" s="339"/>
      <c r="BN41" s="339"/>
      <c r="BO41" s="182"/>
      <c r="BP41" s="182"/>
      <c r="BQ41" s="182"/>
      <c r="BR41" s="182"/>
      <c r="BS41" s="182"/>
      <c r="BT41" s="182"/>
      <c r="BU41" s="182"/>
      <c r="BV41" s="182"/>
      <c r="BW41" s="182"/>
      <c r="BX41" s="182"/>
      <c r="BY41" s="182"/>
      <c r="BZ41" s="182"/>
      <c r="CA41" s="182"/>
      <c r="CB41" s="182"/>
      <c r="CC41" s="182"/>
      <c r="CD41" s="182"/>
      <c r="CE41" s="182"/>
      <c r="CF41" s="182"/>
      <c r="CG41" s="182"/>
      <c r="CH41" s="182"/>
      <c r="CI41" s="182"/>
      <c r="CJ41" s="182"/>
      <c r="CK41" s="182"/>
      <c r="CL41" s="618"/>
      <c r="CM41" s="619"/>
      <c r="CN41" s="620"/>
    </row>
    <row r="42" spans="1:92" s="344" customFormat="1">
      <c r="A42" s="335" t="s">
        <v>118</v>
      </c>
      <c r="B42" s="182" t="s">
        <v>100</v>
      </c>
      <c r="C42" s="182" t="s">
        <v>100</v>
      </c>
      <c r="D42" s="182" t="s">
        <v>100</v>
      </c>
      <c r="E42" s="182" t="s">
        <v>100</v>
      </c>
      <c r="F42" s="182"/>
      <c r="G42" s="182"/>
      <c r="H42" s="182"/>
      <c r="I42" s="182"/>
      <c r="J42" s="182"/>
      <c r="K42" s="182"/>
      <c r="L42" s="182"/>
      <c r="M42" s="182" t="s">
        <v>100</v>
      </c>
      <c r="N42" s="182"/>
      <c r="O42" s="182"/>
      <c r="P42" s="182"/>
      <c r="Q42" s="182"/>
      <c r="R42" s="182"/>
      <c r="S42" s="182"/>
      <c r="T42" s="182"/>
      <c r="U42" s="182"/>
      <c r="V42" s="182"/>
      <c r="W42" s="182"/>
      <c r="X42" s="182"/>
      <c r="Y42" s="182"/>
      <c r="Z42" s="182"/>
      <c r="AA42" s="182"/>
      <c r="AB42" s="182"/>
      <c r="AC42" s="182"/>
      <c r="AD42" s="182"/>
      <c r="AE42" s="182"/>
      <c r="AF42" s="182"/>
      <c r="AG42" s="182"/>
      <c r="AH42" s="182"/>
      <c r="AI42" s="182"/>
      <c r="AJ42" s="339">
        <f t="shared" si="37"/>
        <v>5</v>
      </c>
      <c r="AK42" s="493" t="str">
        <f>HYPERLINK("http://www.telegram.com/sports/20161210/bill-ballou-its-not-easy-to-get-this-guys-hall-of-fame-vote","Telegram")</f>
        <v>Telegram</v>
      </c>
      <c r="AL42" s="341">
        <v>42714</v>
      </c>
      <c r="AM42" s="352"/>
      <c r="AN42" s="352"/>
      <c r="AO42" s="352"/>
      <c r="AP42" s="352"/>
      <c r="AQ42" s="352"/>
      <c r="AR42" s="352"/>
      <c r="AS42" s="352"/>
      <c r="AT42" s="352"/>
      <c r="AU42" s="352"/>
      <c r="AV42" s="352"/>
      <c r="AW42" s="352"/>
      <c r="AX42" s="352"/>
      <c r="AY42" s="352"/>
      <c r="AZ42" s="352"/>
      <c r="BA42" s="352"/>
      <c r="BB42" s="352"/>
      <c r="BC42" s="352"/>
      <c r="BD42" s="352"/>
      <c r="BE42" s="352"/>
      <c r="BF42" s="352"/>
      <c r="BG42" s="352"/>
      <c r="BH42" s="352"/>
      <c r="BI42" s="352"/>
      <c r="BJ42" s="352"/>
      <c r="BK42" s="352"/>
      <c r="BL42" s="470"/>
      <c r="BM42" s="339"/>
      <c r="BN42" s="339"/>
      <c r="BO42" s="182"/>
      <c r="BP42" s="182"/>
      <c r="BQ42" s="182"/>
      <c r="BR42" s="182"/>
      <c r="BS42" s="182"/>
      <c r="BT42" s="182"/>
      <c r="BU42" s="182"/>
      <c r="BV42" s="182"/>
      <c r="BW42" s="182"/>
      <c r="BX42" s="182"/>
      <c r="BY42" s="182"/>
      <c r="BZ42" s="182"/>
      <c r="CA42" s="182"/>
      <c r="CB42" s="182"/>
      <c r="CC42" s="182"/>
      <c r="CD42" s="182"/>
      <c r="CE42" s="182"/>
      <c r="CF42" s="182"/>
      <c r="CG42" s="182"/>
      <c r="CH42" s="182"/>
      <c r="CI42" s="182"/>
      <c r="CJ42" s="182"/>
      <c r="CK42" s="182"/>
      <c r="CL42" s="680"/>
      <c r="CM42" s="681"/>
      <c r="CN42" s="682"/>
    </row>
    <row r="43" spans="1:92" s="344" customFormat="1">
      <c r="A43" s="335" t="s">
        <v>119</v>
      </c>
      <c r="B43" s="182" t="s">
        <v>100</v>
      </c>
      <c r="C43" s="182" t="s">
        <v>100</v>
      </c>
      <c r="D43" s="182" t="s">
        <v>100</v>
      </c>
      <c r="E43" s="182" t="s">
        <v>100</v>
      </c>
      <c r="F43" s="182"/>
      <c r="G43" s="182"/>
      <c r="H43" s="182" t="s">
        <v>100</v>
      </c>
      <c r="I43" s="182"/>
      <c r="J43" s="182" t="s">
        <v>100</v>
      </c>
      <c r="K43" s="182"/>
      <c r="L43" s="182" t="s">
        <v>100</v>
      </c>
      <c r="M43" s="182"/>
      <c r="N43" s="182" t="s">
        <v>100</v>
      </c>
      <c r="O43" s="182" t="s">
        <v>100</v>
      </c>
      <c r="P43" s="182"/>
      <c r="Q43" s="182"/>
      <c r="R43" s="182"/>
      <c r="S43" s="182"/>
      <c r="T43" s="302" t="s">
        <v>100</v>
      </c>
      <c r="U43" s="182"/>
      <c r="V43" s="182"/>
      <c r="W43" s="182"/>
      <c r="X43" s="182"/>
      <c r="Y43" s="182"/>
      <c r="Z43" s="182"/>
      <c r="AA43" s="182"/>
      <c r="AB43" s="182"/>
      <c r="AC43" s="182"/>
      <c r="AD43" s="182"/>
      <c r="AE43" s="182"/>
      <c r="AF43" s="182"/>
      <c r="AG43" s="182"/>
      <c r="AH43" s="182"/>
      <c r="AI43" s="182"/>
      <c r="AJ43" s="339">
        <f t="shared" si="37"/>
        <v>10</v>
      </c>
      <c r="AK43" s="493" t="str">
        <f>HYPERLINK("https://twitter.com/ByPeterBarzilai/status/813847629943672833","Twitter")</f>
        <v>Twitter</v>
      </c>
      <c r="AL43" s="341">
        <v>42731</v>
      </c>
      <c r="AM43" s="352"/>
      <c r="AN43" s="352"/>
      <c r="AO43" s="352"/>
      <c r="AP43" s="352"/>
      <c r="AQ43" s="352"/>
      <c r="AR43" s="352"/>
      <c r="AS43" s="352"/>
      <c r="AT43" s="352"/>
      <c r="AU43" s="352"/>
      <c r="AV43" s="352"/>
      <c r="AW43" s="352"/>
      <c r="AX43" s="352"/>
      <c r="AY43" s="352"/>
      <c r="AZ43" s="352"/>
      <c r="BA43" s="352"/>
      <c r="BB43" s="352"/>
      <c r="BC43" s="352"/>
      <c r="BD43" s="352"/>
      <c r="BE43" s="352"/>
      <c r="BF43" s="352"/>
      <c r="BG43" s="352"/>
      <c r="BH43" s="352"/>
      <c r="BI43" s="352"/>
      <c r="BJ43" s="352"/>
      <c r="BK43" s="352"/>
      <c r="BL43" s="470"/>
      <c r="BM43" s="339"/>
      <c r="BN43" s="339"/>
      <c r="BO43" s="182"/>
      <c r="BP43" s="182"/>
      <c r="BQ43" s="182"/>
      <c r="BR43" s="182"/>
      <c r="BS43" s="182"/>
      <c r="BT43" s="182"/>
      <c r="BU43" s="182"/>
      <c r="BV43" s="182"/>
      <c r="BW43" s="182"/>
      <c r="BX43" s="182"/>
      <c r="BY43" s="182"/>
      <c r="BZ43" s="182"/>
      <c r="CA43" s="182"/>
      <c r="CB43" s="182"/>
      <c r="CC43" s="182"/>
      <c r="CD43" s="182"/>
      <c r="CE43" s="182"/>
      <c r="CF43" s="182"/>
      <c r="CG43" s="182"/>
      <c r="CH43" s="182"/>
      <c r="CI43" s="182"/>
      <c r="CJ43" s="182"/>
      <c r="CK43" s="182"/>
      <c r="CL43" s="618"/>
      <c r="CM43" s="619"/>
      <c r="CN43" s="620"/>
    </row>
    <row r="44" spans="1:92" s="344" customFormat="1">
      <c r="A44" s="335" t="s">
        <v>120</v>
      </c>
      <c r="B44" s="182" t="s">
        <v>100</v>
      </c>
      <c r="C44" s="182"/>
      <c r="D44" s="182"/>
      <c r="E44" s="182" t="s">
        <v>100</v>
      </c>
      <c r="F44" s="182" t="s">
        <v>100</v>
      </c>
      <c r="G44" s="182" t="s">
        <v>100</v>
      </c>
      <c r="H44" s="182" t="s">
        <v>100</v>
      </c>
      <c r="I44" s="182"/>
      <c r="J44" s="182" t="s">
        <v>100</v>
      </c>
      <c r="K44" s="182"/>
      <c r="L44" s="302" t="s">
        <v>100</v>
      </c>
      <c r="M44" s="182"/>
      <c r="N44" s="182" t="s">
        <v>100</v>
      </c>
      <c r="O44" s="182" t="s">
        <v>100</v>
      </c>
      <c r="P44" s="182"/>
      <c r="Q44" s="182"/>
      <c r="R44" s="182"/>
      <c r="S44" s="182"/>
      <c r="T44" s="182"/>
      <c r="U44" s="182"/>
      <c r="V44" s="182"/>
      <c r="W44" s="182"/>
      <c r="X44" s="182"/>
      <c r="Y44" s="182"/>
      <c r="Z44" s="182"/>
      <c r="AA44" s="182"/>
      <c r="AB44" s="182"/>
      <c r="AC44" s="182"/>
      <c r="AD44" s="182"/>
      <c r="AE44" s="182"/>
      <c r="AF44" s="182"/>
      <c r="AG44" s="182"/>
      <c r="AH44" s="182"/>
      <c r="AI44" s="182"/>
      <c r="AJ44" s="339">
        <f t="shared" si="37"/>
        <v>9</v>
      </c>
      <c r="AK44" s="493" t="str">
        <f>HYPERLINK("https://twitter.com/MikeBassomatic/status/814898837550727168","Twitter")</f>
        <v>Twitter</v>
      </c>
      <c r="AL44" s="341">
        <v>42734</v>
      </c>
      <c r="AM44" s="352"/>
      <c r="AN44" s="352"/>
      <c r="AO44" s="352"/>
      <c r="AP44" s="352"/>
      <c r="AQ44" s="352"/>
      <c r="AR44" s="352"/>
      <c r="AS44" s="352"/>
      <c r="AT44" s="352"/>
      <c r="AU44" s="352"/>
      <c r="AV44" s="352"/>
      <c r="AW44" s="352"/>
      <c r="AX44" s="352"/>
      <c r="AY44" s="352"/>
      <c r="AZ44" s="352"/>
      <c r="BA44" s="352"/>
      <c r="BB44" s="352"/>
      <c r="BC44" s="352"/>
      <c r="BD44" s="352"/>
      <c r="BE44" s="352"/>
      <c r="BF44" s="352"/>
      <c r="BG44" s="352"/>
      <c r="BH44" s="352"/>
      <c r="BI44" s="352"/>
      <c r="BJ44" s="352"/>
      <c r="BK44" s="352"/>
      <c r="BL44" s="470"/>
      <c r="BM44" s="339"/>
      <c r="BN44" s="339"/>
      <c r="BO44" s="182"/>
      <c r="BP44" s="182"/>
      <c r="BQ44" s="182"/>
      <c r="BR44" s="182"/>
      <c r="BS44" s="182"/>
      <c r="BT44" s="182"/>
      <c r="BU44" s="182"/>
      <c r="BV44" s="182"/>
      <c r="BW44" s="182"/>
      <c r="BX44" s="182"/>
      <c r="BY44" s="182"/>
      <c r="BZ44" s="182"/>
      <c r="CA44" s="182"/>
      <c r="CB44" s="182"/>
      <c r="CC44" s="182"/>
      <c r="CD44" s="182"/>
      <c r="CE44" s="182"/>
      <c r="CF44" s="182"/>
      <c r="CG44" s="182"/>
      <c r="CH44" s="182"/>
      <c r="CI44" s="182"/>
      <c r="CJ44" s="182"/>
      <c r="CK44" s="182"/>
      <c r="CL44" s="618"/>
      <c r="CM44" s="619"/>
      <c r="CN44" s="620"/>
    </row>
    <row r="45" spans="1:92" s="344" customFormat="1">
      <c r="A45" s="335" t="s">
        <v>538</v>
      </c>
      <c r="B45" s="182" t="s">
        <v>100</v>
      </c>
      <c r="C45" s="182"/>
      <c r="D45" s="182"/>
      <c r="E45" s="182" t="s">
        <v>100</v>
      </c>
      <c r="F45" s="182" t="s">
        <v>100</v>
      </c>
      <c r="G45" s="182"/>
      <c r="H45" s="182"/>
      <c r="I45" s="182"/>
      <c r="J45" s="182"/>
      <c r="K45" s="182"/>
      <c r="L45" s="182"/>
      <c r="M45" s="182"/>
      <c r="N45" s="182" t="s">
        <v>100</v>
      </c>
      <c r="O45" s="182"/>
      <c r="P45" s="182"/>
      <c r="Q45" s="182" t="s">
        <v>100</v>
      </c>
      <c r="R45" s="182"/>
      <c r="S45" s="182"/>
      <c r="T45" s="182"/>
      <c r="U45" s="182"/>
      <c r="V45" s="182"/>
      <c r="W45" s="182"/>
      <c r="X45" s="182"/>
      <c r="Y45" s="182"/>
      <c r="Z45" s="182"/>
      <c r="AA45" s="182"/>
      <c r="AB45" s="182"/>
      <c r="AC45" s="182"/>
      <c r="AD45" s="182"/>
      <c r="AE45" s="182"/>
      <c r="AF45" s="182"/>
      <c r="AG45" s="182"/>
      <c r="AH45" s="182"/>
      <c r="AI45" s="182"/>
      <c r="AJ45" s="339">
        <f t="shared" si="37"/>
        <v>5</v>
      </c>
      <c r="AK45" s="481" t="str">
        <f>HYPERLINK("http://m.mlb.com/news/article/213641980/mlb-writers-reveal-ballots-for-hall-of-fame/","MLB.com")</f>
        <v>MLB.com</v>
      </c>
      <c r="AL45" s="341">
        <v>42752</v>
      </c>
      <c r="AM45" s="352"/>
      <c r="AN45" s="352"/>
      <c r="AO45" s="352"/>
      <c r="AP45" s="352"/>
      <c r="AQ45" s="352"/>
      <c r="AR45" s="352"/>
      <c r="AS45" s="352"/>
      <c r="AT45" s="352"/>
      <c r="AU45" s="352"/>
      <c r="AV45" s="352"/>
      <c r="AW45" s="352"/>
      <c r="AX45" s="352"/>
      <c r="AY45" s="352"/>
      <c r="AZ45" s="352"/>
      <c r="BA45" s="352"/>
      <c r="BB45" s="352"/>
      <c r="BC45" s="352"/>
      <c r="BD45" s="352"/>
      <c r="BE45" s="352"/>
      <c r="BF45" s="352"/>
      <c r="BG45" s="352"/>
      <c r="BH45" s="352"/>
      <c r="BI45" s="352"/>
      <c r="BJ45" s="352"/>
      <c r="BK45" s="352"/>
      <c r="BL45" s="470"/>
      <c r="BM45" s="339"/>
      <c r="BN45" s="339"/>
      <c r="BO45" s="182"/>
      <c r="BP45" s="182"/>
      <c r="BQ45" s="182"/>
      <c r="BR45" s="182"/>
      <c r="BS45" s="182"/>
      <c r="BT45" s="182"/>
      <c r="BU45" s="182"/>
      <c r="BV45" s="182"/>
      <c r="BW45" s="182"/>
      <c r="BX45" s="182"/>
      <c r="BY45" s="182"/>
      <c r="BZ45" s="182"/>
      <c r="CA45" s="182"/>
      <c r="CB45" s="182"/>
      <c r="CC45" s="182"/>
      <c r="CD45" s="182"/>
      <c r="CE45" s="182"/>
      <c r="CF45" s="182"/>
      <c r="CG45" s="182"/>
      <c r="CH45" s="182"/>
      <c r="CI45" s="182"/>
      <c r="CJ45" s="182"/>
      <c r="CK45" s="182"/>
      <c r="CL45" s="618"/>
      <c r="CM45" s="619"/>
      <c r="CN45" s="620"/>
    </row>
    <row r="46" spans="1:92" s="344" customFormat="1">
      <c r="A46" s="335" t="s">
        <v>121</v>
      </c>
      <c r="B46" s="182" t="s">
        <v>100</v>
      </c>
      <c r="C46" s="182"/>
      <c r="D46" s="182"/>
      <c r="E46" s="182" t="s">
        <v>100</v>
      </c>
      <c r="F46" s="182" t="s">
        <v>100</v>
      </c>
      <c r="G46" s="182"/>
      <c r="H46" s="182" t="s">
        <v>100</v>
      </c>
      <c r="I46" s="182"/>
      <c r="J46" s="182" t="s">
        <v>100</v>
      </c>
      <c r="K46" s="182"/>
      <c r="L46" s="182" t="s">
        <v>100</v>
      </c>
      <c r="M46" s="182"/>
      <c r="N46" s="182" t="s">
        <v>100</v>
      </c>
      <c r="O46" s="182" t="s">
        <v>100</v>
      </c>
      <c r="P46" s="182"/>
      <c r="Q46" s="182"/>
      <c r="R46" s="182"/>
      <c r="S46" s="182" t="s">
        <v>100</v>
      </c>
      <c r="T46" s="302" t="s">
        <v>100</v>
      </c>
      <c r="U46" s="182"/>
      <c r="V46" s="182"/>
      <c r="W46" s="182"/>
      <c r="X46" s="182"/>
      <c r="Y46" s="182"/>
      <c r="Z46" s="182"/>
      <c r="AA46" s="182"/>
      <c r="AB46" s="182"/>
      <c r="AC46" s="182"/>
      <c r="AD46" s="182"/>
      <c r="AE46" s="182"/>
      <c r="AF46" s="182"/>
      <c r="AG46" s="182"/>
      <c r="AH46" s="182"/>
      <c r="AI46" s="182"/>
      <c r="AJ46" s="339">
        <f t="shared" si="37"/>
        <v>10</v>
      </c>
      <c r="AK46" s="481" t="str">
        <f>HYPERLINK("https://twitter.com/AmalieBenjamin/status/821835241069412352/photo/1","Twitter")</f>
        <v>Twitter</v>
      </c>
      <c r="AL46" s="341">
        <v>42753</v>
      </c>
      <c r="AM46" s="352"/>
      <c r="AN46" s="352"/>
      <c r="AO46" s="352"/>
      <c r="AP46" s="352"/>
      <c r="AQ46" s="352"/>
      <c r="AR46" s="352"/>
      <c r="AS46" s="352"/>
      <c r="AT46" s="352"/>
      <c r="AU46" s="352"/>
      <c r="AV46" s="352"/>
      <c r="AW46" s="352"/>
      <c r="AX46" s="352"/>
      <c r="AY46" s="352"/>
      <c r="AZ46" s="352"/>
      <c r="BA46" s="352"/>
      <c r="BB46" s="352"/>
      <c r="BC46" s="352"/>
      <c r="BD46" s="352"/>
      <c r="BE46" s="352"/>
      <c r="BF46" s="352"/>
      <c r="BG46" s="352"/>
      <c r="BH46" s="352"/>
      <c r="BI46" s="352"/>
      <c r="BJ46" s="352"/>
      <c r="BK46" s="352"/>
      <c r="BL46" s="470"/>
      <c r="BM46" s="339"/>
      <c r="BN46" s="339"/>
      <c r="BO46" s="182"/>
      <c r="BP46" s="182"/>
      <c r="BQ46" s="182"/>
      <c r="BR46" s="182"/>
      <c r="BS46" s="182"/>
      <c r="BT46" s="182"/>
      <c r="BU46" s="182"/>
      <c r="BV46" s="182"/>
      <c r="BW46" s="182"/>
      <c r="BX46" s="182"/>
      <c r="BY46" s="182"/>
      <c r="BZ46" s="182"/>
      <c r="CA46" s="182"/>
      <c r="CB46" s="182"/>
      <c r="CC46" s="182"/>
      <c r="CD46" s="182"/>
      <c r="CE46" s="182"/>
      <c r="CF46" s="182"/>
      <c r="CG46" s="182"/>
      <c r="CH46" s="182"/>
      <c r="CI46" s="182"/>
      <c r="CJ46" s="182"/>
      <c r="CK46" s="182"/>
      <c r="CL46" s="618"/>
      <c r="CM46" s="619"/>
      <c r="CN46" s="620"/>
    </row>
    <row r="47" spans="1:92" s="344" customFormat="1">
      <c r="A47" s="335" t="s">
        <v>539</v>
      </c>
      <c r="B47" s="182" t="s">
        <v>100</v>
      </c>
      <c r="C47" s="182"/>
      <c r="D47" s="182"/>
      <c r="E47" s="182"/>
      <c r="F47" s="182"/>
      <c r="G47" s="182"/>
      <c r="H47" s="182" t="s">
        <v>100</v>
      </c>
      <c r="I47" s="182"/>
      <c r="J47" s="182" t="s">
        <v>100</v>
      </c>
      <c r="K47" s="182"/>
      <c r="L47" s="182" t="s">
        <v>100</v>
      </c>
      <c r="M47" s="182"/>
      <c r="N47" s="182" t="s">
        <v>100</v>
      </c>
      <c r="O47" s="182" t="s">
        <v>100</v>
      </c>
      <c r="P47" s="182"/>
      <c r="Q47" s="182"/>
      <c r="R47" s="182"/>
      <c r="S47" s="182"/>
      <c r="T47" s="182" t="s">
        <v>100</v>
      </c>
      <c r="U47" s="182"/>
      <c r="V47" s="182"/>
      <c r="W47" s="182"/>
      <c r="X47" s="182"/>
      <c r="Y47" s="182"/>
      <c r="Z47" s="182"/>
      <c r="AA47" s="182"/>
      <c r="AB47" s="182"/>
      <c r="AC47" s="182"/>
      <c r="AD47" s="182"/>
      <c r="AE47" s="182"/>
      <c r="AF47" s="182"/>
      <c r="AG47" s="182"/>
      <c r="AH47" s="182"/>
      <c r="AI47" s="182"/>
      <c r="AJ47" s="339">
        <f t="shared" si="37"/>
        <v>7</v>
      </c>
      <c r="AK47" s="493" t="str">
        <f>HYPERLINK("http://coldomaha.com/2017/twins/mws-mike-berardino-reveals-his-hall-of-fame-ballot/","Midwest Swing Pod")</f>
        <v>Midwest Swing Pod</v>
      </c>
      <c r="AL47" s="341">
        <v>42745</v>
      </c>
      <c r="AM47" s="352"/>
      <c r="AN47" s="352"/>
      <c r="AO47" s="352"/>
      <c r="AP47" s="352"/>
      <c r="AQ47" s="352"/>
      <c r="AR47" s="352"/>
      <c r="AS47" s="352"/>
      <c r="AT47" s="352"/>
      <c r="AU47" s="352"/>
      <c r="AV47" s="352"/>
      <c r="AW47" s="352"/>
      <c r="AX47" s="352"/>
      <c r="AY47" s="352"/>
      <c r="AZ47" s="352"/>
      <c r="BA47" s="352"/>
      <c r="BB47" s="352"/>
      <c r="BC47" s="352"/>
      <c r="BD47" s="352"/>
      <c r="BE47" s="352"/>
      <c r="BF47" s="352"/>
      <c r="BG47" s="352"/>
      <c r="BH47" s="352"/>
      <c r="BI47" s="352"/>
      <c r="BJ47" s="352"/>
      <c r="BK47" s="352"/>
      <c r="BL47" s="470"/>
      <c r="BM47" s="339"/>
      <c r="BN47" s="339"/>
      <c r="BO47" s="182"/>
      <c r="BP47" s="182"/>
      <c r="BQ47" s="182"/>
      <c r="BR47" s="182"/>
      <c r="BS47" s="182"/>
      <c r="BT47" s="182"/>
      <c r="BU47" s="182"/>
      <c r="BV47" s="182"/>
      <c r="BW47" s="182"/>
      <c r="BX47" s="182"/>
      <c r="BY47" s="182"/>
      <c r="BZ47" s="182"/>
      <c r="CA47" s="182"/>
      <c r="CB47" s="182"/>
      <c r="CC47" s="182"/>
      <c r="CD47" s="182"/>
      <c r="CE47" s="182"/>
      <c r="CF47" s="182"/>
      <c r="CG47" s="182"/>
      <c r="CH47" s="182"/>
      <c r="CI47" s="182"/>
      <c r="CJ47" s="182"/>
      <c r="CK47" s="182"/>
      <c r="CL47" s="618"/>
      <c r="CM47" s="619"/>
      <c r="CN47" s="620"/>
    </row>
    <row r="48" spans="1:92" s="344" customFormat="1">
      <c r="A48" s="335" t="s">
        <v>124</v>
      </c>
      <c r="B48" s="182" t="s">
        <v>100</v>
      </c>
      <c r="C48" s="182"/>
      <c r="D48" s="182"/>
      <c r="E48" s="182"/>
      <c r="F48" s="182" t="s">
        <v>100</v>
      </c>
      <c r="G48" s="182"/>
      <c r="H48" s="182"/>
      <c r="I48" s="182"/>
      <c r="J48" s="302" t="s">
        <v>100</v>
      </c>
      <c r="K48" s="182"/>
      <c r="L48" s="182"/>
      <c r="M48" s="182"/>
      <c r="N48" s="182" t="s">
        <v>100</v>
      </c>
      <c r="O48" s="182" t="s">
        <v>100</v>
      </c>
      <c r="P48" s="182"/>
      <c r="Q48" s="182" t="s">
        <v>100</v>
      </c>
      <c r="R48" s="182"/>
      <c r="S48" s="182"/>
      <c r="T48" s="182"/>
      <c r="U48" s="182"/>
      <c r="V48" s="182"/>
      <c r="W48" s="182"/>
      <c r="X48" s="182"/>
      <c r="Y48" s="182"/>
      <c r="Z48" s="182"/>
      <c r="AA48" s="182"/>
      <c r="AB48" s="182"/>
      <c r="AC48" s="182"/>
      <c r="AD48" s="182"/>
      <c r="AE48" s="182"/>
      <c r="AF48" s="182"/>
      <c r="AG48" s="182"/>
      <c r="AH48" s="182"/>
      <c r="AI48" s="182"/>
      <c r="AJ48" s="339">
        <f t="shared" si="37"/>
        <v>6</v>
      </c>
      <c r="AK48" s="481" t="str">
        <f>HYPERLINK("https://twitter.com/BiertempfelTrib/status/821344470075666432","Twitter")</f>
        <v>Twitter</v>
      </c>
      <c r="AL48" s="341">
        <v>42752</v>
      </c>
      <c r="AM48" s="352"/>
      <c r="AN48" s="352"/>
      <c r="AO48" s="352"/>
      <c r="AP48" s="352"/>
      <c r="AQ48" s="352"/>
      <c r="AR48" s="352"/>
      <c r="AS48" s="352"/>
      <c r="AT48" s="352"/>
      <c r="AU48" s="352"/>
      <c r="AV48" s="352"/>
      <c r="AW48" s="352"/>
      <c r="AX48" s="352"/>
      <c r="AY48" s="352"/>
      <c r="AZ48" s="352"/>
      <c r="BA48" s="352"/>
      <c r="BB48" s="352"/>
      <c r="BC48" s="352"/>
      <c r="BD48" s="352"/>
      <c r="BE48" s="352"/>
      <c r="BF48" s="352"/>
      <c r="BG48" s="352"/>
      <c r="BH48" s="352"/>
      <c r="BI48" s="352"/>
      <c r="BJ48" s="352"/>
      <c r="BK48" s="352"/>
      <c r="BL48" s="470"/>
      <c r="BM48" s="339"/>
      <c r="BN48" s="339"/>
      <c r="BO48" s="182"/>
      <c r="BP48" s="182"/>
      <c r="BQ48" s="182"/>
      <c r="BR48" s="182"/>
      <c r="BS48" s="182"/>
      <c r="BT48" s="182"/>
      <c r="BU48" s="182"/>
      <c r="BV48" s="182"/>
      <c r="BW48" s="182"/>
      <c r="BX48" s="182"/>
      <c r="BY48" s="182"/>
      <c r="BZ48" s="182"/>
      <c r="CA48" s="182"/>
      <c r="CB48" s="182"/>
      <c r="CC48" s="182"/>
      <c r="CD48" s="182"/>
      <c r="CE48" s="182"/>
      <c r="CF48" s="182"/>
      <c r="CG48" s="182"/>
      <c r="CH48" s="182"/>
      <c r="CI48" s="182"/>
      <c r="CJ48" s="182"/>
      <c r="CK48" s="182"/>
      <c r="CL48" s="618"/>
      <c r="CM48" s="619"/>
      <c r="CN48" s="620"/>
    </row>
    <row r="49" spans="1:92" s="344" customFormat="1">
      <c r="A49" s="335" t="s">
        <v>540</v>
      </c>
      <c r="B49" s="182" t="s">
        <v>100</v>
      </c>
      <c r="C49" s="182" t="s">
        <v>100</v>
      </c>
      <c r="D49" s="182" t="s">
        <v>100</v>
      </c>
      <c r="E49" s="182" t="s">
        <v>100</v>
      </c>
      <c r="F49" s="182"/>
      <c r="G49" s="182"/>
      <c r="H49" s="182"/>
      <c r="I49" s="182"/>
      <c r="J49" s="182"/>
      <c r="K49" s="182" t="s">
        <v>100</v>
      </c>
      <c r="L49" s="182" t="s">
        <v>100</v>
      </c>
      <c r="M49" s="182" t="s">
        <v>100</v>
      </c>
      <c r="N49" s="182"/>
      <c r="O49" s="182"/>
      <c r="P49" s="182"/>
      <c r="Q49" s="182"/>
      <c r="R49" s="182"/>
      <c r="S49" s="182"/>
      <c r="T49" s="182"/>
      <c r="U49" s="182"/>
      <c r="V49" s="182"/>
      <c r="W49" s="182"/>
      <c r="X49" s="182"/>
      <c r="Y49" s="182"/>
      <c r="Z49" s="182"/>
      <c r="AA49" s="182"/>
      <c r="AB49" s="182"/>
      <c r="AC49" s="182"/>
      <c r="AD49" s="182"/>
      <c r="AE49" s="182"/>
      <c r="AF49" s="182"/>
      <c r="AG49" s="182"/>
      <c r="AH49" s="182"/>
      <c r="AI49" s="182"/>
      <c r="AJ49" s="339">
        <f t="shared" si="37"/>
        <v>7</v>
      </c>
      <c r="AK49" s="483" t="s">
        <v>115</v>
      </c>
      <c r="AL49" s="341">
        <v>42746</v>
      </c>
      <c r="AM49" s="352"/>
      <c r="AN49" s="352"/>
      <c r="AO49" s="352"/>
      <c r="AP49" s="352"/>
      <c r="AQ49" s="352"/>
      <c r="AR49" s="352"/>
      <c r="AS49" s="352"/>
      <c r="AT49" s="352"/>
      <c r="AU49" s="352"/>
      <c r="AV49" s="352"/>
      <c r="AW49" s="352"/>
      <c r="AX49" s="352"/>
      <c r="AY49" s="352"/>
      <c r="AZ49" s="352"/>
      <c r="BA49" s="352"/>
      <c r="BB49" s="352"/>
      <c r="BC49" s="352"/>
      <c r="BD49" s="352"/>
      <c r="BE49" s="352"/>
      <c r="BF49" s="352"/>
      <c r="BG49" s="352"/>
      <c r="BH49" s="352"/>
      <c r="BI49" s="352"/>
      <c r="BJ49" s="352"/>
      <c r="BK49" s="352"/>
      <c r="BL49" s="470"/>
      <c r="BM49" s="339"/>
      <c r="BN49" s="339"/>
      <c r="BO49" s="182"/>
      <c r="BP49" s="182"/>
      <c r="BQ49" s="182"/>
      <c r="BR49" s="182"/>
      <c r="BS49" s="182"/>
      <c r="BT49" s="182"/>
      <c r="BU49" s="182"/>
      <c r="BV49" s="182"/>
      <c r="BW49" s="182"/>
      <c r="BX49" s="182"/>
      <c r="BY49" s="182"/>
      <c r="BZ49" s="182"/>
      <c r="CA49" s="182"/>
      <c r="CB49" s="182"/>
      <c r="CC49" s="182"/>
      <c r="CD49" s="182"/>
      <c r="CE49" s="182"/>
      <c r="CF49" s="182"/>
      <c r="CG49" s="182"/>
      <c r="CH49" s="182"/>
      <c r="CI49" s="182"/>
      <c r="CJ49" s="182"/>
      <c r="CK49" s="182"/>
      <c r="CL49" s="618"/>
      <c r="CM49" s="619"/>
      <c r="CN49" s="620"/>
    </row>
    <row r="50" spans="1:92" s="344" customFormat="1">
      <c r="A50" s="335" t="s">
        <v>127</v>
      </c>
      <c r="B50" s="182" t="s">
        <v>100</v>
      </c>
      <c r="C50" s="182" t="s">
        <v>100</v>
      </c>
      <c r="D50" s="182" t="s">
        <v>100</v>
      </c>
      <c r="E50" s="182" t="s">
        <v>100</v>
      </c>
      <c r="F50" s="182" t="s">
        <v>100</v>
      </c>
      <c r="G50" s="182"/>
      <c r="H50" s="182"/>
      <c r="I50" s="182"/>
      <c r="J50" s="182" t="s">
        <v>100</v>
      </c>
      <c r="K50" s="182" t="s">
        <v>100</v>
      </c>
      <c r="L50" s="182" t="s">
        <v>100</v>
      </c>
      <c r="M50" s="182"/>
      <c r="N50" s="182" t="s">
        <v>100</v>
      </c>
      <c r="O50" s="182"/>
      <c r="P50" s="182"/>
      <c r="Q50" s="182" t="s">
        <v>100</v>
      </c>
      <c r="R50" s="182"/>
      <c r="S50" s="182"/>
      <c r="T50" s="182"/>
      <c r="U50" s="182"/>
      <c r="V50" s="182"/>
      <c r="W50" s="182"/>
      <c r="X50" s="182"/>
      <c r="Y50" s="182"/>
      <c r="Z50" s="182"/>
      <c r="AA50" s="182"/>
      <c r="AB50" s="182"/>
      <c r="AC50" s="182"/>
      <c r="AD50" s="182"/>
      <c r="AE50" s="182"/>
      <c r="AF50" s="182"/>
      <c r="AG50" s="182"/>
      <c r="AH50" s="182"/>
      <c r="AI50" s="182"/>
      <c r="AJ50" s="339">
        <f t="shared" si="37"/>
        <v>10</v>
      </c>
      <c r="AK50" s="493" t="str">
        <f>HYPERLINK("https://barrybloom.mlblogs.com/my-hall-of-fame-ballot-for-2017-81d9cc64b08a#.bfn35wb35","MLB Blog")</f>
        <v>MLB Blog</v>
      </c>
      <c r="AL50" s="341">
        <v>42704</v>
      </c>
      <c r="AM50" s="352"/>
      <c r="AN50" s="352">
        <f>IF(B50=1,0,0)</f>
        <v>0</v>
      </c>
      <c r="AO50" s="352">
        <f>IF(D50=1,13,0)</f>
        <v>0</v>
      </c>
      <c r="AP50" s="352">
        <f>IF(E50=1,8,0)</f>
        <v>0</v>
      </c>
      <c r="AQ50" s="352">
        <f>IF(G50=1,8,0)</f>
        <v>0</v>
      </c>
      <c r="AR50" s="352">
        <f>IF(I50=1,0,0)</f>
        <v>0</v>
      </c>
      <c r="AS50" s="352">
        <f>IF(J50=1,0,0)</f>
        <v>0</v>
      </c>
      <c r="AT50" s="352" t="e">
        <f>IF(#REF!=1,0,0)</f>
        <v>#REF!</v>
      </c>
      <c r="AU50" s="352">
        <f>IF(K50=1,19,0)</f>
        <v>0</v>
      </c>
      <c r="AV50" s="352">
        <f>IF(N50=1,13,0)</f>
        <v>0</v>
      </c>
      <c r="AW50" s="352">
        <f>IF(O50=1,0,0)</f>
        <v>0</v>
      </c>
      <c r="AX50" s="352">
        <f>IF(P50=1,3,0)</f>
        <v>0</v>
      </c>
      <c r="AY50" s="352">
        <f>IF(S50=1,8,0)</f>
        <v>0</v>
      </c>
      <c r="AZ50" s="352">
        <f>IF(T50=1,4,0)</f>
        <v>0</v>
      </c>
      <c r="BA50" s="352">
        <f>IF(U50=1,2,0)</f>
        <v>0</v>
      </c>
      <c r="BB50" s="352">
        <f>IF(W50=1,8,0)</f>
        <v>0</v>
      </c>
      <c r="BC50" s="352">
        <f>IF(X50=1,16,0)</f>
        <v>0</v>
      </c>
      <c r="BD50" s="352">
        <f>IF(Y50=1,13,0)</f>
        <v>0</v>
      </c>
      <c r="BE50" s="352">
        <f>IF(Z50=1,10,0)</f>
        <v>0</v>
      </c>
      <c r="BF50" s="352">
        <f>IF(AA50=1,2,0)</f>
        <v>0</v>
      </c>
      <c r="BG50" s="352">
        <f>IF(AB50=1,6,0)</f>
        <v>0</v>
      </c>
      <c r="BH50" s="352">
        <f>IF(AC50=1,1,0)</f>
        <v>0</v>
      </c>
      <c r="BI50" s="352">
        <f t="shared" ref="BI50" si="38">IF(AF50=1,8,0)</f>
        <v>0</v>
      </c>
      <c r="BJ50" s="352">
        <f t="shared" ref="BJ50" si="39">IF(AH50=1,2,0)</f>
        <v>0</v>
      </c>
      <c r="BK50" s="352">
        <f t="shared" ref="BK50" si="40">IF(AI50=1,3,0)</f>
        <v>0</v>
      </c>
      <c r="BL50" s="470" t="e">
        <f>LARGE(AN50:BK50,1)+LARGE(AN50:BK50,2)+LARGE(AN50:BK50,3)+LARGE(AN50:BK50,4)+LARGE(AN50:BK50,5)+LARGE(AN50:BK50,6)+LARGE(AN50:BK50,7)+LARGE(AN50:BK50,8)</f>
        <v>#REF!</v>
      </c>
      <c r="BM50" s="339" t="e">
        <f t="shared" ref="BM50" si="41">BL50</f>
        <v>#REF!</v>
      </c>
      <c r="BN50" s="339"/>
      <c r="BO50" s="182"/>
      <c r="BP50" s="182"/>
      <c r="BQ50" s="182"/>
      <c r="BR50" s="182"/>
      <c r="BS50" s="182"/>
      <c r="BT50" s="182"/>
      <c r="BU50" s="182"/>
      <c r="BV50" s="182"/>
      <c r="BW50" s="182"/>
      <c r="BX50" s="182"/>
      <c r="BY50" s="182"/>
      <c r="BZ50" s="182"/>
      <c r="CA50" s="182"/>
      <c r="CB50" s="182"/>
      <c r="CC50" s="182"/>
      <c r="CD50" s="182"/>
      <c r="CE50" s="182"/>
      <c r="CF50" s="182"/>
      <c r="CG50" s="182"/>
      <c r="CH50" s="182"/>
      <c r="CI50" s="182"/>
      <c r="CJ50" s="182"/>
      <c r="CK50" s="182"/>
      <c r="CL50" s="680" t="s">
        <v>541</v>
      </c>
      <c r="CM50" s="681"/>
      <c r="CN50" s="682"/>
    </row>
    <row r="51" spans="1:92">
      <c r="A51" s="181" t="s">
        <v>128</v>
      </c>
      <c r="B51" s="182" t="s">
        <v>100</v>
      </c>
      <c r="C51" s="182"/>
      <c r="D51" s="182"/>
      <c r="E51" s="182" t="s">
        <v>100</v>
      </c>
      <c r="F51" s="182" t="s">
        <v>100</v>
      </c>
      <c r="G51" s="182"/>
      <c r="H51" s="182" t="s">
        <v>100</v>
      </c>
      <c r="I51" s="302" t="s">
        <v>100</v>
      </c>
      <c r="J51" s="182"/>
      <c r="K51" s="182"/>
      <c r="L51" s="182" t="s">
        <v>100</v>
      </c>
      <c r="M51" s="182" t="s">
        <v>100</v>
      </c>
      <c r="N51" s="182" t="s">
        <v>100</v>
      </c>
      <c r="O51" s="182"/>
      <c r="P51" s="182"/>
      <c r="Q51" s="182" t="s">
        <v>100</v>
      </c>
      <c r="R51" s="182"/>
      <c r="S51" s="182"/>
      <c r="T51" s="302" t="s">
        <v>100</v>
      </c>
      <c r="U51" s="182"/>
      <c r="V51" s="182"/>
      <c r="W51" s="182"/>
      <c r="X51" s="182"/>
      <c r="Y51" s="182"/>
      <c r="Z51" s="182"/>
      <c r="AA51" s="182"/>
      <c r="AB51" s="182"/>
      <c r="AC51" s="182"/>
      <c r="AD51" s="182"/>
      <c r="AE51" s="182"/>
      <c r="AF51" s="182"/>
      <c r="AG51" s="182"/>
      <c r="AH51" s="182"/>
      <c r="AI51" s="182"/>
      <c r="AJ51" s="167">
        <f t="shared" si="37"/>
        <v>10</v>
      </c>
      <c r="AK51" s="482" t="s">
        <v>115</v>
      </c>
      <c r="AL51" s="186">
        <v>42703</v>
      </c>
      <c r="AM51" s="187"/>
      <c r="AN51" s="187"/>
      <c r="AO51" s="187"/>
      <c r="AP51" s="187"/>
      <c r="AQ51" s="187"/>
      <c r="AR51" s="187"/>
      <c r="AS51" s="187"/>
      <c r="AT51" s="187"/>
      <c r="AU51" s="187"/>
      <c r="AV51" s="187"/>
      <c r="AW51" s="187"/>
      <c r="AX51" s="187"/>
      <c r="AY51" s="187"/>
      <c r="AZ51" s="187"/>
      <c r="BA51" s="187"/>
      <c r="BB51" s="187"/>
      <c r="BC51" s="187"/>
      <c r="BD51" s="187"/>
      <c r="BE51" s="187"/>
      <c r="BF51" s="187"/>
      <c r="BG51" s="187"/>
      <c r="BH51" s="187"/>
      <c r="BI51" s="187"/>
      <c r="BJ51" s="187"/>
      <c r="BK51" s="187"/>
      <c r="BL51" s="273"/>
      <c r="BM51" s="167"/>
      <c r="BN51" s="167"/>
      <c r="BO51" s="644"/>
      <c r="BP51" s="644"/>
      <c r="BQ51" s="644"/>
      <c r="BR51" s="644"/>
      <c r="BS51" s="644"/>
      <c r="BT51" s="644"/>
      <c r="BU51" s="644"/>
      <c r="BV51" s="644"/>
      <c r="BW51" s="644"/>
      <c r="BX51" s="644"/>
      <c r="BY51" s="644"/>
      <c r="BZ51" s="644"/>
      <c r="CA51" s="644"/>
      <c r="CB51" s="644"/>
      <c r="CC51" s="644"/>
      <c r="CD51" s="644"/>
      <c r="CE51" s="644"/>
      <c r="CF51" s="644"/>
      <c r="CG51" s="644"/>
      <c r="CH51" s="644"/>
      <c r="CI51" s="644"/>
      <c r="CJ51" s="644"/>
      <c r="CK51" s="644"/>
      <c r="CL51" s="680"/>
      <c r="CM51" s="681"/>
      <c r="CN51" s="682"/>
    </row>
    <row r="52" spans="1:92" s="344" customFormat="1">
      <c r="A52" s="335" t="s">
        <v>542</v>
      </c>
      <c r="B52" s="302" t="s">
        <v>100</v>
      </c>
      <c r="C52" s="182"/>
      <c r="D52" s="182"/>
      <c r="E52" s="182"/>
      <c r="F52" s="302" t="s">
        <v>100</v>
      </c>
      <c r="G52" s="182"/>
      <c r="H52" s="302" t="s">
        <v>100</v>
      </c>
      <c r="I52" s="182" t="s">
        <v>100</v>
      </c>
      <c r="J52" s="182"/>
      <c r="K52" s="182"/>
      <c r="L52" s="302" t="s">
        <v>100</v>
      </c>
      <c r="M52" s="182"/>
      <c r="N52" s="182" t="s">
        <v>100</v>
      </c>
      <c r="O52" s="302" t="s">
        <v>100</v>
      </c>
      <c r="P52" s="182"/>
      <c r="Q52" s="182"/>
      <c r="R52" s="182"/>
      <c r="S52" s="182"/>
      <c r="T52" s="182"/>
      <c r="U52" s="182"/>
      <c r="V52" s="182"/>
      <c r="W52" s="182"/>
      <c r="X52" s="182"/>
      <c r="Y52" s="182"/>
      <c r="Z52" s="182"/>
      <c r="AA52" s="182"/>
      <c r="AB52" s="182"/>
      <c r="AC52" s="182"/>
      <c r="AD52" s="182"/>
      <c r="AE52" s="182"/>
      <c r="AF52" s="182"/>
      <c r="AG52" s="182"/>
      <c r="AH52" s="182"/>
      <c r="AI52" s="182"/>
      <c r="AJ52" s="339">
        <f t="shared" ref="AJ52" si="42">COUNTIF(B52:AI52,"x")</f>
        <v>7</v>
      </c>
      <c r="AK52" s="481" t="str">
        <f>HYPERLINK("http://m.mlb.com/news/article/213641980/mlb-writers-reveal-ballots-for-hall-of-fame/","MLB.com")</f>
        <v>MLB.com</v>
      </c>
      <c r="AL52" s="341">
        <v>42752</v>
      </c>
      <c r="AM52" s="352"/>
      <c r="AN52" s="352"/>
      <c r="AO52" s="352"/>
      <c r="AP52" s="352"/>
      <c r="AQ52" s="352"/>
      <c r="AR52" s="352"/>
      <c r="AS52" s="352"/>
      <c r="AT52" s="352"/>
      <c r="AU52" s="352"/>
      <c r="AV52" s="352"/>
      <c r="AW52" s="352"/>
      <c r="AX52" s="352"/>
      <c r="AY52" s="352"/>
      <c r="AZ52" s="352"/>
      <c r="BA52" s="352"/>
      <c r="BB52" s="352"/>
      <c r="BC52" s="352"/>
      <c r="BD52" s="352"/>
      <c r="BE52" s="352"/>
      <c r="BF52" s="352"/>
      <c r="BG52" s="352"/>
      <c r="BH52" s="352"/>
      <c r="BI52" s="352"/>
      <c r="BJ52" s="352"/>
      <c r="BK52" s="352"/>
      <c r="BL52" s="470"/>
      <c r="BM52" s="339"/>
      <c r="BN52" s="339"/>
      <c r="BO52" s="182"/>
      <c r="BP52" s="182"/>
      <c r="BQ52" s="182"/>
      <c r="BR52" s="182"/>
      <c r="BS52" s="182"/>
      <c r="BT52" s="182"/>
      <c r="BU52" s="182"/>
      <c r="BV52" s="182"/>
      <c r="BW52" s="182"/>
      <c r="BX52" s="182"/>
      <c r="BY52" s="182"/>
      <c r="BZ52" s="182"/>
      <c r="CA52" s="182"/>
      <c r="CB52" s="182"/>
      <c r="CC52" s="182"/>
      <c r="CD52" s="182"/>
      <c r="CE52" s="182"/>
      <c r="CF52" s="182"/>
      <c r="CG52" s="182"/>
      <c r="CH52" s="182"/>
      <c r="CI52" s="182"/>
      <c r="CJ52" s="182"/>
      <c r="CK52" s="182"/>
      <c r="CL52" s="618"/>
      <c r="CM52" s="619"/>
      <c r="CN52" s="620"/>
    </row>
    <row r="53" spans="1:92">
      <c r="A53" s="181" t="s">
        <v>130</v>
      </c>
      <c r="B53" s="182" t="s">
        <v>100</v>
      </c>
      <c r="C53" s="182" t="s">
        <v>100</v>
      </c>
      <c r="D53" s="182" t="s">
        <v>100</v>
      </c>
      <c r="E53" s="182" t="s">
        <v>100</v>
      </c>
      <c r="F53" s="182" t="s">
        <v>100</v>
      </c>
      <c r="G53" s="182"/>
      <c r="H53" s="182" t="s">
        <v>100</v>
      </c>
      <c r="I53" s="182"/>
      <c r="J53" s="320"/>
      <c r="K53" s="182"/>
      <c r="L53" s="302" t="s">
        <v>100</v>
      </c>
      <c r="M53" s="182" t="s">
        <v>100</v>
      </c>
      <c r="N53" s="182" t="s">
        <v>100</v>
      </c>
      <c r="O53" s="182"/>
      <c r="P53" s="182"/>
      <c r="Q53" s="182" t="s">
        <v>100</v>
      </c>
      <c r="R53" s="320"/>
      <c r="S53" s="182"/>
      <c r="T53" s="182"/>
      <c r="U53" s="182"/>
      <c r="V53" s="182"/>
      <c r="W53" s="182"/>
      <c r="X53" s="182"/>
      <c r="Y53" s="182"/>
      <c r="Z53" s="182"/>
      <c r="AA53" s="182"/>
      <c r="AB53" s="182"/>
      <c r="AC53" s="182"/>
      <c r="AD53" s="182"/>
      <c r="AE53" s="182"/>
      <c r="AF53" s="182"/>
      <c r="AG53" s="182"/>
      <c r="AH53" s="182"/>
      <c r="AI53" s="182"/>
      <c r="AJ53" s="167">
        <f t="shared" si="37"/>
        <v>10</v>
      </c>
      <c r="AK53" s="482" t="s">
        <v>543</v>
      </c>
      <c r="AL53" s="186">
        <v>42705</v>
      </c>
      <c r="AM53" s="187"/>
      <c r="AN53" s="187"/>
      <c r="AO53" s="187"/>
      <c r="AP53" s="187"/>
      <c r="AQ53" s="187"/>
      <c r="AR53" s="187"/>
      <c r="AS53" s="187"/>
      <c r="AT53" s="187"/>
      <c r="AU53" s="187"/>
      <c r="AV53" s="187"/>
      <c r="AW53" s="187"/>
      <c r="AX53" s="187"/>
      <c r="AY53" s="187"/>
      <c r="AZ53" s="187"/>
      <c r="BA53" s="187"/>
      <c r="BB53" s="187"/>
      <c r="BC53" s="187"/>
      <c r="BD53" s="187"/>
      <c r="BE53" s="187"/>
      <c r="BF53" s="187"/>
      <c r="BG53" s="187"/>
      <c r="BH53" s="187"/>
      <c r="BI53" s="187"/>
      <c r="BJ53" s="187"/>
      <c r="BK53" s="187"/>
      <c r="BL53" s="273"/>
      <c r="BM53" s="167"/>
      <c r="BN53" s="167"/>
      <c r="BO53" s="644"/>
      <c r="BP53" s="644"/>
      <c r="BQ53" s="644"/>
      <c r="BR53" s="644"/>
      <c r="BS53" s="644"/>
      <c r="BT53" s="644"/>
      <c r="BU53" s="644"/>
      <c r="BV53" s="644"/>
      <c r="BW53" s="644"/>
      <c r="BX53" s="644"/>
      <c r="BY53" s="644"/>
      <c r="BZ53" s="644"/>
      <c r="CA53" s="644"/>
      <c r="CB53" s="644"/>
      <c r="CC53" s="644"/>
      <c r="CD53" s="644"/>
      <c r="CE53" s="644"/>
      <c r="CF53" s="644"/>
      <c r="CG53" s="644"/>
      <c r="CH53" s="644"/>
      <c r="CI53" s="644"/>
      <c r="CJ53" s="644"/>
      <c r="CK53" s="644"/>
      <c r="CL53" s="680"/>
      <c r="CM53" s="681"/>
      <c r="CN53" s="682"/>
    </row>
    <row r="54" spans="1:92" s="344" customFormat="1">
      <c r="A54" s="331" t="s">
        <v>131</v>
      </c>
      <c r="B54" s="182" t="s">
        <v>100</v>
      </c>
      <c r="C54" s="182" t="s">
        <v>100</v>
      </c>
      <c r="D54" s="182" t="s">
        <v>100</v>
      </c>
      <c r="E54" s="182" t="s">
        <v>100</v>
      </c>
      <c r="F54" s="182" t="s">
        <v>100</v>
      </c>
      <c r="G54" s="182"/>
      <c r="H54" s="182" t="s">
        <v>100</v>
      </c>
      <c r="I54" s="182"/>
      <c r="J54" s="182" t="s">
        <v>100</v>
      </c>
      <c r="K54" s="182"/>
      <c r="L54" s="182" t="s">
        <v>100</v>
      </c>
      <c r="M54" s="182"/>
      <c r="N54" s="182" t="s">
        <v>100</v>
      </c>
      <c r="O54" s="182" t="s">
        <v>100</v>
      </c>
      <c r="P54" s="182"/>
      <c r="Q54" s="182"/>
      <c r="R54" s="182"/>
      <c r="S54" s="182"/>
      <c r="T54" s="182"/>
      <c r="U54" s="182"/>
      <c r="V54" s="182"/>
      <c r="W54" s="182"/>
      <c r="X54" s="182"/>
      <c r="Y54" s="182"/>
      <c r="Z54" s="182"/>
      <c r="AA54" s="182"/>
      <c r="AB54" s="182"/>
      <c r="AC54" s="182"/>
      <c r="AD54" s="182"/>
      <c r="AE54" s="182"/>
      <c r="AF54" s="182"/>
      <c r="AG54" s="182"/>
      <c r="AH54" s="182"/>
      <c r="AI54" s="182"/>
      <c r="AJ54" s="167">
        <f t="shared" si="37"/>
        <v>10</v>
      </c>
      <c r="AK54" s="493" t="str">
        <f>HYPERLINK("https://www.facebook.com/ByTimBooth/posts/1740477052941403:0","Facebook")</f>
        <v>Facebook</v>
      </c>
      <c r="AL54" s="341">
        <v>42718</v>
      </c>
      <c r="AM54" s="352"/>
      <c r="AN54" s="352"/>
      <c r="AO54" s="352"/>
      <c r="AP54" s="352"/>
      <c r="AQ54" s="352"/>
      <c r="AR54" s="352"/>
      <c r="AS54" s="352"/>
      <c r="AT54" s="352"/>
      <c r="AU54" s="352"/>
      <c r="AV54" s="352"/>
      <c r="AW54" s="352"/>
      <c r="AX54" s="352"/>
      <c r="AY54" s="352"/>
      <c r="AZ54" s="352"/>
      <c r="BA54" s="352"/>
      <c r="BB54" s="352"/>
      <c r="BC54" s="352"/>
      <c r="BD54" s="352"/>
      <c r="BE54" s="352"/>
      <c r="BF54" s="352"/>
      <c r="BG54" s="352"/>
      <c r="BH54" s="352"/>
      <c r="BI54" s="352"/>
      <c r="BJ54" s="352"/>
      <c r="BK54" s="352"/>
      <c r="BL54" s="470"/>
      <c r="BM54" s="339"/>
      <c r="BN54" s="339"/>
      <c r="BO54" s="182"/>
      <c r="BP54" s="182"/>
      <c r="BQ54" s="182"/>
      <c r="BR54" s="182"/>
      <c r="BS54" s="182"/>
      <c r="BT54" s="182"/>
      <c r="BU54" s="182"/>
      <c r="BV54" s="182"/>
      <c r="BW54" s="182"/>
      <c r="BX54" s="182"/>
      <c r="BY54" s="182"/>
      <c r="BZ54" s="182"/>
      <c r="CA54" s="182"/>
      <c r="CB54" s="182"/>
      <c r="CC54" s="182"/>
      <c r="CD54" s="182"/>
      <c r="CE54" s="182"/>
      <c r="CF54" s="182"/>
      <c r="CG54" s="182"/>
      <c r="CH54" s="182"/>
      <c r="CI54" s="182"/>
      <c r="CJ54" s="182"/>
      <c r="CK54" s="182"/>
      <c r="CL54" s="680" t="s">
        <v>260</v>
      </c>
      <c r="CM54" s="681"/>
      <c r="CN54" s="682"/>
    </row>
    <row r="55" spans="1:92" s="344" customFormat="1">
      <c r="A55" s="335" t="s">
        <v>544</v>
      </c>
      <c r="B55" s="182" t="s">
        <v>100</v>
      </c>
      <c r="C55" s="182"/>
      <c r="D55" s="182"/>
      <c r="E55" s="182"/>
      <c r="F55" s="182" t="s">
        <v>100</v>
      </c>
      <c r="G55" s="182"/>
      <c r="H55" s="182" t="s">
        <v>100</v>
      </c>
      <c r="I55" s="182"/>
      <c r="J55" s="182" t="s">
        <v>100</v>
      </c>
      <c r="K55" s="182"/>
      <c r="L55" s="182" t="s">
        <v>100</v>
      </c>
      <c r="M55" s="182"/>
      <c r="N55" s="182" t="s">
        <v>100</v>
      </c>
      <c r="O55" s="182" t="s">
        <v>100</v>
      </c>
      <c r="P55" s="182"/>
      <c r="Q55" s="182"/>
      <c r="R55" s="182"/>
      <c r="S55" s="182"/>
      <c r="T55" s="182"/>
      <c r="U55" s="182"/>
      <c r="V55" s="182"/>
      <c r="W55" s="182"/>
      <c r="X55" s="182"/>
      <c r="Y55" s="182"/>
      <c r="Z55" s="182"/>
      <c r="AA55" s="182"/>
      <c r="AB55" s="182"/>
      <c r="AC55" s="182"/>
      <c r="AD55" s="182"/>
      <c r="AE55" s="182"/>
      <c r="AF55" s="182"/>
      <c r="AG55" s="182"/>
      <c r="AH55" s="182"/>
      <c r="AI55" s="182"/>
      <c r="AJ55" s="167">
        <f t="shared" si="37"/>
        <v>7</v>
      </c>
      <c r="AK55" s="483" t="s">
        <v>138</v>
      </c>
      <c r="AL55" s="341">
        <v>42734</v>
      </c>
      <c r="AM55" s="352"/>
      <c r="AN55" s="352"/>
      <c r="AO55" s="352"/>
      <c r="AP55" s="352"/>
      <c r="AQ55" s="352"/>
      <c r="AR55" s="352"/>
      <c r="AS55" s="352"/>
      <c r="AT55" s="352"/>
      <c r="AU55" s="352"/>
      <c r="AV55" s="352"/>
      <c r="AW55" s="352"/>
      <c r="AX55" s="352"/>
      <c r="AY55" s="352"/>
      <c r="AZ55" s="352"/>
      <c r="BA55" s="352"/>
      <c r="BB55" s="352"/>
      <c r="BC55" s="352"/>
      <c r="BD55" s="352"/>
      <c r="BE55" s="352"/>
      <c r="BF55" s="352"/>
      <c r="BG55" s="352"/>
      <c r="BH55" s="352"/>
      <c r="BI55" s="352"/>
      <c r="BJ55" s="352"/>
      <c r="BK55" s="352"/>
      <c r="BL55" s="470"/>
      <c r="BM55" s="339"/>
      <c r="BN55" s="339"/>
      <c r="BO55" s="182"/>
      <c r="BP55" s="182"/>
      <c r="BQ55" s="182"/>
      <c r="BR55" s="182"/>
      <c r="BS55" s="182"/>
      <c r="BT55" s="182"/>
      <c r="BU55" s="182"/>
      <c r="BV55" s="182"/>
      <c r="BW55" s="182"/>
      <c r="BX55" s="182"/>
      <c r="BY55" s="182"/>
      <c r="BZ55" s="182"/>
      <c r="CA55" s="182"/>
      <c r="CB55" s="182"/>
      <c r="CC55" s="182"/>
      <c r="CD55" s="182"/>
      <c r="CE55" s="182"/>
      <c r="CF55" s="182"/>
      <c r="CG55" s="182"/>
      <c r="CH55" s="182"/>
      <c r="CI55" s="182"/>
      <c r="CJ55" s="182"/>
      <c r="CK55" s="182"/>
      <c r="CL55" s="618"/>
      <c r="CM55" s="619"/>
      <c r="CN55" s="620"/>
    </row>
    <row r="56" spans="1:92" s="344" customFormat="1">
      <c r="A56" s="335" t="s">
        <v>132</v>
      </c>
      <c r="B56" s="182"/>
      <c r="C56" s="182" t="s">
        <v>100</v>
      </c>
      <c r="D56" s="182" t="s">
        <v>100</v>
      </c>
      <c r="E56" s="182" t="s">
        <v>100</v>
      </c>
      <c r="F56" s="182"/>
      <c r="G56" s="182"/>
      <c r="H56" s="182"/>
      <c r="I56" s="182"/>
      <c r="J56" s="182"/>
      <c r="K56" s="182"/>
      <c r="L56" s="182"/>
      <c r="M56" s="182" t="s">
        <v>100</v>
      </c>
      <c r="N56" s="182" t="s">
        <v>100</v>
      </c>
      <c r="O56" s="182" t="s">
        <v>100</v>
      </c>
      <c r="P56" s="182"/>
      <c r="Q56" s="182"/>
      <c r="R56" s="182" t="s">
        <v>100</v>
      </c>
      <c r="S56" s="182"/>
      <c r="T56" s="182"/>
      <c r="U56" s="182"/>
      <c r="V56" s="182"/>
      <c r="W56" s="182"/>
      <c r="X56" s="182"/>
      <c r="Y56" s="182"/>
      <c r="Z56" s="182"/>
      <c r="AA56" s="182"/>
      <c r="AB56" s="182"/>
      <c r="AC56" s="182"/>
      <c r="AD56" s="182"/>
      <c r="AE56" s="182"/>
      <c r="AF56" s="182"/>
      <c r="AG56" s="182"/>
      <c r="AH56" s="182"/>
      <c r="AI56" s="182"/>
      <c r="AJ56" s="167">
        <f t="shared" si="37"/>
        <v>7</v>
      </c>
      <c r="AK56" s="493" t="str">
        <f>HYPERLINK("http://www.nhregister.com/sports/20161219/borges-baseball-hall-of-fame-ballot-includes-an-idiot-cheaters","New Haven Register")</f>
        <v>New Haven Register</v>
      </c>
      <c r="AL56" s="341">
        <v>42723</v>
      </c>
      <c r="AM56" s="352"/>
      <c r="AN56" s="352"/>
      <c r="AO56" s="352"/>
      <c r="AP56" s="352"/>
      <c r="AQ56" s="352"/>
      <c r="AR56" s="352"/>
      <c r="AS56" s="352"/>
      <c r="AT56" s="352"/>
      <c r="AU56" s="352"/>
      <c r="AV56" s="352"/>
      <c r="AW56" s="352"/>
      <c r="AX56" s="352"/>
      <c r="AY56" s="352"/>
      <c r="AZ56" s="352"/>
      <c r="BA56" s="352"/>
      <c r="BB56" s="352"/>
      <c r="BC56" s="352"/>
      <c r="BD56" s="352"/>
      <c r="BE56" s="352"/>
      <c r="BF56" s="352"/>
      <c r="BG56" s="352"/>
      <c r="BH56" s="352"/>
      <c r="BI56" s="352"/>
      <c r="BJ56" s="352"/>
      <c r="BK56" s="352"/>
      <c r="BL56" s="470"/>
      <c r="BM56" s="339"/>
      <c r="BN56" s="339"/>
      <c r="BO56" s="182"/>
      <c r="BP56" s="182"/>
      <c r="BQ56" s="182"/>
      <c r="BR56" s="182"/>
      <c r="BS56" s="182"/>
      <c r="BT56" s="182"/>
      <c r="BU56" s="182"/>
      <c r="BV56" s="182"/>
      <c r="BW56" s="182"/>
      <c r="BX56" s="182"/>
      <c r="BY56" s="182"/>
      <c r="BZ56" s="182"/>
      <c r="CA56" s="182"/>
      <c r="CB56" s="182"/>
      <c r="CC56" s="182"/>
      <c r="CD56" s="182"/>
      <c r="CE56" s="182"/>
      <c r="CF56" s="182"/>
      <c r="CG56" s="182"/>
      <c r="CH56" s="182"/>
      <c r="CI56" s="182"/>
      <c r="CJ56" s="182"/>
      <c r="CK56" s="182"/>
      <c r="CL56" s="618"/>
      <c r="CM56" s="619"/>
      <c r="CN56" s="620"/>
    </row>
    <row r="57" spans="1:92" s="344" customFormat="1">
      <c r="A57" s="335" t="s">
        <v>133</v>
      </c>
      <c r="B57" s="182" t="s">
        <v>100</v>
      </c>
      <c r="C57" s="302" t="s">
        <v>100</v>
      </c>
      <c r="D57" s="302" t="s">
        <v>100</v>
      </c>
      <c r="E57" s="182" t="s">
        <v>100</v>
      </c>
      <c r="F57" s="182"/>
      <c r="G57" s="182" t="s">
        <v>100</v>
      </c>
      <c r="H57" s="182" t="s">
        <v>100</v>
      </c>
      <c r="I57" s="182" t="s">
        <v>100</v>
      </c>
      <c r="J57" s="182"/>
      <c r="K57" s="182"/>
      <c r="L57" s="182" t="s">
        <v>100</v>
      </c>
      <c r="M57" s="182"/>
      <c r="N57" s="182" t="s">
        <v>100</v>
      </c>
      <c r="O57" s="182" t="s">
        <v>100</v>
      </c>
      <c r="P57" s="182"/>
      <c r="Q57" s="182"/>
      <c r="R57" s="182"/>
      <c r="S57" s="182"/>
      <c r="T57" s="182"/>
      <c r="U57" s="182"/>
      <c r="V57" s="182"/>
      <c r="W57" s="182"/>
      <c r="X57" s="182"/>
      <c r="Y57" s="182"/>
      <c r="Z57" s="182"/>
      <c r="AA57" s="182"/>
      <c r="AB57" s="182"/>
      <c r="AC57" s="182"/>
      <c r="AD57" s="182"/>
      <c r="AE57" s="182"/>
      <c r="AF57" s="182"/>
      <c r="AG57" s="182"/>
      <c r="AH57" s="182"/>
      <c r="AI57" s="182"/>
      <c r="AJ57" s="167">
        <f t="shared" si="37"/>
        <v>10</v>
      </c>
      <c r="AK57" s="493" t="str">
        <f>HYPERLINK("https://t.co/rDa0QlxTc9","NY Daily News")</f>
        <v>NY Daily News</v>
      </c>
      <c r="AL57" s="341">
        <v>42727</v>
      </c>
      <c r="AM57" s="352"/>
      <c r="AN57" s="352"/>
      <c r="AO57" s="352"/>
      <c r="AP57" s="352"/>
      <c r="AQ57" s="352"/>
      <c r="AR57" s="352"/>
      <c r="AS57" s="352"/>
      <c r="AT57" s="352"/>
      <c r="AU57" s="352"/>
      <c r="AV57" s="352"/>
      <c r="AW57" s="352"/>
      <c r="AX57" s="352"/>
      <c r="AY57" s="352"/>
      <c r="AZ57" s="352"/>
      <c r="BA57" s="352"/>
      <c r="BB57" s="352"/>
      <c r="BC57" s="352"/>
      <c r="BD57" s="352"/>
      <c r="BE57" s="352"/>
      <c r="BF57" s="352"/>
      <c r="BG57" s="352"/>
      <c r="BH57" s="352"/>
      <c r="BI57" s="352"/>
      <c r="BJ57" s="352"/>
      <c r="BK57" s="352"/>
      <c r="BL57" s="470"/>
      <c r="BM57" s="339"/>
      <c r="BN57" s="339"/>
      <c r="BO57" s="182"/>
      <c r="BP57" s="182"/>
      <c r="BQ57" s="182"/>
      <c r="BR57" s="182"/>
      <c r="BS57" s="182"/>
      <c r="BT57" s="182"/>
      <c r="BU57" s="182"/>
      <c r="BV57" s="182"/>
      <c r="BW57" s="182"/>
      <c r="BX57" s="182"/>
      <c r="BY57" s="182"/>
      <c r="BZ57" s="182"/>
      <c r="CA57" s="182"/>
      <c r="CB57" s="182"/>
      <c r="CC57" s="182"/>
      <c r="CD57" s="182"/>
      <c r="CE57" s="182"/>
      <c r="CF57" s="182"/>
      <c r="CG57" s="182"/>
      <c r="CH57" s="182"/>
      <c r="CI57" s="182"/>
      <c r="CJ57" s="182"/>
      <c r="CK57" s="182"/>
      <c r="CL57" s="618"/>
      <c r="CM57" s="619"/>
      <c r="CN57" s="620"/>
    </row>
    <row r="58" spans="1:92" s="344" customFormat="1">
      <c r="A58" s="335" t="s">
        <v>545</v>
      </c>
      <c r="B58" s="182" t="s">
        <v>100</v>
      </c>
      <c r="C58" s="182" t="s">
        <v>100</v>
      </c>
      <c r="D58" s="182" t="s">
        <v>100</v>
      </c>
      <c r="E58" s="182"/>
      <c r="F58" s="182"/>
      <c r="G58" s="182"/>
      <c r="H58" s="302" t="s">
        <v>100</v>
      </c>
      <c r="I58" s="182"/>
      <c r="J58" s="182" t="s">
        <v>100</v>
      </c>
      <c r="K58" s="182"/>
      <c r="L58" s="182" t="s">
        <v>100</v>
      </c>
      <c r="M58" s="182" t="s">
        <v>100</v>
      </c>
      <c r="N58" s="182" t="s">
        <v>100</v>
      </c>
      <c r="O58" s="182" t="s">
        <v>100</v>
      </c>
      <c r="P58" s="182"/>
      <c r="Q58" s="182"/>
      <c r="R58" s="182"/>
      <c r="S58" s="182"/>
      <c r="T58" s="182" t="s">
        <v>100</v>
      </c>
      <c r="U58" s="182"/>
      <c r="V58" s="182"/>
      <c r="W58" s="182"/>
      <c r="X58" s="182"/>
      <c r="Y58" s="182"/>
      <c r="Z58" s="182"/>
      <c r="AA58" s="182"/>
      <c r="AB58" s="182"/>
      <c r="AC58" s="182"/>
      <c r="AD58" s="182"/>
      <c r="AE58" s="182"/>
      <c r="AF58" s="182"/>
      <c r="AG58" s="182"/>
      <c r="AH58" s="182"/>
      <c r="AI58" s="182"/>
      <c r="AJ58" s="167">
        <f t="shared" si="37"/>
        <v>10</v>
      </c>
      <c r="AK58" s="481" t="str">
        <f>HYPERLINK("https://twitter.com/MarkBradleyAJC/status/821135340387893253","Twitter")</f>
        <v>Twitter</v>
      </c>
      <c r="AL58" s="341">
        <v>42751</v>
      </c>
      <c r="AM58" s="352"/>
      <c r="AN58" s="352"/>
      <c r="AO58" s="352"/>
      <c r="AP58" s="352"/>
      <c r="AQ58" s="352"/>
      <c r="AR58" s="352"/>
      <c r="AS58" s="352"/>
      <c r="AT58" s="352"/>
      <c r="AU58" s="352"/>
      <c r="AV58" s="352"/>
      <c r="AW58" s="352"/>
      <c r="AX58" s="352"/>
      <c r="AY58" s="352"/>
      <c r="AZ58" s="352"/>
      <c r="BA58" s="352"/>
      <c r="BB58" s="352"/>
      <c r="BC58" s="352"/>
      <c r="BD58" s="352"/>
      <c r="BE58" s="352"/>
      <c r="BF58" s="352"/>
      <c r="BG58" s="352"/>
      <c r="BH58" s="352"/>
      <c r="BI58" s="352"/>
      <c r="BJ58" s="352"/>
      <c r="BK58" s="352"/>
      <c r="BL58" s="470"/>
      <c r="BM58" s="339"/>
      <c r="BN58" s="339"/>
      <c r="BO58" s="182"/>
      <c r="BP58" s="182"/>
      <c r="BQ58" s="182"/>
      <c r="BR58" s="182"/>
      <c r="BS58" s="182"/>
      <c r="BT58" s="182"/>
      <c r="BU58" s="182"/>
      <c r="BV58" s="182"/>
      <c r="BW58" s="182"/>
      <c r="BX58" s="182"/>
      <c r="BY58" s="182"/>
      <c r="BZ58" s="182"/>
      <c r="CA58" s="182"/>
      <c r="CB58" s="182"/>
      <c r="CC58" s="182"/>
      <c r="CD58" s="182"/>
      <c r="CE58" s="182"/>
      <c r="CF58" s="182"/>
      <c r="CG58" s="182"/>
      <c r="CH58" s="182"/>
      <c r="CI58" s="182"/>
      <c r="CJ58" s="182"/>
      <c r="CK58" s="182"/>
      <c r="CL58" s="618"/>
      <c r="CM58" s="619"/>
      <c r="CN58" s="620"/>
    </row>
    <row r="59" spans="1:92" s="344" customFormat="1">
      <c r="A59" s="335" t="s">
        <v>137</v>
      </c>
      <c r="B59" s="182" t="s">
        <v>100</v>
      </c>
      <c r="C59" s="182" t="s">
        <v>100</v>
      </c>
      <c r="D59" s="182" t="s">
        <v>100</v>
      </c>
      <c r="E59" s="182"/>
      <c r="F59" s="302" t="s">
        <v>100</v>
      </c>
      <c r="G59" s="182"/>
      <c r="H59" s="182" t="s">
        <v>100</v>
      </c>
      <c r="I59" s="182"/>
      <c r="J59" s="182" t="s">
        <v>100</v>
      </c>
      <c r="K59" s="182"/>
      <c r="L59" s="182" t="s">
        <v>100</v>
      </c>
      <c r="M59" s="182" t="s">
        <v>100</v>
      </c>
      <c r="N59" s="182" t="s">
        <v>100</v>
      </c>
      <c r="O59" s="320"/>
      <c r="P59" s="182"/>
      <c r="Q59" s="182"/>
      <c r="R59" s="302" t="s">
        <v>100</v>
      </c>
      <c r="S59" s="182"/>
      <c r="T59" s="182"/>
      <c r="U59" s="182"/>
      <c r="V59" s="182"/>
      <c r="W59" s="182"/>
      <c r="X59" s="182"/>
      <c r="Y59" s="182"/>
      <c r="Z59" s="182"/>
      <c r="AA59" s="182"/>
      <c r="AB59" s="182"/>
      <c r="AC59" s="182"/>
      <c r="AD59" s="182"/>
      <c r="AE59" s="182"/>
      <c r="AF59" s="182"/>
      <c r="AG59" s="182"/>
      <c r="AH59" s="182"/>
      <c r="AI59" s="182"/>
      <c r="AJ59" s="167">
        <f t="shared" si="37"/>
        <v>10</v>
      </c>
      <c r="AK59" s="493" t="str">
        <f>HYPERLINK("https://twitter.com/MarcosBreton/status/808451251490865152","Twitter")</f>
        <v>Twitter</v>
      </c>
      <c r="AL59" s="341">
        <v>42716</v>
      </c>
      <c r="AM59" s="352"/>
      <c r="AN59" s="352"/>
      <c r="AO59" s="352"/>
      <c r="AP59" s="352"/>
      <c r="AQ59" s="352"/>
      <c r="AR59" s="352"/>
      <c r="AS59" s="352"/>
      <c r="AT59" s="352"/>
      <c r="AU59" s="352"/>
      <c r="AV59" s="352"/>
      <c r="AW59" s="352"/>
      <c r="AX59" s="352"/>
      <c r="AY59" s="352"/>
      <c r="AZ59" s="352"/>
      <c r="BA59" s="352"/>
      <c r="BB59" s="352"/>
      <c r="BC59" s="352"/>
      <c r="BD59" s="352"/>
      <c r="BE59" s="352"/>
      <c r="BF59" s="352"/>
      <c r="BG59" s="352"/>
      <c r="BH59" s="352"/>
      <c r="BI59" s="352"/>
      <c r="BJ59" s="352"/>
      <c r="BK59" s="352"/>
      <c r="BL59" s="470"/>
      <c r="BM59" s="339"/>
      <c r="BN59" s="339"/>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680"/>
      <c r="CM59" s="681"/>
      <c r="CN59" s="682"/>
    </row>
    <row r="60" spans="1:92" s="344" customFormat="1">
      <c r="A60" s="335" t="s">
        <v>139</v>
      </c>
      <c r="B60" s="182" t="s">
        <v>100</v>
      </c>
      <c r="C60" s="182" t="s">
        <v>100</v>
      </c>
      <c r="D60" s="182" t="s">
        <v>100</v>
      </c>
      <c r="E60" s="182"/>
      <c r="F60" s="182"/>
      <c r="G60" s="182"/>
      <c r="H60" s="302" t="s">
        <v>100</v>
      </c>
      <c r="I60" s="182"/>
      <c r="J60" s="182" t="s">
        <v>100</v>
      </c>
      <c r="K60" s="182"/>
      <c r="L60" s="182" t="s">
        <v>100</v>
      </c>
      <c r="M60" s="182"/>
      <c r="N60" s="182" t="s">
        <v>100</v>
      </c>
      <c r="O60" s="320"/>
      <c r="P60" s="302" t="s">
        <v>100</v>
      </c>
      <c r="Q60" s="182"/>
      <c r="R60" s="182"/>
      <c r="S60" s="182"/>
      <c r="T60" s="302" t="s">
        <v>100</v>
      </c>
      <c r="U60" s="182"/>
      <c r="V60" s="182"/>
      <c r="W60" s="182"/>
      <c r="X60" s="182"/>
      <c r="Y60" s="182"/>
      <c r="Z60" s="182"/>
      <c r="AA60" s="182"/>
      <c r="AB60" s="182"/>
      <c r="AC60" s="182"/>
      <c r="AD60" s="182"/>
      <c r="AE60" s="182"/>
      <c r="AF60" s="182"/>
      <c r="AG60" s="182"/>
      <c r="AH60" s="182"/>
      <c r="AI60" s="182"/>
      <c r="AJ60" s="167">
        <f t="shared" si="37"/>
        <v>9</v>
      </c>
      <c r="AK60" s="493" t="str">
        <f>HYPERLINK("https://twitter.com/NYP_Brooksie/status/809488615080427521","Twitter")</f>
        <v>Twitter</v>
      </c>
      <c r="AL60" s="341">
        <v>42719</v>
      </c>
      <c r="AM60" s="352"/>
      <c r="AN60" s="352"/>
      <c r="AO60" s="352"/>
      <c r="AP60" s="352"/>
      <c r="AQ60" s="352"/>
      <c r="AR60" s="352"/>
      <c r="AS60" s="352"/>
      <c r="AT60" s="352"/>
      <c r="AU60" s="352"/>
      <c r="AV60" s="352"/>
      <c r="AW60" s="352"/>
      <c r="AX60" s="352"/>
      <c r="AY60" s="352"/>
      <c r="AZ60" s="352"/>
      <c r="BA60" s="352"/>
      <c r="BB60" s="352"/>
      <c r="BC60" s="352"/>
      <c r="BD60" s="352"/>
      <c r="BE60" s="352"/>
      <c r="BF60" s="352"/>
      <c r="BG60" s="352"/>
      <c r="BH60" s="352"/>
      <c r="BI60" s="352"/>
      <c r="BJ60" s="352"/>
      <c r="BK60" s="352"/>
      <c r="BL60" s="470"/>
      <c r="BM60" s="339"/>
      <c r="BN60" s="339"/>
      <c r="BO60" s="182"/>
      <c r="BP60" s="182"/>
      <c r="BQ60" s="182"/>
      <c r="BR60" s="182"/>
      <c r="BS60" s="182"/>
      <c r="BT60" s="182"/>
      <c r="BU60" s="182"/>
      <c r="BV60" s="182"/>
      <c r="BW60" s="182"/>
      <c r="BX60" s="182"/>
      <c r="BY60" s="182"/>
      <c r="BZ60" s="182"/>
      <c r="CA60" s="182"/>
      <c r="CB60" s="182"/>
      <c r="CC60" s="182"/>
      <c r="CD60" s="182"/>
      <c r="CE60" s="182"/>
      <c r="CF60" s="182"/>
      <c r="CG60" s="182"/>
      <c r="CH60" s="182"/>
      <c r="CI60" s="182"/>
      <c r="CJ60" s="182"/>
      <c r="CK60" s="182"/>
      <c r="CL60" s="680"/>
      <c r="CM60" s="681"/>
      <c r="CN60" s="682"/>
    </row>
    <row r="61" spans="1:92" s="344" customFormat="1">
      <c r="A61" s="335" t="s">
        <v>140</v>
      </c>
      <c r="B61" s="182" t="s">
        <v>100</v>
      </c>
      <c r="C61" s="302" t="s">
        <v>100</v>
      </c>
      <c r="D61" s="302" t="s">
        <v>100</v>
      </c>
      <c r="E61" s="182"/>
      <c r="F61" s="182" t="s">
        <v>100</v>
      </c>
      <c r="G61" s="182"/>
      <c r="H61" s="182" t="s">
        <v>100</v>
      </c>
      <c r="I61" s="302" t="s">
        <v>100</v>
      </c>
      <c r="J61" s="302" t="s">
        <v>100</v>
      </c>
      <c r="K61" s="182"/>
      <c r="L61" s="182" t="s">
        <v>100</v>
      </c>
      <c r="M61" s="182" t="s">
        <v>100</v>
      </c>
      <c r="N61" s="182"/>
      <c r="O61" s="182" t="s">
        <v>100</v>
      </c>
      <c r="P61" s="182"/>
      <c r="Q61" s="182"/>
      <c r="R61" s="182"/>
      <c r="S61" s="182"/>
      <c r="T61" s="182"/>
      <c r="U61" s="182"/>
      <c r="V61" s="182"/>
      <c r="W61" s="182"/>
      <c r="X61" s="182"/>
      <c r="Y61" s="182"/>
      <c r="Z61" s="182"/>
      <c r="AA61" s="182"/>
      <c r="AB61" s="182"/>
      <c r="AC61" s="182"/>
      <c r="AD61" s="182"/>
      <c r="AE61" s="182"/>
      <c r="AF61" s="182"/>
      <c r="AG61" s="182"/>
      <c r="AH61" s="182"/>
      <c r="AI61" s="182"/>
      <c r="AJ61" s="167">
        <f t="shared" si="37"/>
        <v>10</v>
      </c>
      <c r="AK61" s="483" t="s">
        <v>543</v>
      </c>
      <c r="AL61" s="341">
        <v>42707</v>
      </c>
      <c r="AM61" s="352"/>
      <c r="AN61" s="352"/>
      <c r="AO61" s="352"/>
      <c r="AP61" s="352"/>
      <c r="AQ61" s="352"/>
      <c r="AR61" s="352"/>
      <c r="AS61" s="352"/>
      <c r="AT61" s="352"/>
      <c r="AU61" s="352"/>
      <c r="AV61" s="352"/>
      <c r="AW61" s="352"/>
      <c r="AX61" s="352"/>
      <c r="AY61" s="352"/>
      <c r="AZ61" s="352"/>
      <c r="BA61" s="352"/>
      <c r="BB61" s="352"/>
      <c r="BC61" s="352"/>
      <c r="BD61" s="352"/>
      <c r="BE61" s="352"/>
      <c r="BF61" s="352"/>
      <c r="BG61" s="352"/>
      <c r="BH61" s="352"/>
      <c r="BI61" s="352"/>
      <c r="BJ61" s="352"/>
      <c r="BK61" s="352"/>
      <c r="BL61" s="470"/>
      <c r="BM61" s="339"/>
      <c r="BN61" s="339"/>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680"/>
      <c r="CM61" s="681"/>
      <c r="CN61" s="682"/>
    </row>
    <row r="62" spans="1:92" s="344" customFormat="1">
      <c r="A62" s="335" t="s">
        <v>142</v>
      </c>
      <c r="B62" s="182" t="s">
        <v>100</v>
      </c>
      <c r="C62" s="302" t="s">
        <v>100</v>
      </c>
      <c r="D62" s="302" t="s">
        <v>100</v>
      </c>
      <c r="E62" s="182" t="s">
        <v>100</v>
      </c>
      <c r="F62" s="302" t="s">
        <v>100</v>
      </c>
      <c r="G62" s="320"/>
      <c r="H62" s="182" t="s">
        <v>100</v>
      </c>
      <c r="I62" s="320"/>
      <c r="J62" s="182" t="s">
        <v>100</v>
      </c>
      <c r="K62" s="182"/>
      <c r="L62" s="182" t="s">
        <v>100</v>
      </c>
      <c r="M62" s="182"/>
      <c r="N62" s="182" t="s">
        <v>100</v>
      </c>
      <c r="O62" s="182" t="s">
        <v>100</v>
      </c>
      <c r="P62" s="182"/>
      <c r="Q62" s="182"/>
      <c r="R62" s="182"/>
      <c r="S62" s="182"/>
      <c r="T62" s="182"/>
      <c r="U62" s="182"/>
      <c r="V62" s="182"/>
      <c r="W62" s="182"/>
      <c r="X62" s="182"/>
      <c r="Y62" s="182"/>
      <c r="Z62" s="182"/>
      <c r="AA62" s="182"/>
      <c r="AB62" s="182"/>
      <c r="AC62" s="182"/>
      <c r="AD62" s="182"/>
      <c r="AE62" s="182"/>
      <c r="AF62" s="182"/>
      <c r="AG62" s="182"/>
      <c r="AH62" s="182"/>
      <c r="AI62" s="182"/>
      <c r="AJ62" s="167">
        <f t="shared" si="37"/>
        <v>10</v>
      </c>
      <c r="AK62" s="493" t="str">
        <f>HYPERLINK("http://www.bostonherald.com/sports/red_sox/2016/12/buckley_hall_of_fame_voting_can_be_difficult_but_it_sure_beats_work","Boston Herald")</f>
        <v>Boston Herald</v>
      </c>
      <c r="AL62" s="341">
        <v>42727</v>
      </c>
      <c r="AM62" s="352"/>
      <c r="AN62" s="352"/>
      <c r="AO62" s="352"/>
      <c r="AP62" s="352"/>
      <c r="AQ62" s="352"/>
      <c r="AR62" s="352"/>
      <c r="AS62" s="352"/>
      <c r="AT62" s="352"/>
      <c r="AU62" s="352"/>
      <c r="AV62" s="352"/>
      <c r="AW62" s="352"/>
      <c r="AX62" s="352"/>
      <c r="AY62" s="352"/>
      <c r="AZ62" s="352"/>
      <c r="BA62" s="352"/>
      <c r="BB62" s="352"/>
      <c r="BC62" s="352"/>
      <c r="BD62" s="352"/>
      <c r="BE62" s="352"/>
      <c r="BF62" s="352"/>
      <c r="BG62" s="352"/>
      <c r="BH62" s="352"/>
      <c r="BI62" s="352"/>
      <c r="BJ62" s="352"/>
      <c r="BK62" s="352"/>
      <c r="BL62" s="470"/>
      <c r="BM62" s="339"/>
      <c r="BN62" s="339"/>
      <c r="BO62" s="182"/>
      <c r="BP62" s="182"/>
      <c r="BQ62" s="182"/>
      <c r="BR62" s="182"/>
      <c r="BS62" s="182"/>
      <c r="BT62" s="182"/>
      <c r="BU62" s="182"/>
      <c r="BV62" s="182"/>
      <c r="BW62" s="182"/>
      <c r="BX62" s="182"/>
      <c r="BY62" s="182"/>
      <c r="BZ62" s="182"/>
      <c r="CA62" s="182"/>
      <c r="CB62" s="182"/>
      <c r="CC62" s="182"/>
      <c r="CD62" s="182"/>
      <c r="CE62" s="182"/>
      <c r="CF62" s="182"/>
      <c r="CG62" s="182"/>
      <c r="CH62" s="182"/>
      <c r="CI62" s="182"/>
      <c r="CJ62" s="182"/>
      <c r="CK62" s="182"/>
      <c r="CL62" s="618"/>
      <c r="CM62" s="619"/>
      <c r="CN62" s="620"/>
    </row>
    <row r="63" spans="1:92" s="344" customFormat="1">
      <c r="A63" s="335" t="s">
        <v>143</v>
      </c>
      <c r="B63" s="182" t="s">
        <v>100</v>
      </c>
      <c r="C63" s="182"/>
      <c r="D63" s="182"/>
      <c r="E63" s="182" t="s">
        <v>100</v>
      </c>
      <c r="F63" s="182" t="s">
        <v>100</v>
      </c>
      <c r="G63" s="182" t="s">
        <v>100</v>
      </c>
      <c r="H63" s="182" t="s">
        <v>100</v>
      </c>
      <c r="I63" s="182"/>
      <c r="J63" s="182"/>
      <c r="K63" s="182"/>
      <c r="L63" s="182" t="s">
        <v>100</v>
      </c>
      <c r="M63" s="182"/>
      <c r="N63" s="182" t="s">
        <v>100</v>
      </c>
      <c r="O63" s="182"/>
      <c r="P63" s="182"/>
      <c r="Q63" s="182"/>
      <c r="R63" s="182"/>
      <c r="S63" s="302" t="s">
        <v>100</v>
      </c>
      <c r="T63" s="182"/>
      <c r="U63" s="182"/>
      <c r="V63" s="182"/>
      <c r="W63" s="182"/>
      <c r="X63" s="182"/>
      <c r="Y63" s="182"/>
      <c r="Z63" s="182"/>
      <c r="AA63" s="182"/>
      <c r="AB63" s="182"/>
      <c r="AC63" s="182"/>
      <c r="AD63" s="182"/>
      <c r="AE63" s="182"/>
      <c r="AF63" s="182"/>
      <c r="AG63" s="182"/>
      <c r="AH63" s="182"/>
      <c r="AI63" s="182"/>
      <c r="AJ63" s="167">
        <f t="shared" si="37"/>
        <v>8</v>
      </c>
      <c r="AK63" s="493" t="str">
        <f>HYPERLINK("https://www.facebook.com/photo.php?fbid=1552959358051522&amp;set=a.157746237572848.38809.100000124183309&amp;type=3&amp;theater","Facebook")</f>
        <v>Facebook</v>
      </c>
      <c r="AL63" s="341">
        <v>42739</v>
      </c>
      <c r="AM63" s="352"/>
      <c r="AN63" s="352"/>
      <c r="AO63" s="352"/>
      <c r="AP63" s="352"/>
      <c r="AQ63" s="352"/>
      <c r="AR63" s="352"/>
      <c r="AS63" s="352"/>
      <c r="AT63" s="352"/>
      <c r="AU63" s="352"/>
      <c r="AV63" s="352"/>
      <c r="AW63" s="352"/>
      <c r="AX63" s="352"/>
      <c r="AY63" s="352"/>
      <c r="AZ63" s="352"/>
      <c r="BA63" s="352"/>
      <c r="BB63" s="352"/>
      <c r="BC63" s="352"/>
      <c r="BD63" s="352"/>
      <c r="BE63" s="352"/>
      <c r="BF63" s="352"/>
      <c r="BG63" s="352"/>
      <c r="BH63" s="352"/>
      <c r="BI63" s="352"/>
      <c r="BJ63" s="352"/>
      <c r="BK63" s="352"/>
      <c r="BL63" s="470"/>
      <c r="BM63" s="339"/>
      <c r="BN63" s="339"/>
      <c r="BO63" s="182"/>
      <c r="BP63" s="182"/>
      <c r="BQ63" s="182"/>
      <c r="BR63" s="182"/>
      <c r="BS63" s="182"/>
      <c r="BT63" s="182"/>
      <c r="BU63" s="182"/>
      <c r="BV63" s="182"/>
      <c r="BW63" s="182"/>
      <c r="BX63" s="182"/>
      <c r="BY63" s="182"/>
      <c r="BZ63" s="182"/>
      <c r="CA63" s="182"/>
      <c r="CB63" s="182"/>
      <c r="CC63" s="182"/>
      <c r="CD63" s="182"/>
      <c r="CE63" s="182"/>
      <c r="CF63" s="182"/>
      <c r="CG63" s="182"/>
      <c r="CH63" s="182"/>
      <c r="CI63" s="182"/>
      <c r="CJ63" s="182"/>
      <c r="CK63" s="182"/>
      <c r="CL63" s="618"/>
      <c r="CM63" s="619"/>
      <c r="CN63" s="620"/>
    </row>
    <row r="64" spans="1:92" s="344" customFormat="1">
      <c r="A64" s="335" t="s">
        <v>144</v>
      </c>
      <c r="B64" s="182" t="s">
        <v>100</v>
      </c>
      <c r="C64" s="182" t="s">
        <v>100</v>
      </c>
      <c r="D64" s="182" t="s">
        <v>100</v>
      </c>
      <c r="E64" s="182"/>
      <c r="F64" s="182" t="s">
        <v>100</v>
      </c>
      <c r="G64" s="182" t="s">
        <v>100</v>
      </c>
      <c r="H64" s="182"/>
      <c r="I64" s="182"/>
      <c r="J64" s="182" t="s">
        <v>100</v>
      </c>
      <c r="K64" s="182"/>
      <c r="L64" s="302" t="s">
        <v>100</v>
      </c>
      <c r="M64" s="182"/>
      <c r="N64" s="182" t="s">
        <v>100</v>
      </c>
      <c r="O64" s="182" t="s">
        <v>100</v>
      </c>
      <c r="P64" s="182" t="s">
        <v>100</v>
      </c>
      <c r="Q64" s="182"/>
      <c r="R64" s="182"/>
      <c r="S64" s="182"/>
      <c r="T64" s="182"/>
      <c r="U64" s="182"/>
      <c r="V64" s="182"/>
      <c r="W64" s="182"/>
      <c r="X64" s="182"/>
      <c r="Y64" s="182"/>
      <c r="Z64" s="182"/>
      <c r="AA64" s="182"/>
      <c r="AB64" s="182"/>
      <c r="AC64" s="182"/>
      <c r="AD64" s="182"/>
      <c r="AE64" s="182"/>
      <c r="AF64" s="182"/>
      <c r="AG64" s="182"/>
      <c r="AH64" s="182"/>
      <c r="AI64" s="182"/>
      <c r="AJ64" s="167">
        <f t="shared" si="37"/>
        <v>10</v>
      </c>
      <c r="AK64" s="493" t="str">
        <f>HYPERLINK("http://apps.bostonglobe.com/sports/graphics/2017/01/baseball-hof/","Boston Globe")</f>
        <v>Boston Globe</v>
      </c>
      <c r="AL64" s="341">
        <v>42740</v>
      </c>
      <c r="AM64" s="352"/>
      <c r="AN64" s="352"/>
      <c r="AO64" s="352"/>
      <c r="AP64" s="352"/>
      <c r="AQ64" s="352"/>
      <c r="AR64" s="352"/>
      <c r="AS64" s="352"/>
      <c r="AT64" s="352"/>
      <c r="AU64" s="352"/>
      <c r="AV64" s="352"/>
      <c r="AW64" s="352"/>
      <c r="AX64" s="352"/>
      <c r="AY64" s="352"/>
      <c r="AZ64" s="352"/>
      <c r="BA64" s="352"/>
      <c r="BB64" s="352"/>
      <c r="BC64" s="352"/>
      <c r="BD64" s="352"/>
      <c r="BE64" s="352"/>
      <c r="BF64" s="352"/>
      <c r="BG64" s="352"/>
      <c r="BH64" s="352"/>
      <c r="BI64" s="352"/>
      <c r="BJ64" s="352"/>
      <c r="BK64" s="352"/>
      <c r="BL64" s="470"/>
      <c r="BM64" s="339"/>
      <c r="BN64" s="339"/>
      <c r="BO64" s="182"/>
      <c r="BP64" s="182"/>
      <c r="BQ64" s="182"/>
      <c r="BR64" s="182"/>
      <c r="BS64" s="182"/>
      <c r="BT64" s="182"/>
      <c r="BU64" s="182"/>
      <c r="BV64" s="182"/>
      <c r="BW64" s="182"/>
      <c r="BX64" s="182"/>
      <c r="BY64" s="182"/>
      <c r="BZ64" s="182"/>
      <c r="CA64" s="182"/>
      <c r="CB64" s="182"/>
      <c r="CC64" s="182"/>
      <c r="CD64" s="182"/>
      <c r="CE64" s="182"/>
      <c r="CF64" s="182"/>
      <c r="CG64" s="182"/>
      <c r="CH64" s="182"/>
      <c r="CI64" s="182"/>
      <c r="CJ64" s="182"/>
      <c r="CK64" s="182"/>
      <c r="CL64" s="618"/>
      <c r="CM64" s="619"/>
      <c r="CN64" s="620"/>
    </row>
    <row r="65" spans="1:92" s="344" customFormat="1">
      <c r="A65" s="335" t="s">
        <v>146</v>
      </c>
      <c r="B65" s="182" t="s">
        <v>100</v>
      </c>
      <c r="C65" s="182" t="s">
        <v>100</v>
      </c>
      <c r="D65" s="182" t="s">
        <v>100</v>
      </c>
      <c r="E65" s="182" t="s">
        <v>100</v>
      </c>
      <c r="F65" s="182"/>
      <c r="G65" s="320"/>
      <c r="H65" s="182"/>
      <c r="I65" s="182"/>
      <c r="J65" s="182"/>
      <c r="K65" s="182"/>
      <c r="L65" s="182"/>
      <c r="M65" s="182" t="s">
        <v>100</v>
      </c>
      <c r="N65" s="182" t="s">
        <v>100</v>
      </c>
      <c r="O65" s="182" t="s">
        <v>100</v>
      </c>
      <c r="P65" s="182" t="s">
        <v>100</v>
      </c>
      <c r="Q65" s="182"/>
      <c r="R65" s="182"/>
      <c r="S65" s="182"/>
      <c r="T65" s="182"/>
      <c r="U65" s="182"/>
      <c r="V65" s="182"/>
      <c r="W65" s="182"/>
      <c r="X65" s="182"/>
      <c r="Y65" s="182"/>
      <c r="Z65" s="182"/>
      <c r="AA65" s="182"/>
      <c r="AB65" s="182"/>
      <c r="AC65" s="182"/>
      <c r="AD65" s="182"/>
      <c r="AE65" s="182"/>
      <c r="AF65" s="182"/>
      <c r="AG65" s="182"/>
      <c r="AH65" s="182"/>
      <c r="AI65" s="182"/>
      <c r="AJ65" s="167">
        <f t="shared" si="37"/>
        <v>8</v>
      </c>
      <c r="AK65" s="481" t="str">
        <f>HYPERLINK("http://www.northjersey.com/story/sports/mlb/2017/01/17/pete-calderas-baseball-hall-fame-ballot/96684356/","NorthJersey.com")</f>
        <v>NorthJersey.com</v>
      </c>
      <c r="AL65" s="341">
        <v>42752</v>
      </c>
      <c r="AM65" s="352"/>
      <c r="AN65" s="352"/>
      <c r="AO65" s="352"/>
      <c r="AP65" s="352"/>
      <c r="AQ65" s="352"/>
      <c r="AR65" s="352"/>
      <c r="AS65" s="352"/>
      <c r="AT65" s="352"/>
      <c r="AU65" s="352"/>
      <c r="AV65" s="352"/>
      <c r="AW65" s="352"/>
      <c r="AX65" s="352"/>
      <c r="AY65" s="352"/>
      <c r="AZ65" s="352"/>
      <c r="BA65" s="352"/>
      <c r="BB65" s="352"/>
      <c r="BC65" s="352"/>
      <c r="BD65" s="352"/>
      <c r="BE65" s="352"/>
      <c r="BF65" s="352"/>
      <c r="BG65" s="352"/>
      <c r="BH65" s="352"/>
      <c r="BI65" s="352"/>
      <c r="BJ65" s="352"/>
      <c r="BK65" s="352"/>
      <c r="BL65" s="470"/>
      <c r="BM65" s="339"/>
      <c r="BN65" s="339"/>
      <c r="BO65" s="182"/>
      <c r="BP65" s="182"/>
      <c r="BQ65" s="182"/>
      <c r="BR65" s="182"/>
      <c r="BS65" s="182"/>
      <c r="BT65" s="182"/>
      <c r="BU65" s="182"/>
      <c r="BV65" s="182"/>
      <c r="BW65" s="182"/>
      <c r="BX65" s="182"/>
      <c r="BY65" s="182"/>
      <c r="BZ65" s="182"/>
      <c r="CA65" s="182"/>
      <c r="CB65" s="182"/>
      <c r="CC65" s="182"/>
      <c r="CD65" s="182"/>
      <c r="CE65" s="182"/>
      <c r="CF65" s="182"/>
      <c r="CG65" s="182"/>
      <c r="CH65" s="182"/>
      <c r="CI65" s="182"/>
      <c r="CJ65" s="182"/>
      <c r="CK65" s="182"/>
      <c r="CL65" s="618"/>
      <c r="CM65" s="619"/>
      <c r="CN65" s="620"/>
    </row>
    <row r="66" spans="1:92" s="344" customFormat="1">
      <c r="A66" s="335" t="s">
        <v>147</v>
      </c>
      <c r="B66" s="182" t="s">
        <v>100</v>
      </c>
      <c r="C66" s="182"/>
      <c r="D66" s="182"/>
      <c r="E66" s="182" t="s">
        <v>100</v>
      </c>
      <c r="F66" s="182" t="s">
        <v>100</v>
      </c>
      <c r="G66" s="182"/>
      <c r="H66" s="182" t="s">
        <v>100</v>
      </c>
      <c r="I66" s="182"/>
      <c r="J66" s="182" t="s">
        <v>100</v>
      </c>
      <c r="K66" s="182"/>
      <c r="L66" s="182" t="s">
        <v>100</v>
      </c>
      <c r="M66" s="182"/>
      <c r="N66" s="182" t="s">
        <v>100</v>
      </c>
      <c r="O66" s="182" t="s">
        <v>100</v>
      </c>
      <c r="P66" s="182"/>
      <c r="Q66" s="182"/>
      <c r="R66" s="182"/>
      <c r="S66" s="182"/>
      <c r="T66" s="182"/>
      <c r="U66" s="182"/>
      <c r="V66" s="182"/>
      <c r="W66" s="182"/>
      <c r="X66" s="182"/>
      <c r="Y66" s="182"/>
      <c r="Z66" s="182"/>
      <c r="AA66" s="182"/>
      <c r="AB66" s="182"/>
      <c r="AC66" s="182"/>
      <c r="AD66" s="182"/>
      <c r="AE66" s="182"/>
      <c r="AF66" s="182"/>
      <c r="AG66" s="182"/>
      <c r="AH66" s="182"/>
      <c r="AI66" s="182"/>
      <c r="AJ66" s="167">
        <f t="shared" si="37"/>
        <v>8</v>
      </c>
      <c r="AK66" s="483" t="s">
        <v>543</v>
      </c>
      <c r="AL66" s="341">
        <v>42711</v>
      </c>
      <c r="AM66" s="352"/>
      <c r="AN66" s="352"/>
      <c r="AO66" s="352"/>
      <c r="AP66" s="352"/>
      <c r="AQ66" s="352"/>
      <c r="AR66" s="352"/>
      <c r="AS66" s="352"/>
      <c r="AT66" s="352"/>
      <c r="AU66" s="352"/>
      <c r="AV66" s="352"/>
      <c r="AW66" s="352"/>
      <c r="AX66" s="352"/>
      <c r="AY66" s="352"/>
      <c r="AZ66" s="352"/>
      <c r="BA66" s="352"/>
      <c r="BB66" s="352"/>
      <c r="BC66" s="352"/>
      <c r="BD66" s="352"/>
      <c r="BE66" s="352"/>
      <c r="BF66" s="352"/>
      <c r="BG66" s="352"/>
      <c r="BH66" s="352"/>
      <c r="BI66" s="352"/>
      <c r="BJ66" s="352"/>
      <c r="BK66" s="352"/>
      <c r="BL66" s="470"/>
      <c r="BM66" s="339"/>
      <c r="BN66" s="339"/>
      <c r="BO66" s="182"/>
      <c r="BP66" s="182"/>
      <c r="BQ66" s="182"/>
      <c r="BR66" s="182"/>
      <c r="BS66" s="182"/>
      <c r="BT66" s="182"/>
      <c r="BU66" s="182"/>
      <c r="BV66" s="182"/>
      <c r="BW66" s="182"/>
      <c r="BX66" s="182"/>
      <c r="BY66" s="182"/>
      <c r="BZ66" s="182"/>
      <c r="CA66" s="182"/>
      <c r="CB66" s="182"/>
      <c r="CC66" s="182"/>
      <c r="CD66" s="182"/>
      <c r="CE66" s="182"/>
      <c r="CF66" s="182"/>
      <c r="CG66" s="182"/>
      <c r="CH66" s="182"/>
      <c r="CI66" s="182"/>
      <c r="CJ66" s="182"/>
      <c r="CK66" s="182"/>
      <c r="CL66" s="680"/>
      <c r="CM66" s="681"/>
      <c r="CN66" s="682"/>
    </row>
    <row r="67" spans="1:92" s="344" customFormat="1">
      <c r="A67" s="335" t="s">
        <v>546</v>
      </c>
      <c r="B67" s="182" t="s">
        <v>100</v>
      </c>
      <c r="C67" s="182" t="s">
        <v>100</v>
      </c>
      <c r="D67" s="182" t="s">
        <v>100</v>
      </c>
      <c r="E67" s="182" t="s">
        <v>100</v>
      </c>
      <c r="F67" s="182" t="s">
        <v>100</v>
      </c>
      <c r="G67" s="182"/>
      <c r="H67" s="182"/>
      <c r="I67" s="182"/>
      <c r="J67" s="182" t="s">
        <v>100</v>
      </c>
      <c r="K67" s="182"/>
      <c r="L67" s="302" t="s">
        <v>100</v>
      </c>
      <c r="M67" s="182"/>
      <c r="N67" s="182" t="s">
        <v>100</v>
      </c>
      <c r="O67" s="182"/>
      <c r="P67" s="182"/>
      <c r="Q67" s="182" t="s">
        <v>100</v>
      </c>
      <c r="R67" s="182"/>
      <c r="S67" s="182"/>
      <c r="T67" s="182" t="s">
        <v>100</v>
      </c>
      <c r="U67" s="182"/>
      <c r="V67" s="182"/>
      <c r="W67" s="182"/>
      <c r="X67" s="182"/>
      <c r="Y67" s="182"/>
      <c r="Z67" s="182"/>
      <c r="AA67" s="182"/>
      <c r="AB67" s="182"/>
      <c r="AC67" s="182"/>
      <c r="AD67" s="182"/>
      <c r="AE67" s="182"/>
      <c r="AF67" s="182"/>
      <c r="AG67" s="182"/>
      <c r="AH67" s="182"/>
      <c r="AI67" s="182"/>
      <c r="AJ67" s="167">
        <f t="shared" si="37"/>
        <v>10</v>
      </c>
      <c r="AK67" s="493" t="s">
        <v>543</v>
      </c>
      <c r="AL67" s="341">
        <v>42730</v>
      </c>
      <c r="AM67" s="352"/>
      <c r="AN67" s="352"/>
      <c r="AO67" s="352"/>
      <c r="AP67" s="352"/>
      <c r="AQ67" s="352"/>
      <c r="AR67" s="352"/>
      <c r="AS67" s="352"/>
      <c r="AT67" s="352"/>
      <c r="AU67" s="352"/>
      <c r="AV67" s="352"/>
      <c r="AW67" s="352"/>
      <c r="AX67" s="352"/>
      <c r="AY67" s="352"/>
      <c r="AZ67" s="352"/>
      <c r="BA67" s="352"/>
      <c r="BB67" s="352"/>
      <c r="BC67" s="352"/>
      <c r="BD67" s="352"/>
      <c r="BE67" s="352"/>
      <c r="BF67" s="352"/>
      <c r="BG67" s="352"/>
      <c r="BH67" s="352"/>
      <c r="BI67" s="352"/>
      <c r="BJ67" s="352"/>
      <c r="BK67" s="352"/>
      <c r="BL67" s="470"/>
      <c r="BM67" s="339"/>
      <c r="BN67" s="339"/>
      <c r="BO67" s="182"/>
      <c r="BP67" s="182"/>
      <c r="BQ67" s="182"/>
      <c r="BR67" s="182"/>
      <c r="BS67" s="182"/>
      <c r="BT67" s="182"/>
      <c r="BU67" s="182"/>
      <c r="BV67" s="182"/>
      <c r="BW67" s="182"/>
      <c r="BX67" s="182"/>
      <c r="BY67" s="182"/>
      <c r="BZ67" s="182"/>
      <c r="CA67" s="182"/>
      <c r="CB67" s="182"/>
      <c r="CC67" s="182"/>
      <c r="CD67" s="182"/>
      <c r="CE67" s="182"/>
      <c r="CF67" s="182"/>
      <c r="CG67" s="182"/>
      <c r="CH67" s="182"/>
      <c r="CI67" s="182"/>
      <c r="CJ67" s="182"/>
      <c r="CK67" s="182"/>
      <c r="CL67" s="618"/>
      <c r="CM67" s="619"/>
      <c r="CN67" s="620"/>
    </row>
    <row r="68" spans="1:92" s="344" customFormat="1">
      <c r="A68" s="335" t="s">
        <v>412</v>
      </c>
      <c r="B68" s="182" t="s">
        <v>100</v>
      </c>
      <c r="C68" s="182" t="s">
        <v>100</v>
      </c>
      <c r="D68" s="182" t="s">
        <v>100</v>
      </c>
      <c r="E68" s="182"/>
      <c r="F68" s="302" t="s">
        <v>100</v>
      </c>
      <c r="G68" s="182"/>
      <c r="H68" s="182" t="s">
        <v>100</v>
      </c>
      <c r="I68" s="302" t="s">
        <v>100</v>
      </c>
      <c r="J68" s="182" t="s">
        <v>100</v>
      </c>
      <c r="K68" s="182"/>
      <c r="L68" s="182" t="s">
        <v>100</v>
      </c>
      <c r="M68" s="182"/>
      <c r="N68" s="182"/>
      <c r="O68" s="182"/>
      <c r="P68" s="302" t="s">
        <v>100</v>
      </c>
      <c r="Q68" s="182" t="s">
        <v>100</v>
      </c>
      <c r="R68" s="182"/>
      <c r="S68" s="182"/>
      <c r="T68" s="182"/>
      <c r="U68" s="182"/>
      <c r="V68" s="182"/>
      <c r="W68" s="182"/>
      <c r="X68" s="182"/>
      <c r="Y68" s="182"/>
      <c r="Z68" s="182"/>
      <c r="AA68" s="182"/>
      <c r="AB68" s="182"/>
      <c r="AC68" s="182"/>
      <c r="AD68" s="182"/>
      <c r="AE68" s="182"/>
      <c r="AF68" s="182"/>
      <c r="AG68" s="182"/>
      <c r="AH68" s="182"/>
      <c r="AI68" s="182"/>
      <c r="AJ68" s="167">
        <f t="shared" si="37"/>
        <v>10</v>
      </c>
      <c r="AK68" s="493" t="str">
        <f>HYPERLINK("https://twitter.com/johncanzanobft/status/816872239584808961","Twitter")</f>
        <v>Twitter</v>
      </c>
      <c r="AL68" s="341">
        <v>42739</v>
      </c>
      <c r="AM68" s="352"/>
      <c r="AN68" s="352"/>
      <c r="AO68" s="352"/>
      <c r="AP68" s="352"/>
      <c r="AQ68" s="352"/>
      <c r="AR68" s="352"/>
      <c r="AS68" s="352"/>
      <c r="AT68" s="352"/>
      <c r="AU68" s="352"/>
      <c r="AV68" s="352"/>
      <c r="AW68" s="352"/>
      <c r="AX68" s="352"/>
      <c r="AY68" s="352"/>
      <c r="AZ68" s="352"/>
      <c r="BA68" s="352"/>
      <c r="BB68" s="352"/>
      <c r="BC68" s="352"/>
      <c r="BD68" s="352"/>
      <c r="BE68" s="352"/>
      <c r="BF68" s="352"/>
      <c r="BG68" s="352"/>
      <c r="BH68" s="352"/>
      <c r="BI68" s="352"/>
      <c r="BJ68" s="352"/>
      <c r="BK68" s="352"/>
      <c r="BL68" s="470"/>
      <c r="BM68" s="339"/>
      <c r="BN68" s="339"/>
      <c r="BO68" s="182"/>
      <c r="BP68" s="182"/>
      <c r="BQ68" s="182"/>
      <c r="BR68" s="182"/>
      <c r="BS68" s="182"/>
      <c r="BT68" s="182"/>
      <c r="BU68" s="182"/>
      <c r="BV68" s="182"/>
      <c r="BW68" s="182"/>
      <c r="BX68" s="182"/>
      <c r="BY68" s="182"/>
      <c r="BZ68" s="182"/>
      <c r="CA68" s="182"/>
      <c r="CB68" s="182"/>
      <c r="CC68" s="182"/>
      <c r="CD68" s="182"/>
      <c r="CE68" s="182"/>
      <c r="CF68" s="182"/>
      <c r="CG68" s="182"/>
      <c r="CH68" s="182"/>
      <c r="CI68" s="182"/>
      <c r="CJ68" s="182"/>
      <c r="CK68" s="182"/>
      <c r="CL68" s="680" t="s">
        <v>547</v>
      </c>
      <c r="CM68" s="681"/>
      <c r="CN68" s="682"/>
    </row>
    <row r="69" spans="1:92" s="344" customFormat="1">
      <c r="A69" s="335" t="s">
        <v>149</v>
      </c>
      <c r="B69" s="182" t="s">
        <v>100</v>
      </c>
      <c r="C69" s="182" t="s">
        <v>100</v>
      </c>
      <c r="D69" s="182" t="s">
        <v>100</v>
      </c>
      <c r="E69" s="182" t="s">
        <v>100</v>
      </c>
      <c r="F69" s="182"/>
      <c r="G69" s="182"/>
      <c r="H69" s="182" t="s">
        <v>100</v>
      </c>
      <c r="I69" s="182" t="s">
        <v>100</v>
      </c>
      <c r="J69" s="302" t="s">
        <v>100</v>
      </c>
      <c r="K69" s="182"/>
      <c r="L69" s="182" t="s">
        <v>100</v>
      </c>
      <c r="M69" s="182"/>
      <c r="N69" s="182" t="s">
        <v>100</v>
      </c>
      <c r="O69" s="182" t="s">
        <v>100</v>
      </c>
      <c r="P69" s="182"/>
      <c r="Q69" s="182"/>
      <c r="R69" s="182"/>
      <c r="S69" s="182"/>
      <c r="T69" s="182"/>
      <c r="U69" s="182"/>
      <c r="V69" s="182"/>
      <c r="W69" s="182"/>
      <c r="X69" s="182"/>
      <c r="Y69" s="182"/>
      <c r="Z69" s="182"/>
      <c r="AA69" s="182"/>
      <c r="AB69" s="182"/>
      <c r="AC69" s="182"/>
      <c r="AD69" s="182"/>
      <c r="AE69" s="182"/>
      <c r="AF69" s="182"/>
      <c r="AG69" s="182"/>
      <c r="AH69" s="182"/>
      <c r="AI69" s="182"/>
      <c r="AJ69" s="167">
        <f t="shared" si="37"/>
        <v>10</v>
      </c>
      <c r="AK69" s="481" t="str">
        <f>HYPERLINK("http://www.espn.com/mlb/story/_/id/18436379/seven-elected-espn-2017-baseball-hall-fame-ballot","ESPN")</f>
        <v>ESPN</v>
      </c>
      <c r="AL69" s="341">
        <v>42751</v>
      </c>
      <c r="AM69" s="352"/>
      <c r="AN69" s="352"/>
      <c r="AO69" s="352"/>
      <c r="AP69" s="352"/>
      <c r="AQ69" s="352"/>
      <c r="AR69" s="352"/>
      <c r="AS69" s="352"/>
      <c r="AT69" s="352"/>
      <c r="AU69" s="352"/>
      <c r="AV69" s="352"/>
      <c r="AW69" s="352"/>
      <c r="AX69" s="352"/>
      <c r="AY69" s="352"/>
      <c r="AZ69" s="352"/>
      <c r="BA69" s="352"/>
      <c r="BB69" s="352"/>
      <c r="BC69" s="352"/>
      <c r="BD69" s="352"/>
      <c r="BE69" s="352"/>
      <c r="BF69" s="352"/>
      <c r="BG69" s="352"/>
      <c r="BH69" s="352"/>
      <c r="BI69" s="352"/>
      <c r="BJ69" s="352"/>
      <c r="BK69" s="352"/>
      <c r="BL69" s="470"/>
      <c r="BM69" s="339"/>
      <c r="BN69" s="339"/>
      <c r="BO69" s="182"/>
      <c r="BP69" s="182"/>
      <c r="BQ69" s="182"/>
      <c r="BR69" s="182"/>
      <c r="BS69" s="182"/>
      <c r="BT69" s="182"/>
      <c r="BU69" s="182"/>
      <c r="BV69" s="182"/>
      <c r="BW69" s="182"/>
      <c r="BX69" s="182"/>
      <c r="BY69" s="182"/>
      <c r="BZ69" s="182"/>
      <c r="CA69" s="182"/>
      <c r="CB69" s="182"/>
      <c r="CC69" s="182"/>
      <c r="CD69" s="182"/>
      <c r="CE69" s="182"/>
      <c r="CF69" s="182"/>
      <c r="CG69" s="182"/>
      <c r="CH69" s="182"/>
      <c r="CI69" s="182"/>
      <c r="CJ69" s="182"/>
      <c r="CK69" s="182"/>
      <c r="CL69" s="618"/>
      <c r="CM69" s="619"/>
      <c r="CN69" s="620"/>
    </row>
    <row r="70" spans="1:92" s="344" customFormat="1">
      <c r="A70" s="335" t="s">
        <v>548</v>
      </c>
      <c r="B70" s="182" t="s">
        <v>100</v>
      </c>
      <c r="C70" s="302" t="s">
        <v>100</v>
      </c>
      <c r="D70" s="302" t="s">
        <v>100</v>
      </c>
      <c r="E70" s="182"/>
      <c r="F70" s="320"/>
      <c r="G70" s="182" t="s">
        <v>100</v>
      </c>
      <c r="H70" s="182"/>
      <c r="I70" s="182"/>
      <c r="J70" s="182" t="s">
        <v>100</v>
      </c>
      <c r="K70" s="182"/>
      <c r="L70" s="182" t="s">
        <v>100</v>
      </c>
      <c r="M70" s="182"/>
      <c r="N70" s="182" t="s">
        <v>100</v>
      </c>
      <c r="O70" s="182" t="s">
        <v>100</v>
      </c>
      <c r="P70" s="182"/>
      <c r="Q70" s="182"/>
      <c r="R70" s="182"/>
      <c r="S70" s="182"/>
      <c r="T70" s="302" t="s">
        <v>100</v>
      </c>
      <c r="U70" s="182"/>
      <c r="V70" s="182"/>
      <c r="W70" s="182"/>
      <c r="X70" s="182"/>
      <c r="Y70" s="182"/>
      <c r="Z70" s="182"/>
      <c r="AA70" s="182"/>
      <c r="AB70" s="182"/>
      <c r="AC70" s="182"/>
      <c r="AD70" s="182"/>
      <c r="AE70" s="182"/>
      <c r="AF70" s="182"/>
      <c r="AG70" s="182"/>
      <c r="AH70" s="182"/>
      <c r="AI70" s="182"/>
      <c r="AJ70" s="167">
        <f t="shared" si="37"/>
        <v>9</v>
      </c>
      <c r="AK70" s="493" t="str">
        <f>HYPERLINK("http://www.theoaklandpress.com/sports/20161202/pat-caputo-my-baseball-hall-of-fame-ballot-and-why-barry-bonds-and-roger-clemens-are-on-it","Oakland Press")</f>
        <v>Oakland Press</v>
      </c>
      <c r="AL70" s="341">
        <v>42706</v>
      </c>
      <c r="AM70" s="352"/>
      <c r="AN70" s="352"/>
      <c r="AO70" s="352"/>
      <c r="AP70" s="352"/>
      <c r="AQ70" s="352"/>
      <c r="AR70" s="352"/>
      <c r="AS70" s="352"/>
      <c r="AT70" s="352"/>
      <c r="AU70" s="352"/>
      <c r="AV70" s="352"/>
      <c r="AW70" s="352"/>
      <c r="AX70" s="352"/>
      <c r="AY70" s="352"/>
      <c r="AZ70" s="352"/>
      <c r="BA70" s="352"/>
      <c r="BB70" s="352"/>
      <c r="BC70" s="352"/>
      <c r="BD70" s="352"/>
      <c r="BE70" s="352"/>
      <c r="BF70" s="352"/>
      <c r="BG70" s="352"/>
      <c r="BH70" s="352"/>
      <c r="BI70" s="352"/>
      <c r="BJ70" s="352"/>
      <c r="BK70" s="352"/>
      <c r="BL70" s="470"/>
      <c r="BM70" s="339"/>
      <c r="BN70" s="339"/>
      <c r="BO70" s="182"/>
      <c r="BP70" s="182"/>
      <c r="BQ70" s="182"/>
      <c r="BR70" s="182"/>
      <c r="BS70" s="182"/>
      <c r="BT70" s="182"/>
      <c r="BU70" s="182"/>
      <c r="BV70" s="182"/>
      <c r="BW70" s="182"/>
      <c r="BX70" s="182"/>
      <c r="BY70" s="182"/>
      <c r="BZ70" s="182"/>
      <c r="CA70" s="182"/>
      <c r="CB70" s="182"/>
      <c r="CC70" s="182"/>
      <c r="CD70" s="182"/>
      <c r="CE70" s="182"/>
      <c r="CF70" s="182"/>
      <c r="CG70" s="182"/>
      <c r="CH70" s="182"/>
      <c r="CI70" s="182"/>
      <c r="CJ70" s="182"/>
      <c r="CK70" s="182"/>
      <c r="CL70" s="680"/>
      <c r="CM70" s="681"/>
      <c r="CN70" s="682"/>
    </row>
    <row r="71" spans="1:92" s="344" customFormat="1">
      <c r="A71" s="335" t="s">
        <v>549</v>
      </c>
      <c r="B71" s="182"/>
      <c r="C71" s="182"/>
      <c r="D71" s="182"/>
      <c r="E71" s="182"/>
      <c r="F71" s="182"/>
      <c r="G71" s="182"/>
      <c r="H71" s="182"/>
      <c r="I71" s="182"/>
      <c r="J71" s="182"/>
      <c r="K71" s="182"/>
      <c r="L71" s="182"/>
      <c r="M71" s="182"/>
      <c r="N71" s="182"/>
      <c r="O71" s="182"/>
      <c r="P71" s="182"/>
      <c r="Q71" s="182"/>
      <c r="R71" s="182"/>
      <c r="S71" s="182"/>
      <c r="T71" s="182"/>
      <c r="U71" s="182"/>
      <c r="V71" s="182"/>
      <c r="W71" s="182"/>
      <c r="X71" s="182"/>
      <c r="Y71" s="182"/>
      <c r="Z71" s="182"/>
      <c r="AA71" s="182"/>
      <c r="AB71" s="182"/>
      <c r="AC71" s="182"/>
      <c r="AD71" s="182"/>
      <c r="AE71" s="182"/>
      <c r="AF71" s="182"/>
      <c r="AG71" s="182"/>
      <c r="AH71" s="182"/>
      <c r="AI71" s="182"/>
      <c r="AJ71" s="167">
        <f t="shared" si="37"/>
        <v>0</v>
      </c>
      <c r="AK71" s="493" t="str">
        <f>HYPERLINK("http://www.murraychass.com/?p=10495","MurrayChass.com")</f>
        <v>MurrayChass.com</v>
      </c>
      <c r="AL71" s="341">
        <v>42743</v>
      </c>
      <c r="AM71" s="352"/>
      <c r="AN71" s="352"/>
      <c r="AO71" s="352"/>
      <c r="AP71" s="352"/>
      <c r="AQ71" s="352"/>
      <c r="AR71" s="352"/>
      <c r="AS71" s="352"/>
      <c r="AT71" s="352"/>
      <c r="AU71" s="352"/>
      <c r="AV71" s="352"/>
      <c r="AW71" s="352"/>
      <c r="AX71" s="352"/>
      <c r="AY71" s="352"/>
      <c r="AZ71" s="352"/>
      <c r="BA71" s="352"/>
      <c r="BB71" s="352"/>
      <c r="BC71" s="352"/>
      <c r="BD71" s="352"/>
      <c r="BE71" s="352"/>
      <c r="BF71" s="352"/>
      <c r="BG71" s="352"/>
      <c r="BH71" s="352"/>
      <c r="BI71" s="352"/>
      <c r="BJ71" s="352"/>
      <c r="BK71" s="352"/>
      <c r="BL71" s="470"/>
      <c r="BM71" s="339"/>
      <c r="BN71" s="339"/>
      <c r="BO71" s="182"/>
      <c r="BP71" s="182"/>
      <c r="BQ71" s="182"/>
      <c r="BR71" s="182"/>
      <c r="BS71" s="182"/>
      <c r="BT71" s="182"/>
      <c r="BU71" s="182"/>
      <c r="BV71" s="182"/>
      <c r="BW71" s="182"/>
      <c r="BX71" s="182"/>
      <c r="BY71" s="182"/>
      <c r="BZ71" s="182"/>
      <c r="CA71" s="182"/>
      <c r="CB71" s="182"/>
      <c r="CC71" s="182"/>
      <c r="CD71" s="182"/>
      <c r="CE71" s="182"/>
      <c r="CF71" s="182"/>
      <c r="CG71" s="182"/>
      <c r="CH71" s="182"/>
      <c r="CI71" s="182"/>
      <c r="CJ71" s="182"/>
      <c r="CK71" s="182"/>
      <c r="CL71" s="618"/>
      <c r="CM71" s="619"/>
      <c r="CN71" s="620"/>
    </row>
    <row r="72" spans="1:92">
      <c r="A72" s="181" t="s">
        <v>550</v>
      </c>
      <c r="B72" s="182" t="s">
        <v>100</v>
      </c>
      <c r="C72" s="182"/>
      <c r="D72" s="182"/>
      <c r="E72" s="182"/>
      <c r="F72" s="182" t="s">
        <v>100</v>
      </c>
      <c r="G72" s="182" t="s">
        <v>100</v>
      </c>
      <c r="H72" s="182" t="s">
        <v>100</v>
      </c>
      <c r="I72" s="182"/>
      <c r="J72" s="182"/>
      <c r="K72" s="182"/>
      <c r="L72" s="182" t="s">
        <v>100</v>
      </c>
      <c r="M72" s="182"/>
      <c r="N72" s="182" t="s">
        <v>100</v>
      </c>
      <c r="O72" s="182"/>
      <c r="P72" s="182"/>
      <c r="Q72" s="182" t="s">
        <v>100</v>
      </c>
      <c r="R72" s="182"/>
      <c r="S72" s="182"/>
      <c r="T72" s="182"/>
      <c r="U72" s="182"/>
      <c r="V72" s="182"/>
      <c r="W72" s="182"/>
      <c r="X72" s="182"/>
      <c r="Y72" s="182"/>
      <c r="Z72" s="182"/>
      <c r="AA72" s="182"/>
      <c r="AB72" s="182"/>
      <c r="AC72" s="182"/>
      <c r="AD72" s="182"/>
      <c r="AE72" s="182"/>
      <c r="AF72" s="182"/>
      <c r="AG72" s="182"/>
      <c r="AH72" s="182"/>
      <c r="AI72" s="182"/>
      <c r="AJ72" s="167">
        <f t="shared" si="37"/>
        <v>7</v>
      </c>
      <c r="AK72" s="493" t="str">
        <f>HYPERLINK("http://www.pressdemocrat.com/sports/6346235-181/lowell-cohn-the-worthy-and?artslide=0","Santa Rosa PD")</f>
        <v>Santa Rosa PD</v>
      </c>
      <c r="AL72" s="186">
        <v>42697</v>
      </c>
      <c r="AM72" s="187"/>
      <c r="AN72" s="187">
        <f>IF(B72=1,0,0)</f>
        <v>0</v>
      </c>
      <c r="AO72" s="187">
        <f>IF(D72=1,13,0)</f>
        <v>0</v>
      </c>
      <c r="AP72" s="187">
        <f>IF(E72=1,8,0)</f>
        <v>0</v>
      </c>
      <c r="AQ72" s="187">
        <f>IF(G72=1,8,0)</f>
        <v>0</v>
      </c>
      <c r="AR72" s="187">
        <f>IF(I72=1,0,0)</f>
        <v>0</v>
      </c>
      <c r="AS72" s="187">
        <f>IF(J72=1,0,0)</f>
        <v>0</v>
      </c>
      <c r="AT72" s="187" t="e">
        <f>IF(#REF!=1,0,0)</f>
        <v>#REF!</v>
      </c>
      <c r="AU72" s="187">
        <f>IF(K72=1,19,0)</f>
        <v>0</v>
      </c>
      <c r="AV72" s="187">
        <f>IF(N72=1,13,0)</f>
        <v>0</v>
      </c>
      <c r="AW72" s="187">
        <f>IF(O72=1,0,0)</f>
        <v>0</v>
      </c>
      <c r="AX72" s="187">
        <f>IF(P72=1,3,0)</f>
        <v>0</v>
      </c>
      <c r="AY72" s="187">
        <f>IF(S72=1,8,0)</f>
        <v>0</v>
      </c>
      <c r="AZ72" s="187">
        <f>IF(T72=1,4,0)</f>
        <v>0</v>
      </c>
      <c r="BA72" s="187">
        <f>IF(U72=1,2,0)</f>
        <v>0</v>
      </c>
      <c r="BB72" s="187">
        <f>IF(W72=1,8,0)</f>
        <v>0</v>
      </c>
      <c r="BC72" s="187">
        <f>IF(X72=1,16,0)</f>
        <v>0</v>
      </c>
      <c r="BD72" s="187">
        <f>IF(Y72=1,13,0)</f>
        <v>0</v>
      </c>
      <c r="BE72" s="187">
        <f>IF(Z72=1,10,0)</f>
        <v>0</v>
      </c>
      <c r="BF72" s="187">
        <f>IF(AA72=1,2,0)</f>
        <v>0</v>
      </c>
      <c r="BG72" s="187">
        <f>IF(AB72=1,6,0)</f>
        <v>0</v>
      </c>
      <c r="BH72" s="187">
        <f>IF(AC72=1,1,0)</f>
        <v>0</v>
      </c>
      <c r="BI72" s="187">
        <f t="shared" ref="BI72" si="43">IF(AF72=1,8,0)</f>
        <v>0</v>
      </c>
      <c r="BJ72" s="187">
        <f t="shared" ref="BJ72" si="44">IF(AH72=1,2,0)</f>
        <v>0</v>
      </c>
      <c r="BK72" s="187">
        <f t="shared" ref="BK72" si="45">IF(AI72=1,3,0)</f>
        <v>0</v>
      </c>
      <c r="BL72" s="273" t="e">
        <f>LARGE(AN72:BK72,1)+LARGE(AN72:BK72,2)+LARGE(AN72:BK72,3)+LARGE(AN72:BK72,4)+LARGE(AN72:BK72,5)+LARGE(AN72:BK72,6)+LARGE(AN72:BK72,7)+LARGE(AN72:BK72,8)</f>
        <v>#REF!</v>
      </c>
      <c r="BM72" s="167" t="e">
        <f t="shared" ref="BM72" si="46">BL72</f>
        <v>#REF!</v>
      </c>
      <c r="BN72" s="167"/>
      <c r="BO72" s="644"/>
      <c r="BP72" s="644"/>
      <c r="BQ72" s="644"/>
      <c r="BR72" s="644"/>
      <c r="BS72" s="644"/>
      <c r="BT72" s="644"/>
      <c r="BU72" s="644"/>
      <c r="BV72" s="644"/>
      <c r="BW72" s="644"/>
      <c r="BX72" s="644"/>
      <c r="BY72" s="644"/>
      <c r="BZ72" s="644"/>
      <c r="CA72" s="644"/>
      <c r="CB72" s="644"/>
      <c r="CC72" s="644"/>
      <c r="CD72" s="644"/>
      <c r="CE72" s="644"/>
      <c r="CF72" s="644"/>
      <c r="CG72" s="644"/>
      <c r="CH72" s="644"/>
      <c r="CI72" s="644"/>
      <c r="CJ72" s="644"/>
      <c r="CK72" s="644"/>
      <c r="CL72" s="680"/>
      <c r="CM72" s="681"/>
      <c r="CN72" s="682"/>
    </row>
    <row r="73" spans="1:92" s="344" customFormat="1">
      <c r="A73" s="335" t="s">
        <v>156</v>
      </c>
      <c r="B73" s="182" t="s">
        <v>100</v>
      </c>
      <c r="C73" s="182" t="s">
        <v>100</v>
      </c>
      <c r="D73" s="182" t="s">
        <v>100</v>
      </c>
      <c r="E73" s="182" t="s">
        <v>100</v>
      </c>
      <c r="F73" s="182" t="s">
        <v>100</v>
      </c>
      <c r="G73" s="182"/>
      <c r="H73" s="182" t="s">
        <v>100</v>
      </c>
      <c r="I73" s="182"/>
      <c r="J73" s="182" t="s">
        <v>100</v>
      </c>
      <c r="K73" s="182"/>
      <c r="L73" s="182" t="s">
        <v>100</v>
      </c>
      <c r="M73" s="182"/>
      <c r="N73" s="182" t="s">
        <v>100</v>
      </c>
      <c r="O73" s="182"/>
      <c r="P73" s="182"/>
      <c r="Q73" s="182"/>
      <c r="R73" s="182" t="s">
        <v>100</v>
      </c>
      <c r="S73" s="182"/>
      <c r="T73" s="182"/>
      <c r="U73" s="182"/>
      <c r="V73" s="182"/>
      <c r="W73" s="182"/>
      <c r="X73" s="182"/>
      <c r="Y73" s="182"/>
      <c r="Z73" s="182"/>
      <c r="AA73" s="182"/>
      <c r="AB73" s="182"/>
      <c r="AC73" s="182"/>
      <c r="AD73" s="182"/>
      <c r="AE73" s="182"/>
      <c r="AF73" s="182"/>
      <c r="AG73" s="182"/>
      <c r="AH73" s="182"/>
      <c r="AI73" s="182"/>
      <c r="AJ73" s="167">
        <f t="shared" si="37"/>
        <v>10</v>
      </c>
      <c r="AK73" s="493" t="str">
        <f>HYPERLINK("https://tiempoextrarob.wordpress.com/2016/12/30/ivan-rodriguez-y-guerrero-encabezan-mi-boleta-del-2017/","Tiempo Extra")</f>
        <v>Tiempo Extra</v>
      </c>
      <c r="AL73" s="341">
        <v>42734</v>
      </c>
      <c r="AM73" s="352"/>
      <c r="AN73" s="352"/>
      <c r="AO73" s="352"/>
      <c r="AP73" s="352"/>
      <c r="AQ73" s="352"/>
      <c r="AR73" s="352"/>
      <c r="AS73" s="352"/>
      <c r="AT73" s="352"/>
      <c r="AU73" s="352"/>
      <c r="AV73" s="352"/>
      <c r="AW73" s="352"/>
      <c r="AX73" s="352"/>
      <c r="AY73" s="352"/>
      <c r="AZ73" s="352"/>
      <c r="BA73" s="352"/>
      <c r="BB73" s="352"/>
      <c r="BC73" s="352"/>
      <c r="BD73" s="352"/>
      <c r="BE73" s="352"/>
      <c r="BF73" s="352"/>
      <c r="BG73" s="352"/>
      <c r="BH73" s="352"/>
      <c r="BI73" s="352"/>
      <c r="BJ73" s="352"/>
      <c r="BK73" s="352"/>
      <c r="BL73" s="470"/>
      <c r="BM73" s="339"/>
      <c r="BN73" s="339"/>
      <c r="BO73" s="182"/>
      <c r="BP73" s="182"/>
      <c r="BQ73" s="182"/>
      <c r="BR73" s="182"/>
      <c r="BS73" s="182"/>
      <c r="BT73" s="182"/>
      <c r="BU73" s="182"/>
      <c r="BV73" s="182"/>
      <c r="BW73" s="182"/>
      <c r="BX73" s="182"/>
      <c r="BY73" s="182"/>
      <c r="BZ73" s="182"/>
      <c r="CA73" s="182"/>
      <c r="CB73" s="182"/>
      <c r="CC73" s="182"/>
      <c r="CD73" s="182"/>
      <c r="CE73" s="182"/>
      <c r="CF73" s="182"/>
      <c r="CG73" s="182"/>
      <c r="CH73" s="182"/>
      <c r="CI73" s="182"/>
      <c r="CJ73" s="182"/>
      <c r="CK73" s="182"/>
      <c r="CL73" s="618"/>
      <c r="CM73" s="619"/>
      <c r="CN73" s="620"/>
    </row>
    <row r="74" spans="1:92" ht="12.75" customHeight="1">
      <c r="A74" s="469" t="s">
        <v>157</v>
      </c>
      <c r="B74" s="410" t="s">
        <v>100</v>
      </c>
      <c r="C74" s="410" t="s">
        <v>100</v>
      </c>
      <c r="D74" s="410" t="s">
        <v>100</v>
      </c>
      <c r="E74" s="410" t="s">
        <v>100</v>
      </c>
      <c r="F74" s="410" t="s">
        <v>100</v>
      </c>
      <c r="G74" s="410"/>
      <c r="H74" s="410" t="s">
        <v>100</v>
      </c>
      <c r="I74" s="410"/>
      <c r="J74" s="410" t="s">
        <v>100</v>
      </c>
      <c r="K74" s="410"/>
      <c r="L74" s="410"/>
      <c r="M74" s="410"/>
      <c r="N74" s="410" t="s">
        <v>100</v>
      </c>
      <c r="O74" s="410" t="s">
        <v>100</v>
      </c>
      <c r="P74" s="410"/>
      <c r="Q74" s="410"/>
      <c r="R74" s="410"/>
      <c r="S74" s="410"/>
      <c r="T74" s="410" t="s">
        <v>100</v>
      </c>
      <c r="U74" s="639"/>
      <c r="V74" s="639"/>
      <c r="W74" s="639"/>
      <c r="X74" s="639"/>
      <c r="Y74" s="639"/>
      <c r="Z74" s="639"/>
      <c r="AA74" s="639"/>
      <c r="AB74" s="639"/>
      <c r="AC74" s="639"/>
      <c r="AD74" s="639"/>
      <c r="AE74" s="639"/>
      <c r="AF74" s="639"/>
      <c r="AG74" s="639"/>
      <c r="AH74" s="639"/>
      <c r="AI74" s="639"/>
      <c r="AJ74" s="167">
        <f t="shared" si="37"/>
        <v>10</v>
      </c>
      <c r="AK74" s="508" t="str">
        <f>HYPERLINK("http://www.baltimorebaseball.com/2017/01/19/hall-fame-ballot-luck-shame-thoughts-widvort/?utm_source=dlvr.it&amp;utm_medium=twitter","Baltimorebaseball.com")</f>
        <v>Baltimorebaseball.com</v>
      </c>
      <c r="AL74" s="471">
        <v>42753</v>
      </c>
      <c r="AM74" s="136"/>
      <c r="AN74" s="136"/>
      <c r="AO74" s="136"/>
      <c r="AP74" s="136"/>
      <c r="AQ74" s="136"/>
      <c r="AR74" s="136"/>
      <c r="AS74" s="136"/>
      <c r="AT74" s="136"/>
      <c r="AU74" s="136"/>
      <c r="AV74" s="136"/>
      <c r="AW74" s="136"/>
      <c r="AX74" s="136"/>
      <c r="AY74" s="136"/>
      <c r="AZ74" s="136"/>
      <c r="BA74" s="136"/>
      <c r="BB74" s="136"/>
      <c r="BC74" s="136"/>
      <c r="BD74" s="136"/>
      <c r="BE74" s="136"/>
      <c r="BF74" s="136"/>
      <c r="BG74" s="136"/>
      <c r="BH74" s="136"/>
      <c r="BI74" s="136"/>
      <c r="BJ74" s="136"/>
      <c r="BK74" s="136"/>
      <c r="BL74" s="136"/>
      <c r="BM74" s="136"/>
      <c r="BN74" s="136"/>
      <c r="BO74" s="136"/>
      <c r="BP74" s="136"/>
      <c r="BQ74" s="136"/>
      <c r="BR74" s="136"/>
      <c r="BS74" s="136"/>
      <c r="BT74" s="136"/>
      <c r="BU74" s="136"/>
      <c r="BV74" s="136"/>
      <c r="BW74" s="136"/>
      <c r="BX74" s="136"/>
      <c r="BY74" s="136"/>
      <c r="BZ74" s="136"/>
      <c r="CA74" s="136"/>
      <c r="CB74" s="136"/>
      <c r="CC74" s="136"/>
      <c r="CD74" s="136"/>
      <c r="CE74" s="136"/>
      <c r="CF74" s="136"/>
      <c r="CG74" s="136"/>
      <c r="CH74" s="136"/>
      <c r="CI74" s="136"/>
      <c r="CJ74" s="136"/>
      <c r="CK74" s="136"/>
      <c r="CL74" s="680" t="s">
        <v>551</v>
      </c>
      <c r="CM74" s="681"/>
      <c r="CN74" s="682"/>
    </row>
    <row r="75" spans="1:92">
      <c r="A75" s="181" t="s">
        <v>159</v>
      </c>
      <c r="B75" s="182" t="s">
        <v>100</v>
      </c>
      <c r="C75" s="302" t="s">
        <v>100</v>
      </c>
      <c r="D75" s="302" t="s">
        <v>100</v>
      </c>
      <c r="E75" s="182" t="s">
        <v>100</v>
      </c>
      <c r="F75" s="182" t="s">
        <v>100</v>
      </c>
      <c r="G75" s="182"/>
      <c r="H75" s="182"/>
      <c r="I75" s="320"/>
      <c r="J75" s="182" t="s">
        <v>100</v>
      </c>
      <c r="K75" s="182"/>
      <c r="L75" s="182" t="s">
        <v>100</v>
      </c>
      <c r="M75" s="182"/>
      <c r="N75" s="182"/>
      <c r="O75" s="182" t="s">
        <v>100</v>
      </c>
      <c r="P75" s="182"/>
      <c r="Q75" s="182" t="s">
        <v>100</v>
      </c>
      <c r="R75" s="182"/>
      <c r="S75" s="182" t="s">
        <v>100</v>
      </c>
      <c r="T75" s="182"/>
      <c r="U75" s="182"/>
      <c r="V75" s="182"/>
      <c r="W75" s="182"/>
      <c r="X75" s="182"/>
      <c r="Y75" s="182"/>
      <c r="Z75" s="182"/>
      <c r="AA75" s="182"/>
      <c r="AB75" s="182"/>
      <c r="AC75" s="182"/>
      <c r="AD75" s="182"/>
      <c r="AE75" s="182"/>
      <c r="AF75" s="182"/>
      <c r="AG75" s="182"/>
      <c r="AH75" s="182"/>
      <c r="AI75" s="182"/>
      <c r="AJ75" s="167">
        <f t="shared" si="37"/>
        <v>10</v>
      </c>
      <c r="AK75" s="493" t="str">
        <f>HYPERLINK("https://twitter.com/KevinCooney/status/808504108407816192","Twitter")</f>
        <v>Twitter</v>
      </c>
      <c r="AL75" s="186">
        <v>42716</v>
      </c>
      <c r="AM75" s="187"/>
      <c r="AN75" s="187"/>
      <c r="AO75" s="187"/>
      <c r="AP75" s="187"/>
      <c r="AQ75" s="187"/>
      <c r="AR75" s="187"/>
      <c r="AS75" s="187"/>
      <c r="AT75" s="187"/>
      <c r="AU75" s="187"/>
      <c r="AV75" s="187"/>
      <c r="AW75" s="187"/>
      <c r="AX75" s="187"/>
      <c r="AY75" s="187"/>
      <c r="AZ75" s="187"/>
      <c r="BA75" s="187"/>
      <c r="BB75" s="187"/>
      <c r="BC75" s="187"/>
      <c r="BD75" s="187"/>
      <c r="BE75" s="187"/>
      <c r="BF75" s="187"/>
      <c r="BG75" s="187"/>
      <c r="BH75" s="187"/>
      <c r="BI75" s="187"/>
      <c r="BJ75" s="187"/>
      <c r="BK75" s="187"/>
      <c r="BL75" s="273"/>
      <c r="BM75" s="167"/>
      <c r="BN75" s="167"/>
      <c r="BO75" s="644"/>
      <c r="BP75" s="644"/>
      <c r="BQ75" s="644"/>
      <c r="BR75" s="644"/>
      <c r="BS75" s="644"/>
      <c r="BT75" s="644"/>
      <c r="BU75" s="644"/>
      <c r="BV75" s="644"/>
      <c r="BW75" s="644"/>
      <c r="BX75" s="644"/>
      <c r="BY75" s="644"/>
      <c r="BZ75" s="644"/>
      <c r="CA75" s="644"/>
      <c r="CB75" s="644"/>
      <c r="CC75" s="644"/>
      <c r="CD75" s="644"/>
      <c r="CE75" s="644"/>
      <c r="CF75" s="644"/>
      <c r="CG75" s="644"/>
      <c r="CH75" s="644"/>
      <c r="CI75" s="644"/>
      <c r="CJ75" s="644"/>
      <c r="CK75" s="644"/>
      <c r="CL75" s="680" t="s">
        <v>552</v>
      </c>
      <c r="CM75" s="681"/>
      <c r="CN75" s="682"/>
    </row>
    <row r="76" spans="1:92" s="344" customFormat="1">
      <c r="A76" s="335" t="s">
        <v>553</v>
      </c>
      <c r="B76" s="182" t="s">
        <v>100</v>
      </c>
      <c r="C76" s="182" t="s">
        <v>100</v>
      </c>
      <c r="D76" s="182" t="s">
        <v>100</v>
      </c>
      <c r="E76" s="182" t="s">
        <v>100</v>
      </c>
      <c r="F76" s="182" t="s">
        <v>100</v>
      </c>
      <c r="G76" s="182"/>
      <c r="H76" s="182"/>
      <c r="I76" s="182"/>
      <c r="J76" s="182"/>
      <c r="K76" s="182"/>
      <c r="L76" s="182"/>
      <c r="M76" s="182" t="s">
        <v>100</v>
      </c>
      <c r="N76" s="182" t="s">
        <v>100</v>
      </c>
      <c r="O76" s="182" t="s">
        <v>100</v>
      </c>
      <c r="P76" s="182" t="s">
        <v>100</v>
      </c>
      <c r="Q76" s="182"/>
      <c r="R76" s="182" t="s">
        <v>100</v>
      </c>
      <c r="S76" s="182"/>
      <c r="T76" s="182"/>
      <c r="U76" s="182"/>
      <c r="V76" s="182"/>
      <c r="W76" s="182"/>
      <c r="X76" s="182"/>
      <c r="Y76" s="182"/>
      <c r="Z76" s="182"/>
      <c r="AA76" s="182"/>
      <c r="AB76" s="182"/>
      <c r="AC76" s="182"/>
      <c r="AD76" s="182"/>
      <c r="AE76" s="182"/>
      <c r="AF76" s="182"/>
      <c r="AG76" s="182"/>
      <c r="AH76" s="182"/>
      <c r="AI76" s="182"/>
      <c r="AJ76" s="167">
        <f t="shared" si="37"/>
        <v>10</v>
      </c>
      <c r="AK76" s="493" t="str">
        <f>HYPERLINK("https://twitter.com/BrianCoz/status/810974212689162240","Twitter")</f>
        <v>Twitter</v>
      </c>
      <c r="AL76" s="341">
        <v>42723</v>
      </c>
      <c r="AM76" s="352"/>
      <c r="AN76" s="352"/>
      <c r="AO76" s="352"/>
      <c r="AP76" s="352"/>
      <c r="AQ76" s="352"/>
      <c r="AR76" s="352"/>
      <c r="AS76" s="352"/>
      <c r="AT76" s="352"/>
      <c r="AU76" s="352"/>
      <c r="AV76" s="352"/>
      <c r="AW76" s="352"/>
      <c r="AX76" s="352"/>
      <c r="AY76" s="352"/>
      <c r="AZ76" s="352"/>
      <c r="BA76" s="352"/>
      <c r="BB76" s="352"/>
      <c r="BC76" s="352"/>
      <c r="BD76" s="352"/>
      <c r="BE76" s="352"/>
      <c r="BF76" s="352"/>
      <c r="BG76" s="352"/>
      <c r="BH76" s="352"/>
      <c r="BI76" s="352"/>
      <c r="BJ76" s="352"/>
      <c r="BK76" s="352"/>
      <c r="BL76" s="470"/>
      <c r="BM76" s="339"/>
      <c r="BN76" s="339"/>
      <c r="BO76" s="182"/>
      <c r="BP76" s="182"/>
      <c r="BQ76" s="182"/>
      <c r="BR76" s="182"/>
      <c r="BS76" s="182"/>
      <c r="BT76" s="182"/>
      <c r="BU76" s="182"/>
      <c r="BV76" s="182"/>
      <c r="BW76" s="182"/>
      <c r="BX76" s="182"/>
      <c r="BY76" s="182"/>
      <c r="BZ76" s="182"/>
      <c r="CA76" s="182"/>
      <c r="CB76" s="182"/>
      <c r="CC76" s="182"/>
      <c r="CD76" s="182"/>
      <c r="CE76" s="182"/>
      <c r="CF76" s="182"/>
      <c r="CG76" s="182"/>
      <c r="CH76" s="182"/>
      <c r="CI76" s="182"/>
      <c r="CJ76" s="182"/>
      <c r="CK76" s="182"/>
      <c r="CL76" s="618"/>
      <c r="CM76" s="619"/>
      <c r="CN76" s="620"/>
    </row>
    <row r="77" spans="1:92" s="344" customFormat="1">
      <c r="A77" s="335" t="s">
        <v>162</v>
      </c>
      <c r="B77" s="182" t="s">
        <v>100</v>
      </c>
      <c r="C77" s="182" t="s">
        <v>100</v>
      </c>
      <c r="D77" s="182" t="s">
        <v>100</v>
      </c>
      <c r="E77" s="182" t="s">
        <v>100</v>
      </c>
      <c r="F77" s="182" t="s">
        <v>100</v>
      </c>
      <c r="G77" s="182"/>
      <c r="H77" s="302" t="s">
        <v>100</v>
      </c>
      <c r="I77" s="182"/>
      <c r="J77" s="182"/>
      <c r="K77" s="182"/>
      <c r="L77" s="302" t="s">
        <v>100</v>
      </c>
      <c r="M77" s="182" t="s">
        <v>100</v>
      </c>
      <c r="N77" s="182" t="s">
        <v>100</v>
      </c>
      <c r="O77" s="320"/>
      <c r="P77" s="182" t="s">
        <v>100</v>
      </c>
      <c r="Q77" s="182"/>
      <c r="R77" s="182"/>
      <c r="S77" s="182"/>
      <c r="T77" s="182"/>
      <c r="U77" s="182"/>
      <c r="V77" s="182"/>
      <c r="W77" s="182"/>
      <c r="X77" s="182"/>
      <c r="Y77" s="182"/>
      <c r="Z77" s="182"/>
      <c r="AA77" s="182"/>
      <c r="AB77" s="182"/>
      <c r="AC77" s="182"/>
      <c r="AD77" s="182"/>
      <c r="AE77" s="182"/>
      <c r="AF77" s="182"/>
      <c r="AG77" s="182"/>
      <c r="AH77" s="182"/>
      <c r="AI77" s="182"/>
      <c r="AJ77" s="167">
        <f t="shared" si="37"/>
        <v>10</v>
      </c>
      <c r="AK77" s="493" t="str">
        <f>HYPERLINK("http://blogs.herald.com/random_evidence/2016/12/xxxsunxxxhb.html","Miami Herald Blog")</f>
        <v>Miami Herald Blog</v>
      </c>
      <c r="AL77" s="341">
        <v>42724</v>
      </c>
      <c r="AM77" s="352"/>
      <c r="AN77" s="352"/>
      <c r="AO77" s="352"/>
      <c r="AP77" s="352"/>
      <c r="AQ77" s="352"/>
      <c r="AR77" s="352"/>
      <c r="AS77" s="352"/>
      <c r="AT77" s="352"/>
      <c r="AU77" s="352"/>
      <c r="AV77" s="352"/>
      <c r="AW77" s="352"/>
      <c r="AX77" s="352"/>
      <c r="AY77" s="352"/>
      <c r="AZ77" s="352"/>
      <c r="BA77" s="352"/>
      <c r="BB77" s="352"/>
      <c r="BC77" s="352"/>
      <c r="BD77" s="352"/>
      <c r="BE77" s="352"/>
      <c r="BF77" s="352"/>
      <c r="BG77" s="352"/>
      <c r="BH77" s="352"/>
      <c r="BI77" s="352"/>
      <c r="BJ77" s="352"/>
      <c r="BK77" s="352"/>
      <c r="BL77" s="470"/>
      <c r="BM77" s="339"/>
      <c r="BN77" s="339"/>
      <c r="BO77" s="182"/>
      <c r="BP77" s="182"/>
      <c r="BQ77" s="182"/>
      <c r="BR77" s="182"/>
      <c r="BS77" s="182"/>
      <c r="BT77" s="182"/>
      <c r="BU77" s="182"/>
      <c r="BV77" s="182"/>
      <c r="BW77" s="182"/>
      <c r="BX77" s="182"/>
      <c r="BY77" s="182"/>
      <c r="BZ77" s="182"/>
      <c r="CA77" s="182"/>
      <c r="CB77" s="182"/>
      <c r="CC77" s="182"/>
      <c r="CD77" s="182"/>
      <c r="CE77" s="182"/>
      <c r="CF77" s="182"/>
      <c r="CG77" s="182"/>
      <c r="CH77" s="182"/>
      <c r="CI77" s="182"/>
      <c r="CJ77" s="182"/>
      <c r="CK77" s="182"/>
      <c r="CL77" s="618"/>
      <c r="CM77" s="619"/>
      <c r="CN77" s="620"/>
    </row>
    <row r="78" spans="1:92" s="344" customFormat="1">
      <c r="A78" s="335" t="s">
        <v>554</v>
      </c>
      <c r="B78" s="182" t="s">
        <v>100</v>
      </c>
      <c r="C78" s="182" t="s">
        <v>100</v>
      </c>
      <c r="D78" s="182" t="s">
        <v>100</v>
      </c>
      <c r="E78" s="182" t="s">
        <v>100</v>
      </c>
      <c r="F78" s="182"/>
      <c r="G78" s="302" t="s">
        <v>100</v>
      </c>
      <c r="H78" s="182" t="s">
        <v>100</v>
      </c>
      <c r="I78" s="182"/>
      <c r="J78" s="320"/>
      <c r="K78" s="182"/>
      <c r="L78" s="182" t="s">
        <v>100</v>
      </c>
      <c r="M78" s="182"/>
      <c r="N78" s="182" t="s">
        <v>100</v>
      </c>
      <c r="O78" s="182" t="s">
        <v>100</v>
      </c>
      <c r="P78" s="182"/>
      <c r="Q78" s="182"/>
      <c r="R78" s="182"/>
      <c r="S78" s="182"/>
      <c r="T78" s="182" t="s">
        <v>100</v>
      </c>
      <c r="U78" s="182"/>
      <c r="V78" s="182"/>
      <c r="W78" s="182"/>
      <c r="X78" s="182"/>
      <c r="Y78" s="182"/>
      <c r="Z78" s="182"/>
      <c r="AA78" s="182"/>
      <c r="AB78" s="182"/>
      <c r="AC78" s="182"/>
      <c r="AD78" s="182"/>
      <c r="AE78" s="182"/>
      <c r="AF78" s="182"/>
      <c r="AG78" s="182"/>
      <c r="AH78" s="182"/>
      <c r="AI78" s="182"/>
      <c r="AJ78" s="167">
        <f t="shared" si="37"/>
        <v>10</v>
      </c>
      <c r="AK78" s="493" t="str">
        <f>HYPERLINK("https://twitter.com/TimCowlishaw/status/814844696212209669","Twitter")</f>
        <v>Twitter</v>
      </c>
      <c r="AL78" s="341">
        <v>42734</v>
      </c>
      <c r="AM78" s="352"/>
      <c r="AN78" s="352"/>
      <c r="AO78" s="352"/>
      <c r="AP78" s="352"/>
      <c r="AQ78" s="352"/>
      <c r="AR78" s="352"/>
      <c r="AS78" s="352"/>
      <c r="AT78" s="352"/>
      <c r="AU78" s="352"/>
      <c r="AV78" s="352"/>
      <c r="AW78" s="352"/>
      <c r="AX78" s="352"/>
      <c r="AY78" s="352"/>
      <c r="AZ78" s="352"/>
      <c r="BA78" s="352"/>
      <c r="BB78" s="352"/>
      <c r="BC78" s="352"/>
      <c r="BD78" s="352"/>
      <c r="BE78" s="352"/>
      <c r="BF78" s="352"/>
      <c r="BG78" s="352"/>
      <c r="BH78" s="352"/>
      <c r="BI78" s="352"/>
      <c r="BJ78" s="352"/>
      <c r="BK78" s="352"/>
      <c r="BL78" s="470"/>
      <c r="BM78" s="339"/>
      <c r="BN78" s="339"/>
      <c r="BO78" s="182"/>
      <c r="BP78" s="182"/>
      <c r="BQ78" s="182"/>
      <c r="BR78" s="182"/>
      <c r="BS78" s="182"/>
      <c r="BT78" s="182"/>
      <c r="BU78" s="182"/>
      <c r="BV78" s="182"/>
      <c r="BW78" s="182"/>
      <c r="BX78" s="182"/>
      <c r="BY78" s="182"/>
      <c r="BZ78" s="182"/>
      <c r="CA78" s="182"/>
      <c r="CB78" s="182"/>
      <c r="CC78" s="182"/>
      <c r="CD78" s="182"/>
      <c r="CE78" s="182"/>
      <c r="CF78" s="182"/>
      <c r="CG78" s="182"/>
      <c r="CH78" s="182"/>
      <c r="CI78" s="182"/>
      <c r="CJ78" s="182"/>
      <c r="CK78" s="182"/>
      <c r="CL78" s="618"/>
      <c r="CM78" s="619"/>
      <c r="CN78" s="620"/>
    </row>
    <row r="79" spans="1:92" s="344" customFormat="1">
      <c r="A79" s="335" t="s">
        <v>165</v>
      </c>
      <c r="B79" s="182" t="s">
        <v>100</v>
      </c>
      <c r="C79" s="182" t="s">
        <v>100</v>
      </c>
      <c r="D79" s="182" t="s">
        <v>100</v>
      </c>
      <c r="E79" s="182" t="s">
        <v>100</v>
      </c>
      <c r="F79" s="182" t="s">
        <v>100</v>
      </c>
      <c r="G79" s="182"/>
      <c r="H79" s="182" t="s">
        <v>100</v>
      </c>
      <c r="I79" s="182"/>
      <c r="J79" s="182" t="s">
        <v>100</v>
      </c>
      <c r="K79" s="182"/>
      <c r="L79" s="182" t="s">
        <v>100</v>
      </c>
      <c r="M79" s="182"/>
      <c r="N79" s="182" t="s">
        <v>100</v>
      </c>
      <c r="O79" s="182" t="s">
        <v>100</v>
      </c>
      <c r="P79" s="182"/>
      <c r="Q79" s="182"/>
      <c r="R79" s="182"/>
      <c r="S79" s="182"/>
      <c r="T79" s="182"/>
      <c r="U79" s="182"/>
      <c r="V79" s="182"/>
      <c r="W79" s="182"/>
      <c r="X79" s="182"/>
      <c r="Y79" s="182"/>
      <c r="Z79" s="182"/>
      <c r="AA79" s="182"/>
      <c r="AB79" s="182"/>
      <c r="AC79" s="182"/>
      <c r="AD79" s="182"/>
      <c r="AE79" s="182"/>
      <c r="AF79" s="182"/>
      <c r="AG79" s="182"/>
      <c r="AH79" s="182"/>
      <c r="AI79" s="182"/>
      <c r="AJ79" s="167">
        <f t="shared" si="37"/>
        <v>10</v>
      </c>
      <c r="AK79" s="493" t="str">
        <f>HYPERLINK("https://twitter.com/jcrasnick/status/814901696040202240","Twitter")</f>
        <v>Twitter</v>
      </c>
      <c r="AL79" s="341">
        <v>42734</v>
      </c>
      <c r="AM79" s="352"/>
      <c r="AN79" s="352"/>
      <c r="AO79" s="352"/>
      <c r="AP79" s="352"/>
      <c r="AQ79" s="352"/>
      <c r="AR79" s="352"/>
      <c r="AS79" s="352"/>
      <c r="AT79" s="352"/>
      <c r="AU79" s="352"/>
      <c r="AV79" s="352"/>
      <c r="AW79" s="352"/>
      <c r="AX79" s="352"/>
      <c r="AY79" s="352"/>
      <c r="AZ79" s="352"/>
      <c r="BA79" s="352"/>
      <c r="BB79" s="352"/>
      <c r="BC79" s="352"/>
      <c r="BD79" s="352"/>
      <c r="BE79" s="352"/>
      <c r="BF79" s="352"/>
      <c r="BG79" s="352"/>
      <c r="BH79" s="352"/>
      <c r="BI79" s="352"/>
      <c r="BJ79" s="352"/>
      <c r="BK79" s="352"/>
      <c r="BL79" s="470"/>
      <c r="BM79" s="339"/>
      <c r="BN79" s="339"/>
      <c r="BO79" s="182"/>
      <c r="BP79" s="182"/>
      <c r="BQ79" s="182"/>
      <c r="BR79" s="182"/>
      <c r="BS79" s="182"/>
      <c r="BT79" s="182"/>
      <c r="BU79" s="182"/>
      <c r="BV79" s="182"/>
      <c r="BW79" s="182"/>
      <c r="BX79" s="182"/>
      <c r="BY79" s="182"/>
      <c r="BZ79" s="182"/>
      <c r="CA79" s="182"/>
      <c r="CB79" s="182"/>
      <c r="CC79" s="182"/>
      <c r="CD79" s="182"/>
      <c r="CE79" s="182"/>
      <c r="CF79" s="182"/>
      <c r="CG79" s="182"/>
      <c r="CH79" s="182"/>
      <c r="CI79" s="182"/>
      <c r="CJ79" s="182"/>
      <c r="CK79" s="182"/>
      <c r="CL79" s="618"/>
      <c r="CM79" s="619"/>
      <c r="CN79" s="620"/>
    </row>
    <row r="80" spans="1:92" s="344" customFormat="1">
      <c r="A80" s="335" t="s">
        <v>167</v>
      </c>
      <c r="B80" s="182" t="s">
        <v>100</v>
      </c>
      <c r="C80" s="182"/>
      <c r="D80" s="182"/>
      <c r="E80" s="182" t="s">
        <v>100</v>
      </c>
      <c r="F80" s="302" t="s">
        <v>100</v>
      </c>
      <c r="G80" s="320"/>
      <c r="H80" s="182" t="s">
        <v>100</v>
      </c>
      <c r="I80" s="182"/>
      <c r="J80" s="182" t="s">
        <v>100</v>
      </c>
      <c r="K80" s="182"/>
      <c r="L80" s="182" t="s">
        <v>100</v>
      </c>
      <c r="M80" s="182"/>
      <c r="N80" s="182" t="s">
        <v>100</v>
      </c>
      <c r="O80" s="182" t="s">
        <v>100</v>
      </c>
      <c r="P80" s="182"/>
      <c r="Q80" s="182"/>
      <c r="R80" s="182"/>
      <c r="S80" s="302" t="s">
        <v>100</v>
      </c>
      <c r="T80" s="182" t="s">
        <v>100</v>
      </c>
      <c r="U80" s="182"/>
      <c r="V80" s="182"/>
      <c r="W80" s="182"/>
      <c r="X80" s="182"/>
      <c r="Y80" s="182"/>
      <c r="Z80" s="182"/>
      <c r="AA80" s="182"/>
      <c r="AB80" s="182"/>
      <c r="AC80" s="182"/>
      <c r="AD80" s="182"/>
      <c r="AE80" s="182"/>
      <c r="AF80" s="182"/>
      <c r="AG80" s="182"/>
      <c r="AH80" s="182"/>
      <c r="AI80" s="182"/>
      <c r="AJ80" s="167">
        <f t="shared" si="37"/>
        <v>10</v>
      </c>
      <c r="AK80" s="493" t="str">
        <f>HYPERLINK("https://twitter.com/JackCurryYES/status/812087094789160960","Twitter")</f>
        <v>Twitter</v>
      </c>
      <c r="AL80" s="341">
        <v>42725</v>
      </c>
      <c r="AM80" s="352"/>
      <c r="AN80" s="352"/>
      <c r="AO80" s="352"/>
      <c r="AP80" s="352"/>
      <c r="AQ80" s="352"/>
      <c r="AR80" s="352"/>
      <c r="AS80" s="352"/>
      <c r="AT80" s="352"/>
      <c r="AU80" s="352"/>
      <c r="AV80" s="352"/>
      <c r="AW80" s="352"/>
      <c r="AX80" s="352"/>
      <c r="AY80" s="352"/>
      <c r="AZ80" s="352"/>
      <c r="BA80" s="352"/>
      <c r="BB80" s="352"/>
      <c r="BC80" s="352"/>
      <c r="BD80" s="352"/>
      <c r="BE80" s="352"/>
      <c r="BF80" s="352"/>
      <c r="BG80" s="352"/>
      <c r="BH80" s="352"/>
      <c r="BI80" s="352"/>
      <c r="BJ80" s="352"/>
      <c r="BK80" s="352"/>
      <c r="BL80" s="470"/>
      <c r="BM80" s="339"/>
      <c r="BN80" s="339"/>
      <c r="BO80" s="182"/>
      <c r="BP80" s="182"/>
      <c r="BQ80" s="182"/>
      <c r="BR80" s="182"/>
      <c r="BS80" s="182"/>
      <c r="BT80" s="182"/>
      <c r="BU80" s="182"/>
      <c r="BV80" s="182"/>
      <c r="BW80" s="182"/>
      <c r="BX80" s="182"/>
      <c r="BY80" s="182"/>
      <c r="BZ80" s="182"/>
      <c r="CA80" s="182"/>
      <c r="CB80" s="182"/>
      <c r="CC80" s="182"/>
      <c r="CD80" s="182"/>
      <c r="CE80" s="182"/>
      <c r="CF80" s="182"/>
      <c r="CG80" s="182"/>
      <c r="CH80" s="182"/>
      <c r="CI80" s="182"/>
      <c r="CJ80" s="182"/>
      <c r="CK80" s="182"/>
      <c r="CL80" s="618"/>
      <c r="CM80" s="619"/>
      <c r="CN80" s="620"/>
    </row>
    <row r="81" spans="1:92">
      <c r="A81" s="181" t="s">
        <v>168</v>
      </c>
      <c r="B81" s="182" t="s">
        <v>100</v>
      </c>
      <c r="C81" s="302" t="s">
        <v>100</v>
      </c>
      <c r="D81" s="302" t="s">
        <v>100</v>
      </c>
      <c r="E81" s="182" t="s">
        <v>100</v>
      </c>
      <c r="F81" s="182" t="s">
        <v>100</v>
      </c>
      <c r="G81" s="182"/>
      <c r="H81" s="182"/>
      <c r="I81" s="182"/>
      <c r="J81" s="182" t="s">
        <v>100</v>
      </c>
      <c r="K81" s="182"/>
      <c r="L81" s="182" t="s">
        <v>100</v>
      </c>
      <c r="M81" s="182" t="s">
        <v>100</v>
      </c>
      <c r="N81" s="182" t="s">
        <v>100</v>
      </c>
      <c r="O81" s="182" t="s">
        <v>100</v>
      </c>
      <c r="P81" s="182"/>
      <c r="Q81" s="182"/>
      <c r="R81" s="182"/>
      <c r="S81" s="182"/>
      <c r="T81" s="182"/>
      <c r="U81" s="182"/>
      <c r="V81" s="182"/>
      <c r="W81" s="182"/>
      <c r="X81" s="182"/>
      <c r="Y81" s="182"/>
      <c r="Z81" s="182"/>
      <c r="AA81" s="182"/>
      <c r="AB81" s="182"/>
      <c r="AC81" s="182"/>
      <c r="AD81" s="182"/>
      <c r="AE81" s="182"/>
      <c r="AF81" s="182"/>
      <c r="AG81" s="182"/>
      <c r="AH81" s="182"/>
      <c r="AI81" s="182"/>
      <c r="AJ81" s="167">
        <f t="shared" si="37"/>
        <v>10</v>
      </c>
      <c r="AK81" s="482" t="s">
        <v>115</v>
      </c>
      <c r="AL81" s="186">
        <v>42714</v>
      </c>
      <c r="AM81" s="187"/>
      <c r="AN81" s="187"/>
      <c r="AO81" s="187"/>
      <c r="AP81" s="187"/>
      <c r="AQ81" s="187"/>
      <c r="AR81" s="187"/>
      <c r="AS81" s="187"/>
      <c r="AT81" s="187"/>
      <c r="AU81" s="187"/>
      <c r="AV81" s="187"/>
      <c r="AW81" s="187"/>
      <c r="AX81" s="187"/>
      <c r="AY81" s="187"/>
      <c r="AZ81" s="187"/>
      <c r="BA81" s="187"/>
      <c r="BB81" s="187"/>
      <c r="BC81" s="187"/>
      <c r="BD81" s="187"/>
      <c r="BE81" s="187"/>
      <c r="BF81" s="187"/>
      <c r="BG81" s="187"/>
      <c r="BH81" s="187"/>
      <c r="BI81" s="187"/>
      <c r="BJ81" s="187"/>
      <c r="BK81" s="187"/>
      <c r="BL81" s="273"/>
      <c r="BM81" s="167"/>
      <c r="BN81" s="167"/>
      <c r="BO81" s="644"/>
      <c r="BP81" s="644"/>
      <c r="BQ81" s="644"/>
      <c r="BR81" s="644"/>
      <c r="BS81" s="644"/>
      <c r="BT81" s="644"/>
      <c r="BU81" s="644"/>
      <c r="BV81" s="644"/>
      <c r="BW81" s="644"/>
      <c r="BX81" s="644"/>
      <c r="BY81" s="644"/>
      <c r="BZ81" s="644"/>
      <c r="CA81" s="644"/>
      <c r="CB81" s="644"/>
      <c r="CC81" s="644"/>
      <c r="CD81" s="644"/>
      <c r="CE81" s="644"/>
      <c r="CF81" s="644"/>
      <c r="CG81" s="644"/>
      <c r="CH81" s="644"/>
      <c r="CI81" s="644"/>
      <c r="CJ81" s="644"/>
      <c r="CK81" s="644"/>
      <c r="CL81" s="680"/>
      <c r="CM81" s="681"/>
      <c r="CN81" s="682"/>
    </row>
    <row r="82" spans="1:92" s="344" customFormat="1">
      <c r="A82" s="335" t="s">
        <v>169</v>
      </c>
      <c r="B82" s="182" t="s">
        <v>100</v>
      </c>
      <c r="C82" s="182"/>
      <c r="D82" s="182"/>
      <c r="E82" s="182"/>
      <c r="F82" s="320"/>
      <c r="G82" s="182"/>
      <c r="H82" s="182"/>
      <c r="I82" s="182"/>
      <c r="J82" s="320"/>
      <c r="K82" s="182"/>
      <c r="L82" s="182" t="s">
        <v>100</v>
      </c>
      <c r="M82" s="182"/>
      <c r="N82" s="182" t="s">
        <v>100</v>
      </c>
      <c r="O82" s="182"/>
      <c r="P82" s="302" t="s">
        <v>100</v>
      </c>
      <c r="Q82" s="182"/>
      <c r="R82" s="182"/>
      <c r="S82" s="182"/>
      <c r="T82" s="182"/>
      <c r="U82" s="182"/>
      <c r="V82" s="182"/>
      <c r="W82" s="182"/>
      <c r="X82" s="182"/>
      <c r="Y82" s="182"/>
      <c r="Z82" s="182"/>
      <c r="AA82" s="182"/>
      <c r="AB82" s="182"/>
      <c r="AC82" s="182"/>
      <c r="AD82" s="182"/>
      <c r="AE82" s="182"/>
      <c r="AF82" s="182"/>
      <c r="AG82" s="182"/>
      <c r="AH82" s="182"/>
      <c r="AI82" s="182"/>
      <c r="AJ82" s="167">
        <f t="shared" si="37"/>
        <v>4</v>
      </c>
      <c r="AK82" s="493" t="str">
        <f>HYPERLINK("https://twitter.com/EnquirerDoc/status/816134645444202497","Twitter")</f>
        <v>Twitter</v>
      </c>
      <c r="AL82" s="341">
        <v>42737</v>
      </c>
      <c r="AM82" s="352"/>
      <c r="AN82" s="352"/>
      <c r="AO82" s="352"/>
      <c r="AP82" s="352"/>
      <c r="AQ82" s="352"/>
      <c r="AR82" s="352"/>
      <c r="AS82" s="352"/>
      <c r="AT82" s="352"/>
      <c r="AU82" s="352"/>
      <c r="AV82" s="352"/>
      <c r="AW82" s="352"/>
      <c r="AX82" s="352"/>
      <c r="AY82" s="352"/>
      <c r="AZ82" s="352"/>
      <c r="BA82" s="352"/>
      <c r="BB82" s="352"/>
      <c r="BC82" s="352"/>
      <c r="BD82" s="352"/>
      <c r="BE82" s="352"/>
      <c r="BF82" s="352"/>
      <c r="BG82" s="352"/>
      <c r="BH82" s="352"/>
      <c r="BI82" s="352"/>
      <c r="BJ82" s="352"/>
      <c r="BK82" s="352"/>
      <c r="BL82" s="470"/>
      <c r="BM82" s="339"/>
      <c r="BN82" s="339"/>
      <c r="BO82" s="182"/>
      <c r="BP82" s="182"/>
      <c r="BQ82" s="182"/>
      <c r="BR82" s="182"/>
      <c r="BS82" s="182"/>
      <c r="BT82" s="182"/>
      <c r="BU82" s="182"/>
      <c r="BV82" s="182"/>
      <c r="BW82" s="182"/>
      <c r="BX82" s="182"/>
      <c r="BY82" s="182"/>
      <c r="BZ82" s="182"/>
      <c r="CA82" s="182"/>
      <c r="CB82" s="182"/>
      <c r="CC82" s="182"/>
      <c r="CD82" s="182"/>
      <c r="CE82" s="182"/>
      <c r="CF82" s="182"/>
      <c r="CG82" s="182"/>
      <c r="CH82" s="182"/>
      <c r="CI82" s="182"/>
      <c r="CJ82" s="182"/>
      <c r="CK82" s="182"/>
      <c r="CL82" s="618"/>
      <c r="CM82" s="619"/>
      <c r="CN82" s="620"/>
    </row>
    <row r="83" spans="1:92" s="344" customFormat="1">
      <c r="A83" s="335" t="s">
        <v>555</v>
      </c>
      <c r="B83" s="182"/>
      <c r="C83" s="182" t="s">
        <v>100</v>
      </c>
      <c r="D83" s="182" t="s">
        <v>100</v>
      </c>
      <c r="E83" s="182" t="s">
        <v>100</v>
      </c>
      <c r="F83" s="182" t="s">
        <v>100</v>
      </c>
      <c r="G83" s="182" t="s">
        <v>100</v>
      </c>
      <c r="H83" s="182"/>
      <c r="I83" s="182"/>
      <c r="J83" s="182" t="s">
        <v>100</v>
      </c>
      <c r="K83" s="182"/>
      <c r="L83" s="182" t="s">
        <v>100</v>
      </c>
      <c r="M83" s="182"/>
      <c r="N83" s="182" t="s">
        <v>100</v>
      </c>
      <c r="O83" s="182" t="s">
        <v>100</v>
      </c>
      <c r="P83" s="182"/>
      <c r="Q83" s="182"/>
      <c r="R83" s="182"/>
      <c r="S83" s="182"/>
      <c r="T83" s="182" t="s">
        <v>100</v>
      </c>
      <c r="U83" s="182"/>
      <c r="V83" s="182"/>
      <c r="W83" s="182"/>
      <c r="X83" s="182"/>
      <c r="Y83" s="182"/>
      <c r="Z83" s="182"/>
      <c r="AA83" s="182"/>
      <c r="AB83" s="182"/>
      <c r="AC83" s="182"/>
      <c r="AD83" s="182"/>
      <c r="AE83" s="182"/>
      <c r="AF83" s="182"/>
      <c r="AG83" s="182"/>
      <c r="AH83" s="182"/>
      <c r="AI83" s="182"/>
      <c r="AJ83" s="167">
        <f t="shared" si="37"/>
        <v>10</v>
      </c>
      <c r="AK83" s="483" t="s">
        <v>556</v>
      </c>
      <c r="AL83" s="341">
        <v>42746</v>
      </c>
      <c r="AM83" s="352"/>
      <c r="AN83" s="352"/>
      <c r="AO83" s="352"/>
      <c r="AP83" s="352"/>
      <c r="AQ83" s="352"/>
      <c r="AR83" s="352"/>
      <c r="AS83" s="352"/>
      <c r="AT83" s="352"/>
      <c r="AU83" s="352"/>
      <c r="AV83" s="352"/>
      <c r="AW83" s="352"/>
      <c r="AX83" s="352"/>
      <c r="AY83" s="352"/>
      <c r="AZ83" s="352"/>
      <c r="BA83" s="352"/>
      <c r="BB83" s="352"/>
      <c r="BC83" s="352"/>
      <c r="BD83" s="352"/>
      <c r="BE83" s="352"/>
      <c r="BF83" s="352"/>
      <c r="BG83" s="352"/>
      <c r="BH83" s="352"/>
      <c r="BI83" s="352"/>
      <c r="BJ83" s="352"/>
      <c r="BK83" s="352"/>
      <c r="BL83" s="470"/>
      <c r="BM83" s="339"/>
      <c r="BN83" s="339"/>
      <c r="BO83" s="182"/>
      <c r="BP83" s="182"/>
      <c r="BQ83" s="182"/>
      <c r="BR83" s="182"/>
      <c r="BS83" s="182"/>
      <c r="BT83" s="182"/>
      <c r="BU83" s="182"/>
      <c r="BV83" s="182"/>
      <c r="BW83" s="182"/>
      <c r="BX83" s="182"/>
      <c r="BY83" s="182"/>
      <c r="BZ83" s="182"/>
      <c r="CA83" s="182"/>
      <c r="CB83" s="182"/>
      <c r="CC83" s="182"/>
      <c r="CD83" s="182"/>
      <c r="CE83" s="182"/>
      <c r="CF83" s="182"/>
      <c r="CG83" s="182"/>
      <c r="CH83" s="182"/>
      <c r="CI83" s="182"/>
      <c r="CJ83" s="182"/>
      <c r="CK83" s="182"/>
      <c r="CL83" s="618"/>
      <c r="CM83" s="619"/>
      <c r="CN83" s="620"/>
    </row>
    <row r="84" spans="1:92" s="344" customFormat="1">
      <c r="A84" s="335" t="s">
        <v>172</v>
      </c>
      <c r="B84" s="182" t="s">
        <v>100</v>
      </c>
      <c r="C84" s="182" t="s">
        <v>100</v>
      </c>
      <c r="D84" s="182" t="s">
        <v>100</v>
      </c>
      <c r="E84" s="182"/>
      <c r="F84" s="182"/>
      <c r="G84" s="182"/>
      <c r="H84" s="182" t="s">
        <v>100</v>
      </c>
      <c r="I84" s="182"/>
      <c r="J84" s="182" t="s">
        <v>100</v>
      </c>
      <c r="K84" s="182"/>
      <c r="L84" s="302" t="s">
        <v>100</v>
      </c>
      <c r="M84" s="182" t="s">
        <v>100</v>
      </c>
      <c r="N84" s="182" t="s">
        <v>100</v>
      </c>
      <c r="O84" s="182" t="s">
        <v>100</v>
      </c>
      <c r="P84" s="182"/>
      <c r="Q84" s="182"/>
      <c r="R84" s="182"/>
      <c r="S84" s="182"/>
      <c r="T84" s="182" t="s">
        <v>100</v>
      </c>
      <c r="U84" s="182"/>
      <c r="V84" s="182"/>
      <c r="W84" s="182"/>
      <c r="X84" s="182"/>
      <c r="Y84" s="182"/>
      <c r="Z84" s="182"/>
      <c r="AA84" s="182"/>
      <c r="AB84" s="182"/>
      <c r="AC84" s="182"/>
      <c r="AD84" s="182"/>
      <c r="AE84" s="182"/>
      <c r="AF84" s="182"/>
      <c r="AG84" s="182"/>
      <c r="AH84" s="182"/>
      <c r="AI84" s="182"/>
      <c r="AJ84" s="167">
        <f t="shared" si="37"/>
        <v>10</v>
      </c>
      <c r="AK84" s="493" t="str">
        <f>HYPERLINK("http://nypost.com/2017/01/14/my-ballot-for-the-baseball-hall-of-fame-a-f-king-museum/","NY Post")</f>
        <v>NY Post</v>
      </c>
      <c r="AL84" s="341">
        <v>42749</v>
      </c>
      <c r="AM84" s="352"/>
      <c r="AN84" s="352"/>
      <c r="AO84" s="352"/>
      <c r="AP84" s="352"/>
      <c r="AQ84" s="352"/>
      <c r="AR84" s="352"/>
      <c r="AS84" s="352"/>
      <c r="AT84" s="352"/>
      <c r="AU84" s="352"/>
      <c r="AV84" s="352"/>
      <c r="AW84" s="352"/>
      <c r="AX84" s="352"/>
      <c r="AY84" s="352"/>
      <c r="AZ84" s="352"/>
      <c r="BA84" s="352"/>
      <c r="BB84" s="352"/>
      <c r="BC84" s="352"/>
      <c r="BD84" s="352"/>
      <c r="BE84" s="352"/>
      <c r="BF84" s="352"/>
      <c r="BG84" s="352"/>
      <c r="BH84" s="352"/>
      <c r="BI84" s="352"/>
      <c r="BJ84" s="352"/>
      <c r="BK84" s="352"/>
      <c r="BL84" s="470"/>
      <c r="BM84" s="339"/>
      <c r="BN84" s="339"/>
      <c r="BO84" s="182"/>
      <c r="BP84" s="182"/>
      <c r="BQ84" s="182"/>
      <c r="BR84" s="182"/>
      <c r="BS84" s="182"/>
      <c r="BT84" s="182"/>
      <c r="BU84" s="182"/>
      <c r="BV84" s="182"/>
      <c r="BW84" s="182"/>
      <c r="BX84" s="182"/>
      <c r="BY84" s="182"/>
      <c r="BZ84" s="182"/>
      <c r="CA84" s="182"/>
      <c r="CB84" s="182"/>
      <c r="CC84" s="182"/>
      <c r="CD84" s="182"/>
      <c r="CE84" s="182"/>
      <c r="CF84" s="182"/>
      <c r="CG84" s="182"/>
      <c r="CH84" s="182"/>
      <c r="CI84" s="182"/>
      <c r="CJ84" s="182"/>
      <c r="CK84" s="182"/>
      <c r="CL84" s="618"/>
      <c r="CM84" s="619"/>
      <c r="CN84" s="620"/>
    </row>
    <row r="85" spans="1:92" s="344" customFormat="1">
      <c r="A85" s="335" t="s">
        <v>174</v>
      </c>
      <c r="B85" s="182" t="s">
        <v>100</v>
      </c>
      <c r="C85" s="182"/>
      <c r="D85" s="182"/>
      <c r="E85" s="182"/>
      <c r="F85" s="182" t="s">
        <v>100</v>
      </c>
      <c r="G85" s="182"/>
      <c r="H85" s="182"/>
      <c r="I85" s="182"/>
      <c r="J85" s="182"/>
      <c r="K85" s="182"/>
      <c r="L85" s="302" t="s">
        <v>100</v>
      </c>
      <c r="M85" s="182"/>
      <c r="N85" s="182" t="s">
        <v>100</v>
      </c>
      <c r="O85" s="302" t="s">
        <v>100</v>
      </c>
      <c r="P85" s="182"/>
      <c r="Q85" s="182"/>
      <c r="R85" s="182"/>
      <c r="S85" s="182"/>
      <c r="T85" s="182"/>
      <c r="U85" s="182"/>
      <c r="V85" s="182"/>
      <c r="W85" s="182"/>
      <c r="X85" s="182"/>
      <c r="Y85" s="182"/>
      <c r="Z85" s="182"/>
      <c r="AA85" s="182"/>
      <c r="AB85" s="182"/>
      <c r="AC85" s="182"/>
      <c r="AD85" s="182"/>
      <c r="AE85" s="182"/>
      <c r="AF85" s="182"/>
      <c r="AG85" s="182"/>
      <c r="AH85" s="182"/>
      <c r="AI85" s="182"/>
      <c r="AJ85" s="167">
        <f t="shared" si="37"/>
        <v>5</v>
      </c>
      <c r="AK85" s="493" t="str">
        <f>HYPERLINK("https://twitter.com/Saders76/status/817554455558311937","Twitter")</f>
        <v>Twitter</v>
      </c>
      <c r="AL85" s="341">
        <v>42741</v>
      </c>
      <c r="AM85" s="352"/>
      <c r="AN85" s="352"/>
      <c r="AO85" s="352"/>
      <c r="AP85" s="352"/>
      <c r="AQ85" s="352"/>
      <c r="AR85" s="352"/>
      <c r="AS85" s="352"/>
      <c r="AT85" s="352"/>
      <c r="AU85" s="352"/>
      <c r="AV85" s="352"/>
      <c r="AW85" s="352"/>
      <c r="AX85" s="352"/>
      <c r="AY85" s="352"/>
      <c r="AZ85" s="352"/>
      <c r="BA85" s="352"/>
      <c r="BB85" s="352"/>
      <c r="BC85" s="352"/>
      <c r="BD85" s="352"/>
      <c r="BE85" s="352"/>
      <c r="BF85" s="352"/>
      <c r="BG85" s="352"/>
      <c r="BH85" s="352"/>
      <c r="BI85" s="352"/>
      <c r="BJ85" s="352"/>
      <c r="BK85" s="352"/>
      <c r="BL85" s="470"/>
      <c r="BM85" s="339"/>
      <c r="BN85" s="339"/>
      <c r="BO85" s="182"/>
      <c r="BP85" s="182"/>
      <c r="BQ85" s="182"/>
      <c r="BR85" s="182"/>
      <c r="BS85" s="182"/>
      <c r="BT85" s="182"/>
      <c r="BU85" s="182"/>
      <c r="BV85" s="182"/>
      <c r="BW85" s="182"/>
      <c r="BX85" s="182"/>
      <c r="BY85" s="182"/>
      <c r="BZ85" s="182"/>
      <c r="CA85" s="182"/>
      <c r="CB85" s="182"/>
      <c r="CC85" s="182"/>
      <c r="CD85" s="182"/>
      <c r="CE85" s="182"/>
      <c r="CF85" s="182"/>
      <c r="CG85" s="182"/>
      <c r="CH85" s="182"/>
      <c r="CI85" s="182"/>
      <c r="CJ85" s="182"/>
      <c r="CK85" s="182"/>
      <c r="CL85" s="618"/>
      <c r="CM85" s="619"/>
      <c r="CN85" s="620"/>
    </row>
    <row r="86" spans="1:92" s="344" customFormat="1">
      <c r="A86" s="335" t="s">
        <v>175</v>
      </c>
      <c r="B86" s="182" t="s">
        <v>100</v>
      </c>
      <c r="C86" s="182"/>
      <c r="D86" s="182"/>
      <c r="E86" s="182"/>
      <c r="F86" s="182" t="s">
        <v>100</v>
      </c>
      <c r="G86" s="182"/>
      <c r="H86" s="182" t="s">
        <v>100</v>
      </c>
      <c r="I86" s="182" t="s">
        <v>100</v>
      </c>
      <c r="J86" s="182" t="s">
        <v>100</v>
      </c>
      <c r="K86" s="182"/>
      <c r="L86" s="182" t="s">
        <v>100</v>
      </c>
      <c r="M86" s="182"/>
      <c r="N86" s="182"/>
      <c r="O86" s="182"/>
      <c r="P86" s="182"/>
      <c r="Q86" s="182" t="s">
        <v>100</v>
      </c>
      <c r="R86" s="182"/>
      <c r="S86" s="182"/>
      <c r="T86" s="182"/>
      <c r="U86" s="182"/>
      <c r="V86" s="182"/>
      <c r="W86" s="182"/>
      <c r="X86" s="182"/>
      <c r="Y86" s="182"/>
      <c r="Z86" s="182"/>
      <c r="AA86" s="182"/>
      <c r="AB86" s="182"/>
      <c r="AC86" s="182"/>
      <c r="AD86" s="182"/>
      <c r="AE86" s="182"/>
      <c r="AF86" s="182"/>
      <c r="AG86" s="182"/>
      <c r="AH86" s="182"/>
      <c r="AI86" s="182"/>
      <c r="AJ86" s="167">
        <f t="shared" si="37"/>
        <v>7</v>
      </c>
      <c r="AK86" s="493" t="str">
        <f>HYPERLINK("http://www.newyorkmetsreport.com/2017/01/03/my-hall-of-fame-ballot-2/","New York Mets Report")</f>
        <v>New York Mets Report</v>
      </c>
      <c r="AL86" s="341">
        <v>42739</v>
      </c>
      <c r="AM86" s="352"/>
      <c r="AN86" s="352"/>
      <c r="AO86" s="352"/>
      <c r="AP86" s="352"/>
      <c r="AQ86" s="352"/>
      <c r="AR86" s="352"/>
      <c r="AS86" s="352"/>
      <c r="AT86" s="352"/>
      <c r="AU86" s="352"/>
      <c r="AV86" s="352"/>
      <c r="AW86" s="352"/>
      <c r="AX86" s="352"/>
      <c r="AY86" s="352"/>
      <c r="AZ86" s="352"/>
      <c r="BA86" s="352"/>
      <c r="BB86" s="352"/>
      <c r="BC86" s="352"/>
      <c r="BD86" s="352"/>
      <c r="BE86" s="352"/>
      <c r="BF86" s="352"/>
      <c r="BG86" s="352"/>
      <c r="BH86" s="352"/>
      <c r="BI86" s="352"/>
      <c r="BJ86" s="352"/>
      <c r="BK86" s="352"/>
      <c r="BL86" s="470"/>
      <c r="BM86" s="339"/>
      <c r="BN86" s="339"/>
      <c r="BO86" s="182"/>
      <c r="BP86" s="182"/>
      <c r="BQ86" s="182"/>
      <c r="BR86" s="182"/>
      <c r="BS86" s="182"/>
      <c r="BT86" s="182"/>
      <c r="BU86" s="182"/>
      <c r="BV86" s="182"/>
      <c r="BW86" s="182"/>
      <c r="BX86" s="182"/>
      <c r="BY86" s="182"/>
      <c r="BZ86" s="182"/>
      <c r="CA86" s="182"/>
      <c r="CB86" s="182"/>
      <c r="CC86" s="182"/>
      <c r="CD86" s="182"/>
      <c r="CE86" s="182"/>
      <c r="CF86" s="182"/>
      <c r="CG86" s="182"/>
      <c r="CH86" s="182"/>
      <c r="CI86" s="182"/>
      <c r="CJ86" s="182"/>
      <c r="CK86" s="182"/>
      <c r="CL86" s="618"/>
      <c r="CM86" s="619"/>
      <c r="CN86" s="620"/>
    </row>
    <row r="87" spans="1:92" s="344" customFormat="1">
      <c r="A87" s="335" t="s">
        <v>176</v>
      </c>
      <c r="B87" s="302" t="s">
        <v>100</v>
      </c>
      <c r="C87" s="182" t="s">
        <v>100</v>
      </c>
      <c r="D87" s="182" t="s">
        <v>100</v>
      </c>
      <c r="E87" s="182" t="s">
        <v>100</v>
      </c>
      <c r="F87" s="182" t="s">
        <v>100</v>
      </c>
      <c r="G87" s="182"/>
      <c r="H87" s="302" t="s">
        <v>100</v>
      </c>
      <c r="I87" s="182"/>
      <c r="J87" s="182"/>
      <c r="K87" s="182"/>
      <c r="L87" s="182" t="s">
        <v>100</v>
      </c>
      <c r="M87" s="182" t="s">
        <v>100</v>
      </c>
      <c r="N87" s="182" t="s">
        <v>100</v>
      </c>
      <c r="O87" s="182"/>
      <c r="P87" s="182"/>
      <c r="Q87" s="182"/>
      <c r="R87" s="182" t="s">
        <v>100</v>
      </c>
      <c r="S87" s="182"/>
      <c r="T87" s="182"/>
      <c r="U87" s="182"/>
      <c r="V87" s="182"/>
      <c r="W87" s="182"/>
      <c r="X87" s="182"/>
      <c r="Y87" s="182"/>
      <c r="Z87" s="182"/>
      <c r="AA87" s="182"/>
      <c r="AB87" s="182"/>
      <c r="AC87" s="182"/>
      <c r="AD87" s="182"/>
      <c r="AE87" s="182"/>
      <c r="AF87" s="182"/>
      <c r="AG87" s="182"/>
      <c r="AH87" s="182"/>
      <c r="AI87" s="182"/>
      <c r="AJ87" s="167">
        <f t="shared" si="37"/>
        <v>10</v>
      </c>
      <c r="AK87" s="493" t="str">
        <f>HYPERLINK("https://twitter.com/ChrisDeLuca/status/814535579463520256","Twitter")</f>
        <v>Twitter</v>
      </c>
      <c r="AL87" s="341">
        <v>42733</v>
      </c>
      <c r="AM87" s="352"/>
      <c r="AN87" s="352"/>
      <c r="AO87" s="352"/>
      <c r="AP87" s="352"/>
      <c r="AQ87" s="352"/>
      <c r="AR87" s="352"/>
      <c r="AS87" s="352"/>
      <c r="AT87" s="352"/>
      <c r="AU87" s="352"/>
      <c r="AV87" s="352"/>
      <c r="AW87" s="352"/>
      <c r="AX87" s="352"/>
      <c r="AY87" s="352"/>
      <c r="AZ87" s="352"/>
      <c r="BA87" s="352"/>
      <c r="BB87" s="352"/>
      <c r="BC87" s="352"/>
      <c r="BD87" s="352"/>
      <c r="BE87" s="352"/>
      <c r="BF87" s="352"/>
      <c r="BG87" s="352"/>
      <c r="BH87" s="352"/>
      <c r="BI87" s="352"/>
      <c r="BJ87" s="352"/>
      <c r="BK87" s="352"/>
      <c r="BL87" s="470"/>
      <c r="BM87" s="339"/>
      <c r="BN87" s="339"/>
      <c r="BO87" s="182"/>
      <c r="BP87" s="182"/>
      <c r="BQ87" s="182"/>
      <c r="BR87" s="182"/>
      <c r="BS87" s="182"/>
      <c r="BT87" s="182"/>
      <c r="BU87" s="182"/>
      <c r="BV87" s="182"/>
      <c r="BW87" s="182"/>
      <c r="BX87" s="182"/>
      <c r="BY87" s="182"/>
      <c r="BZ87" s="182"/>
      <c r="CA87" s="182"/>
      <c r="CB87" s="182"/>
      <c r="CC87" s="182"/>
      <c r="CD87" s="182"/>
      <c r="CE87" s="182"/>
      <c r="CF87" s="182"/>
      <c r="CG87" s="182"/>
      <c r="CH87" s="182"/>
      <c r="CI87" s="182"/>
      <c r="CJ87" s="182"/>
      <c r="CK87" s="182"/>
      <c r="CL87" s="618"/>
      <c r="CM87" s="619"/>
      <c r="CN87" s="620"/>
    </row>
    <row r="88" spans="1:92">
      <c r="A88" s="181" t="s">
        <v>178</v>
      </c>
      <c r="B88" s="182" t="s">
        <v>100</v>
      </c>
      <c r="C88" s="182" t="s">
        <v>100</v>
      </c>
      <c r="D88" s="182" t="s">
        <v>100</v>
      </c>
      <c r="E88" s="182"/>
      <c r="F88" s="302" t="s">
        <v>100</v>
      </c>
      <c r="G88" s="182"/>
      <c r="H88" s="302" t="s">
        <v>100</v>
      </c>
      <c r="I88" s="182"/>
      <c r="J88" s="320"/>
      <c r="K88" s="182"/>
      <c r="L88" s="182" t="s">
        <v>100</v>
      </c>
      <c r="M88" s="182" t="s">
        <v>100</v>
      </c>
      <c r="N88" s="182" t="s">
        <v>100</v>
      </c>
      <c r="O88" s="182" t="s">
        <v>100</v>
      </c>
      <c r="P88" s="182"/>
      <c r="Q88" s="182" t="s">
        <v>100</v>
      </c>
      <c r="R88" s="182"/>
      <c r="S88" s="182"/>
      <c r="T88" s="182"/>
      <c r="U88" s="182"/>
      <c r="V88" s="182"/>
      <c r="W88" s="182"/>
      <c r="X88" s="182"/>
      <c r="Y88" s="182"/>
      <c r="Z88" s="182"/>
      <c r="AA88" s="182"/>
      <c r="AB88" s="182"/>
      <c r="AC88" s="182"/>
      <c r="AD88" s="182"/>
      <c r="AE88" s="182"/>
      <c r="AF88" s="182"/>
      <c r="AG88" s="182"/>
      <c r="AH88" s="182"/>
      <c r="AI88" s="182"/>
      <c r="AJ88" s="167">
        <f t="shared" si="37"/>
        <v>10</v>
      </c>
      <c r="AK88" s="482" t="s">
        <v>543</v>
      </c>
      <c r="AL88" s="186">
        <v>42712</v>
      </c>
      <c r="AM88" s="187"/>
      <c r="AN88" s="187"/>
      <c r="AO88" s="187"/>
      <c r="AP88" s="187"/>
      <c r="AQ88" s="187"/>
      <c r="AR88" s="187"/>
      <c r="AS88" s="187"/>
      <c r="AT88" s="187"/>
      <c r="AU88" s="187"/>
      <c r="AV88" s="187"/>
      <c r="AW88" s="187"/>
      <c r="AX88" s="187"/>
      <c r="AY88" s="187"/>
      <c r="AZ88" s="187"/>
      <c r="BA88" s="187"/>
      <c r="BB88" s="187"/>
      <c r="BC88" s="187"/>
      <c r="BD88" s="187"/>
      <c r="BE88" s="187"/>
      <c r="BF88" s="187"/>
      <c r="BG88" s="187"/>
      <c r="BH88" s="187"/>
      <c r="BI88" s="187"/>
      <c r="BJ88" s="187"/>
      <c r="BK88" s="187"/>
      <c r="BL88" s="273"/>
      <c r="BM88" s="167"/>
      <c r="BN88" s="167"/>
      <c r="BO88" s="644"/>
      <c r="BP88" s="644"/>
      <c r="BQ88" s="644"/>
      <c r="BR88" s="644"/>
      <c r="BS88" s="644"/>
      <c r="BT88" s="644"/>
      <c r="BU88" s="644"/>
      <c r="BV88" s="644"/>
      <c r="BW88" s="644"/>
      <c r="BX88" s="644"/>
      <c r="BY88" s="644"/>
      <c r="BZ88" s="644"/>
      <c r="CA88" s="644"/>
      <c r="CB88" s="644"/>
      <c r="CC88" s="644"/>
      <c r="CD88" s="644"/>
      <c r="CE88" s="644"/>
      <c r="CF88" s="644"/>
      <c r="CG88" s="644"/>
      <c r="CH88" s="644"/>
      <c r="CI88" s="644"/>
      <c r="CJ88" s="644"/>
      <c r="CK88" s="644"/>
      <c r="CL88" s="680"/>
      <c r="CM88" s="681"/>
      <c r="CN88" s="682"/>
    </row>
    <row r="89" spans="1:92" s="344" customFormat="1" ht="25.5">
      <c r="A89" s="335" t="s">
        <v>557</v>
      </c>
      <c r="B89" s="182"/>
      <c r="C89" s="182"/>
      <c r="D89" s="182"/>
      <c r="E89" s="182" t="s">
        <v>100</v>
      </c>
      <c r="F89" s="182" t="s">
        <v>100</v>
      </c>
      <c r="G89" s="182"/>
      <c r="H89" s="182"/>
      <c r="I89" s="182"/>
      <c r="J89" s="182"/>
      <c r="K89" s="182"/>
      <c r="L89" s="182" t="s">
        <v>100</v>
      </c>
      <c r="M89" s="182"/>
      <c r="N89" s="182"/>
      <c r="O89" s="182"/>
      <c r="P89" s="182"/>
      <c r="Q89" s="182"/>
      <c r="R89" s="182"/>
      <c r="S89" s="182"/>
      <c r="T89" s="182"/>
      <c r="U89" s="182"/>
      <c r="V89" s="182"/>
      <c r="W89" s="182"/>
      <c r="X89" s="182"/>
      <c r="Y89" s="182"/>
      <c r="Z89" s="182"/>
      <c r="AA89" s="182"/>
      <c r="AB89" s="182"/>
      <c r="AC89" s="182"/>
      <c r="AD89" s="182"/>
      <c r="AE89" s="182"/>
      <c r="AF89" s="182"/>
      <c r="AG89" s="182"/>
      <c r="AH89" s="182"/>
      <c r="AI89" s="182"/>
      <c r="AJ89" s="167">
        <f t="shared" si="37"/>
        <v>3</v>
      </c>
      <c r="AK89" s="493" t="str">
        <f>HYPERLINK("https://twitter.com/stevedilbeck/status/816009339248877568","Twitter")</f>
        <v>Twitter</v>
      </c>
      <c r="AL89" s="341">
        <v>42737</v>
      </c>
      <c r="AM89" s="352"/>
      <c r="AN89" s="352"/>
      <c r="AO89" s="352"/>
      <c r="AP89" s="352"/>
      <c r="AQ89" s="352"/>
      <c r="AR89" s="352"/>
      <c r="AS89" s="352"/>
      <c r="AT89" s="352"/>
      <c r="AU89" s="352"/>
      <c r="AV89" s="352"/>
      <c r="AW89" s="352"/>
      <c r="AX89" s="352"/>
      <c r="AY89" s="352"/>
      <c r="AZ89" s="352"/>
      <c r="BA89" s="352"/>
      <c r="BB89" s="352"/>
      <c r="BC89" s="352"/>
      <c r="BD89" s="352"/>
      <c r="BE89" s="352"/>
      <c r="BF89" s="352"/>
      <c r="BG89" s="352"/>
      <c r="BH89" s="352"/>
      <c r="BI89" s="352"/>
      <c r="BJ89" s="352"/>
      <c r="BK89" s="352"/>
      <c r="BL89" s="470"/>
      <c r="BM89" s="339"/>
      <c r="BN89" s="339"/>
      <c r="BO89" s="182"/>
      <c r="BP89" s="182"/>
      <c r="BQ89" s="182"/>
      <c r="BR89" s="182"/>
      <c r="BS89" s="182"/>
      <c r="BT89" s="182"/>
      <c r="BU89" s="182"/>
      <c r="BV89" s="182"/>
      <c r="BW89" s="182"/>
      <c r="BX89" s="182"/>
      <c r="BY89" s="182"/>
      <c r="BZ89" s="182"/>
      <c r="CA89" s="182"/>
      <c r="CB89" s="182"/>
      <c r="CC89" s="182"/>
      <c r="CD89" s="182"/>
      <c r="CE89" s="182"/>
      <c r="CF89" s="182"/>
      <c r="CG89" s="182"/>
      <c r="CH89" s="182"/>
      <c r="CI89" s="182"/>
      <c r="CJ89" s="182"/>
      <c r="CK89" s="182"/>
      <c r="CL89" s="618"/>
      <c r="CM89" s="619"/>
      <c r="CN89" s="620"/>
    </row>
    <row r="90" spans="1:92" ht="12.75" customHeight="1">
      <c r="A90" s="469" t="s">
        <v>180</v>
      </c>
      <c r="B90" s="410"/>
      <c r="C90" s="410" t="s">
        <v>100</v>
      </c>
      <c r="D90" s="410" t="s">
        <v>100</v>
      </c>
      <c r="E90" s="410" t="s">
        <v>100</v>
      </c>
      <c r="F90" s="502" t="s">
        <v>100</v>
      </c>
      <c r="G90" s="410"/>
      <c r="H90" s="410"/>
      <c r="I90" s="410"/>
      <c r="J90" s="410"/>
      <c r="K90" s="410"/>
      <c r="L90" s="410" t="s">
        <v>100</v>
      </c>
      <c r="M90" s="410"/>
      <c r="N90" s="410" t="s">
        <v>100</v>
      </c>
      <c r="O90" s="410"/>
      <c r="P90" s="410"/>
      <c r="Q90" s="410"/>
      <c r="R90" s="410"/>
      <c r="S90" s="410"/>
      <c r="T90" s="410"/>
      <c r="U90" s="639"/>
      <c r="V90" s="639"/>
      <c r="W90" s="639"/>
      <c r="X90" s="639"/>
      <c r="Y90" s="639"/>
      <c r="Z90" s="639"/>
      <c r="AA90" s="639"/>
      <c r="AB90" s="639"/>
      <c r="AC90" s="639"/>
      <c r="AD90" s="639"/>
      <c r="AE90" s="639"/>
      <c r="AF90" s="639"/>
      <c r="AG90" s="639"/>
      <c r="AH90" s="639"/>
      <c r="AI90" s="639"/>
      <c r="AJ90" s="167">
        <f t="shared" si="37"/>
        <v>6</v>
      </c>
      <c r="AK90" s="483" t="s">
        <v>138</v>
      </c>
      <c r="AL90" s="471">
        <v>42731</v>
      </c>
      <c r="AM90" s="136"/>
      <c r="AN90" s="136"/>
      <c r="AO90" s="136"/>
      <c r="AP90" s="136"/>
      <c r="AQ90" s="136"/>
      <c r="AR90" s="136"/>
      <c r="AS90" s="136"/>
      <c r="AT90" s="136"/>
      <c r="AU90" s="136"/>
      <c r="AV90" s="136"/>
      <c r="AW90" s="136"/>
      <c r="AX90" s="136"/>
      <c r="AY90" s="136"/>
      <c r="AZ90" s="136"/>
      <c r="BA90" s="136"/>
      <c r="BB90" s="136"/>
      <c r="BC90" s="136"/>
      <c r="BD90" s="136"/>
      <c r="BE90" s="136"/>
      <c r="BF90" s="136"/>
      <c r="BG90" s="136"/>
      <c r="BH90" s="136"/>
      <c r="BI90" s="136"/>
      <c r="BJ90" s="136"/>
      <c r="BK90" s="136"/>
      <c r="BL90" s="136"/>
      <c r="BM90" s="136"/>
      <c r="BN90" s="136"/>
      <c r="BO90" s="136"/>
      <c r="BP90" s="136"/>
      <c r="BQ90" s="136"/>
      <c r="BR90" s="136"/>
      <c r="BS90" s="136"/>
      <c r="BT90" s="136"/>
      <c r="BU90" s="136"/>
      <c r="BV90" s="136"/>
      <c r="BW90" s="136"/>
      <c r="BX90" s="136"/>
      <c r="BY90" s="136"/>
      <c r="BZ90" s="136"/>
      <c r="CA90" s="136"/>
      <c r="CB90" s="136"/>
      <c r="CC90" s="136"/>
      <c r="CD90" s="136"/>
      <c r="CE90" s="136"/>
      <c r="CF90" s="136"/>
      <c r="CG90" s="136"/>
      <c r="CH90" s="136"/>
      <c r="CI90" s="136"/>
      <c r="CJ90" s="136"/>
      <c r="CK90" s="136"/>
      <c r="CL90" s="680"/>
      <c r="CM90" s="681"/>
      <c r="CN90" s="682"/>
    </row>
    <row r="91" spans="1:92" s="344" customFormat="1">
      <c r="A91" s="335" t="s">
        <v>558</v>
      </c>
      <c r="B91" s="182" t="s">
        <v>100</v>
      </c>
      <c r="C91" s="182" t="s">
        <v>100</v>
      </c>
      <c r="D91" s="182" t="s">
        <v>100</v>
      </c>
      <c r="E91" s="182"/>
      <c r="F91" s="182"/>
      <c r="G91" s="182"/>
      <c r="H91" s="182" t="s">
        <v>100</v>
      </c>
      <c r="I91" s="182"/>
      <c r="J91" s="182" t="s">
        <v>100</v>
      </c>
      <c r="K91" s="182"/>
      <c r="L91" s="182" t="s">
        <v>100</v>
      </c>
      <c r="M91" s="182" t="s">
        <v>100</v>
      </c>
      <c r="N91" s="182" t="s">
        <v>100</v>
      </c>
      <c r="O91" s="182" t="s">
        <v>100</v>
      </c>
      <c r="P91" s="182"/>
      <c r="Q91" s="182"/>
      <c r="R91" s="182"/>
      <c r="S91" s="182"/>
      <c r="T91" s="302" t="s">
        <v>100</v>
      </c>
      <c r="U91" s="182"/>
      <c r="V91" s="182"/>
      <c r="W91" s="182"/>
      <c r="X91" s="182"/>
      <c r="Y91" s="182"/>
      <c r="Z91" s="182"/>
      <c r="AA91" s="182"/>
      <c r="AB91" s="182"/>
      <c r="AC91" s="182"/>
      <c r="AD91" s="182"/>
      <c r="AE91" s="182"/>
      <c r="AF91" s="182"/>
      <c r="AG91" s="182"/>
      <c r="AH91" s="182"/>
      <c r="AI91" s="182"/>
      <c r="AJ91" s="167">
        <f t="shared" si="37"/>
        <v>10</v>
      </c>
      <c r="AK91" s="493" t="str">
        <f>HYPERLINK("https://twitter.com/PaulDoyle1/status/813452709818994689","Twitter")</f>
        <v>Twitter</v>
      </c>
      <c r="AL91" s="341">
        <v>42730</v>
      </c>
      <c r="AM91" s="352"/>
      <c r="AN91" s="352"/>
      <c r="AO91" s="352"/>
      <c r="AP91" s="352"/>
      <c r="AQ91" s="352"/>
      <c r="AR91" s="352"/>
      <c r="AS91" s="352"/>
      <c r="AT91" s="352"/>
      <c r="AU91" s="352"/>
      <c r="AV91" s="352"/>
      <c r="AW91" s="352"/>
      <c r="AX91" s="352"/>
      <c r="AY91" s="352"/>
      <c r="AZ91" s="352"/>
      <c r="BA91" s="352"/>
      <c r="BB91" s="352"/>
      <c r="BC91" s="352"/>
      <c r="BD91" s="352"/>
      <c r="BE91" s="352"/>
      <c r="BF91" s="352"/>
      <c r="BG91" s="352"/>
      <c r="BH91" s="352"/>
      <c r="BI91" s="352"/>
      <c r="BJ91" s="352"/>
      <c r="BK91" s="352"/>
      <c r="BL91" s="470"/>
      <c r="BM91" s="339"/>
      <c r="BN91" s="339"/>
      <c r="BO91" s="182"/>
      <c r="BP91" s="182"/>
      <c r="BQ91" s="182"/>
      <c r="BR91" s="182"/>
      <c r="BS91" s="182"/>
      <c r="BT91" s="182"/>
      <c r="BU91" s="182"/>
      <c r="BV91" s="182"/>
      <c r="BW91" s="182"/>
      <c r="BX91" s="182"/>
      <c r="BY91" s="182"/>
      <c r="BZ91" s="182"/>
      <c r="CA91" s="182"/>
      <c r="CB91" s="182"/>
      <c r="CC91" s="182"/>
      <c r="CD91" s="182"/>
      <c r="CE91" s="182"/>
      <c r="CF91" s="182"/>
      <c r="CG91" s="182"/>
      <c r="CH91" s="182"/>
      <c r="CI91" s="182"/>
      <c r="CJ91" s="182"/>
      <c r="CK91" s="182"/>
      <c r="CL91" s="618"/>
      <c r="CM91" s="619"/>
      <c r="CN91" s="620"/>
    </row>
    <row r="92" spans="1:92">
      <c r="A92" s="181" t="s">
        <v>181</v>
      </c>
      <c r="B92" s="182" t="s">
        <v>100</v>
      </c>
      <c r="C92" s="182" t="s">
        <v>100</v>
      </c>
      <c r="D92" s="182" t="s">
        <v>100</v>
      </c>
      <c r="E92" s="182"/>
      <c r="F92" s="182"/>
      <c r="G92" s="182"/>
      <c r="H92" s="182" t="s">
        <v>100</v>
      </c>
      <c r="I92" s="182"/>
      <c r="J92" s="182" t="s">
        <v>100</v>
      </c>
      <c r="K92" s="182"/>
      <c r="L92" s="182" t="s">
        <v>100</v>
      </c>
      <c r="M92" s="182" t="s">
        <v>100</v>
      </c>
      <c r="N92" s="182" t="s">
        <v>100</v>
      </c>
      <c r="O92" s="182" t="s">
        <v>100</v>
      </c>
      <c r="P92" s="182"/>
      <c r="Q92" s="182"/>
      <c r="R92" s="302" t="s">
        <v>100</v>
      </c>
      <c r="S92" s="182"/>
      <c r="T92" s="182"/>
      <c r="U92" s="182"/>
      <c r="V92" s="182"/>
      <c r="W92" s="182"/>
      <c r="X92" s="182"/>
      <c r="Y92" s="182"/>
      <c r="Z92" s="182"/>
      <c r="AA92" s="182"/>
      <c r="AB92" s="182"/>
      <c r="AC92" s="182"/>
      <c r="AD92" s="182"/>
      <c r="AE92" s="182"/>
      <c r="AF92" s="182"/>
      <c r="AG92" s="182"/>
      <c r="AH92" s="182"/>
      <c r="AI92" s="182"/>
      <c r="AJ92" s="167">
        <f t="shared" si="37"/>
        <v>10</v>
      </c>
      <c r="AK92" s="493" t="str">
        <f>HYPERLINK("https://twitter.com/JoshDubowAP/status/805220806313721856","Twitter")</f>
        <v>Twitter</v>
      </c>
      <c r="AL92" s="186">
        <v>42707</v>
      </c>
      <c r="AM92" s="187"/>
      <c r="AN92" s="187"/>
      <c r="AO92" s="187"/>
      <c r="AP92" s="187"/>
      <c r="AQ92" s="187"/>
      <c r="AR92" s="187"/>
      <c r="AS92" s="187"/>
      <c r="AT92" s="187"/>
      <c r="AU92" s="187"/>
      <c r="AV92" s="187"/>
      <c r="AW92" s="187"/>
      <c r="AX92" s="187"/>
      <c r="AY92" s="187"/>
      <c r="AZ92" s="187"/>
      <c r="BA92" s="187"/>
      <c r="BB92" s="187"/>
      <c r="BC92" s="187"/>
      <c r="BD92" s="187"/>
      <c r="BE92" s="187"/>
      <c r="BF92" s="187"/>
      <c r="BG92" s="187"/>
      <c r="BH92" s="187"/>
      <c r="BI92" s="187"/>
      <c r="BJ92" s="187"/>
      <c r="BK92" s="187"/>
      <c r="BL92" s="273"/>
      <c r="BM92" s="167"/>
      <c r="BN92" s="167"/>
      <c r="BO92" s="644"/>
      <c r="BP92" s="644"/>
      <c r="BQ92" s="644"/>
      <c r="BR92" s="644"/>
      <c r="BS92" s="644"/>
      <c r="BT92" s="644"/>
      <c r="BU92" s="644"/>
      <c r="BV92" s="644"/>
      <c r="BW92" s="644"/>
      <c r="BX92" s="644"/>
      <c r="BY92" s="644"/>
      <c r="BZ92" s="644"/>
      <c r="CA92" s="644"/>
      <c r="CB92" s="644"/>
      <c r="CC92" s="644"/>
      <c r="CD92" s="644"/>
      <c r="CE92" s="644"/>
      <c r="CF92" s="644"/>
      <c r="CG92" s="644"/>
      <c r="CH92" s="644"/>
      <c r="CI92" s="644"/>
      <c r="CJ92" s="644"/>
      <c r="CK92" s="644"/>
      <c r="CL92" s="680"/>
      <c r="CM92" s="681"/>
      <c r="CN92" s="682"/>
    </row>
    <row r="93" spans="1:92" s="344" customFormat="1">
      <c r="A93" s="335" t="s">
        <v>182</v>
      </c>
      <c r="B93" s="182" t="s">
        <v>100</v>
      </c>
      <c r="C93" s="182"/>
      <c r="D93" s="182"/>
      <c r="E93" s="182" t="s">
        <v>100</v>
      </c>
      <c r="F93" s="182" t="s">
        <v>100</v>
      </c>
      <c r="G93" s="182"/>
      <c r="H93" s="320"/>
      <c r="I93" s="182" t="s">
        <v>100</v>
      </c>
      <c r="J93" s="182"/>
      <c r="K93" s="182" t="s">
        <v>100</v>
      </c>
      <c r="L93" s="182" t="s">
        <v>100</v>
      </c>
      <c r="M93" s="182"/>
      <c r="N93" s="182" t="s">
        <v>100</v>
      </c>
      <c r="O93" s="182" t="s">
        <v>100</v>
      </c>
      <c r="P93" s="182"/>
      <c r="Q93" s="182" t="s">
        <v>100</v>
      </c>
      <c r="R93" s="182"/>
      <c r="S93" s="182"/>
      <c r="T93" s="182"/>
      <c r="U93" s="182"/>
      <c r="V93" s="182"/>
      <c r="W93" s="182"/>
      <c r="X93" s="182"/>
      <c r="Y93" s="182"/>
      <c r="Z93" s="182"/>
      <c r="AA93" s="182"/>
      <c r="AB93" s="182"/>
      <c r="AC93" s="182"/>
      <c r="AD93" s="182"/>
      <c r="AE93" s="182"/>
      <c r="AF93" s="182"/>
      <c r="AG93" s="182"/>
      <c r="AH93" s="182" t="s">
        <v>100</v>
      </c>
      <c r="AI93" s="182"/>
      <c r="AJ93" s="167">
        <f t="shared" si="37"/>
        <v>10</v>
      </c>
      <c r="AK93" s="493" t="str">
        <f>HYPERLINK("http://www.trentonian.com/article/TT/20161214/SPORTS/161219890","Trentonian")</f>
        <v>Trentonian</v>
      </c>
      <c r="AL93" s="341">
        <v>42718</v>
      </c>
      <c r="AM93" s="352"/>
      <c r="AN93" s="352"/>
      <c r="AO93" s="352"/>
      <c r="AP93" s="352"/>
      <c r="AQ93" s="352"/>
      <c r="AR93" s="352"/>
      <c r="AS93" s="352"/>
      <c r="AT93" s="352"/>
      <c r="AU93" s="352"/>
      <c r="AV93" s="352"/>
      <c r="AW93" s="352"/>
      <c r="AX93" s="352"/>
      <c r="AY93" s="352"/>
      <c r="AZ93" s="352"/>
      <c r="BA93" s="352"/>
      <c r="BB93" s="352"/>
      <c r="BC93" s="352"/>
      <c r="BD93" s="352"/>
      <c r="BE93" s="352"/>
      <c r="BF93" s="352"/>
      <c r="BG93" s="352"/>
      <c r="BH93" s="352"/>
      <c r="BI93" s="352"/>
      <c r="BJ93" s="352"/>
      <c r="BK93" s="352"/>
      <c r="BL93" s="470"/>
      <c r="BM93" s="339"/>
      <c r="BN93" s="339"/>
      <c r="BO93" s="182"/>
      <c r="BP93" s="182"/>
      <c r="BQ93" s="182"/>
      <c r="BR93" s="182"/>
      <c r="BS93" s="182"/>
      <c r="BT93" s="182"/>
      <c r="BU93" s="182"/>
      <c r="BV93" s="182"/>
      <c r="BW93" s="182"/>
      <c r="BX93" s="182"/>
      <c r="BY93" s="182"/>
      <c r="BZ93" s="182"/>
      <c r="CA93" s="182"/>
      <c r="CB93" s="182"/>
      <c r="CC93" s="182"/>
      <c r="CD93" s="182"/>
      <c r="CE93" s="182"/>
      <c r="CF93" s="182"/>
      <c r="CG93" s="182"/>
      <c r="CH93" s="182"/>
      <c r="CI93" s="182"/>
      <c r="CJ93" s="182"/>
      <c r="CK93" s="182"/>
      <c r="CL93" s="680" t="s">
        <v>559</v>
      </c>
      <c r="CM93" s="681"/>
      <c r="CN93" s="682"/>
    </row>
    <row r="94" spans="1:92" s="344" customFormat="1">
      <c r="A94" s="335" t="s">
        <v>183</v>
      </c>
      <c r="B94" s="182" t="s">
        <v>100</v>
      </c>
      <c r="C94" s="182"/>
      <c r="D94" s="182"/>
      <c r="E94" s="182" t="s">
        <v>100</v>
      </c>
      <c r="F94" s="182" t="s">
        <v>100</v>
      </c>
      <c r="G94" s="182"/>
      <c r="H94" s="182"/>
      <c r="I94" s="182"/>
      <c r="J94" s="182"/>
      <c r="K94" s="182" t="s">
        <v>100</v>
      </c>
      <c r="L94" s="302" t="s">
        <v>100</v>
      </c>
      <c r="M94" s="182"/>
      <c r="N94" s="182" t="s">
        <v>100</v>
      </c>
      <c r="O94" s="182"/>
      <c r="P94" s="182"/>
      <c r="Q94" s="182"/>
      <c r="R94" s="182"/>
      <c r="S94" s="182"/>
      <c r="T94" s="182"/>
      <c r="U94" s="182"/>
      <c r="V94" s="182"/>
      <c r="W94" s="182"/>
      <c r="X94" s="182"/>
      <c r="Y94" s="182"/>
      <c r="Z94" s="182"/>
      <c r="AA94" s="182"/>
      <c r="AB94" s="182"/>
      <c r="AC94" s="182"/>
      <c r="AD94" s="182"/>
      <c r="AE94" s="182"/>
      <c r="AF94" s="182"/>
      <c r="AG94" s="182"/>
      <c r="AH94" s="182"/>
      <c r="AI94" s="182"/>
      <c r="AJ94" s="167">
        <f t="shared" si="37"/>
        <v>6</v>
      </c>
      <c r="AK94" s="483" t="s">
        <v>113</v>
      </c>
      <c r="AL94" s="341">
        <v>42725</v>
      </c>
      <c r="AM94" s="352"/>
      <c r="AN94" s="352"/>
      <c r="AO94" s="352"/>
      <c r="AP94" s="352"/>
      <c r="AQ94" s="352"/>
      <c r="AR94" s="352"/>
      <c r="AS94" s="352"/>
      <c r="AT94" s="352"/>
      <c r="AU94" s="352"/>
      <c r="AV94" s="352"/>
      <c r="AW94" s="352"/>
      <c r="AX94" s="352"/>
      <c r="AY94" s="352"/>
      <c r="AZ94" s="352"/>
      <c r="BA94" s="352"/>
      <c r="BB94" s="352"/>
      <c r="BC94" s="352"/>
      <c r="BD94" s="352"/>
      <c r="BE94" s="352"/>
      <c r="BF94" s="352"/>
      <c r="BG94" s="352"/>
      <c r="BH94" s="352"/>
      <c r="BI94" s="352"/>
      <c r="BJ94" s="352"/>
      <c r="BK94" s="352"/>
      <c r="BL94" s="470"/>
      <c r="BM94" s="339"/>
      <c r="BN94" s="339"/>
      <c r="BO94" s="182"/>
      <c r="BP94" s="182"/>
      <c r="BQ94" s="182"/>
      <c r="BR94" s="182"/>
      <c r="BS94" s="182"/>
      <c r="BT94" s="182"/>
      <c r="BU94" s="182"/>
      <c r="BV94" s="182"/>
      <c r="BW94" s="182"/>
      <c r="BX94" s="182"/>
      <c r="BY94" s="182"/>
      <c r="BZ94" s="182"/>
      <c r="CA94" s="182"/>
      <c r="CB94" s="182"/>
      <c r="CC94" s="182"/>
      <c r="CD94" s="182"/>
      <c r="CE94" s="182"/>
      <c r="CF94" s="182"/>
      <c r="CG94" s="182"/>
      <c r="CH94" s="182"/>
      <c r="CI94" s="182"/>
      <c r="CJ94" s="182"/>
      <c r="CK94" s="182"/>
      <c r="CL94" s="680"/>
      <c r="CM94" s="681"/>
      <c r="CN94" s="682"/>
    </row>
    <row r="95" spans="1:92" s="344" customFormat="1">
      <c r="A95" s="331" t="s">
        <v>185</v>
      </c>
      <c r="B95" s="182" t="s">
        <v>100</v>
      </c>
      <c r="C95" s="182" t="s">
        <v>100</v>
      </c>
      <c r="D95" s="182" t="s">
        <v>100</v>
      </c>
      <c r="E95" s="182" t="s">
        <v>100</v>
      </c>
      <c r="F95" s="182"/>
      <c r="G95" s="182"/>
      <c r="H95" s="182" t="s">
        <v>100</v>
      </c>
      <c r="I95" s="182"/>
      <c r="J95" s="182" t="s">
        <v>100</v>
      </c>
      <c r="K95" s="182"/>
      <c r="L95" s="182" t="s">
        <v>100</v>
      </c>
      <c r="M95" s="182" t="s">
        <v>100</v>
      </c>
      <c r="N95" s="182" t="s">
        <v>100</v>
      </c>
      <c r="O95" s="182" t="s">
        <v>100</v>
      </c>
      <c r="P95" s="182"/>
      <c r="Q95" s="182"/>
      <c r="R95" s="182"/>
      <c r="S95" s="182"/>
      <c r="T95" s="182"/>
      <c r="U95" s="182"/>
      <c r="V95" s="182"/>
      <c r="W95" s="182"/>
      <c r="X95" s="182"/>
      <c r="Y95" s="182"/>
      <c r="Z95" s="182"/>
      <c r="AA95" s="182"/>
      <c r="AB95" s="182"/>
      <c r="AC95" s="182"/>
      <c r="AD95" s="182"/>
      <c r="AE95" s="182"/>
      <c r="AF95" s="182"/>
      <c r="AG95" s="182"/>
      <c r="AH95" s="182"/>
      <c r="AI95" s="182"/>
      <c r="AJ95" s="167">
        <f t="shared" si="37"/>
        <v>10</v>
      </c>
      <c r="AK95" s="493" t="str">
        <f>HYPERLINK("http://www.sportingnews.com/mlb/news/mlb-hall-of-fame-ballot-vote-voting-cooperstown-bonds-clemens-guerrero-raines-bagwell/o06v2lu6qlys1jpwr4ze3reur","Sporting News")</f>
        <v>Sporting News</v>
      </c>
      <c r="AL95" s="341">
        <v>42732</v>
      </c>
      <c r="AM95" s="352"/>
      <c r="AN95" s="352"/>
      <c r="AO95" s="352"/>
      <c r="AP95" s="352"/>
      <c r="AQ95" s="352"/>
      <c r="AR95" s="352"/>
      <c r="AS95" s="352"/>
      <c r="AT95" s="352"/>
      <c r="AU95" s="352"/>
      <c r="AV95" s="352"/>
      <c r="AW95" s="352"/>
      <c r="AX95" s="352"/>
      <c r="AY95" s="352"/>
      <c r="AZ95" s="352"/>
      <c r="BA95" s="352"/>
      <c r="BB95" s="352"/>
      <c r="BC95" s="352"/>
      <c r="BD95" s="352"/>
      <c r="BE95" s="352"/>
      <c r="BF95" s="352"/>
      <c r="BG95" s="352"/>
      <c r="BH95" s="352"/>
      <c r="BI95" s="352"/>
      <c r="BJ95" s="352"/>
      <c r="BK95" s="352"/>
      <c r="BL95" s="470"/>
      <c r="BM95" s="339"/>
      <c r="BN95" s="339"/>
      <c r="BO95" s="182"/>
      <c r="BP95" s="182"/>
      <c r="BQ95" s="182"/>
      <c r="BR95" s="182"/>
      <c r="BS95" s="182"/>
      <c r="BT95" s="182"/>
      <c r="BU95" s="182"/>
      <c r="BV95" s="182"/>
      <c r="BW95" s="182"/>
      <c r="BX95" s="182"/>
      <c r="BY95" s="182"/>
      <c r="BZ95" s="182"/>
      <c r="CA95" s="182"/>
      <c r="CB95" s="182"/>
      <c r="CC95" s="182"/>
      <c r="CD95" s="182"/>
      <c r="CE95" s="182"/>
      <c r="CF95" s="182"/>
      <c r="CG95" s="182"/>
      <c r="CH95" s="182"/>
      <c r="CI95" s="182"/>
      <c r="CJ95" s="182"/>
      <c r="CK95" s="182"/>
      <c r="CL95" s="680" t="s">
        <v>260</v>
      </c>
      <c r="CM95" s="681"/>
      <c r="CN95" s="682"/>
    </row>
    <row r="96" spans="1:92" s="344" customFormat="1">
      <c r="A96" s="335" t="s">
        <v>187</v>
      </c>
      <c r="B96" s="182" t="s">
        <v>100</v>
      </c>
      <c r="C96" s="182"/>
      <c r="D96" s="182"/>
      <c r="E96" s="182" t="s">
        <v>100</v>
      </c>
      <c r="F96" s="302" t="s">
        <v>100</v>
      </c>
      <c r="G96" s="182"/>
      <c r="H96" s="182" t="s">
        <v>100</v>
      </c>
      <c r="I96" s="182"/>
      <c r="J96" s="182" t="s">
        <v>100</v>
      </c>
      <c r="K96" s="182"/>
      <c r="L96" s="182" t="s">
        <v>100</v>
      </c>
      <c r="M96" s="182"/>
      <c r="N96" s="182" t="s">
        <v>100</v>
      </c>
      <c r="O96" s="320"/>
      <c r="P96" s="182"/>
      <c r="Q96" s="182"/>
      <c r="R96" s="182"/>
      <c r="S96" s="182"/>
      <c r="T96" s="182"/>
      <c r="U96" s="182"/>
      <c r="V96" s="182"/>
      <c r="W96" s="182"/>
      <c r="X96" s="182"/>
      <c r="Y96" s="182"/>
      <c r="Z96" s="182"/>
      <c r="AA96" s="182"/>
      <c r="AB96" s="182"/>
      <c r="AC96" s="182"/>
      <c r="AD96" s="182"/>
      <c r="AE96" s="182"/>
      <c r="AF96" s="182"/>
      <c r="AG96" s="182"/>
      <c r="AH96" s="182"/>
      <c r="AI96" s="182"/>
      <c r="AJ96" s="167">
        <f t="shared" si="37"/>
        <v>7</v>
      </c>
      <c r="AK96" s="493" t="str">
        <f>HYPERLINK("http://www.azcentral.com/story/sports/mlb/2016/12/25/selig-election-cooperstown-barry-bonds-roger-clemens/95717948/","AZ Central")</f>
        <v>AZ Central</v>
      </c>
      <c r="AL96" s="341">
        <v>42729</v>
      </c>
      <c r="AM96" s="352"/>
      <c r="AN96" s="352"/>
      <c r="AO96" s="352"/>
      <c r="AP96" s="352"/>
      <c r="AQ96" s="352"/>
      <c r="AR96" s="352"/>
      <c r="AS96" s="352"/>
      <c r="AT96" s="352"/>
      <c r="AU96" s="352"/>
      <c r="AV96" s="352"/>
      <c r="AW96" s="352"/>
      <c r="AX96" s="352"/>
      <c r="AY96" s="352"/>
      <c r="AZ96" s="352"/>
      <c r="BA96" s="352"/>
      <c r="BB96" s="352"/>
      <c r="BC96" s="352"/>
      <c r="BD96" s="352"/>
      <c r="BE96" s="352"/>
      <c r="BF96" s="352"/>
      <c r="BG96" s="352"/>
      <c r="BH96" s="352"/>
      <c r="BI96" s="352"/>
      <c r="BJ96" s="352"/>
      <c r="BK96" s="352"/>
      <c r="BL96" s="470"/>
      <c r="BM96" s="339"/>
      <c r="BN96" s="339"/>
      <c r="BO96" s="182"/>
      <c r="BP96" s="182"/>
      <c r="BQ96" s="182"/>
      <c r="BR96" s="182"/>
      <c r="BS96" s="182"/>
      <c r="BT96" s="182"/>
      <c r="BU96" s="182"/>
      <c r="BV96" s="182"/>
      <c r="BW96" s="182"/>
      <c r="BX96" s="182"/>
      <c r="BY96" s="182"/>
      <c r="BZ96" s="182"/>
      <c r="CA96" s="182"/>
      <c r="CB96" s="182"/>
      <c r="CC96" s="182"/>
      <c r="CD96" s="182"/>
      <c r="CE96" s="182"/>
      <c r="CF96" s="182"/>
      <c r="CG96" s="182"/>
      <c r="CH96" s="182"/>
      <c r="CI96" s="182"/>
      <c r="CJ96" s="182"/>
      <c r="CK96" s="182"/>
      <c r="CL96" s="618"/>
      <c r="CM96" s="619"/>
      <c r="CN96" s="620"/>
    </row>
    <row r="97" spans="1:92" s="344" customFormat="1">
      <c r="A97" s="335" t="s">
        <v>560</v>
      </c>
      <c r="B97" s="182" t="s">
        <v>100</v>
      </c>
      <c r="C97" s="302" t="s">
        <v>100</v>
      </c>
      <c r="D97" s="302" t="s">
        <v>100</v>
      </c>
      <c r="E97" s="182"/>
      <c r="F97" s="182" t="s">
        <v>100</v>
      </c>
      <c r="G97" s="182"/>
      <c r="H97" s="182" t="s">
        <v>100</v>
      </c>
      <c r="I97" s="182"/>
      <c r="J97" s="182" t="s">
        <v>100</v>
      </c>
      <c r="K97" s="182"/>
      <c r="L97" s="182" t="s">
        <v>100</v>
      </c>
      <c r="M97" s="182"/>
      <c r="N97" s="182" t="s">
        <v>100</v>
      </c>
      <c r="O97" s="182" t="s">
        <v>100</v>
      </c>
      <c r="P97" s="182"/>
      <c r="Q97" s="182"/>
      <c r="R97" s="182"/>
      <c r="S97" s="182"/>
      <c r="T97" s="182" t="s">
        <v>100</v>
      </c>
      <c r="U97" s="182"/>
      <c r="V97" s="182"/>
      <c r="W97" s="182"/>
      <c r="X97" s="182"/>
      <c r="Y97" s="182"/>
      <c r="Z97" s="182"/>
      <c r="AA97" s="182"/>
      <c r="AB97" s="182"/>
      <c r="AC97" s="182"/>
      <c r="AD97" s="182"/>
      <c r="AE97" s="182"/>
      <c r="AF97" s="182"/>
      <c r="AG97" s="182"/>
      <c r="AH97" s="182"/>
      <c r="AI97" s="182"/>
      <c r="AJ97" s="167">
        <f t="shared" si="37"/>
        <v>10</v>
      </c>
      <c r="AK97" s="493" t="str">
        <f>HYPERLINK("http://www.wcpo.com/news/insider/fay-its-finally-time-to-vote-for-barry-bonds-roger-clemens-on-baseball-hall-of-fame-ballot","WCPO.com")</f>
        <v>WCPO.com</v>
      </c>
      <c r="AL97" s="341">
        <v>42734</v>
      </c>
      <c r="AM97" s="352"/>
      <c r="AN97" s="352"/>
      <c r="AO97" s="352"/>
      <c r="AP97" s="352"/>
      <c r="AQ97" s="352"/>
      <c r="AR97" s="352"/>
      <c r="AS97" s="352"/>
      <c r="AT97" s="352"/>
      <c r="AU97" s="352"/>
      <c r="AV97" s="352"/>
      <c r="AW97" s="352"/>
      <c r="AX97" s="352"/>
      <c r="AY97" s="352"/>
      <c r="AZ97" s="352"/>
      <c r="BA97" s="352"/>
      <c r="BB97" s="352"/>
      <c r="BC97" s="352"/>
      <c r="BD97" s="352"/>
      <c r="BE97" s="352"/>
      <c r="BF97" s="352"/>
      <c r="BG97" s="352"/>
      <c r="BH97" s="352"/>
      <c r="BI97" s="352"/>
      <c r="BJ97" s="352"/>
      <c r="BK97" s="352"/>
      <c r="BL97" s="470"/>
      <c r="BM97" s="339"/>
      <c r="BN97" s="339"/>
      <c r="BO97" s="182"/>
      <c r="BP97" s="182"/>
      <c r="BQ97" s="182"/>
      <c r="BR97" s="182"/>
      <c r="BS97" s="182"/>
      <c r="BT97" s="182"/>
      <c r="BU97" s="182"/>
      <c r="BV97" s="182"/>
      <c r="BW97" s="182"/>
      <c r="BX97" s="182"/>
      <c r="BY97" s="182"/>
      <c r="BZ97" s="182"/>
      <c r="CA97" s="182"/>
      <c r="CB97" s="182"/>
      <c r="CC97" s="182"/>
      <c r="CD97" s="182"/>
      <c r="CE97" s="182"/>
      <c r="CF97" s="182"/>
      <c r="CG97" s="182"/>
      <c r="CH97" s="182"/>
      <c r="CI97" s="182"/>
      <c r="CJ97" s="182"/>
      <c r="CK97" s="182"/>
      <c r="CL97" s="618"/>
      <c r="CM97" s="619"/>
      <c r="CN97" s="620"/>
    </row>
    <row r="98" spans="1:92" s="344" customFormat="1" ht="21.75" customHeight="1">
      <c r="A98" s="331" t="s">
        <v>188</v>
      </c>
      <c r="B98" s="182" t="s">
        <v>100</v>
      </c>
      <c r="C98" s="182" t="s">
        <v>100</v>
      </c>
      <c r="D98" s="182" t="s">
        <v>100</v>
      </c>
      <c r="E98" s="182" t="s">
        <v>100</v>
      </c>
      <c r="F98" s="182"/>
      <c r="G98" s="182"/>
      <c r="H98" s="182"/>
      <c r="I98" s="182" t="s">
        <v>100</v>
      </c>
      <c r="J98" s="182" t="s">
        <v>100</v>
      </c>
      <c r="K98" s="182"/>
      <c r="L98" s="182" t="s">
        <v>100</v>
      </c>
      <c r="M98" s="182" t="s">
        <v>100</v>
      </c>
      <c r="N98" s="182" t="s">
        <v>100</v>
      </c>
      <c r="O98" s="182"/>
      <c r="P98" s="182" t="s">
        <v>100</v>
      </c>
      <c r="Q98" s="182"/>
      <c r="R98" s="182"/>
      <c r="S98" s="182"/>
      <c r="T98" s="182"/>
      <c r="U98" s="182"/>
      <c r="V98" s="182"/>
      <c r="W98" s="182"/>
      <c r="X98" s="182"/>
      <c r="Y98" s="182"/>
      <c r="Z98" s="182"/>
      <c r="AA98" s="182"/>
      <c r="AB98" s="182"/>
      <c r="AC98" s="182"/>
      <c r="AD98" s="182"/>
      <c r="AE98" s="182"/>
      <c r="AF98" s="182"/>
      <c r="AG98" s="182"/>
      <c r="AH98" s="182"/>
      <c r="AI98" s="182"/>
      <c r="AJ98" s="167">
        <f t="shared" si="37"/>
        <v>10</v>
      </c>
      <c r="AK98" s="493" t="str">
        <f>HYPERLINK("https://www.facebook.com/permalink.php?story_fbid=1202955226459457&amp;id=312447252176930&amp;substory_index=0","Facebook")</f>
        <v>Facebook</v>
      </c>
      <c r="AL98" s="341">
        <v>42727</v>
      </c>
      <c r="AM98" s="352"/>
      <c r="AN98" s="352"/>
      <c r="AO98" s="352"/>
      <c r="AP98" s="352"/>
      <c r="AQ98" s="352"/>
      <c r="AR98" s="352"/>
      <c r="AS98" s="352"/>
      <c r="AT98" s="352"/>
      <c r="AU98" s="352"/>
      <c r="AV98" s="352"/>
      <c r="AW98" s="352"/>
      <c r="AX98" s="352"/>
      <c r="AY98" s="352"/>
      <c r="AZ98" s="352"/>
      <c r="BA98" s="352"/>
      <c r="BB98" s="352"/>
      <c r="BC98" s="352"/>
      <c r="BD98" s="352"/>
      <c r="BE98" s="352"/>
      <c r="BF98" s="352"/>
      <c r="BG98" s="352"/>
      <c r="BH98" s="352"/>
      <c r="BI98" s="352"/>
      <c r="BJ98" s="352"/>
      <c r="BK98" s="352"/>
      <c r="BL98" s="470"/>
      <c r="BM98" s="339"/>
      <c r="BN98" s="339"/>
      <c r="BO98" s="182"/>
      <c r="BP98" s="182"/>
      <c r="BQ98" s="182"/>
      <c r="BR98" s="182"/>
      <c r="BS98" s="182"/>
      <c r="BT98" s="182"/>
      <c r="BU98" s="182"/>
      <c r="BV98" s="182"/>
      <c r="BW98" s="182"/>
      <c r="BX98" s="182"/>
      <c r="BY98" s="182"/>
      <c r="BZ98" s="182"/>
      <c r="CA98" s="182"/>
      <c r="CB98" s="182"/>
      <c r="CC98" s="182"/>
      <c r="CD98" s="182"/>
      <c r="CE98" s="182"/>
      <c r="CF98" s="182"/>
      <c r="CG98" s="182"/>
      <c r="CH98" s="182"/>
      <c r="CI98" s="182"/>
      <c r="CJ98" s="182"/>
      <c r="CK98" s="182"/>
      <c r="CL98" s="763" t="s">
        <v>561</v>
      </c>
      <c r="CM98" s="764"/>
      <c r="CN98" s="765"/>
    </row>
    <row r="99" spans="1:92" s="344" customFormat="1" ht="14.25" customHeight="1">
      <c r="A99" s="335" t="s">
        <v>562</v>
      </c>
      <c r="B99" s="182" t="s">
        <v>100</v>
      </c>
      <c r="C99" s="182"/>
      <c r="D99" s="182"/>
      <c r="E99" s="182"/>
      <c r="F99" s="302" t="s">
        <v>100</v>
      </c>
      <c r="G99" s="182"/>
      <c r="H99" s="302" t="s">
        <v>100</v>
      </c>
      <c r="I99" s="182"/>
      <c r="J99" s="302" t="s">
        <v>100</v>
      </c>
      <c r="K99" s="182"/>
      <c r="L99" s="182" t="s">
        <v>100</v>
      </c>
      <c r="M99" s="182"/>
      <c r="N99" s="182" t="s">
        <v>100</v>
      </c>
      <c r="O99" s="182"/>
      <c r="P99" s="182"/>
      <c r="Q99" s="182"/>
      <c r="R99" s="182"/>
      <c r="S99" s="182"/>
      <c r="T99" s="302" t="s">
        <v>100</v>
      </c>
      <c r="U99" s="182"/>
      <c r="V99" s="182"/>
      <c r="W99" s="182"/>
      <c r="X99" s="182"/>
      <c r="Y99" s="182"/>
      <c r="Z99" s="182"/>
      <c r="AA99" s="182"/>
      <c r="AB99" s="182"/>
      <c r="AC99" s="182"/>
      <c r="AD99" s="182"/>
      <c r="AE99" s="182"/>
      <c r="AF99" s="182"/>
      <c r="AG99" s="182"/>
      <c r="AH99" s="182"/>
      <c r="AI99" s="182"/>
      <c r="AJ99" s="167">
        <f t="shared" si="37"/>
        <v>7</v>
      </c>
      <c r="AK99" s="481" t="str">
        <f>HYPERLINK("http://www.tampabay.com/sports/baseball/rays/fennelly-rules-are-rules-so-no-bonds-and-co-on-my-ballot/2309762","Tampabay.com")</f>
        <v>Tampabay.com</v>
      </c>
      <c r="AL99" s="341">
        <v>42751</v>
      </c>
      <c r="AM99" s="352"/>
      <c r="AN99" s="352"/>
      <c r="AO99" s="352"/>
      <c r="AP99" s="352"/>
      <c r="AQ99" s="352"/>
      <c r="AR99" s="352"/>
      <c r="AS99" s="352"/>
      <c r="AT99" s="352"/>
      <c r="AU99" s="352"/>
      <c r="AV99" s="352"/>
      <c r="AW99" s="352"/>
      <c r="AX99" s="352"/>
      <c r="AY99" s="352"/>
      <c r="AZ99" s="352"/>
      <c r="BA99" s="352"/>
      <c r="BB99" s="352"/>
      <c r="BC99" s="352"/>
      <c r="BD99" s="352"/>
      <c r="BE99" s="352"/>
      <c r="BF99" s="352"/>
      <c r="BG99" s="352"/>
      <c r="BH99" s="352"/>
      <c r="BI99" s="352"/>
      <c r="BJ99" s="352"/>
      <c r="BK99" s="352"/>
      <c r="BL99" s="470"/>
      <c r="BM99" s="339"/>
      <c r="BN99" s="339"/>
      <c r="BO99" s="182"/>
      <c r="BP99" s="182"/>
      <c r="BQ99" s="182"/>
      <c r="BR99" s="182"/>
      <c r="BS99" s="182"/>
      <c r="BT99" s="182"/>
      <c r="BU99" s="182"/>
      <c r="BV99" s="182"/>
      <c r="BW99" s="182"/>
      <c r="BX99" s="182"/>
      <c r="BY99" s="182"/>
      <c r="BZ99" s="182"/>
      <c r="CA99" s="182"/>
      <c r="CB99" s="182"/>
      <c r="CC99" s="182"/>
      <c r="CD99" s="182"/>
      <c r="CE99" s="182"/>
      <c r="CF99" s="182"/>
      <c r="CG99" s="182"/>
      <c r="CH99" s="182"/>
      <c r="CI99" s="182"/>
      <c r="CJ99" s="182"/>
      <c r="CK99" s="182"/>
      <c r="CL99" s="632"/>
      <c r="CM99" s="633"/>
      <c r="CN99" s="634"/>
    </row>
    <row r="100" spans="1:92" s="344" customFormat="1">
      <c r="A100" s="335" t="s">
        <v>191</v>
      </c>
      <c r="B100" s="182" t="s">
        <v>100</v>
      </c>
      <c r="C100" s="182" t="s">
        <v>100</v>
      </c>
      <c r="D100" s="182" t="s">
        <v>100</v>
      </c>
      <c r="E100" s="182" t="s">
        <v>100</v>
      </c>
      <c r="F100" s="182" t="s">
        <v>100</v>
      </c>
      <c r="G100" s="182"/>
      <c r="H100" s="302" t="s">
        <v>100</v>
      </c>
      <c r="I100" s="182"/>
      <c r="J100" s="182"/>
      <c r="K100" s="182"/>
      <c r="L100" s="182" t="s">
        <v>100</v>
      </c>
      <c r="M100" s="182" t="s">
        <v>100</v>
      </c>
      <c r="N100" s="182" t="s">
        <v>100</v>
      </c>
      <c r="O100" s="182"/>
      <c r="P100" s="182"/>
      <c r="Q100" s="182" t="s">
        <v>100</v>
      </c>
      <c r="R100" s="320"/>
      <c r="S100" s="182"/>
      <c r="T100" s="182"/>
      <c r="U100" s="182"/>
      <c r="V100" s="182"/>
      <c r="W100" s="182"/>
      <c r="X100" s="182"/>
      <c r="Y100" s="182"/>
      <c r="Z100" s="182"/>
      <c r="AA100" s="182"/>
      <c r="AB100" s="182"/>
      <c r="AC100" s="182"/>
      <c r="AD100" s="182"/>
      <c r="AE100" s="182"/>
      <c r="AF100" s="182"/>
      <c r="AG100" s="182"/>
      <c r="AH100" s="182"/>
      <c r="AI100" s="182"/>
      <c r="AJ100" s="167">
        <f t="shared" si="37"/>
        <v>10</v>
      </c>
      <c r="AK100" s="483" t="s">
        <v>115</v>
      </c>
      <c r="AL100" s="341">
        <v>42725</v>
      </c>
      <c r="AM100" s="352"/>
      <c r="AN100" s="352"/>
      <c r="AO100" s="352"/>
      <c r="AP100" s="352"/>
      <c r="AQ100" s="352"/>
      <c r="AR100" s="352"/>
      <c r="AS100" s="352"/>
      <c r="AT100" s="352"/>
      <c r="AU100" s="352"/>
      <c r="AV100" s="352"/>
      <c r="AW100" s="352"/>
      <c r="AX100" s="352"/>
      <c r="AY100" s="352"/>
      <c r="AZ100" s="352"/>
      <c r="BA100" s="352"/>
      <c r="BB100" s="352"/>
      <c r="BC100" s="352"/>
      <c r="BD100" s="352"/>
      <c r="BE100" s="352"/>
      <c r="BF100" s="352"/>
      <c r="BG100" s="352"/>
      <c r="BH100" s="352"/>
      <c r="BI100" s="352"/>
      <c r="BJ100" s="352"/>
      <c r="BK100" s="352"/>
      <c r="BL100" s="470"/>
      <c r="BM100" s="339"/>
      <c r="BN100" s="339"/>
      <c r="BO100" s="182"/>
      <c r="BP100" s="182"/>
      <c r="BQ100" s="182"/>
      <c r="BR100" s="182"/>
      <c r="BS100" s="182"/>
      <c r="BT100" s="182"/>
      <c r="BU100" s="182"/>
      <c r="BV100" s="182"/>
      <c r="BW100" s="182"/>
      <c r="BX100" s="182"/>
      <c r="BY100" s="182"/>
      <c r="BZ100" s="182"/>
      <c r="CA100" s="182"/>
      <c r="CB100" s="182"/>
      <c r="CC100" s="182"/>
      <c r="CD100" s="182"/>
      <c r="CE100" s="182"/>
      <c r="CF100" s="182"/>
      <c r="CG100" s="182"/>
      <c r="CH100" s="182"/>
      <c r="CI100" s="182"/>
      <c r="CJ100" s="182"/>
      <c r="CK100" s="182"/>
      <c r="CL100" s="680" t="s">
        <v>563</v>
      </c>
      <c r="CM100" s="681"/>
      <c r="CN100" s="682"/>
    </row>
    <row r="101" spans="1:92" s="344" customFormat="1">
      <c r="A101" s="335" t="s">
        <v>564</v>
      </c>
      <c r="B101" s="182" t="s">
        <v>100</v>
      </c>
      <c r="C101" s="182" t="s">
        <v>100</v>
      </c>
      <c r="D101" s="182" t="s">
        <v>100</v>
      </c>
      <c r="E101" s="182" t="s">
        <v>100</v>
      </c>
      <c r="F101" s="320"/>
      <c r="G101" s="320"/>
      <c r="H101" s="302" t="s">
        <v>100</v>
      </c>
      <c r="I101" s="182"/>
      <c r="J101" s="302" t="s">
        <v>100</v>
      </c>
      <c r="K101" s="182"/>
      <c r="L101" s="182" t="s">
        <v>100</v>
      </c>
      <c r="M101" s="182" t="s">
        <v>100</v>
      </c>
      <c r="N101" s="182" t="s">
        <v>100</v>
      </c>
      <c r="O101" s="182" t="s">
        <v>100</v>
      </c>
      <c r="P101" s="320"/>
      <c r="Q101" s="182"/>
      <c r="R101" s="182"/>
      <c r="S101" s="182"/>
      <c r="T101" s="182"/>
      <c r="U101" s="182"/>
      <c r="V101" s="182"/>
      <c r="W101" s="182"/>
      <c r="X101" s="182"/>
      <c r="Y101" s="182"/>
      <c r="Z101" s="182"/>
      <c r="AA101" s="182"/>
      <c r="AB101" s="182"/>
      <c r="AC101" s="182"/>
      <c r="AD101" s="182"/>
      <c r="AE101" s="182"/>
      <c r="AF101" s="182"/>
      <c r="AG101" s="182"/>
      <c r="AH101" s="182"/>
      <c r="AI101" s="182"/>
      <c r="AJ101" s="167">
        <f t="shared" si="37"/>
        <v>10</v>
      </c>
      <c r="AK101" s="493" t="str">
        <f>HYPERLINK("https://twitter.com/JeffFletcherOCR/status/812346694121582592","Twitter")</f>
        <v>Twitter</v>
      </c>
      <c r="AL101" s="341">
        <v>42727</v>
      </c>
      <c r="AM101" s="352"/>
      <c r="AN101" s="352"/>
      <c r="AO101" s="352"/>
      <c r="AP101" s="352"/>
      <c r="AQ101" s="352"/>
      <c r="AR101" s="352"/>
      <c r="AS101" s="352"/>
      <c r="AT101" s="352"/>
      <c r="AU101" s="352"/>
      <c r="AV101" s="352"/>
      <c r="AW101" s="352"/>
      <c r="AX101" s="352"/>
      <c r="AY101" s="352"/>
      <c r="AZ101" s="352"/>
      <c r="BA101" s="352"/>
      <c r="BB101" s="352"/>
      <c r="BC101" s="352"/>
      <c r="BD101" s="352"/>
      <c r="BE101" s="352"/>
      <c r="BF101" s="352"/>
      <c r="BG101" s="352"/>
      <c r="BH101" s="352"/>
      <c r="BI101" s="352"/>
      <c r="BJ101" s="352"/>
      <c r="BK101" s="352"/>
      <c r="BL101" s="470"/>
      <c r="BM101" s="339"/>
      <c r="BN101" s="339"/>
      <c r="BO101" s="182"/>
      <c r="BP101" s="182"/>
      <c r="BQ101" s="182"/>
      <c r="BR101" s="182"/>
      <c r="BS101" s="182"/>
      <c r="BT101" s="182"/>
      <c r="BU101" s="182"/>
      <c r="BV101" s="182"/>
      <c r="BW101" s="182"/>
      <c r="BX101" s="182"/>
      <c r="BY101" s="182"/>
      <c r="BZ101" s="182"/>
      <c r="CA101" s="182"/>
      <c r="CB101" s="182"/>
      <c r="CC101" s="182"/>
      <c r="CD101" s="182"/>
      <c r="CE101" s="182"/>
      <c r="CF101" s="182"/>
      <c r="CG101" s="182"/>
      <c r="CH101" s="182"/>
      <c r="CI101" s="182"/>
      <c r="CJ101" s="182"/>
      <c r="CK101" s="182"/>
      <c r="CL101" s="680"/>
      <c r="CM101" s="681"/>
      <c r="CN101" s="682"/>
    </row>
    <row r="102" spans="1:92" s="344" customFormat="1">
      <c r="A102" s="335" t="s">
        <v>193</v>
      </c>
      <c r="B102" s="182" t="s">
        <v>100</v>
      </c>
      <c r="C102" s="182" t="s">
        <v>100</v>
      </c>
      <c r="D102" s="182" t="s">
        <v>100</v>
      </c>
      <c r="E102" s="182" t="s">
        <v>100</v>
      </c>
      <c r="F102" s="182" t="s">
        <v>100</v>
      </c>
      <c r="G102" s="182"/>
      <c r="H102" s="182"/>
      <c r="I102" s="182"/>
      <c r="J102" s="302" t="s">
        <v>100</v>
      </c>
      <c r="K102" s="182"/>
      <c r="L102" s="182" t="s">
        <v>100</v>
      </c>
      <c r="M102" s="182"/>
      <c r="N102" s="182" t="s">
        <v>100</v>
      </c>
      <c r="O102" s="302" t="s">
        <v>100</v>
      </c>
      <c r="P102" s="182"/>
      <c r="Q102" s="182"/>
      <c r="R102" s="182" t="s">
        <v>100</v>
      </c>
      <c r="S102" s="182"/>
      <c r="T102" s="182"/>
      <c r="U102" s="182"/>
      <c r="V102" s="182"/>
      <c r="W102" s="182"/>
      <c r="X102" s="182"/>
      <c r="Y102" s="182"/>
      <c r="Z102" s="182"/>
      <c r="AA102" s="182"/>
      <c r="AB102" s="182"/>
      <c r="AC102" s="182"/>
      <c r="AD102" s="182"/>
      <c r="AE102" s="182"/>
      <c r="AF102" s="182"/>
      <c r="AG102" s="182"/>
      <c r="AH102" s="182"/>
      <c r="AI102" s="182"/>
      <c r="AJ102" s="167">
        <f t="shared" si="37"/>
        <v>10</v>
      </c>
      <c r="AK102" s="493" t="str">
        <f>HYPERLINK("https://twitter.com/Carlos_Frias/status/812324003700494336","Twitter")</f>
        <v>Twitter</v>
      </c>
      <c r="AL102" s="341">
        <v>42726</v>
      </c>
      <c r="AM102" s="352"/>
      <c r="AN102" s="352"/>
      <c r="AO102" s="352"/>
      <c r="AP102" s="352"/>
      <c r="AQ102" s="352"/>
      <c r="AR102" s="352"/>
      <c r="AS102" s="352"/>
      <c r="AT102" s="352"/>
      <c r="AU102" s="352"/>
      <c r="AV102" s="352"/>
      <c r="AW102" s="352"/>
      <c r="AX102" s="352"/>
      <c r="AY102" s="352"/>
      <c r="AZ102" s="352"/>
      <c r="BA102" s="352"/>
      <c r="BB102" s="352"/>
      <c r="BC102" s="352"/>
      <c r="BD102" s="352"/>
      <c r="BE102" s="352"/>
      <c r="BF102" s="352"/>
      <c r="BG102" s="352"/>
      <c r="BH102" s="352"/>
      <c r="BI102" s="352"/>
      <c r="BJ102" s="352"/>
      <c r="BK102" s="352"/>
      <c r="BL102" s="470"/>
      <c r="BM102" s="339"/>
      <c r="BN102" s="339"/>
      <c r="BO102" s="182"/>
      <c r="BP102" s="182"/>
      <c r="BQ102" s="182"/>
      <c r="BR102" s="182"/>
      <c r="BS102" s="182"/>
      <c r="BT102" s="182"/>
      <c r="BU102" s="182"/>
      <c r="BV102" s="182"/>
      <c r="BW102" s="182"/>
      <c r="BX102" s="182"/>
      <c r="BY102" s="182"/>
      <c r="BZ102" s="182"/>
      <c r="CA102" s="182"/>
      <c r="CB102" s="182"/>
      <c r="CC102" s="182"/>
      <c r="CD102" s="182"/>
      <c r="CE102" s="182"/>
      <c r="CF102" s="182"/>
      <c r="CG102" s="182"/>
      <c r="CH102" s="182"/>
      <c r="CI102" s="182"/>
      <c r="CJ102" s="182"/>
      <c r="CK102" s="182"/>
      <c r="CL102" s="680"/>
      <c r="CM102" s="681"/>
      <c r="CN102" s="682"/>
    </row>
    <row r="103" spans="1:92" s="344" customFormat="1">
      <c r="A103" s="469" t="s">
        <v>195</v>
      </c>
      <c r="B103" s="410" t="s">
        <v>100</v>
      </c>
      <c r="C103" s="410"/>
      <c r="D103" s="410"/>
      <c r="E103" s="410" t="s">
        <v>100</v>
      </c>
      <c r="F103" s="410" t="s">
        <v>100</v>
      </c>
      <c r="G103" s="410"/>
      <c r="H103" s="410" t="s">
        <v>100</v>
      </c>
      <c r="I103" s="410" t="s">
        <v>100</v>
      </c>
      <c r="J103" s="502" t="s">
        <v>100</v>
      </c>
      <c r="K103" s="410"/>
      <c r="L103" s="502" t="s">
        <v>100</v>
      </c>
      <c r="M103" s="410"/>
      <c r="N103" s="410"/>
      <c r="O103" s="410"/>
      <c r="P103" s="410"/>
      <c r="Q103" s="410" t="s">
        <v>100</v>
      </c>
      <c r="R103" s="410"/>
      <c r="S103" s="410"/>
      <c r="T103" s="410"/>
      <c r="U103" s="639"/>
      <c r="V103" s="639"/>
      <c r="W103" s="639"/>
      <c r="X103" s="639"/>
      <c r="Y103" s="639"/>
      <c r="Z103" s="639"/>
      <c r="AA103" s="639"/>
      <c r="AB103" s="639"/>
      <c r="AC103" s="639"/>
      <c r="AD103" s="639"/>
      <c r="AE103" s="639"/>
      <c r="AF103" s="639"/>
      <c r="AG103" s="639"/>
      <c r="AH103" s="639"/>
      <c r="AI103" s="639"/>
      <c r="AJ103" s="167">
        <f t="shared" si="37"/>
        <v>8</v>
      </c>
      <c r="AK103" s="508" t="str">
        <f>HYPERLINK("https://twitter.com/DadScribe/status/821856104313458689","Twitter")</f>
        <v>Twitter</v>
      </c>
      <c r="AL103" s="471">
        <v>42753</v>
      </c>
      <c r="AM103" s="352"/>
      <c r="AN103" s="352"/>
      <c r="AO103" s="352"/>
      <c r="AP103" s="352"/>
      <c r="AQ103" s="352"/>
      <c r="AR103" s="352"/>
      <c r="AS103" s="352"/>
      <c r="AT103" s="352"/>
      <c r="AU103" s="352"/>
      <c r="AV103" s="352"/>
      <c r="AW103" s="352"/>
      <c r="AX103" s="352"/>
      <c r="AY103" s="352"/>
      <c r="AZ103" s="352"/>
      <c r="BA103" s="352"/>
      <c r="BB103" s="352"/>
      <c r="BC103" s="352"/>
      <c r="BD103" s="352"/>
      <c r="BE103" s="352"/>
      <c r="BF103" s="352"/>
      <c r="BG103" s="352"/>
      <c r="BH103" s="352"/>
      <c r="BI103" s="352"/>
      <c r="BJ103" s="352"/>
      <c r="BK103" s="352"/>
      <c r="BL103" s="470"/>
      <c r="BM103" s="339"/>
      <c r="BN103" s="339"/>
      <c r="BO103" s="182"/>
      <c r="BP103" s="182"/>
      <c r="BQ103" s="182"/>
      <c r="BR103" s="182"/>
      <c r="BS103" s="182"/>
      <c r="BT103" s="182"/>
      <c r="BU103" s="182"/>
      <c r="BV103" s="182"/>
      <c r="BW103" s="182"/>
      <c r="BX103" s="182"/>
      <c r="BY103" s="182"/>
      <c r="BZ103" s="182"/>
      <c r="CA103" s="182"/>
      <c r="CB103" s="182"/>
      <c r="CC103" s="182"/>
      <c r="CD103" s="182"/>
      <c r="CE103" s="182"/>
      <c r="CF103" s="182"/>
      <c r="CG103" s="182"/>
      <c r="CH103" s="182"/>
      <c r="CI103" s="182"/>
      <c r="CJ103" s="182"/>
      <c r="CK103" s="182"/>
      <c r="CL103" s="618"/>
      <c r="CM103" s="619"/>
      <c r="CN103" s="620"/>
    </row>
    <row r="104" spans="1:92" s="344" customFormat="1" ht="23.25" customHeight="1">
      <c r="A104" s="335" t="s">
        <v>196</v>
      </c>
      <c r="B104" s="182" t="s">
        <v>100</v>
      </c>
      <c r="C104" s="302" t="s">
        <v>100</v>
      </c>
      <c r="D104" s="302" t="s">
        <v>100</v>
      </c>
      <c r="E104" s="182" t="s">
        <v>100</v>
      </c>
      <c r="F104" s="302" t="s">
        <v>100</v>
      </c>
      <c r="G104" s="182"/>
      <c r="H104" s="182" t="s">
        <v>100</v>
      </c>
      <c r="I104" s="320"/>
      <c r="J104" s="182" t="s">
        <v>100</v>
      </c>
      <c r="K104" s="182"/>
      <c r="L104" s="182" t="s">
        <v>100</v>
      </c>
      <c r="M104" s="182"/>
      <c r="N104" s="182" t="s">
        <v>100</v>
      </c>
      <c r="O104" s="182" t="s">
        <v>100</v>
      </c>
      <c r="P104" s="182"/>
      <c r="Q104" s="182"/>
      <c r="R104" s="182"/>
      <c r="S104" s="182"/>
      <c r="T104" s="320"/>
      <c r="U104" s="182"/>
      <c r="V104" s="182"/>
      <c r="W104" s="182"/>
      <c r="X104" s="182"/>
      <c r="Y104" s="182"/>
      <c r="Z104" s="182"/>
      <c r="AA104" s="182"/>
      <c r="AB104" s="182"/>
      <c r="AC104" s="182"/>
      <c r="AD104" s="182"/>
      <c r="AE104" s="182"/>
      <c r="AF104" s="182"/>
      <c r="AG104" s="182"/>
      <c r="AH104" s="182"/>
      <c r="AI104" s="182"/>
      <c r="AJ104" s="167">
        <f t="shared" si="37"/>
        <v>10</v>
      </c>
      <c r="AK104" s="493" t="str">
        <f>HYPERLINK("http://www.gammonsdaily.com/peter-gammons-the-hall-of-fame-ballot/","Gammons Daily")</f>
        <v>Gammons Daily</v>
      </c>
      <c r="AL104" s="341">
        <v>42737</v>
      </c>
      <c r="AM104" s="352"/>
      <c r="AN104" s="352"/>
      <c r="AO104" s="352"/>
      <c r="AP104" s="352"/>
      <c r="AQ104" s="352"/>
      <c r="AR104" s="352"/>
      <c r="AS104" s="352"/>
      <c r="AT104" s="352"/>
      <c r="AU104" s="352"/>
      <c r="AV104" s="352"/>
      <c r="AW104" s="352"/>
      <c r="AX104" s="352"/>
      <c r="AY104" s="352"/>
      <c r="AZ104" s="352"/>
      <c r="BA104" s="352"/>
      <c r="BB104" s="352"/>
      <c r="BC104" s="352"/>
      <c r="BD104" s="352"/>
      <c r="BE104" s="352"/>
      <c r="BF104" s="352"/>
      <c r="BG104" s="352"/>
      <c r="BH104" s="352"/>
      <c r="BI104" s="352"/>
      <c r="BJ104" s="352"/>
      <c r="BK104" s="352"/>
      <c r="BL104" s="470"/>
      <c r="BM104" s="339"/>
      <c r="BN104" s="339"/>
      <c r="BO104" s="182"/>
      <c r="BP104" s="182"/>
      <c r="BQ104" s="182"/>
      <c r="BR104" s="182"/>
      <c r="BS104" s="182"/>
      <c r="BT104" s="182"/>
      <c r="BU104" s="182"/>
      <c r="BV104" s="182"/>
      <c r="BW104" s="182"/>
      <c r="BX104" s="182"/>
      <c r="BY104" s="182"/>
      <c r="BZ104" s="182"/>
      <c r="CA104" s="182"/>
      <c r="CB104" s="182"/>
      <c r="CC104" s="182"/>
      <c r="CD104" s="182"/>
      <c r="CE104" s="182"/>
      <c r="CF104" s="182"/>
      <c r="CG104" s="182"/>
      <c r="CH104" s="182"/>
      <c r="CI104" s="182"/>
      <c r="CJ104" s="182"/>
      <c r="CK104" s="182"/>
      <c r="CL104" s="680" t="s">
        <v>565</v>
      </c>
      <c r="CM104" s="681"/>
      <c r="CN104" s="682"/>
    </row>
    <row r="105" spans="1:92" s="344" customFormat="1">
      <c r="A105" s="335" t="s">
        <v>197</v>
      </c>
      <c r="B105" s="182" t="s">
        <v>100</v>
      </c>
      <c r="C105" s="182" t="s">
        <v>100</v>
      </c>
      <c r="D105" s="182" t="s">
        <v>100</v>
      </c>
      <c r="E105" s="182" t="s">
        <v>100</v>
      </c>
      <c r="F105" s="182" t="s">
        <v>100</v>
      </c>
      <c r="G105" s="182"/>
      <c r="H105" s="182"/>
      <c r="I105" s="182"/>
      <c r="J105" s="182"/>
      <c r="K105" s="182"/>
      <c r="L105" s="182" t="s">
        <v>100</v>
      </c>
      <c r="M105" s="182"/>
      <c r="N105" s="182"/>
      <c r="O105" s="182" t="s">
        <v>100</v>
      </c>
      <c r="P105" s="182"/>
      <c r="Q105" s="182"/>
      <c r="R105" s="182"/>
      <c r="S105" s="182"/>
      <c r="T105" s="182"/>
      <c r="U105" s="182"/>
      <c r="V105" s="182"/>
      <c r="W105" s="182"/>
      <c r="X105" s="182"/>
      <c r="Y105" s="182"/>
      <c r="Z105" s="182"/>
      <c r="AA105" s="182"/>
      <c r="AB105" s="182"/>
      <c r="AC105" s="182"/>
      <c r="AD105" s="182"/>
      <c r="AE105" s="182"/>
      <c r="AF105" s="182"/>
      <c r="AG105" s="182"/>
      <c r="AH105" s="182"/>
      <c r="AI105" s="182"/>
      <c r="AJ105" s="167">
        <f t="shared" si="37"/>
        <v>7</v>
      </c>
      <c r="AK105" s="493" t="str">
        <f>HYPERLINK("https://twitter.com/APgelston/status/815784735121305601","Twitter")</f>
        <v>Twitter</v>
      </c>
      <c r="AL105" s="341">
        <v>42737</v>
      </c>
      <c r="AM105" s="352"/>
      <c r="AN105" s="352"/>
      <c r="AO105" s="352"/>
      <c r="AP105" s="352"/>
      <c r="AQ105" s="352"/>
      <c r="AR105" s="352"/>
      <c r="AS105" s="352"/>
      <c r="AT105" s="352"/>
      <c r="AU105" s="352"/>
      <c r="AV105" s="352"/>
      <c r="AW105" s="352"/>
      <c r="AX105" s="352"/>
      <c r="AY105" s="352"/>
      <c r="AZ105" s="352"/>
      <c r="BA105" s="352"/>
      <c r="BB105" s="352"/>
      <c r="BC105" s="352"/>
      <c r="BD105" s="352"/>
      <c r="BE105" s="352"/>
      <c r="BF105" s="352"/>
      <c r="BG105" s="352"/>
      <c r="BH105" s="352"/>
      <c r="BI105" s="352"/>
      <c r="BJ105" s="352"/>
      <c r="BK105" s="352"/>
      <c r="BL105" s="470"/>
      <c r="BM105" s="339"/>
      <c r="BN105" s="339"/>
      <c r="BO105" s="182"/>
      <c r="BP105" s="182"/>
      <c r="BQ105" s="182"/>
      <c r="BR105" s="182"/>
      <c r="BS105" s="182"/>
      <c r="BT105" s="182"/>
      <c r="BU105" s="182"/>
      <c r="BV105" s="182"/>
      <c r="BW105" s="182"/>
      <c r="BX105" s="182"/>
      <c r="BY105" s="182"/>
      <c r="BZ105" s="182"/>
      <c r="CA105" s="182"/>
      <c r="CB105" s="182"/>
      <c r="CC105" s="182"/>
      <c r="CD105" s="182"/>
      <c r="CE105" s="182"/>
      <c r="CF105" s="182"/>
      <c r="CG105" s="182"/>
      <c r="CH105" s="182"/>
      <c r="CI105" s="182"/>
      <c r="CJ105" s="182"/>
      <c r="CK105" s="182"/>
      <c r="CL105" s="618"/>
      <c r="CM105" s="619"/>
      <c r="CN105" s="620"/>
    </row>
    <row r="106" spans="1:92" s="344" customFormat="1">
      <c r="A106" s="335" t="s">
        <v>198</v>
      </c>
      <c r="B106" s="182" t="s">
        <v>100</v>
      </c>
      <c r="C106" s="182"/>
      <c r="D106" s="182"/>
      <c r="E106" s="182" t="s">
        <v>100</v>
      </c>
      <c r="F106" s="182" t="s">
        <v>100</v>
      </c>
      <c r="G106" s="182" t="s">
        <v>100</v>
      </c>
      <c r="H106" s="182" t="s">
        <v>100</v>
      </c>
      <c r="I106" s="182" t="s">
        <v>100</v>
      </c>
      <c r="J106" s="182" t="s">
        <v>100</v>
      </c>
      <c r="K106" s="182"/>
      <c r="L106" s="302" t="s">
        <v>100</v>
      </c>
      <c r="M106" s="182"/>
      <c r="N106" s="182" t="s">
        <v>100</v>
      </c>
      <c r="O106" s="182"/>
      <c r="P106" s="182"/>
      <c r="Q106" s="182"/>
      <c r="R106" s="182"/>
      <c r="S106" s="302" t="s">
        <v>100</v>
      </c>
      <c r="T106" s="182"/>
      <c r="U106" s="182"/>
      <c r="V106" s="182"/>
      <c r="W106" s="182"/>
      <c r="X106" s="182"/>
      <c r="Y106" s="182"/>
      <c r="Z106" s="182"/>
      <c r="AA106" s="182"/>
      <c r="AB106" s="182"/>
      <c r="AC106" s="182"/>
      <c r="AD106" s="182"/>
      <c r="AE106" s="182"/>
      <c r="AF106" s="182"/>
      <c r="AG106" s="182"/>
      <c r="AH106" s="182"/>
      <c r="AI106" s="182"/>
      <c r="AJ106" s="167">
        <f t="shared" ref="AJ106" si="47">COUNTIF(B106:AI106,"x")</f>
        <v>10</v>
      </c>
      <c r="AK106" s="483" t="s">
        <v>113</v>
      </c>
      <c r="AL106" s="341">
        <v>42724</v>
      </c>
      <c r="AM106" s="352"/>
      <c r="AN106" s="352"/>
      <c r="AO106" s="352"/>
      <c r="AP106" s="352"/>
      <c r="AQ106" s="352"/>
      <c r="AR106" s="352"/>
      <c r="AS106" s="352"/>
      <c r="AT106" s="352"/>
      <c r="AU106" s="352"/>
      <c r="AV106" s="352"/>
      <c r="AW106" s="352"/>
      <c r="AX106" s="352"/>
      <c r="AY106" s="352"/>
      <c r="AZ106" s="352"/>
      <c r="BA106" s="352"/>
      <c r="BB106" s="352"/>
      <c r="BC106" s="352"/>
      <c r="BD106" s="352"/>
      <c r="BE106" s="352"/>
      <c r="BF106" s="352"/>
      <c r="BG106" s="352"/>
      <c r="BH106" s="352"/>
      <c r="BI106" s="352"/>
      <c r="BJ106" s="352"/>
      <c r="BK106" s="352"/>
      <c r="BL106" s="470"/>
      <c r="BM106" s="339"/>
      <c r="BN106" s="339"/>
      <c r="BO106" s="182"/>
      <c r="BP106" s="182"/>
      <c r="BQ106" s="182"/>
      <c r="BR106" s="182"/>
      <c r="BS106" s="182"/>
      <c r="BT106" s="182"/>
      <c r="BU106" s="182"/>
      <c r="BV106" s="182"/>
      <c r="BW106" s="182"/>
      <c r="BX106" s="182"/>
      <c r="BY106" s="182"/>
      <c r="BZ106" s="182"/>
      <c r="CA106" s="182"/>
      <c r="CB106" s="182"/>
      <c r="CC106" s="182"/>
      <c r="CD106" s="182"/>
      <c r="CE106" s="182"/>
      <c r="CF106" s="182"/>
      <c r="CG106" s="182"/>
      <c r="CH106" s="182"/>
      <c r="CI106" s="182"/>
      <c r="CJ106" s="182"/>
      <c r="CK106" s="182"/>
      <c r="CL106" s="680"/>
      <c r="CM106" s="681"/>
      <c r="CN106" s="682"/>
    </row>
    <row r="107" spans="1:92" s="344" customFormat="1">
      <c r="A107" s="335" t="s">
        <v>199</v>
      </c>
      <c r="B107" s="182"/>
      <c r="C107" s="182"/>
      <c r="D107" s="182"/>
      <c r="E107" s="182" t="s">
        <v>100</v>
      </c>
      <c r="F107" s="182"/>
      <c r="G107" s="182"/>
      <c r="H107" s="182"/>
      <c r="I107" s="182"/>
      <c r="J107" s="182"/>
      <c r="K107" s="182"/>
      <c r="L107" s="182"/>
      <c r="M107" s="182"/>
      <c r="N107" s="182"/>
      <c r="O107" s="182"/>
      <c r="P107" s="182"/>
      <c r="Q107" s="182"/>
      <c r="R107" s="182"/>
      <c r="S107" s="182"/>
      <c r="T107" s="182" t="s">
        <v>100</v>
      </c>
      <c r="U107" s="182"/>
      <c r="V107" s="182"/>
      <c r="W107" s="182"/>
      <c r="X107" s="182"/>
      <c r="Y107" s="182"/>
      <c r="Z107" s="182"/>
      <c r="AA107" s="182"/>
      <c r="AB107" s="182"/>
      <c r="AC107" s="182"/>
      <c r="AD107" s="182"/>
      <c r="AE107" s="182"/>
      <c r="AF107" s="182"/>
      <c r="AG107" s="182"/>
      <c r="AH107" s="182"/>
      <c r="AI107" s="182"/>
      <c r="AJ107" s="167">
        <f t="shared" si="37"/>
        <v>2</v>
      </c>
      <c r="AK107" s="481" t="str">
        <f>HYPERLINK("https://twitter.com/rgilliescanada/status/821788361157443586","Twitter")</f>
        <v>Twitter</v>
      </c>
      <c r="AL107" s="341">
        <v>42751</v>
      </c>
      <c r="AM107" s="352"/>
      <c r="AN107" s="352"/>
      <c r="AO107" s="352"/>
      <c r="AP107" s="352"/>
      <c r="AQ107" s="352"/>
      <c r="AR107" s="352"/>
      <c r="AS107" s="352"/>
      <c r="AT107" s="352"/>
      <c r="AU107" s="352"/>
      <c r="AV107" s="352"/>
      <c r="AW107" s="352"/>
      <c r="AX107" s="352"/>
      <c r="AY107" s="352"/>
      <c r="AZ107" s="352"/>
      <c r="BA107" s="352"/>
      <c r="BB107" s="352"/>
      <c r="BC107" s="352"/>
      <c r="BD107" s="352"/>
      <c r="BE107" s="352"/>
      <c r="BF107" s="352"/>
      <c r="BG107" s="352"/>
      <c r="BH107" s="352"/>
      <c r="BI107" s="352"/>
      <c r="BJ107" s="352"/>
      <c r="BK107" s="352"/>
      <c r="BL107" s="470"/>
      <c r="BM107" s="339"/>
      <c r="BN107" s="339"/>
      <c r="BO107" s="182"/>
      <c r="BP107" s="182"/>
      <c r="BQ107" s="182"/>
      <c r="BR107" s="182"/>
      <c r="BS107" s="182"/>
      <c r="BT107" s="182"/>
      <c r="BU107" s="182"/>
      <c r="BV107" s="182"/>
      <c r="BW107" s="182"/>
      <c r="BX107" s="182"/>
      <c r="BY107" s="182"/>
      <c r="BZ107" s="182"/>
      <c r="CA107" s="182"/>
      <c r="CB107" s="182"/>
      <c r="CC107" s="182"/>
      <c r="CD107" s="182"/>
      <c r="CE107" s="182"/>
      <c r="CF107" s="182"/>
      <c r="CG107" s="182"/>
      <c r="CH107" s="182"/>
      <c r="CI107" s="182"/>
      <c r="CJ107" s="182"/>
      <c r="CK107" s="182"/>
      <c r="CL107" s="618"/>
      <c r="CM107" s="619"/>
      <c r="CN107" s="620"/>
    </row>
    <row r="108" spans="1:92" s="344" customFormat="1">
      <c r="A108" s="335" t="s">
        <v>202</v>
      </c>
      <c r="B108" s="302" t="s">
        <v>100</v>
      </c>
      <c r="C108" s="182"/>
      <c r="D108" s="182"/>
      <c r="E108" s="182"/>
      <c r="F108" s="182" t="s">
        <v>100</v>
      </c>
      <c r="G108" s="182"/>
      <c r="H108" s="182" t="s">
        <v>100</v>
      </c>
      <c r="I108" s="182"/>
      <c r="J108" s="182"/>
      <c r="K108" s="182"/>
      <c r="L108" s="182" t="s">
        <v>100</v>
      </c>
      <c r="M108" s="182"/>
      <c r="N108" s="182" t="s">
        <v>100</v>
      </c>
      <c r="O108" s="182"/>
      <c r="P108" s="182"/>
      <c r="Q108" s="182" t="s">
        <v>100</v>
      </c>
      <c r="R108" s="182"/>
      <c r="S108" s="182"/>
      <c r="T108" s="182"/>
      <c r="U108" s="182"/>
      <c r="V108" s="182"/>
      <c r="W108" s="182"/>
      <c r="X108" s="182"/>
      <c r="Y108" s="182"/>
      <c r="Z108" s="182"/>
      <c r="AA108" s="182"/>
      <c r="AB108" s="182"/>
      <c r="AC108" s="182"/>
      <c r="AD108" s="182"/>
      <c r="AE108" s="182"/>
      <c r="AF108" s="182"/>
      <c r="AG108" s="182"/>
      <c r="AH108" s="182"/>
      <c r="AI108" s="182"/>
      <c r="AJ108" s="167">
        <f t="shared" si="37"/>
        <v>6</v>
      </c>
      <c r="AK108" s="483" t="s">
        <v>115</v>
      </c>
      <c r="AL108" s="341">
        <v>42724</v>
      </c>
      <c r="AM108" s="352"/>
      <c r="AN108" s="352"/>
      <c r="AO108" s="352"/>
      <c r="AP108" s="352"/>
      <c r="AQ108" s="352"/>
      <c r="AR108" s="352"/>
      <c r="AS108" s="352"/>
      <c r="AT108" s="352"/>
      <c r="AU108" s="352"/>
      <c r="AV108" s="352"/>
      <c r="AW108" s="352"/>
      <c r="AX108" s="352"/>
      <c r="AY108" s="352"/>
      <c r="AZ108" s="352"/>
      <c r="BA108" s="352"/>
      <c r="BB108" s="352"/>
      <c r="BC108" s="352"/>
      <c r="BD108" s="352"/>
      <c r="BE108" s="352"/>
      <c r="BF108" s="352"/>
      <c r="BG108" s="352"/>
      <c r="BH108" s="352"/>
      <c r="BI108" s="352"/>
      <c r="BJ108" s="352"/>
      <c r="BK108" s="352"/>
      <c r="BL108" s="470"/>
      <c r="BM108" s="339"/>
      <c r="BN108" s="339"/>
      <c r="BO108" s="182"/>
      <c r="BP108" s="182"/>
      <c r="BQ108" s="182"/>
      <c r="BR108" s="182"/>
      <c r="BS108" s="182"/>
      <c r="BT108" s="182"/>
      <c r="BU108" s="182"/>
      <c r="BV108" s="182"/>
      <c r="BW108" s="182"/>
      <c r="BX108" s="182"/>
      <c r="BY108" s="182"/>
      <c r="BZ108" s="182"/>
      <c r="CA108" s="182"/>
      <c r="CB108" s="182"/>
      <c r="CC108" s="182"/>
      <c r="CD108" s="182"/>
      <c r="CE108" s="182"/>
      <c r="CF108" s="182"/>
      <c r="CG108" s="182"/>
      <c r="CH108" s="182"/>
      <c r="CI108" s="182"/>
      <c r="CJ108" s="182"/>
      <c r="CK108" s="182"/>
      <c r="CL108" s="680"/>
      <c r="CM108" s="681"/>
      <c r="CN108" s="682"/>
    </row>
    <row r="109" spans="1:92" s="344" customFormat="1">
      <c r="A109" s="335" t="s">
        <v>203</v>
      </c>
      <c r="B109" s="182"/>
      <c r="C109" s="182"/>
      <c r="D109" s="182"/>
      <c r="E109" s="182"/>
      <c r="F109" s="182" t="s">
        <v>100</v>
      </c>
      <c r="G109" s="182"/>
      <c r="H109" s="182"/>
      <c r="I109" s="182" t="s">
        <v>100</v>
      </c>
      <c r="J109" s="182" t="s">
        <v>100</v>
      </c>
      <c r="K109" s="182"/>
      <c r="L109" s="182"/>
      <c r="M109" s="182"/>
      <c r="N109" s="182"/>
      <c r="O109" s="182"/>
      <c r="P109" s="182"/>
      <c r="Q109" s="182" t="s">
        <v>100</v>
      </c>
      <c r="R109" s="182"/>
      <c r="S109" s="182"/>
      <c r="T109" s="182"/>
      <c r="U109" s="182"/>
      <c r="V109" s="182"/>
      <c r="W109" s="182"/>
      <c r="X109" s="182"/>
      <c r="Y109" s="182"/>
      <c r="Z109" s="182"/>
      <c r="AA109" s="182"/>
      <c r="AB109" s="182"/>
      <c r="AC109" s="182"/>
      <c r="AD109" s="182"/>
      <c r="AE109" s="182"/>
      <c r="AF109" s="182"/>
      <c r="AG109" s="182"/>
      <c r="AH109" s="182"/>
      <c r="AI109" s="182"/>
      <c r="AJ109" s="167">
        <f t="shared" si="37"/>
        <v>4</v>
      </c>
      <c r="AK109" s="481" t="str">
        <f>HYPERLINK("http://www.espn.com/mlb/story/_/id/18436379/seven-elected-espn-2017-baseball-hall-fame-ballot","ESPN")</f>
        <v>ESPN</v>
      </c>
      <c r="AL109" s="341">
        <v>42751</v>
      </c>
      <c r="AM109" s="352"/>
      <c r="AN109" s="352"/>
      <c r="AO109" s="352"/>
      <c r="AP109" s="352"/>
      <c r="AQ109" s="352"/>
      <c r="AR109" s="352"/>
      <c r="AS109" s="352"/>
      <c r="AT109" s="352"/>
      <c r="AU109" s="352"/>
      <c r="AV109" s="352"/>
      <c r="AW109" s="352"/>
      <c r="AX109" s="352"/>
      <c r="AY109" s="352"/>
      <c r="AZ109" s="352"/>
      <c r="BA109" s="352"/>
      <c r="BB109" s="352"/>
      <c r="BC109" s="352"/>
      <c r="BD109" s="352"/>
      <c r="BE109" s="352"/>
      <c r="BF109" s="352"/>
      <c r="BG109" s="352"/>
      <c r="BH109" s="352"/>
      <c r="BI109" s="352"/>
      <c r="BJ109" s="352"/>
      <c r="BK109" s="352"/>
      <c r="BL109" s="470"/>
      <c r="BM109" s="339"/>
      <c r="BN109" s="339"/>
      <c r="BO109" s="182"/>
      <c r="BP109" s="182"/>
      <c r="BQ109" s="182"/>
      <c r="BR109" s="182"/>
      <c r="BS109" s="182"/>
      <c r="BT109" s="182"/>
      <c r="BU109" s="182"/>
      <c r="BV109" s="182"/>
      <c r="BW109" s="182"/>
      <c r="BX109" s="182"/>
      <c r="BY109" s="182"/>
      <c r="BZ109" s="182"/>
      <c r="CA109" s="182"/>
      <c r="CB109" s="182"/>
      <c r="CC109" s="182"/>
      <c r="CD109" s="182"/>
      <c r="CE109" s="182"/>
      <c r="CF109" s="182"/>
      <c r="CG109" s="182"/>
      <c r="CH109" s="182"/>
      <c r="CI109" s="182"/>
      <c r="CJ109" s="182"/>
      <c r="CK109" s="182"/>
      <c r="CL109" s="618"/>
      <c r="CM109" s="619"/>
      <c r="CN109" s="620"/>
    </row>
    <row r="110" spans="1:92" s="344" customFormat="1">
      <c r="A110" s="335" t="s">
        <v>204</v>
      </c>
      <c r="B110" s="182" t="s">
        <v>100</v>
      </c>
      <c r="C110" s="182"/>
      <c r="D110" s="182"/>
      <c r="E110" s="182" t="s">
        <v>100</v>
      </c>
      <c r="F110" s="182" t="s">
        <v>100</v>
      </c>
      <c r="G110" s="182" t="s">
        <v>100</v>
      </c>
      <c r="H110" s="182" t="s">
        <v>100</v>
      </c>
      <c r="I110" s="182"/>
      <c r="J110" s="182"/>
      <c r="K110" s="182"/>
      <c r="L110" s="182" t="s">
        <v>100</v>
      </c>
      <c r="M110" s="182"/>
      <c r="N110" s="182" t="s">
        <v>100</v>
      </c>
      <c r="O110" s="182"/>
      <c r="P110" s="182"/>
      <c r="Q110" s="182"/>
      <c r="R110" s="182"/>
      <c r="S110" s="182" t="s">
        <v>100</v>
      </c>
      <c r="T110" s="182"/>
      <c r="U110" s="182"/>
      <c r="V110" s="182"/>
      <c r="W110" s="182"/>
      <c r="X110" s="182"/>
      <c r="Y110" s="182"/>
      <c r="Z110" s="182"/>
      <c r="AA110" s="182"/>
      <c r="AB110" s="182"/>
      <c r="AC110" s="182"/>
      <c r="AD110" s="182"/>
      <c r="AE110" s="182"/>
      <c r="AF110" s="182"/>
      <c r="AG110" s="182"/>
      <c r="AH110" s="182"/>
      <c r="AI110" s="182"/>
      <c r="AJ110" s="167">
        <f t="shared" si="37"/>
        <v>8</v>
      </c>
      <c r="AK110" s="493" t="str">
        <f>HYPERLINK("http://www.chicagotribune.com/sports/baseball/ct-hall-of-fame-ballot-gonzales-spt-0115-20170114-story.html","Chicago Tribune")</f>
        <v>Chicago Tribune</v>
      </c>
      <c r="AL110" s="341">
        <v>42749</v>
      </c>
      <c r="AM110" s="352"/>
      <c r="AN110" s="352"/>
      <c r="AO110" s="352"/>
      <c r="AP110" s="352"/>
      <c r="AQ110" s="352"/>
      <c r="AR110" s="352"/>
      <c r="AS110" s="352"/>
      <c r="AT110" s="352"/>
      <c r="AU110" s="352"/>
      <c r="AV110" s="352"/>
      <c r="AW110" s="352"/>
      <c r="AX110" s="352"/>
      <c r="AY110" s="352"/>
      <c r="AZ110" s="352"/>
      <c r="BA110" s="352"/>
      <c r="BB110" s="352"/>
      <c r="BC110" s="352"/>
      <c r="BD110" s="352"/>
      <c r="BE110" s="352"/>
      <c r="BF110" s="352"/>
      <c r="BG110" s="352"/>
      <c r="BH110" s="352"/>
      <c r="BI110" s="352"/>
      <c r="BJ110" s="352"/>
      <c r="BK110" s="352"/>
      <c r="BL110" s="470"/>
      <c r="BM110" s="339"/>
      <c r="BN110" s="339"/>
      <c r="BO110" s="182"/>
      <c r="BP110" s="182"/>
      <c r="BQ110" s="182"/>
      <c r="BR110" s="182"/>
      <c r="BS110" s="182"/>
      <c r="BT110" s="182"/>
      <c r="BU110" s="182"/>
      <c r="BV110" s="182"/>
      <c r="BW110" s="182"/>
      <c r="BX110" s="182"/>
      <c r="BY110" s="182"/>
      <c r="BZ110" s="182"/>
      <c r="CA110" s="182"/>
      <c r="CB110" s="182"/>
      <c r="CC110" s="182"/>
      <c r="CD110" s="182"/>
      <c r="CE110" s="182"/>
      <c r="CF110" s="182"/>
      <c r="CG110" s="182"/>
      <c r="CH110" s="182"/>
      <c r="CI110" s="182"/>
      <c r="CJ110" s="182"/>
      <c r="CK110" s="182"/>
      <c r="CL110" s="618"/>
      <c r="CM110" s="619"/>
      <c r="CN110" s="620"/>
    </row>
    <row r="111" spans="1:92" s="344" customFormat="1">
      <c r="A111" s="335" t="s">
        <v>566</v>
      </c>
      <c r="B111" s="182" t="s">
        <v>100</v>
      </c>
      <c r="C111" s="182"/>
      <c r="D111" s="182"/>
      <c r="E111" s="182" t="s">
        <v>100</v>
      </c>
      <c r="F111" s="302" t="s">
        <v>100</v>
      </c>
      <c r="G111" s="182"/>
      <c r="H111" s="182" t="s">
        <v>100</v>
      </c>
      <c r="I111" s="182"/>
      <c r="J111" s="182" t="s">
        <v>100</v>
      </c>
      <c r="K111" s="182"/>
      <c r="L111" s="182" t="s">
        <v>100</v>
      </c>
      <c r="M111" s="182"/>
      <c r="N111" s="182" t="s">
        <v>100</v>
      </c>
      <c r="O111" s="182" t="s">
        <v>100</v>
      </c>
      <c r="P111" s="182"/>
      <c r="Q111" s="302" t="s">
        <v>100</v>
      </c>
      <c r="R111" s="182"/>
      <c r="S111" s="182"/>
      <c r="T111" s="182" t="s">
        <v>100</v>
      </c>
      <c r="U111" s="182"/>
      <c r="V111" s="182"/>
      <c r="W111" s="182"/>
      <c r="X111" s="182"/>
      <c r="Y111" s="182"/>
      <c r="Z111" s="182"/>
      <c r="AA111" s="182"/>
      <c r="AB111" s="182"/>
      <c r="AC111" s="182"/>
      <c r="AD111" s="182"/>
      <c r="AE111" s="182"/>
      <c r="AF111" s="182"/>
      <c r="AG111" s="182"/>
      <c r="AH111" s="182"/>
      <c r="AI111" s="182"/>
      <c r="AJ111" s="167">
        <f t="shared" si="37"/>
        <v>10</v>
      </c>
      <c r="AK111" s="493" t="str">
        <f>HYPERLINK("http://sports.live.stltoday.com/Event/Cardinals_chat_with_Derrick_Goold_b95f057d6e73?Page=0","StL Post Dispatch")</f>
        <v>StL Post Dispatch</v>
      </c>
      <c r="AL111" s="341">
        <v>42738</v>
      </c>
      <c r="AM111" s="352"/>
      <c r="AN111" s="352"/>
      <c r="AO111" s="352"/>
      <c r="AP111" s="352"/>
      <c r="AQ111" s="352"/>
      <c r="AR111" s="352"/>
      <c r="AS111" s="352"/>
      <c r="AT111" s="352"/>
      <c r="AU111" s="352"/>
      <c r="AV111" s="352"/>
      <c r="AW111" s="352"/>
      <c r="AX111" s="352"/>
      <c r="AY111" s="352"/>
      <c r="AZ111" s="352"/>
      <c r="BA111" s="352"/>
      <c r="BB111" s="352"/>
      <c r="BC111" s="352"/>
      <c r="BD111" s="352"/>
      <c r="BE111" s="352"/>
      <c r="BF111" s="352"/>
      <c r="BG111" s="352"/>
      <c r="BH111" s="352"/>
      <c r="BI111" s="352"/>
      <c r="BJ111" s="352"/>
      <c r="BK111" s="352"/>
      <c r="BL111" s="470"/>
      <c r="BM111" s="339"/>
      <c r="BN111" s="339"/>
      <c r="BO111" s="182"/>
      <c r="BP111" s="182"/>
      <c r="BQ111" s="182"/>
      <c r="BR111" s="182"/>
      <c r="BS111" s="182"/>
      <c r="BT111" s="182"/>
      <c r="BU111" s="182"/>
      <c r="BV111" s="182"/>
      <c r="BW111" s="182"/>
      <c r="BX111" s="182"/>
      <c r="BY111" s="182"/>
      <c r="BZ111" s="182"/>
      <c r="CA111" s="182"/>
      <c r="CB111" s="182"/>
      <c r="CC111" s="182"/>
      <c r="CD111" s="182"/>
      <c r="CE111" s="182"/>
      <c r="CF111" s="182"/>
      <c r="CG111" s="182"/>
      <c r="CH111" s="182"/>
      <c r="CI111" s="182"/>
      <c r="CJ111" s="182"/>
      <c r="CK111" s="182"/>
      <c r="CL111" s="680" t="s">
        <v>567</v>
      </c>
      <c r="CM111" s="681"/>
      <c r="CN111" s="682"/>
    </row>
    <row r="112" spans="1:92" s="344" customFormat="1">
      <c r="A112" s="335" t="s">
        <v>568</v>
      </c>
      <c r="B112" s="182" t="s">
        <v>100</v>
      </c>
      <c r="C112" s="182" t="s">
        <v>100</v>
      </c>
      <c r="D112" s="182" t="s">
        <v>100</v>
      </c>
      <c r="E112" s="182"/>
      <c r="F112" s="182" t="s">
        <v>100</v>
      </c>
      <c r="G112" s="182"/>
      <c r="H112" s="182" t="s">
        <v>100</v>
      </c>
      <c r="I112" s="182"/>
      <c r="J112" s="302" t="s">
        <v>100</v>
      </c>
      <c r="K112" s="182"/>
      <c r="L112" s="182" t="s">
        <v>100</v>
      </c>
      <c r="M112" s="182"/>
      <c r="N112" s="182" t="s">
        <v>100</v>
      </c>
      <c r="O112" s="302" t="s">
        <v>100</v>
      </c>
      <c r="P112" s="182"/>
      <c r="Q112" s="182" t="s">
        <v>100</v>
      </c>
      <c r="R112" s="182"/>
      <c r="S112" s="182"/>
      <c r="T112" s="182"/>
      <c r="U112" s="182"/>
      <c r="V112" s="182"/>
      <c r="W112" s="182"/>
      <c r="X112" s="182"/>
      <c r="Y112" s="182"/>
      <c r="Z112" s="182"/>
      <c r="AA112" s="182"/>
      <c r="AB112" s="182"/>
      <c r="AC112" s="182"/>
      <c r="AD112" s="182"/>
      <c r="AE112" s="182"/>
      <c r="AF112" s="182"/>
      <c r="AG112" s="182"/>
      <c r="AH112" s="182"/>
      <c r="AI112" s="182"/>
      <c r="AJ112" s="167">
        <f t="shared" si="37"/>
        <v>10</v>
      </c>
      <c r="AK112" s="493" t="str">
        <f>HYPERLINK("http://sportsday.dallasnews.com/texas-rangers/rangers/2017/01/06/see-sportsday-staffers-put-baseball-hall-fame-ballots","Dallas Morning News")</f>
        <v>Dallas Morning News</v>
      </c>
      <c r="AL112" s="341">
        <v>42741</v>
      </c>
      <c r="AM112" s="352"/>
      <c r="AN112" s="352"/>
      <c r="AO112" s="352"/>
      <c r="AP112" s="352"/>
      <c r="AQ112" s="352"/>
      <c r="AR112" s="352"/>
      <c r="AS112" s="352"/>
      <c r="AT112" s="352"/>
      <c r="AU112" s="352"/>
      <c r="AV112" s="352"/>
      <c r="AW112" s="352"/>
      <c r="AX112" s="352"/>
      <c r="AY112" s="352"/>
      <c r="AZ112" s="352"/>
      <c r="BA112" s="352"/>
      <c r="BB112" s="352"/>
      <c r="BC112" s="352"/>
      <c r="BD112" s="352"/>
      <c r="BE112" s="352"/>
      <c r="BF112" s="352"/>
      <c r="BG112" s="352"/>
      <c r="BH112" s="352"/>
      <c r="BI112" s="352"/>
      <c r="BJ112" s="352"/>
      <c r="BK112" s="352"/>
      <c r="BL112" s="470"/>
      <c r="BM112" s="339"/>
      <c r="BN112" s="339"/>
      <c r="BO112" s="182"/>
      <c r="BP112" s="182"/>
      <c r="BQ112" s="182"/>
      <c r="BR112" s="182"/>
      <c r="BS112" s="182"/>
      <c r="BT112" s="182"/>
      <c r="BU112" s="182"/>
      <c r="BV112" s="182"/>
      <c r="BW112" s="182"/>
      <c r="BX112" s="182"/>
      <c r="BY112" s="182"/>
      <c r="BZ112" s="182"/>
      <c r="CA112" s="182"/>
      <c r="CB112" s="182"/>
      <c r="CC112" s="182"/>
      <c r="CD112" s="182"/>
      <c r="CE112" s="182"/>
      <c r="CF112" s="182"/>
      <c r="CG112" s="182"/>
      <c r="CH112" s="182"/>
      <c r="CI112" s="182"/>
      <c r="CJ112" s="182"/>
      <c r="CK112" s="182"/>
      <c r="CL112" s="618"/>
      <c r="CM112" s="619"/>
      <c r="CN112" s="620"/>
    </row>
    <row r="113" spans="1:92" s="344" customFormat="1">
      <c r="A113" s="331" t="s">
        <v>207</v>
      </c>
      <c r="B113" s="182" t="s">
        <v>100</v>
      </c>
      <c r="C113" s="182" t="s">
        <v>100</v>
      </c>
      <c r="D113" s="182" t="s">
        <v>100</v>
      </c>
      <c r="E113" s="182" t="s">
        <v>100</v>
      </c>
      <c r="F113" s="182" t="s">
        <v>100</v>
      </c>
      <c r="G113" s="182"/>
      <c r="H113" s="182" t="s">
        <v>100</v>
      </c>
      <c r="I113" s="182"/>
      <c r="J113" s="182"/>
      <c r="K113" s="182"/>
      <c r="L113" s="182" t="s">
        <v>100</v>
      </c>
      <c r="M113" s="182"/>
      <c r="N113" s="182" t="s">
        <v>100</v>
      </c>
      <c r="O113" s="182"/>
      <c r="P113" s="182"/>
      <c r="Q113" s="182" t="s">
        <v>100</v>
      </c>
      <c r="R113" s="182"/>
      <c r="S113" s="182"/>
      <c r="T113" s="182" t="s">
        <v>100</v>
      </c>
      <c r="U113" s="182"/>
      <c r="V113" s="182"/>
      <c r="W113" s="182"/>
      <c r="X113" s="182"/>
      <c r="Y113" s="182"/>
      <c r="Z113" s="182"/>
      <c r="AA113" s="182"/>
      <c r="AB113" s="182"/>
      <c r="AC113" s="182"/>
      <c r="AD113" s="182"/>
      <c r="AE113" s="182"/>
      <c r="AF113" s="182"/>
      <c r="AG113" s="182"/>
      <c r="AH113" s="182"/>
      <c r="AI113" s="182"/>
      <c r="AJ113" s="167">
        <f t="shared" si="37"/>
        <v>10</v>
      </c>
      <c r="AK113" s="493" t="str">
        <f>HYPERLINK("https://twitter.com/pgraham34/status/815325437672861696","Twitter")</f>
        <v>Twitter</v>
      </c>
      <c r="AL113" s="341">
        <v>42735</v>
      </c>
      <c r="AM113" s="352"/>
      <c r="AN113" s="352"/>
      <c r="AO113" s="352"/>
      <c r="AP113" s="352"/>
      <c r="AQ113" s="352"/>
      <c r="AR113" s="352"/>
      <c r="AS113" s="352"/>
      <c r="AT113" s="352"/>
      <c r="AU113" s="352"/>
      <c r="AV113" s="352"/>
      <c r="AW113" s="352"/>
      <c r="AX113" s="352"/>
      <c r="AY113" s="352"/>
      <c r="AZ113" s="352"/>
      <c r="BA113" s="352"/>
      <c r="BB113" s="352"/>
      <c r="BC113" s="352"/>
      <c r="BD113" s="352"/>
      <c r="BE113" s="352"/>
      <c r="BF113" s="352"/>
      <c r="BG113" s="352"/>
      <c r="BH113" s="352"/>
      <c r="BI113" s="352"/>
      <c r="BJ113" s="352"/>
      <c r="BK113" s="352"/>
      <c r="BL113" s="470"/>
      <c r="BM113" s="339"/>
      <c r="BN113" s="339"/>
      <c r="BO113" s="182"/>
      <c r="BP113" s="182"/>
      <c r="BQ113" s="182"/>
      <c r="BR113" s="182"/>
      <c r="BS113" s="182"/>
      <c r="BT113" s="182"/>
      <c r="BU113" s="182"/>
      <c r="BV113" s="182"/>
      <c r="BW113" s="182"/>
      <c r="BX113" s="182"/>
      <c r="BY113" s="182"/>
      <c r="BZ113" s="182"/>
      <c r="CA113" s="182"/>
      <c r="CB113" s="182"/>
      <c r="CC113" s="182"/>
      <c r="CD113" s="182"/>
      <c r="CE113" s="182"/>
      <c r="CF113" s="182"/>
      <c r="CG113" s="182"/>
      <c r="CH113" s="182"/>
      <c r="CI113" s="182"/>
      <c r="CJ113" s="182"/>
      <c r="CK113" s="182"/>
      <c r="CL113" s="680" t="s">
        <v>569</v>
      </c>
      <c r="CM113" s="681"/>
      <c r="CN113" s="682"/>
    </row>
    <row r="114" spans="1:92" s="344" customFormat="1">
      <c r="A114" s="335" t="s">
        <v>570</v>
      </c>
      <c r="B114" s="182" t="s">
        <v>100</v>
      </c>
      <c r="C114" s="302" t="s">
        <v>100</v>
      </c>
      <c r="D114" s="302" t="s">
        <v>100</v>
      </c>
      <c r="E114" s="182" t="s">
        <v>100</v>
      </c>
      <c r="F114" s="182" t="s">
        <v>100</v>
      </c>
      <c r="G114" s="182"/>
      <c r="H114" s="182" t="s">
        <v>100</v>
      </c>
      <c r="I114" s="182"/>
      <c r="J114" s="182" t="s">
        <v>100</v>
      </c>
      <c r="K114" s="182"/>
      <c r="L114" s="182" t="s">
        <v>100</v>
      </c>
      <c r="M114" s="182"/>
      <c r="N114" s="182" t="s">
        <v>100</v>
      </c>
      <c r="O114" s="320"/>
      <c r="P114" s="182"/>
      <c r="Q114" s="182"/>
      <c r="R114" s="182"/>
      <c r="S114" s="182"/>
      <c r="T114" s="182" t="s">
        <v>100</v>
      </c>
      <c r="U114" s="182"/>
      <c r="V114" s="182"/>
      <c r="W114" s="182"/>
      <c r="X114" s="182"/>
      <c r="Y114" s="182"/>
      <c r="Z114" s="182"/>
      <c r="AA114" s="182"/>
      <c r="AB114" s="182"/>
      <c r="AC114" s="182"/>
      <c r="AD114" s="182"/>
      <c r="AE114" s="182"/>
      <c r="AF114" s="182"/>
      <c r="AG114" s="182"/>
      <c r="AH114" s="182"/>
      <c r="AI114" s="182"/>
      <c r="AJ114" s="167">
        <f t="shared" ref="AJ114:AJ129" si="48">COUNTIF(B114:AI114,"x")</f>
        <v>10</v>
      </c>
      <c r="AK114" s="493" t="str">
        <f>HYPERLINK("https://twitter.com/Evan_P_Grant/status/811702010932170752","Twitter")</f>
        <v>Twitter</v>
      </c>
      <c r="AL114" s="341">
        <v>42725</v>
      </c>
      <c r="AM114" s="352"/>
      <c r="AN114" s="352"/>
      <c r="AO114" s="352"/>
      <c r="AP114" s="352"/>
      <c r="AQ114" s="352"/>
      <c r="AR114" s="352"/>
      <c r="AS114" s="352"/>
      <c r="AT114" s="352"/>
      <c r="AU114" s="352"/>
      <c r="AV114" s="352"/>
      <c r="AW114" s="352"/>
      <c r="AX114" s="352"/>
      <c r="AY114" s="352"/>
      <c r="AZ114" s="352"/>
      <c r="BA114" s="352"/>
      <c r="BB114" s="352"/>
      <c r="BC114" s="352"/>
      <c r="BD114" s="352"/>
      <c r="BE114" s="352"/>
      <c r="BF114" s="352"/>
      <c r="BG114" s="352"/>
      <c r="BH114" s="352"/>
      <c r="BI114" s="352"/>
      <c r="BJ114" s="352"/>
      <c r="BK114" s="352"/>
      <c r="BL114" s="470"/>
      <c r="BM114" s="339"/>
      <c r="BN114" s="339"/>
      <c r="BO114" s="182"/>
      <c r="BP114" s="182"/>
      <c r="BQ114" s="182"/>
      <c r="BR114" s="182"/>
      <c r="BS114" s="182"/>
      <c r="BT114" s="182"/>
      <c r="BU114" s="182"/>
      <c r="BV114" s="182"/>
      <c r="BW114" s="182"/>
      <c r="BX114" s="182"/>
      <c r="BY114" s="182"/>
      <c r="BZ114" s="182"/>
      <c r="CA114" s="182"/>
      <c r="CB114" s="182"/>
      <c r="CC114" s="182"/>
      <c r="CD114" s="182"/>
      <c r="CE114" s="182"/>
      <c r="CF114" s="182"/>
      <c r="CG114" s="182"/>
      <c r="CH114" s="182"/>
      <c r="CI114" s="182"/>
      <c r="CJ114" s="182"/>
      <c r="CK114" s="182"/>
      <c r="CL114" s="680"/>
      <c r="CM114" s="681"/>
      <c r="CN114" s="682"/>
    </row>
    <row r="115" spans="1:92" s="344" customFormat="1">
      <c r="A115" s="335" t="s">
        <v>211</v>
      </c>
      <c r="B115" s="182"/>
      <c r="C115" s="182"/>
      <c r="D115" s="182"/>
      <c r="E115" s="182" t="s">
        <v>100</v>
      </c>
      <c r="F115" s="182" t="s">
        <v>100</v>
      </c>
      <c r="G115" s="182" t="s">
        <v>100</v>
      </c>
      <c r="H115" s="182" t="s">
        <v>100</v>
      </c>
      <c r="I115" s="182" t="s">
        <v>100</v>
      </c>
      <c r="J115" s="182" t="s">
        <v>100</v>
      </c>
      <c r="K115" s="182" t="s">
        <v>100</v>
      </c>
      <c r="L115" s="182" t="s">
        <v>100</v>
      </c>
      <c r="M115" s="182"/>
      <c r="N115" s="182"/>
      <c r="O115" s="320"/>
      <c r="P115" s="182"/>
      <c r="Q115" s="182"/>
      <c r="R115" s="182"/>
      <c r="S115" s="182" t="s">
        <v>100</v>
      </c>
      <c r="T115" s="182"/>
      <c r="U115" s="182"/>
      <c r="V115" s="182"/>
      <c r="W115" s="182"/>
      <c r="X115" s="182"/>
      <c r="Y115" s="182"/>
      <c r="Z115" s="182"/>
      <c r="AA115" s="182"/>
      <c r="AB115" s="182"/>
      <c r="AC115" s="182"/>
      <c r="AD115" s="182"/>
      <c r="AE115" s="182"/>
      <c r="AF115" s="182"/>
      <c r="AG115" s="182"/>
      <c r="AH115" s="182"/>
      <c r="AI115" s="182"/>
      <c r="AJ115" s="167">
        <f t="shared" si="48"/>
        <v>9</v>
      </c>
      <c r="AK115" s="481" t="str">
        <f>HYPERLINK("http://www.espn.com/mlb/story/_/id/18436379/seven-elected-espn-2017-baseball-hall-fame-ballot","ESPN")</f>
        <v>ESPN</v>
      </c>
      <c r="AL115" s="341">
        <v>42751</v>
      </c>
      <c r="AM115" s="352"/>
      <c r="AN115" s="352"/>
      <c r="AO115" s="352"/>
      <c r="AP115" s="352"/>
      <c r="AQ115" s="352"/>
      <c r="AR115" s="352"/>
      <c r="AS115" s="352"/>
      <c r="AT115" s="352"/>
      <c r="AU115" s="352"/>
      <c r="AV115" s="352"/>
      <c r="AW115" s="352"/>
      <c r="AX115" s="352"/>
      <c r="AY115" s="352"/>
      <c r="AZ115" s="352"/>
      <c r="BA115" s="352"/>
      <c r="BB115" s="352"/>
      <c r="BC115" s="352"/>
      <c r="BD115" s="352"/>
      <c r="BE115" s="352"/>
      <c r="BF115" s="352"/>
      <c r="BG115" s="352"/>
      <c r="BH115" s="352"/>
      <c r="BI115" s="352"/>
      <c r="BJ115" s="352"/>
      <c r="BK115" s="352"/>
      <c r="BL115" s="470"/>
      <c r="BM115" s="339"/>
      <c r="BN115" s="339"/>
      <c r="BO115" s="182"/>
      <c r="BP115" s="182"/>
      <c r="BQ115" s="182"/>
      <c r="BR115" s="182"/>
      <c r="BS115" s="182"/>
      <c r="BT115" s="182"/>
      <c r="BU115" s="182"/>
      <c r="BV115" s="182"/>
      <c r="BW115" s="182"/>
      <c r="BX115" s="182"/>
      <c r="BY115" s="182"/>
      <c r="BZ115" s="182"/>
      <c r="CA115" s="182"/>
      <c r="CB115" s="182"/>
      <c r="CC115" s="182"/>
      <c r="CD115" s="182"/>
      <c r="CE115" s="182"/>
      <c r="CF115" s="182"/>
      <c r="CG115" s="182"/>
      <c r="CH115" s="182"/>
      <c r="CI115" s="182"/>
      <c r="CJ115" s="182"/>
      <c r="CK115" s="182"/>
      <c r="CL115" s="618"/>
      <c r="CM115" s="619"/>
      <c r="CN115" s="620"/>
    </row>
    <row r="116" spans="1:92" s="344" customFormat="1">
      <c r="A116" s="335" t="s">
        <v>212</v>
      </c>
      <c r="B116" s="182" t="s">
        <v>100</v>
      </c>
      <c r="C116" s="182"/>
      <c r="D116" s="182"/>
      <c r="E116" s="182" t="s">
        <v>100</v>
      </c>
      <c r="F116" s="302" t="s">
        <v>100</v>
      </c>
      <c r="G116" s="182"/>
      <c r="H116" s="182" t="s">
        <v>100</v>
      </c>
      <c r="I116" s="182"/>
      <c r="J116" s="302" t="s">
        <v>100</v>
      </c>
      <c r="K116" s="182"/>
      <c r="L116" s="182" t="s">
        <v>100</v>
      </c>
      <c r="M116" s="182"/>
      <c r="N116" s="182"/>
      <c r="O116" s="182" t="s">
        <v>100</v>
      </c>
      <c r="P116" s="182"/>
      <c r="Q116" s="182" t="s">
        <v>100</v>
      </c>
      <c r="R116" s="182"/>
      <c r="S116" s="182"/>
      <c r="T116" s="182"/>
      <c r="U116" s="182"/>
      <c r="V116" s="182"/>
      <c r="W116" s="182"/>
      <c r="X116" s="182"/>
      <c r="Y116" s="182"/>
      <c r="Z116" s="182"/>
      <c r="AA116" s="182"/>
      <c r="AB116" s="182"/>
      <c r="AC116" s="182"/>
      <c r="AD116" s="182"/>
      <c r="AE116" s="182"/>
      <c r="AF116" s="182"/>
      <c r="AG116" s="182"/>
      <c r="AH116" s="182"/>
      <c r="AI116" s="182"/>
      <c r="AJ116" s="167">
        <f t="shared" si="48"/>
        <v>8</v>
      </c>
      <c r="AK116" s="483" t="s">
        <v>571</v>
      </c>
      <c r="AL116" s="341">
        <v>42743</v>
      </c>
      <c r="AM116" s="352"/>
      <c r="AN116" s="352"/>
      <c r="AO116" s="352"/>
      <c r="AP116" s="352"/>
      <c r="AQ116" s="352"/>
      <c r="AR116" s="352"/>
      <c r="AS116" s="352"/>
      <c r="AT116" s="352"/>
      <c r="AU116" s="352"/>
      <c r="AV116" s="352"/>
      <c r="AW116" s="352"/>
      <c r="AX116" s="352"/>
      <c r="AY116" s="352"/>
      <c r="AZ116" s="352"/>
      <c r="BA116" s="352"/>
      <c r="BB116" s="352"/>
      <c r="BC116" s="352"/>
      <c r="BD116" s="352"/>
      <c r="BE116" s="352"/>
      <c r="BF116" s="352"/>
      <c r="BG116" s="352"/>
      <c r="BH116" s="352"/>
      <c r="BI116" s="352"/>
      <c r="BJ116" s="352"/>
      <c r="BK116" s="352"/>
      <c r="BL116" s="470"/>
      <c r="BM116" s="339"/>
      <c r="BN116" s="339"/>
      <c r="BO116" s="182"/>
      <c r="BP116" s="182"/>
      <c r="BQ116" s="182"/>
      <c r="BR116" s="182"/>
      <c r="BS116" s="182"/>
      <c r="BT116" s="182"/>
      <c r="BU116" s="182"/>
      <c r="BV116" s="182"/>
      <c r="BW116" s="182"/>
      <c r="BX116" s="182"/>
      <c r="BY116" s="182"/>
      <c r="BZ116" s="182"/>
      <c r="CA116" s="182"/>
      <c r="CB116" s="182"/>
      <c r="CC116" s="182"/>
      <c r="CD116" s="182"/>
      <c r="CE116" s="182"/>
      <c r="CF116" s="182"/>
      <c r="CG116" s="182"/>
      <c r="CH116" s="182"/>
      <c r="CI116" s="182"/>
      <c r="CJ116" s="182"/>
      <c r="CK116" s="182"/>
      <c r="CL116" s="618"/>
      <c r="CM116" s="619"/>
      <c r="CN116" s="620"/>
    </row>
    <row r="117" spans="1:92" s="344" customFormat="1">
      <c r="A117" s="335" t="s">
        <v>213</v>
      </c>
      <c r="B117" s="182" t="s">
        <v>100</v>
      </c>
      <c r="C117" s="182" t="s">
        <v>100</v>
      </c>
      <c r="D117" s="182" t="s">
        <v>100</v>
      </c>
      <c r="E117" s="182" t="s">
        <v>100</v>
      </c>
      <c r="F117" s="182"/>
      <c r="G117" s="182"/>
      <c r="H117" s="182"/>
      <c r="I117" s="182"/>
      <c r="J117" s="182"/>
      <c r="K117" s="182"/>
      <c r="L117" s="182" t="s">
        <v>100</v>
      </c>
      <c r="M117" s="182" t="s">
        <v>100</v>
      </c>
      <c r="N117" s="182" t="s">
        <v>100</v>
      </c>
      <c r="O117" s="182" t="s">
        <v>100</v>
      </c>
      <c r="P117" s="182"/>
      <c r="Q117" s="182"/>
      <c r="R117" s="182"/>
      <c r="S117" s="182"/>
      <c r="T117" s="182"/>
      <c r="U117" s="182"/>
      <c r="V117" s="182"/>
      <c r="W117" s="182"/>
      <c r="X117" s="182"/>
      <c r="Y117" s="182"/>
      <c r="Z117" s="182"/>
      <c r="AA117" s="182"/>
      <c r="AB117" s="182"/>
      <c r="AC117" s="182"/>
      <c r="AD117" s="182"/>
      <c r="AE117" s="182"/>
      <c r="AF117" s="182"/>
      <c r="AG117" s="182"/>
      <c r="AH117" s="182"/>
      <c r="AI117" s="182"/>
      <c r="AJ117" s="167">
        <f t="shared" si="48"/>
        <v>8</v>
      </c>
      <c r="AK117" s="493" t="str">
        <f>HYPERLINK("https://twitter.com/Telegraph_AlanG/status/812342733197156352","Twitter")</f>
        <v>Twitter</v>
      </c>
      <c r="AL117" s="341">
        <v>42727</v>
      </c>
      <c r="AM117" s="352"/>
      <c r="AN117" s="352"/>
      <c r="AO117" s="352"/>
      <c r="AP117" s="352"/>
      <c r="AQ117" s="352"/>
      <c r="AR117" s="352"/>
      <c r="AS117" s="352"/>
      <c r="AT117" s="352"/>
      <c r="AU117" s="352"/>
      <c r="AV117" s="352"/>
      <c r="AW117" s="352"/>
      <c r="AX117" s="352"/>
      <c r="AY117" s="352"/>
      <c r="AZ117" s="352"/>
      <c r="BA117" s="352"/>
      <c r="BB117" s="352"/>
      <c r="BC117" s="352"/>
      <c r="BD117" s="352"/>
      <c r="BE117" s="352"/>
      <c r="BF117" s="352"/>
      <c r="BG117" s="352"/>
      <c r="BH117" s="352"/>
      <c r="BI117" s="352"/>
      <c r="BJ117" s="352"/>
      <c r="BK117" s="352"/>
      <c r="BL117" s="470"/>
      <c r="BM117" s="339"/>
      <c r="BN117" s="339"/>
      <c r="BO117" s="182"/>
      <c r="BP117" s="182"/>
      <c r="BQ117" s="182"/>
      <c r="BR117" s="182"/>
      <c r="BS117" s="182"/>
      <c r="BT117" s="182"/>
      <c r="BU117" s="182"/>
      <c r="BV117" s="182"/>
      <c r="BW117" s="182"/>
      <c r="BX117" s="182"/>
      <c r="BY117" s="182"/>
      <c r="BZ117" s="182"/>
      <c r="CA117" s="182"/>
      <c r="CB117" s="182"/>
      <c r="CC117" s="182"/>
      <c r="CD117" s="182"/>
      <c r="CE117" s="182"/>
      <c r="CF117" s="182"/>
      <c r="CG117" s="182"/>
      <c r="CH117" s="182"/>
      <c r="CI117" s="182"/>
      <c r="CJ117" s="182"/>
      <c r="CK117" s="182"/>
      <c r="CL117" s="680"/>
      <c r="CM117" s="681"/>
      <c r="CN117" s="682"/>
    </row>
    <row r="118" spans="1:92" s="344" customFormat="1">
      <c r="A118" s="335" t="s">
        <v>214</v>
      </c>
      <c r="B118" s="182" t="s">
        <v>100</v>
      </c>
      <c r="C118" s="182"/>
      <c r="D118" s="182"/>
      <c r="E118" s="182" t="s">
        <v>100</v>
      </c>
      <c r="F118" s="182" t="s">
        <v>100</v>
      </c>
      <c r="G118" s="182"/>
      <c r="H118" s="302" t="s">
        <v>100</v>
      </c>
      <c r="I118" s="182"/>
      <c r="J118" s="302" t="s">
        <v>100</v>
      </c>
      <c r="K118" s="182"/>
      <c r="L118" s="182" t="s">
        <v>100</v>
      </c>
      <c r="M118" s="182"/>
      <c r="N118" s="182"/>
      <c r="O118" s="182"/>
      <c r="P118" s="182"/>
      <c r="Q118" s="182"/>
      <c r="R118" s="182"/>
      <c r="S118" s="182"/>
      <c r="T118" s="182"/>
      <c r="U118" s="182"/>
      <c r="V118" s="182"/>
      <c r="W118" s="182"/>
      <c r="X118" s="182"/>
      <c r="Y118" s="182"/>
      <c r="Z118" s="182"/>
      <c r="AA118" s="182"/>
      <c r="AB118" s="182"/>
      <c r="AC118" s="182"/>
      <c r="AD118" s="182"/>
      <c r="AE118" s="182"/>
      <c r="AF118" s="182"/>
      <c r="AG118" s="182"/>
      <c r="AH118" s="182"/>
      <c r="AI118" s="182"/>
      <c r="AJ118" s="167">
        <f t="shared" si="48"/>
        <v>6</v>
      </c>
      <c r="AK118" s="493" t="str">
        <f>HYPERLINK("http://www.dailyherald.com/article/20161226/sports/161229288/","Daily Herald")</f>
        <v>Daily Herald</v>
      </c>
      <c r="AL118" s="341">
        <v>42730</v>
      </c>
      <c r="AM118" s="352"/>
      <c r="AN118" s="352"/>
      <c r="AO118" s="352"/>
      <c r="AP118" s="352"/>
      <c r="AQ118" s="352"/>
      <c r="AR118" s="352"/>
      <c r="AS118" s="352"/>
      <c r="AT118" s="352"/>
      <c r="AU118" s="352"/>
      <c r="AV118" s="352"/>
      <c r="AW118" s="352"/>
      <c r="AX118" s="352"/>
      <c r="AY118" s="352"/>
      <c r="AZ118" s="352"/>
      <c r="BA118" s="352"/>
      <c r="BB118" s="352"/>
      <c r="BC118" s="352"/>
      <c r="BD118" s="352"/>
      <c r="BE118" s="352"/>
      <c r="BF118" s="352"/>
      <c r="BG118" s="352"/>
      <c r="BH118" s="352"/>
      <c r="BI118" s="352"/>
      <c r="BJ118" s="352"/>
      <c r="BK118" s="352"/>
      <c r="BL118" s="470"/>
      <c r="BM118" s="339"/>
      <c r="BN118" s="339"/>
      <c r="BO118" s="182"/>
      <c r="BP118" s="182"/>
      <c r="BQ118" s="182"/>
      <c r="BR118" s="182"/>
      <c r="BS118" s="182"/>
      <c r="BT118" s="182"/>
      <c r="BU118" s="182"/>
      <c r="BV118" s="182"/>
      <c r="BW118" s="182"/>
      <c r="BX118" s="182"/>
      <c r="BY118" s="182"/>
      <c r="BZ118" s="182"/>
      <c r="CA118" s="182"/>
      <c r="CB118" s="182"/>
      <c r="CC118" s="182"/>
      <c r="CD118" s="182"/>
      <c r="CE118" s="182"/>
      <c r="CF118" s="182"/>
      <c r="CG118" s="182"/>
      <c r="CH118" s="182"/>
      <c r="CI118" s="182"/>
      <c r="CJ118" s="182"/>
      <c r="CK118" s="182"/>
      <c r="CL118" s="618"/>
      <c r="CM118" s="619"/>
      <c r="CN118" s="620"/>
    </row>
    <row r="119" spans="1:92" s="344" customFormat="1">
      <c r="A119" s="335" t="s">
        <v>215</v>
      </c>
      <c r="B119" s="182" t="s">
        <v>100</v>
      </c>
      <c r="C119" s="182" t="s">
        <v>100</v>
      </c>
      <c r="D119" s="182" t="s">
        <v>100</v>
      </c>
      <c r="E119" s="182" t="s">
        <v>100</v>
      </c>
      <c r="F119" s="302" t="s">
        <v>100</v>
      </c>
      <c r="G119" s="182"/>
      <c r="H119" s="182"/>
      <c r="I119" s="182"/>
      <c r="J119" s="182"/>
      <c r="K119" s="182"/>
      <c r="L119" s="182" t="s">
        <v>100</v>
      </c>
      <c r="M119" s="182"/>
      <c r="N119" s="182" t="s">
        <v>100</v>
      </c>
      <c r="O119" s="182"/>
      <c r="P119" s="182"/>
      <c r="Q119" s="182"/>
      <c r="R119" s="182"/>
      <c r="S119" s="182"/>
      <c r="T119" s="182" t="s">
        <v>100</v>
      </c>
      <c r="U119" s="182"/>
      <c r="V119" s="182"/>
      <c r="W119" s="182"/>
      <c r="X119" s="182"/>
      <c r="Y119" s="182"/>
      <c r="Z119" s="182"/>
      <c r="AA119" s="182"/>
      <c r="AB119" s="182"/>
      <c r="AC119" s="182"/>
      <c r="AD119" s="182"/>
      <c r="AE119" s="182"/>
      <c r="AF119" s="182"/>
      <c r="AG119" s="182"/>
      <c r="AH119" s="182"/>
      <c r="AI119" s="182"/>
      <c r="AJ119" s="167">
        <f t="shared" si="48"/>
        <v>8</v>
      </c>
      <c r="AK119" s="493" t="str">
        <f>HYPERLINK("https://www.thestar.com/sports/baseball/2017/01/07/why-my-baseball-hall-ballot-includes-clemens-bonds-griffin.html","Toronto Star")</f>
        <v>Toronto Star</v>
      </c>
      <c r="AL119" s="341">
        <v>42742</v>
      </c>
      <c r="AM119" s="352"/>
      <c r="AN119" s="352"/>
      <c r="AO119" s="352"/>
      <c r="AP119" s="352"/>
      <c r="AQ119" s="352"/>
      <c r="AR119" s="352"/>
      <c r="AS119" s="352"/>
      <c r="AT119" s="352"/>
      <c r="AU119" s="352"/>
      <c r="AV119" s="352"/>
      <c r="AW119" s="352"/>
      <c r="AX119" s="352"/>
      <c r="AY119" s="352"/>
      <c r="AZ119" s="352"/>
      <c r="BA119" s="352"/>
      <c r="BB119" s="352"/>
      <c r="BC119" s="352"/>
      <c r="BD119" s="352"/>
      <c r="BE119" s="352"/>
      <c r="BF119" s="352"/>
      <c r="BG119" s="352"/>
      <c r="BH119" s="352"/>
      <c r="BI119" s="352"/>
      <c r="BJ119" s="352"/>
      <c r="BK119" s="352"/>
      <c r="BL119" s="470"/>
      <c r="BM119" s="339"/>
      <c r="BN119" s="339"/>
      <c r="BO119" s="182"/>
      <c r="BP119" s="182"/>
      <c r="BQ119" s="182"/>
      <c r="BR119" s="182"/>
      <c r="BS119" s="182"/>
      <c r="BT119" s="182"/>
      <c r="BU119" s="182"/>
      <c r="BV119" s="182"/>
      <c r="BW119" s="182"/>
      <c r="BX119" s="182"/>
      <c r="BY119" s="182"/>
      <c r="BZ119" s="182"/>
      <c r="CA119" s="182"/>
      <c r="CB119" s="182"/>
      <c r="CC119" s="182"/>
      <c r="CD119" s="182"/>
      <c r="CE119" s="182"/>
      <c r="CF119" s="182"/>
      <c r="CG119" s="182"/>
      <c r="CH119" s="182"/>
      <c r="CI119" s="182"/>
      <c r="CJ119" s="182"/>
      <c r="CK119" s="182"/>
      <c r="CL119" s="618"/>
      <c r="CM119" s="619"/>
      <c r="CN119" s="620"/>
    </row>
    <row r="120" spans="1:92" s="344" customFormat="1">
      <c r="A120" s="335" t="s">
        <v>216</v>
      </c>
      <c r="B120" s="182" t="s">
        <v>100</v>
      </c>
      <c r="C120" s="182"/>
      <c r="D120" s="182"/>
      <c r="E120" s="182" t="s">
        <v>100</v>
      </c>
      <c r="F120" s="182" t="s">
        <v>100</v>
      </c>
      <c r="G120" s="182"/>
      <c r="H120" s="182"/>
      <c r="I120" s="182"/>
      <c r="J120" s="182" t="s">
        <v>100</v>
      </c>
      <c r="K120" s="182"/>
      <c r="L120" s="302" t="s">
        <v>100</v>
      </c>
      <c r="M120" s="182"/>
      <c r="N120" s="182" t="s">
        <v>100</v>
      </c>
      <c r="O120" s="182" t="s">
        <v>100</v>
      </c>
      <c r="P120" s="182"/>
      <c r="Q120" s="182"/>
      <c r="R120" s="182"/>
      <c r="S120" s="182"/>
      <c r="T120" s="182"/>
      <c r="U120" s="182"/>
      <c r="V120" s="182"/>
      <c r="W120" s="182"/>
      <c r="X120" s="182"/>
      <c r="Y120" s="182"/>
      <c r="Z120" s="182"/>
      <c r="AA120" s="182"/>
      <c r="AB120" s="182"/>
      <c r="AC120" s="182"/>
      <c r="AD120" s="182"/>
      <c r="AE120" s="182"/>
      <c r="AF120" s="182"/>
      <c r="AG120" s="182"/>
      <c r="AH120" s="182"/>
      <c r="AI120" s="182"/>
      <c r="AJ120" s="167">
        <f t="shared" si="48"/>
        <v>7</v>
      </c>
      <c r="AK120" s="483" t="s">
        <v>113</v>
      </c>
      <c r="AL120" s="341">
        <v>42723</v>
      </c>
      <c r="AM120" s="352"/>
      <c r="AN120" s="352"/>
      <c r="AO120" s="352"/>
      <c r="AP120" s="352"/>
      <c r="AQ120" s="352"/>
      <c r="AR120" s="352"/>
      <c r="AS120" s="352"/>
      <c r="AT120" s="352"/>
      <c r="AU120" s="352"/>
      <c r="AV120" s="352"/>
      <c r="AW120" s="352"/>
      <c r="AX120" s="352"/>
      <c r="AY120" s="352"/>
      <c r="AZ120" s="352"/>
      <c r="BA120" s="352"/>
      <c r="BB120" s="352"/>
      <c r="BC120" s="352"/>
      <c r="BD120" s="352"/>
      <c r="BE120" s="352"/>
      <c r="BF120" s="352"/>
      <c r="BG120" s="352"/>
      <c r="BH120" s="352"/>
      <c r="BI120" s="352"/>
      <c r="BJ120" s="352"/>
      <c r="BK120" s="352"/>
      <c r="BL120" s="470"/>
      <c r="BM120" s="339"/>
      <c r="BN120" s="339"/>
      <c r="BO120" s="182"/>
      <c r="BP120" s="182"/>
      <c r="BQ120" s="182"/>
      <c r="BR120" s="182"/>
      <c r="BS120" s="182"/>
      <c r="BT120" s="182"/>
      <c r="BU120" s="182"/>
      <c r="BV120" s="182"/>
      <c r="BW120" s="182"/>
      <c r="BX120" s="182"/>
      <c r="BY120" s="182"/>
      <c r="BZ120" s="182"/>
      <c r="CA120" s="182"/>
      <c r="CB120" s="182"/>
      <c r="CC120" s="182"/>
      <c r="CD120" s="182"/>
      <c r="CE120" s="182"/>
      <c r="CF120" s="182"/>
      <c r="CG120" s="182"/>
      <c r="CH120" s="182"/>
      <c r="CI120" s="182"/>
      <c r="CJ120" s="182"/>
      <c r="CK120" s="182"/>
      <c r="CL120" s="680"/>
      <c r="CM120" s="681"/>
      <c r="CN120" s="682"/>
    </row>
    <row r="121" spans="1:92" s="344" customFormat="1">
      <c r="A121" s="335" t="s">
        <v>217</v>
      </c>
      <c r="B121" s="182"/>
      <c r="C121" s="182"/>
      <c r="D121" s="182"/>
      <c r="E121" s="182" t="s">
        <v>100</v>
      </c>
      <c r="F121" s="182" t="s">
        <v>100</v>
      </c>
      <c r="G121" s="182" t="s">
        <v>100</v>
      </c>
      <c r="H121" s="182" t="s">
        <v>100</v>
      </c>
      <c r="I121" s="182"/>
      <c r="J121" s="182"/>
      <c r="K121" s="182"/>
      <c r="L121" s="182" t="s">
        <v>100</v>
      </c>
      <c r="M121" s="182"/>
      <c r="N121" s="182"/>
      <c r="O121" s="182"/>
      <c r="P121" s="182"/>
      <c r="Q121" s="182" t="s">
        <v>100</v>
      </c>
      <c r="R121" s="182"/>
      <c r="S121" s="182"/>
      <c r="T121" s="182"/>
      <c r="U121" s="182"/>
      <c r="V121" s="182"/>
      <c r="W121" s="182"/>
      <c r="X121" s="182"/>
      <c r="Y121" s="182"/>
      <c r="Z121" s="182"/>
      <c r="AA121" s="182"/>
      <c r="AB121" s="182"/>
      <c r="AC121" s="182"/>
      <c r="AD121" s="182"/>
      <c r="AE121" s="182"/>
      <c r="AF121" s="182"/>
      <c r="AG121" s="182"/>
      <c r="AH121" s="182"/>
      <c r="AI121" s="182"/>
      <c r="AJ121" s="167">
        <f t="shared" ref="AJ121:AJ123" si="49">COUNTIF(B121:AI121,"x")</f>
        <v>6</v>
      </c>
      <c r="AK121" s="481" t="str">
        <f>HYPERLINK("http://www.espn.com/mlb/story/_/id/18436379/seven-elected-espn-2017-baseball-hall-fame-ballot","ESPN")</f>
        <v>ESPN</v>
      </c>
      <c r="AL121" s="341">
        <v>42751</v>
      </c>
      <c r="AM121" s="352"/>
      <c r="AN121" s="352"/>
      <c r="AO121" s="352"/>
      <c r="AP121" s="352"/>
      <c r="AQ121" s="352"/>
      <c r="AR121" s="352"/>
      <c r="AS121" s="352"/>
      <c r="AT121" s="352"/>
      <c r="AU121" s="352"/>
      <c r="AV121" s="352"/>
      <c r="AW121" s="352"/>
      <c r="AX121" s="352"/>
      <c r="AY121" s="352"/>
      <c r="AZ121" s="352"/>
      <c r="BA121" s="352"/>
      <c r="BB121" s="352"/>
      <c r="BC121" s="352"/>
      <c r="BD121" s="352"/>
      <c r="BE121" s="352"/>
      <c r="BF121" s="352"/>
      <c r="BG121" s="352"/>
      <c r="BH121" s="352"/>
      <c r="BI121" s="352"/>
      <c r="BJ121" s="352"/>
      <c r="BK121" s="352"/>
      <c r="BL121" s="470"/>
      <c r="BM121" s="339"/>
      <c r="BN121" s="339"/>
      <c r="BO121" s="182"/>
      <c r="BP121" s="182"/>
      <c r="BQ121" s="182"/>
      <c r="BR121" s="182"/>
      <c r="BS121" s="182"/>
      <c r="BT121" s="182"/>
      <c r="BU121" s="182"/>
      <c r="BV121" s="182"/>
      <c r="BW121" s="182"/>
      <c r="BX121" s="182"/>
      <c r="BY121" s="182"/>
      <c r="BZ121" s="182"/>
      <c r="CA121" s="182"/>
      <c r="CB121" s="182"/>
      <c r="CC121" s="182"/>
      <c r="CD121" s="182"/>
      <c r="CE121" s="182"/>
      <c r="CF121" s="182"/>
      <c r="CG121" s="182"/>
      <c r="CH121" s="182"/>
      <c r="CI121" s="182"/>
      <c r="CJ121" s="182"/>
      <c r="CK121" s="182"/>
      <c r="CL121" s="618"/>
      <c r="CM121" s="619"/>
      <c r="CN121" s="620"/>
    </row>
    <row r="122" spans="1:92" s="344" customFormat="1">
      <c r="A122" s="335" t="s">
        <v>219</v>
      </c>
      <c r="B122" s="182" t="s">
        <v>100</v>
      </c>
      <c r="C122" s="302" t="s">
        <v>100</v>
      </c>
      <c r="D122" s="302" t="s">
        <v>100</v>
      </c>
      <c r="E122" s="182" t="s">
        <v>100</v>
      </c>
      <c r="F122" s="182" t="s">
        <v>100</v>
      </c>
      <c r="G122" s="182" t="s">
        <v>100</v>
      </c>
      <c r="H122" s="182"/>
      <c r="I122" s="182"/>
      <c r="J122" s="182"/>
      <c r="K122" s="182"/>
      <c r="L122" s="182" t="s">
        <v>100</v>
      </c>
      <c r="M122" s="182" t="s">
        <v>100</v>
      </c>
      <c r="N122" s="182" t="s">
        <v>100</v>
      </c>
      <c r="O122" s="320"/>
      <c r="P122" s="320"/>
      <c r="Q122" s="182" t="s">
        <v>100</v>
      </c>
      <c r="R122" s="182"/>
      <c r="S122" s="182"/>
      <c r="T122" s="182"/>
      <c r="U122" s="182"/>
      <c r="V122" s="182"/>
      <c r="W122" s="182"/>
      <c r="X122" s="182"/>
      <c r="Y122" s="182"/>
      <c r="Z122" s="182"/>
      <c r="AA122" s="182"/>
      <c r="AB122" s="182"/>
      <c r="AC122" s="182"/>
      <c r="AD122" s="182"/>
      <c r="AE122" s="182"/>
      <c r="AF122" s="182"/>
      <c r="AG122" s="182"/>
      <c r="AH122" s="182"/>
      <c r="AI122" s="182"/>
      <c r="AJ122" s="339">
        <f t="shared" si="49"/>
        <v>10</v>
      </c>
      <c r="AK122" s="481" t="str">
        <f>HYPERLINK("http://m.mlb.com/news/article/213641980/mlb-writers-reveal-ballots-for-hall-of-fame/","MLB.com")</f>
        <v>MLB.com</v>
      </c>
      <c r="AL122" s="341">
        <v>42752</v>
      </c>
      <c r="AM122" s="352"/>
      <c r="AN122" s="352"/>
      <c r="AO122" s="352"/>
      <c r="AP122" s="352"/>
      <c r="AQ122" s="352"/>
      <c r="AR122" s="352"/>
      <c r="AS122" s="352"/>
      <c r="AT122" s="352"/>
      <c r="AU122" s="352"/>
      <c r="AV122" s="352"/>
      <c r="AW122" s="352"/>
      <c r="AX122" s="352"/>
      <c r="AY122" s="352"/>
      <c r="AZ122" s="352"/>
      <c r="BA122" s="352"/>
      <c r="BB122" s="352"/>
      <c r="BC122" s="352"/>
      <c r="BD122" s="352"/>
      <c r="BE122" s="352"/>
      <c r="BF122" s="352"/>
      <c r="BG122" s="352"/>
      <c r="BH122" s="352"/>
      <c r="BI122" s="352"/>
      <c r="BJ122" s="352"/>
      <c r="BK122" s="352"/>
      <c r="BL122" s="470"/>
      <c r="BM122" s="339"/>
      <c r="BN122" s="339"/>
      <c r="BO122" s="182"/>
      <c r="BP122" s="182"/>
      <c r="BQ122" s="182"/>
      <c r="BR122" s="182"/>
      <c r="BS122" s="182"/>
      <c r="BT122" s="182"/>
      <c r="BU122" s="182"/>
      <c r="BV122" s="182"/>
      <c r="BW122" s="182"/>
      <c r="BX122" s="182"/>
      <c r="BY122" s="182"/>
      <c r="BZ122" s="182"/>
      <c r="CA122" s="182"/>
      <c r="CB122" s="182"/>
      <c r="CC122" s="182"/>
      <c r="CD122" s="182"/>
      <c r="CE122" s="182"/>
      <c r="CF122" s="182"/>
      <c r="CG122" s="182"/>
      <c r="CH122" s="182"/>
      <c r="CI122" s="182"/>
      <c r="CJ122" s="182"/>
      <c r="CK122" s="182"/>
      <c r="CL122" s="618"/>
      <c r="CM122" s="619"/>
      <c r="CN122" s="620"/>
    </row>
    <row r="123" spans="1:92" s="344" customFormat="1">
      <c r="A123" s="335" t="s">
        <v>572</v>
      </c>
      <c r="B123" s="182" t="s">
        <v>100</v>
      </c>
      <c r="C123" s="182" t="s">
        <v>100</v>
      </c>
      <c r="D123" s="182" t="s">
        <v>100</v>
      </c>
      <c r="E123" s="182" t="s">
        <v>100</v>
      </c>
      <c r="F123" s="182" t="s">
        <v>100</v>
      </c>
      <c r="G123" s="182"/>
      <c r="H123" s="182"/>
      <c r="I123" s="302" t="s">
        <v>100</v>
      </c>
      <c r="J123" s="182"/>
      <c r="K123" s="182"/>
      <c r="L123" s="182" t="s">
        <v>100</v>
      </c>
      <c r="M123" s="182"/>
      <c r="N123" s="182" t="s">
        <v>100</v>
      </c>
      <c r="O123" s="182"/>
      <c r="P123" s="182"/>
      <c r="Q123" s="182" t="s">
        <v>100</v>
      </c>
      <c r="R123" s="182"/>
      <c r="S123" s="182" t="s">
        <v>100</v>
      </c>
      <c r="T123" s="182"/>
      <c r="U123" s="182"/>
      <c r="V123" s="182"/>
      <c r="W123" s="182"/>
      <c r="X123" s="182"/>
      <c r="Y123" s="182"/>
      <c r="Z123" s="182"/>
      <c r="AA123" s="182"/>
      <c r="AB123" s="182"/>
      <c r="AC123" s="182"/>
      <c r="AD123" s="182"/>
      <c r="AE123" s="182"/>
      <c r="AF123" s="182"/>
      <c r="AG123" s="182"/>
      <c r="AH123" s="182"/>
      <c r="AI123" s="182"/>
      <c r="AJ123" s="339">
        <f t="shared" si="49"/>
        <v>10</v>
      </c>
      <c r="AK123" s="481" t="str">
        <f>HYPERLINK("http://m.mlb.com/news/article/213641980/mlb-writers-reveal-ballots-for-hall-of-fame/","MLB.com")</f>
        <v>MLB.com</v>
      </c>
      <c r="AL123" s="341">
        <v>42752</v>
      </c>
      <c r="AM123" s="352"/>
      <c r="AN123" s="352"/>
      <c r="AO123" s="352"/>
      <c r="AP123" s="352"/>
      <c r="AQ123" s="352"/>
      <c r="AR123" s="352"/>
      <c r="AS123" s="352"/>
      <c r="AT123" s="352"/>
      <c r="AU123" s="352"/>
      <c r="AV123" s="352"/>
      <c r="AW123" s="352"/>
      <c r="AX123" s="352"/>
      <c r="AY123" s="352"/>
      <c r="AZ123" s="352"/>
      <c r="BA123" s="352"/>
      <c r="BB123" s="352"/>
      <c r="BC123" s="352"/>
      <c r="BD123" s="352"/>
      <c r="BE123" s="352"/>
      <c r="BF123" s="352"/>
      <c r="BG123" s="352"/>
      <c r="BH123" s="352"/>
      <c r="BI123" s="352"/>
      <c r="BJ123" s="352"/>
      <c r="BK123" s="352"/>
      <c r="BL123" s="470"/>
      <c r="BM123" s="339"/>
      <c r="BN123" s="339"/>
      <c r="BO123" s="182"/>
      <c r="BP123" s="182"/>
      <c r="BQ123" s="182"/>
      <c r="BR123" s="182"/>
      <c r="BS123" s="182"/>
      <c r="BT123" s="182"/>
      <c r="BU123" s="182"/>
      <c r="BV123" s="182"/>
      <c r="BW123" s="182"/>
      <c r="BX123" s="182"/>
      <c r="BY123" s="182"/>
      <c r="BZ123" s="182"/>
      <c r="CA123" s="182"/>
      <c r="CB123" s="182"/>
      <c r="CC123" s="182"/>
      <c r="CD123" s="182"/>
      <c r="CE123" s="182"/>
      <c r="CF123" s="182"/>
      <c r="CG123" s="182"/>
      <c r="CH123" s="182"/>
      <c r="CI123" s="182"/>
      <c r="CJ123" s="182"/>
      <c r="CK123" s="182"/>
      <c r="CL123" s="618"/>
      <c r="CM123" s="619"/>
      <c r="CN123" s="620"/>
    </row>
    <row r="124" spans="1:92" s="344" customFormat="1">
      <c r="A124" s="335" t="s">
        <v>221</v>
      </c>
      <c r="B124" s="182" t="s">
        <v>100</v>
      </c>
      <c r="C124" s="182" t="s">
        <v>100</v>
      </c>
      <c r="D124" s="182" t="s">
        <v>100</v>
      </c>
      <c r="E124" s="182" t="s">
        <v>100</v>
      </c>
      <c r="F124" s="182"/>
      <c r="G124" s="182"/>
      <c r="H124" s="182" t="s">
        <v>100</v>
      </c>
      <c r="I124" s="182"/>
      <c r="J124" s="182" t="s">
        <v>100</v>
      </c>
      <c r="K124" s="182"/>
      <c r="L124" s="182"/>
      <c r="M124" s="182" t="s">
        <v>100</v>
      </c>
      <c r="N124" s="182" t="s">
        <v>100</v>
      </c>
      <c r="O124" s="182" t="s">
        <v>100</v>
      </c>
      <c r="P124" s="182"/>
      <c r="Q124" s="182"/>
      <c r="R124" s="182"/>
      <c r="S124" s="182"/>
      <c r="T124" s="302" t="s">
        <v>100</v>
      </c>
      <c r="U124" s="182"/>
      <c r="V124" s="182"/>
      <c r="W124" s="182"/>
      <c r="X124" s="182"/>
      <c r="Y124" s="182"/>
      <c r="Z124" s="182"/>
      <c r="AA124" s="182"/>
      <c r="AB124" s="182"/>
      <c r="AC124" s="182"/>
      <c r="AD124" s="182"/>
      <c r="AE124" s="182"/>
      <c r="AF124" s="182"/>
      <c r="AG124" s="182"/>
      <c r="AH124" s="182"/>
      <c r="AI124" s="182"/>
      <c r="AJ124" s="167">
        <f t="shared" si="48"/>
        <v>10</v>
      </c>
      <c r="AK124" s="493" t="str">
        <f>HYPERLINK("https://twitter.com/HaleMark/status/809433446288396293","Twitter")</f>
        <v>Twitter</v>
      </c>
      <c r="AL124" s="341">
        <v>42719</v>
      </c>
      <c r="AM124" s="352"/>
      <c r="AN124" s="352"/>
      <c r="AO124" s="352"/>
      <c r="AP124" s="352"/>
      <c r="AQ124" s="352"/>
      <c r="AR124" s="352"/>
      <c r="AS124" s="352"/>
      <c r="AT124" s="352"/>
      <c r="AU124" s="352"/>
      <c r="AV124" s="352"/>
      <c r="AW124" s="352"/>
      <c r="AX124" s="352"/>
      <c r="AY124" s="352"/>
      <c r="AZ124" s="352"/>
      <c r="BA124" s="352"/>
      <c r="BB124" s="352"/>
      <c r="BC124" s="352"/>
      <c r="BD124" s="352"/>
      <c r="BE124" s="352"/>
      <c r="BF124" s="352"/>
      <c r="BG124" s="352"/>
      <c r="BH124" s="352"/>
      <c r="BI124" s="352"/>
      <c r="BJ124" s="352"/>
      <c r="BK124" s="352"/>
      <c r="BL124" s="470"/>
      <c r="BM124" s="339"/>
      <c r="BN124" s="339"/>
      <c r="BO124" s="182"/>
      <c r="BP124" s="182"/>
      <c r="BQ124" s="182"/>
      <c r="BR124" s="182"/>
      <c r="BS124" s="182"/>
      <c r="BT124" s="182"/>
      <c r="BU124" s="182"/>
      <c r="BV124" s="182"/>
      <c r="BW124" s="182"/>
      <c r="BX124" s="182"/>
      <c r="BY124" s="182"/>
      <c r="BZ124" s="182"/>
      <c r="CA124" s="182"/>
      <c r="CB124" s="182"/>
      <c r="CC124" s="182"/>
      <c r="CD124" s="182"/>
      <c r="CE124" s="182"/>
      <c r="CF124" s="182"/>
      <c r="CG124" s="182"/>
      <c r="CH124" s="182"/>
      <c r="CI124" s="182"/>
      <c r="CJ124" s="182"/>
      <c r="CK124" s="182"/>
      <c r="CL124" s="680" t="s">
        <v>573</v>
      </c>
      <c r="CM124" s="681"/>
      <c r="CN124" s="682"/>
    </row>
    <row r="125" spans="1:92" s="344" customFormat="1">
      <c r="A125" s="335" t="s">
        <v>574</v>
      </c>
      <c r="B125" s="182" t="s">
        <v>100</v>
      </c>
      <c r="C125" s="182"/>
      <c r="D125" s="182"/>
      <c r="E125" s="182" t="s">
        <v>100</v>
      </c>
      <c r="F125" s="302" t="s">
        <v>100</v>
      </c>
      <c r="G125" s="182" t="s">
        <v>100</v>
      </c>
      <c r="H125" s="182" t="s">
        <v>100</v>
      </c>
      <c r="I125" s="302" t="s">
        <v>100</v>
      </c>
      <c r="J125" s="302" t="s">
        <v>100</v>
      </c>
      <c r="K125" s="182"/>
      <c r="L125" s="182" t="s">
        <v>100</v>
      </c>
      <c r="M125" s="182"/>
      <c r="N125" s="182"/>
      <c r="O125" s="182" t="s">
        <v>100</v>
      </c>
      <c r="P125" s="320"/>
      <c r="Q125" s="182"/>
      <c r="R125" s="182"/>
      <c r="S125" s="182" t="s">
        <v>100</v>
      </c>
      <c r="T125" s="182"/>
      <c r="U125" s="182"/>
      <c r="V125" s="182"/>
      <c r="W125" s="182"/>
      <c r="X125" s="182"/>
      <c r="Y125" s="182"/>
      <c r="Z125" s="182"/>
      <c r="AA125" s="182"/>
      <c r="AB125" s="182"/>
      <c r="AC125" s="182"/>
      <c r="AD125" s="182"/>
      <c r="AE125" s="182"/>
      <c r="AF125" s="182"/>
      <c r="AG125" s="182"/>
      <c r="AH125" s="182"/>
      <c r="AI125" s="182"/>
      <c r="AJ125" s="167">
        <f t="shared" si="48"/>
        <v>10</v>
      </c>
      <c r="AK125" s="493" t="s">
        <v>575</v>
      </c>
      <c r="AL125" s="341">
        <v>42734</v>
      </c>
      <c r="AM125" s="352"/>
      <c r="AN125" s="352"/>
      <c r="AO125" s="352"/>
      <c r="AP125" s="352"/>
      <c r="AQ125" s="352"/>
      <c r="AR125" s="352"/>
      <c r="AS125" s="352"/>
      <c r="AT125" s="352"/>
      <c r="AU125" s="352"/>
      <c r="AV125" s="352"/>
      <c r="AW125" s="352"/>
      <c r="AX125" s="352"/>
      <c r="AY125" s="352"/>
      <c r="AZ125" s="352"/>
      <c r="BA125" s="352"/>
      <c r="BB125" s="352"/>
      <c r="BC125" s="352"/>
      <c r="BD125" s="352"/>
      <c r="BE125" s="352"/>
      <c r="BF125" s="352"/>
      <c r="BG125" s="352"/>
      <c r="BH125" s="352"/>
      <c r="BI125" s="352"/>
      <c r="BJ125" s="352"/>
      <c r="BK125" s="352"/>
      <c r="BL125" s="470"/>
      <c r="BM125" s="339"/>
      <c r="BN125" s="339"/>
      <c r="BO125" s="182"/>
      <c r="BP125" s="182"/>
      <c r="BQ125" s="182"/>
      <c r="BR125" s="182"/>
      <c r="BS125" s="182"/>
      <c r="BT125" s="182"/>
      <c r="BU125" s="182"/>
      <c r="BV125" s="182"/>
      <c r="BW125" s="182"/>
      <c r="BX125" s="182"/>
      <c r="BY125" s="182"/>
      <c r="BZ125" s="182"/>
      <c r="CA125" s="182"/>
      <c r="CB125" s="182"/>
      <c r="CC125" s="182"/>
      <c r="CD125" s="182"/>
      <c r="CE125" s="182"/>
      <c r="CF125" s="182"/>
      <c r="CG125" s="182"/>
      <c r="CH125" s="182"/>
      <c r="CI125" s="182"/>
      <c r="CJ125" s="182"/>
      <c r="CK125" s="182"/>
      <c r="CL125" s="618"/>
      <c r="CM125" s="619"/>
      <c r="CN125" s="620"/>
    </row>
    <row r="126" spans="1:92" s="344" customFormat="1">
      <c r="A126" s="331" t="s">
        <v>576</v>
      </c>
      <c r="B126" s="182" t="s">
        <v>100</v>
      </c>
      <c r="C126" s="182" t="s">
        <v>100</v>
      </c>
      <c r="D126" s="182" t="s">
        <v>100</v>
      </c>
      <c r="E126" s="182" t="s">
        <v>100</v>
      </c>
      <c r="F126" s="182"/>
      <c r="G126" s="182"/>
      <c r="H126" s="182" t="s">
        <v>100</v>
      </c>
      <c r="I126" s="182" t="s">
        <v>100</v>
      </c>
      <c r="J126" s="182" t="s">
        <v>100</v>
      </c>
      <c r="K126" s="182"/>
      <c r="L126" s="182" t="s">
        <v>100</v>
      </c>
      <c r="M126" s="182"/>
      <c r="N126" s="182" t="s">
        <v>100</v>
      </c>
      <c r="O126" s="182"/>
      <c r="P126" s="182"/>
      <c r="Q126" s="182"/>
      <c r="R126" s="182"/>
      <c r="S126" s="182"/>
      <c r="T126" s="182" t="s">
        <v>100</v>
      </c>
      <c r="U126" s="182"/>
      <c r="V126" s="182"/>
      <c r="W126" s="182"/>
      <c r="X126" s="182"/>
      <c r="Y126" s="182"/>
      <c r="Z126" s="182"/>
      <c r="AA126" s="182"/>
      <c r="AB126" s="182"/>
      <c r="AC126" s="182"/>
      <c r="AD126" s="182"/>
      <c r="AE126" s="182"/>
      <c r="AF126" s="182"/>
      <c r="AG126" s="182"/>
      <c r="AH126" s="182"/>
      <c r="AI126" s="182"/>
      <c r="AJ126" s="167">
        <f t="shared" si="48"/>
        <v>10</v>
      </c>
      <c r="AK126" s="493" t="str">
        <f>HYPERLINK("http://buffalonews.com/2016/12/27/mike-hall-fame-story/","Buffalo News")</f>
        <v>Buffalo News</v>
      </c>
      <c r="AL126" s="341">
        <v>42731</v>
      </c>
      <c r="AM126" s="352"/>
      <c r="AN126" s="352"/>
      <c r="AO126" s="352"/>
      <c r="AP126" s="352"/>
      <c r="AQ126" s="352"/>
      <c r="AR126" s="352"/>
      <c r="AS126" s="352"/>
      <c r="AT126" s="352"/>
      <c r="AU126" s="352"/>
      <c r="AV126" s="352"/>
      <c r="AW126" s="352"/>
      <c r="AX126" s="352"/>
      <c r="AY126" s="352"/>
      <c r="AZ126" s="352"/>
      <c r="BA126" s="352"/>
      <c r="BB126" s="352"/>
      <c r="BC126" s="352"/>
      <c r="BD126" s="352"/>
      <c r="BE126" s="352"/>
      <c r="BF126" s="352"/>
      <c r="BG126" s="352"/>
      <c r="BH126" s="352"/>
      <c r="BI126" s="352"/>
      <c r="BJ126" s="352"/>
      <c r="BK126" s="352"/>
      <c r="BL126" s="470"/>
      <c r="BM126" s="339"/>
      <c r="BN126" s="339"/>
      <c r="BO126" s="182"/>
      <c r="BP126" s="182"/>
      <c r="BQ126" s="182"/>
      <c r="BR126" s="182"/>
      <c r="BS126" s="182"/>
      <c r="BT126" s="182"/>
      <c r="BU126" s="182"/>
      <c r="BV126" s="182"/>
      <c r="BW126" s="182"/>
      <c r="BX126" s="182"/>
      <c r="BY126" s="182"/>
      <c r="BZ126" s="182"/>
      <c r="CA126" s="182"/>
      <c r="CB126" s="182"/>
      <c r="CC126" s="182"/>
      <c r="CD126" s="182"/>
      <c r="CE126" s="182"/>
      <c r="CF126" s="182"/>
      <c r="CG126" s="182"/>
      <c r="CH126" s="182"/>
      <c r="CI126" s="182"/>
      <c r="CJ126" s="182"/>
      <c r="CK126" s="182"/>
      <c r="CL126" s="680" t="s">
        <v>577</v>
      </c>
      <c r="CM126" s="681"/>
      <c r="CN126" s="682"/>
    </row>
    <row r="127" spans="1:92" s="344" customFormat="1">
      <c r="A127" s="331" t="s">
        <v>227</v>
      </c>
      <c r="B127" s="182" t="s">
        <v>100</v>
      </c>
      <c r="C127" s="182"/>
      <c r="D127" s="182"/>
      <c r="E127" s="182" t="s">
        <v>100</v>
      </c>
      <c r="F127" s="182" t="s">
        <v>100</v>
      </c>
      <c r="G127" s="182"/>
      <c r="H127" s="182"/>
      <c r="I127" s="182"/>
      <c r="J127" s="182" t="s">
        <v>100</v>
      </c>
      <c r="K127" s="182"/>
      <c r="L127" s="182" t="s">
        <v>100</v>
      </c>
      <c r="M127" s="182"/>
      <c r="N127" s="182" t="s">
        <v>100</v>
      </c>
      <c r="O127" s="182" t="s">
        <v>100</v>
      </c>
      <c r="P127" s="182"/>
      <c r="Q127" s="182" t="s">
        <v>100</v>
      </c>
      <c r="R127" s="182"/>
      <c r="S127" s="182" t="s">
        <v>100</v>
      </c>
      <c r="T127" s="182" t="s">
        <v>100</v>
      </c>
      <c r="U127" s="182"/>
      <c r="V127" s="182"/>
      <c r="W127" s="182"/>
      <c r="X127" s="182"/>
      <c r="Y127" s="182"/>
      <c r="Z127" s="182"/>
      <c r="AA127" s="182"/>
      <c r="AB127" s="182"/>
      <c r="AC127" s="182"/>
      <c r="AD127" s="182"/>
      <c r="AE127" s="182"/>
      <c r="AF127" s="182"/>
      <c r="AG127" s="182"/>
      <c r="AH127" s="182"/>
      <c r="AI127" s="182"/>
      <c r="AJ127" s="167">
        <f t="shared" si="48"/>
        <v>10</v>
      </c>
      <c r="AK127" s="493" t="str">
        <f>HYPERLINK("https://twitter.com/iananywhere/status/812670052663263232","Twitter")</f>
        <v>Twitter</v>
      </c>
      <c r="AL127" s="341">
        <v>42728</v>
      </c>
      <c r="AM127" s="352"/>
      <c r="AN127" s="352"/>
      <c r="AO127" s="352"/>
      <c r="AP127" s="352"/>
      <c r="AQ127" s="352"/>
      <c r="AR127" s="352"/>
      <c r="AS127" s="352"/>
      <c r="AT127" s="352"/>
      <c r="AU127" s="352"/>
      <c r="AV127" s="352"/>
      <c r="AW127" s="352"/>
      <c r="AX127" s="352"/>
      <c r="AY127" s="352"/>
      <c r="AZ127" s="352"/>
      <c r="BA127" s="352"/>
      <c r="BB127" s="352"/>
      <c r="BC127" s="352"/>
      <c r="BD127" s="352"/>
      <c r="BE127" s="352"/>
      <c r="BF127" s="352"/>
      <c r="BG127" s="352"/>
      <c r="BH127" s="352"/>
      <c r="BI127" s="352"/>
      <c r="BJ127" s="352"/>
      <c r="BK127" s="352"/>
      <c r="BL127" s="470"/>
      <c r="BM127" s="339"/>
      <c r="BN127" s="339"/>
      <c r="BO127" s="182"/>
      <c r="BP127" s="182"/>
      <c r="BQ127" s="182"/>
      <c r="BR127" s="182"/>
      <c r="BS127" s="182"/>
      <c r="BT127" s="182"/>
      <c r="BU127" s="182"/>
      <c r="BV127" s="182"/>
      <c r="BW127" s="182"/>
      <c r="BX127" s="182"/>
      <c r="BY127" s="182"/>
      <c r="BZ127" s="182"/>
      <c r="CA127" s="182"/>
      <c r="CB127" s="182"/>
      <c r="CC127" s="182"/>
      <c r="CD127" s="182"/>
      <c r="CE127" s="182"/>
      <c r="CF127" s="182"/>
      <c r="CG127" s="182"/>
      <c r="CH127" s="182"/>
      <c r="CI127" s="182"/>
      <c r="CJ127" s="182"/>
      <c r="CK127" s="182"/>
      <c r="CL127" s="618"/>
      <c r="CM127" s="619"/>
      <c r="CN127" s="620"/>
    </row>
    <row r="128" spans="1:92" s="344" customFormat="1">
      <c r="A128" s="335" t="s">
        <v>228</v>
      </c>
      <c r="B128" s="182" t="s">
        <v>100</v>
      </c>
      <c r="C128" s="182" t="s">
        <v>100</v>
      </c>
      <c r="D128" s="182" t="s">
        <v>100</v>
      </c>
      <c r="E128" s="182" t="s">
        <v>100</v>
      </c>
      <c r="F128" s="182" t="s">
        <v>100</v>
      </c>
      <c r="G128" s="182"/>
      <c r="H128" s="182" t="s">
        <v>100</v>
      </c>
      <c r="I128" s="182"/>
      <c r="J128" s="182" t="s">
        <v>100</v>
      </c>
      <c r="K128" s="182"/>
      <c r="L128" s="182" t="s">
        <v>100</v>
      </c>
      <c r="M128" s="182"/>
      <c r="N128" s="182" t="s">
        <v>100</v>
      </c>
      <c r="O128" s="182" t="s">
        <v>100</v>
      </c>
      <c r="P128" s="182"/>
      <c r="Q128" s="182"/>
      <c r="R128" s="182"/>
      <c r="S128" s="182"/>
      <c r="T128" s="182"/>
      <c r="U128" s="182"/>
      <c r="V128" s="182"/>
      <c r="W128" s="182"/>
      <c r="X128" s="182"/>
      <c r="Y128" s="182"/>
      <c r="Z128" s="182"/>
      <c r="AA128" s="182"/>
      <c r="AB128" s="182"/>
      <c r="AC128" s="182"/>
      <c r="AD128" s="182"/>
      <c r="AE128" s="182"/>
      <c r="AF128" s="182"/>
      <c r="AG128" s="182"/>
      <c r="AH128" s="182"/>
      <c r="AI128" s="182"/>
      <c r="AJ128" s="167">
        <f t="shared" si="48"/>
        <v>10</v>
      </c>
      <c r="AK128" s="481" t="str">
        <f>HYPERLINK("http://www.jsonline.com/story/sports/mlb/brewers/2017/01/18/haudricourts-hof-ballot-10-choices-not-enough/96676716/","Journal Sentinel")</f>
        <v>Journal Sentinel</v>
      </c>
      <c r="AL128" s="341">
        <v>42753</v>
      </c>
      <c r="AM128" s="498"/>
      <c r="AN128" s="498"/>
      <c r="AO128" s="498"/>
      <c r="AP128" s="498"/>
      <c r="AQ128" s="498"/>
      <c r="AR128" s="498"/>
      <c r="AS128" s="498"/>
      <c r="AT128" s="498"/>
      <c r="AU128" s="498"/>
      <c r="AV128" s="498"/>
      <c r="AW128" s="498"/>
      <c r="AX128" s="498"/>
      <c r="AY128" s="498"/>
      <c r="AZ128" s="498"/>
      <c r="BA128" s="498"/>
      <c r="BB128" s="498"/>
      <c r="BC128" s="498"/>
      <c r="BD128" s="498"/>
      <c r="BE128" s="498"/>
      <c r="BF128" s="498"/>
      <c r="BG128" s="498"/>
      <c r="BH128" s="498"/>
      <c r="BI128" s="498"/>
      <c r="BJ128" s="498"/>
      <c r="BK128" s="498"/>
      <c r="BL128" s="499"/>
      <c r="BM128" s="500"/>
      <c r="BN128" s="500"/>
      <c r="BO128" s="501"/>
      <c r="BP128" s="501"/>
      <c r="BQ128" s="501"/>
      <c r="BR128" s="501"/>
      <c r="BS128" s="501"/>
      <c r="BT128" s="501"/>
      <c r="BU128" s="501"/>
      <c r="BV128" s="501"/>
      <c r="BW128" s="501"/>
      <c r="BX128" s="501"/>
      <c r="BY128" s="501"/>
      <c r="BZ128" s="501"/>
      <c r="CA128" s="501"/>
      <c r="CB128" s="501"/>
      <c r="CC128" s="501"/>
      <c r="CD128" s="501"/>
      <c r="CE128" s="501"/>
      <c r="CF128" s="501"/>
      <c r="CG128" s="501"/>
      <c r="CH128" s="501"/>
      <c r="CI128" s="501"/>
      <c r="CJ128" s="501"/>
      <c r="CK128" s="501"/>
      <c r="CL128" s="618"/>
      <c r="CM128" s="619"/>
      <c r="CN128" s="620"/>
    </row>
    <row r="129" spans="1:92" ht="12.75" customHeight="1">
      <c r="A129" s="477" t="s">
        <v>230</v>
      </c>
      <c r="B129" s="410" t="s">
        <v>100</v>
      </c>
      <c r="C129" s="410" t="s">
        <v>100</v>
      </c>
      <c r="D129" s="410" t="s">
        <v>100</v>
      </c>
      <c r="E129" s="410"/>
      <c r="F129" s="410" t="s">
        <v>100</v>
      </c>
      <c r="G129" s="410"/>
      <c r="H129" s="410" t="s">
        <v>100</v>
      </c>
      <c r="I129" s="410"/>
      <c r="J129" s="410" t="s">
        <v>100</v>
      </c>
      <c r="K129" s="410"/>
      <c r="L129" s="410" t="s">
        <v>100</v>
      </c>
      <c r="M129" s="410"/>
      <c r="N129" s="410" t="s">
        <v>100</v>
      </c>
      <c r="O129" s="410" t="s">
        <v>100</v>
      </c>
      <c r="P129" s="410"/>
      <c r="Q129" s="410"/>
      <c r="R129" s="410"/>
      <c r="S129" s="410"/>
      <c r="T129" s="410" t="s">
        <v>100</v>
      </c>
      <c r="U129" s="639"/>
      <c r="V129" s="639"/>
      <c r="W129" s="639"/>
      <c r="X129" s="639"/>
      <c r="Y129" s="639"/>
      <c r="Z129" s="639"/>
      <c r="AA129" s="639"/>
      <c r="AB129" s="639"/>
      <c r="AC129" s="639"/>
      <c r="AD129" s="639"/>
      <c r="AE129" s="639"/>
      <c r="AF129" s="639"/>
      <c r="AG129" s="639"/>
      <c r="AH129" s="639"/>
      <c r="AI129" s="639"/>
      <c r="AJ129" s="167">
        <f t="shared" si="48"/>
        <v>10</v>
      </c>
      <c r="AK129" s="493" t="str">
        <f>HYPERLINK("https://twitter.com/CSNHayes/status/812751548673560577","Twitter")</f>
        <v>Twitter</v>
      </c>
      <c r="AL129" s="471">
        <v>42728</v>
      </c>
      <c r="AM129" s="136"/>
      <c r="AN129" s="136"/>
      <c r="AO129" s="136"/>
      <c r="AP129" s="136"/>
      <c r="AQ129" s="136"/>
      <c r="AR129" s="136"/>
      <c r="AS129" s="136"/>
      <c r="AT129" s="136"/>
      <c r="AU129" s="136"/>
      <c r="AV129" s="136"/>
      <c r="AW129" s="136"/>
      <c r="AX129" s="136"/>
      <c r="AY129" s="136"/>
      <c r="AZ129" s="136"/>
      <c r="BA129" s="136"/>
      <c r="BB129" s="136"/>
      <c r="BC129" s="136"/>
      <c r="BD129" s="136"/>
      <c r="BE129" s="136"/>
      <c r="BF129" s="136"/>
      <c r="BG129" s="136"/>
      <c r="BH129" s="136"/>
      <c r="BI129" s="136"/>
      <c r="BJ129" s="136"/>
      <c r="BK129" s="136"/>
      <c r="BL129" s="136"/>
      <c r="BM129" s="136"/>
      <c r="BN129" s="136"/>
      <c r="BO129" s="136"/>
      <c r="BP129" s="136"/>
      <c r="BQ129" s="136"/>
      <c r="BR129" s="136"/>
      <c r="BS129" s="136"/>
      <c r="BT129" s="136"/>
      <c r="BU129" s="136"/>
      <c r="BV129" s="136"/>
      <c r="BW129" s="136"/>
      <c r="BX129" s="136"/>
      <c r="BY129" s="136"/>
      <c r="BZ129" s="136"/>
      <c r="CA129" s="136"/>
      <c r="CB129" s="136"/>
      <c r="CC129" s="136"/>
      <c r="CD129" s="136"/>
      <c r="CE129" s="136"/>
      <c r="CF129" s="136"/>
      <c r="CG129" s="136"/>
      <c r="CH129" s="136"/>
      <c r="CI129" s="136"/>
      <c r="CJ129" s="136"/>
      <c r="CK129" s="136"/>
      <c r="CL129" s="680" t="s">
        <v>384</v>
      </c>
      <c r="CM129" s="681"/>
      <c r="CN129" s="682"/>
    </row>
    <row r="130" spans="1:92" s="344" customFormat="1">
      <c r="A130" s="335" t="s">
        <v>578</v>
      </c>
      <c r="B130" s="182" t="s">
        <v>100</v>
      </c>
      <c r="C130" s="182" t="s">
        <v>100</v>
      </c>
      <c r="D130" s="182" t="s">
        <v>100</v>
      </c>
      <c r="E130" s="182" t="s">
        <v>100</v>
      </c>
      <c r="F130" s="182" t="s">
        <v>100</v>
      </c>
      <c r="G130" s="182"/>
      <c r="H130" s="302" t="s">
        <v>100</v>
      </c>
      <c r="I130" s="182" t="s">
        <v>100</v>
      </c>
      <c r="J130" s="320"/>
      <c r="K130" s="182"/>
      <c r="L130" s="182" t="s">
        <v>100</v>
      </c>
      <c r="M130" s="182" t="s">
        <v>100</v>
      </c>
      <c r="N130" s="182" t="s">
        <v>100</v>
      </c>
      <c r="O130" s="320"/>
      <c r="P130" s="182"/>
      <c r="Q130" s="182"/>
      <c r="R130" s="182"/>
      <c r="S130" s="182"/>
      <c r="T130" s="182"/>
      <c r="U130" s="182"/>
      <c r="V130" s="182"/>
      <c r="W130" s="182"/>
      <c r="X130" s="182"/>
      <c r="Y130" s="182"/>
      <c r="Z130" s="182"/>
      <c r="AA130" s="182"/>
      <c r="AB130" s="182"/>
      <c r="AC130" s="182"/>
      <c r="AD130" s="182"/>
      <c r="AE130" s="182"/>
      <c r="AF130" s="182"/>
      <c r="AG130" s="182"/>
      <c r="AH130" s="182"/>
      <c r="AI130" s="182"/>
      <c r="AJ130" s="167">
        <f t="shared" si="37"/>
        <v>10</v>
      </c>
      <c r="AK130" s="493" t="str">
        <f>HYPERLINK("https://www.facebook.com/joe.henderson.79677/posts/10158050693355195?pnref=story","Facebook")</f>
        <v>Facebook</v>
      </c>
      <c r="AL130" s="341">
        <v>42717</v>
      </c>
      <c r="AM130" s="352"/>
      <c r="AN130" s="352"/>
      <c r="AO130" s="352"/>
      <c r="AP130" s="352"/>
      <c r="AQ130" s="352"/>
      <c r="AR130" s="352"/>
      <c r="AS130" s="352"/>
      <c r="AT130" s="352"/>
      <c r="AU130" s="352"/>
      <c r="AV130" s="352"/>
      <c r="AW130" s="352"/>
      <c r="AX130" s="352"/>
      <c r="AY130" s="352"/>
      <c r="AZ130" s="352"/>
      <c r="BA130" s="352"/>
      <c r="BB130" s="352"/>
      <c r="BC130" s="352"/>
      <c r="BD130" s="352"/>
      <c r="BE130" s="352"/>
      <c r="BF130" s="352"/>
      <c r="BG130" s="352"/>
      <c r="BH130" s="352"/>
      <c r="BI130" s="352"/>
      <c r="BJ130" s="352"/>
      <c r="BK130" s="352"/>
      <c r="BL130" s="470"/>
      <c r="BM130" s="339"/>
      <c r="BN130" s="339"/>
      <c r="BO130" s="182"/>
      <c r="BP130" s="182"/>
      <c r="BQ130" s="182"/>
      <c r="BR130" s="182"/>
      <c r="BS130" s="182"/>
      <c r="BT130" s="182"/>
      <c r="BU130" s="182"/>
      <c r="BV130" s="182"/>
      <c r="BW130" s="182"/>
      <c r="BX130" s="182"/>
      <c r="BY130" s="182"/>
      <c r="BZ130" s="182"/>
      <c r="CA130" s="182"/>
      <c r="CB130" s="182"/>
      <c r="CC130" s="182"/>
      <c r="CD130" s="182"/>
      <c r="CE130" s="182"/>
      <c r="CF130" s="182"/>
      <c r="CG130" s="182"/>
      <c r="CH130" s="182"/>
      <c r="CI130" s="182"/>
      <c r="CJ130" s="182"/>
      <c r="CK130" s="182"/>
      <c r="CL130" s="680"/>
      <c r="CM130" s="681"/>
      <c r="CN130" s="682"/>
    </row>
    <row r="131" spans="1:92" s="344" customFormat="1">
      <c r="A131" s="335" t="s">
        <v>579</v>
      </c>
      <c r="B131" s="182" t="s">
        <v>100</v>
      </c>
      <c r="C131" s="182" t="s">
        <v>100</v>
      </c>
      <c r="D131" s="182" t="s">
        <v>100</v>
      </c>
      <c r="E131" s="182"/>
      <c r="F131" s="182"/>
      <c r="G131" s="182" t="s">
        <v>100</v>
      </c>
      <c r="H131" s="182" t="s">
        <v>100</v>
      </c>
      <c r="I131" s="182"/>
      <c r="J131" s="182" t="s">
        <v>100</v>
      </c>
      <c r="K131" s="182"/>
      <c r="L131" s="182" t="s">
        <v>100</v>
      </c>
      <c r="M131" s="182"/>
      <c r="N131" s="182" t="s">
        <v>100</v>
      </c>
      <c r="O131" s="182" t="s">
        <v>100</v>
      </c>
      <c r="P131" s="182"/>
      <c r="Q131" s="182"/>
      <c r="R131" s="182"/>
      <c r="S131" s="182"/>
      <c r="T131" s="182"/>
      <c r="U131" s="182"/>
      <c r="V131" s="182"/>
      <c r="W131" s="182"/>
      <c r="X131" s="182"/>
      <c r="Y131" s="182"/>
      <c r="Z131" s="182"/>
      <c r="AA131" s="182"/>
      <c r="AB131" s="182"/>
      <c r="AC131" s="182"/>
      <c r="AD131" s="182"/>
      <c r="AE131" s="182"/>
      <c r="AF131" s="182"/>
      <c r="AG131" s="182"/>
      <c r="AH131" s="182"/>
      <c r="AI131" s="182"/>
      <c r="AJ131" s="167">
        <f t="shared" si="37"/>
        <v>9</v>
      </c>
      <c r="AK131" s="493" t="str">
        <f>HYPERLINK("http://www.detroitnews.com/story/sports/mlb/tigers/2016/11/30/henning-my-nine-players-hall-fame-ballot/94675018/","Detroit News")</f>
        <v>Detroit News</v>
      </c>
      <c r="AL131" s="341">
        <v>42704</v>
      </c>
      <c r="AM131" s="352"/>
      <c r="AN131" s="352"/>
      <c r="AO131" s="352"/>
      <c r="AP131" s="352"/>
      <c r="AQ131" s="352"/>
      <c r="AR131" s="352"/>
      <c r="AS131" s="352"/>
      <c r="AT131" s="352"/>
      <c r="AU131" s="352"/>
      <c r="AV131" s="352"/>
      <c r="AW131" s="352"/>
      <c r="AX131" s="352"/>
      <c r="AY131" s="352"/>
      <c r="AZ131" s="352"/>
      <c r="BA131" s="352"/>
      <c r="BB131" s="352"/>
      <c r="BC131" s="352"/>
      <c r="BD131" s="352"/>
      <c r="BE131" s="352"/>
      <c r="BF131" s="352"/>
      <c r="BG131" s="352"/>
      <c r="BH131" s="352"/>
      <c r="BI131" s="352"/>
      <c r="BJ131" s="352"/>
      <c r="BK131" s="352"/>
      <c r="BL131" s="470"/>
      <c r="BM131" s="339"/>
      <c r="BN131" s="339"/>
      <c r="BO131" s="182"/>
      <c r="BP131" s="182"/>
      <c r="BQ131" s="182"/>
      <c r="BR131" s="182"/>
      <c r="BS131" s="182"/>
      <c r="BT131" s="182"/>
      <c r="BU131" s="182"/>
      <c r="BV131" s="182"/>
      <c r="BW131" s="182"/>
      <c r="BX131" s="182"/>
      <c r="BY131" s="182"/>
      <c r="BZ131" s="182"/>
      <c r="CA131" s="182"/>
      <c r="CB131" s="182"/>
      <c r="CC131" s="182"/>
      <c r="CD131" s="182"/>
      <c r="CE131" s="182"/>
      <c r="CF131" s="182"/>
      <c r="CG131" s="182"/>
      <c r="CH131" s="182"/>
      <c r="CI131" s="182"/>
      <c r="CJ131" s="182"/>
      <c r="CK131" s="182"/>
      <c r="CL131" s="680"/>
      <c r="CM131" s="681"/>
      <c r="CN131" s="682"/>
    </row>
    <row r="132" spans="1:92" s="344" customFormat="1">
      <c r="A132" s="335" t="s">
        <v>580</v>
      </c>
      <c r="B132" s="302" t="s">
        <v>100</v>
      </c>
      <c r="C132" s="182"/>
      <c r="D132" s="182"/>
      <c r="E132" s="182" t="s">
        <v>100</v>
      </c>
      <c r="F132" s="302" t="s">
        <v>100</v>
      </c>
      <c r="G132" s="182"/>
      <c r="H132" s="302" t="s">
        <v>100</v>
      </c>
      <c r="I132" s="182"/>
      <c r="J132" s="182"/>
      <c r="K132" s="182"/>
      <c r="L132" s="302" t="s">
        <v>100</v>
      </c>
      <c r="M132" s="182"/>
      <c r="N132" s="182" t="s">
        <v>100</v>
      </c>
      <c r="O132" s="182"/>
      <c r="P132" s="182"/>
      <c r="Q132" s="182"/>
      <c r="R132" s="182"/>
      <c r="S132" s="182"/>
      <c r="T132" s="182"/>
      <c r="U132" s="182"/>
      <c r="V132" s="182"/>
      <c r="W132" s="182"/>
      <c r="X132" s="182"/>
      <c r="Y132" s="182"/>
      <c r="Z132" s="182"/>
      <c r="AA132" s="182"/>
      <c r="AB132" s="182"/>
      <c r="AC132" s="182"/>
      <c r="AD132" s="182"/>
      <c r="AE132" s="182"/>
      <c r="AF132" s="182"/>
      <c r="AG132" s="182"/>
      <c r="AH132" s="182"/>
      <c r="AI132" s="182"/>
      <c r="AJ132" s="167">
        <f t="shared" ref="AJ132" si="50">COUNTIF(B132:AI132,"x")</f>
        <v>6</v>
      </c>
      <c r="AK132" s="493" t="str">
        <f>HYPERLINK("https://t.co/ssEIu635cp","Newsday")</f>
        <v>Newsday</v>
      </c>
      <c r="AL132" s="341">
        <v>42727</v>
      </c>
      <c r="AM132" s="352"/>
      <c r="AN132" s="352"/>
      <c r="AO132" s="352"/>
      <c r="AP132" s="352"/>
      <c r="AQ132" s="352"/>
      <c r="AR132" s="352"/>
      <c r="AS132" s="352"/>
      <c r="AT132" s="352"/>
      <c r="AU132" s="352"/>
      <c r="AV132" s="352"/>
      <c r="AW132" s="352"/>
      <c r="AX132" s="352"/>
      <c r="AY132" s="352"/>
      <c r="AZ132" s="352"/>
      <c r="BA132" s="352"/>
      <c r="BB132" s="352"/>
      <c r="BC132" s="352"/>
      <c r="BD132" s="352"/>
      <c r="BE132" s="352"/>
      <c r="BF132" s="352"/>
      <c r="BG132" s="352"/>
      <c r="BH132" s="352"/>
      <c r="BI132" s="352"/>
      <c r="BJ132" s="352"/>
      <c r="BK132" s="352"/>
      <c r="BL132" s="470"/>
      <c r="BM132" s="339"/>
      <c r="BN132" s="339"/>
      <c r="BO132" s="182"/>
      <c r="BP132" s="182"/>
      <c r="BQ132" s="182"/>
      <c r="BR132" s="182"/>
      <c r="BS132" s="182"/>
      <c r="BT132" s="182"/>
      <c r="BU132" s="182"/>
      <c r="BV132" s="182"/>
      <c r="BW132" s="182"/>
      <c r="BX132" s="182"/>
      <c r="BY132" s="182"/>
      <c r="BZ132" s="182"/>
      <c r="CA132" s="182"/>
      <c r="CB132" s="182"/>
      <c r="CC132" s="182"/>
      <c r="CD132" s="182"/>
      <c r="CE132" s="182"/>
      <c r="CF132" s="182"/>
      <c r="CG132" s="182"/>
      <c r="CH132" s="182"/>
      <c r="CI132" s="182"/>
      <c r="CJ132" s="182"/>
      <c r="CK132" s="182"/>
      <c r="CL132" s="618"/>
      <c r="CM132" s="619"/>
      <c r="CN132" s="620"/>
    </row>
    <row r="133" spans="1:92" s="344" customFormat="1">
      <c r="A133" s="335" t="s">
        <v>581</v>
      </c>
      <c r="B133" s="182"/>
      <c r="C133" s="182" t="s">
        <v>100</v>
      </c>
      <c r="D133" s="182" t="s">
        <v>100</v>
      </c>
      <c r="E133" s="182" t="s">
        <v>100</v>
      </c>
      <c r="F133" s="302" t="s">
        <v>100</v>
      </c>
      <c r="G133" s="182"/>
      <c r="H133" s="182"/>
      <c r="I133" s="182"/>
      <c r="J133" s="182"/>
      <c r="K133" s="182"/>
      <c r="L133" s="182" t="s">
        <v>100</v>
      </c>
      <c r="M133" s="182" t="s">
        <v>100</v>
      </c>
      <c r="N133" s="182" t="s">
        <v>100</v>
      </c>
      <c r="O133" s="182"/>
      <c r="P133" s="182"/>
      <c r="Q133" s="302" t="s">
        <v>100</v>
      </c>
      <c r="R133" s="182"/>
      <c r="S133" s="182"/>
      <c r="T133" s="182" t="s">
        <v>100</v>
      </c>
      <c r="U133" s="182"/>
      <c r="V133" s="182"/>
      <c r="W133" s="182"/>
      <c r="X133" s="182"/>
      <c r="Y133" s="182"/>
      <c r="Z133" s="182"/>
      <c r="AA133" s="182"/>
      <c r="AB133" s="182"/>
      <c r="AC133" s="182"/>
      <c r="AD133" s="182"/>
      <c r="AE133" s="182"/>
      <c r="AF133" s="182"/>
      <c r="AG133" s="182"/>
      <c r="AH133" s="182"/>
      <c r="AI133" s="182"/>
      <c r="AJ133" s="167">
        <f t="shared" si="37"/>
        <v>9</v>
      </c>
      <c r="AK133" s="481" t="str">
        <f>HYPERLINK("https://twitter.com/bhertzel/status/818878101451108352","Twitter")</f>
        <v>Twitter</v>
      </c>
      <c r="AL133" s="341">
        <v>42753</v>
      </c>
      <c r="AM133" s="352"/>
      <c r="AN133" s="352"/>
      <c r="AO133" s="352"/>
      <c r="AP133" s="352"/>
      <c r="AQ133" s="352"/>
      <c r="AR133" s="352"/>
      <c r="AS133" s="352"/>
      <c r="AT133" s="352"/>
      <c r="AU133" s="352"/>
      <c r="AV133" s="352"/>
      <c r="AW133" s="352"/>
      <c r="AX133" s="352"/>
      <c r="AY133" s="352"/>
      <c r="AZ133" s="352"/>
      <c r="BA133" s="352"/>
      <c r="BB133" s="352"/>
      <c r="BC133" s="352"/>
      <c r="BD133" s="352"/>
      <c r="BE133" s="352"/>
      <c r="BF133" s="352"/>
      <c r="BG133" s="352"/>
      <c r="BH133" s="352"/>
      <c r="BI133" s="352"/>
      <c r="BJ133" s="352"/>
      <c r="BK133" s="352"/>
      <c r="BL133" s="470"/>
      <c r="BM133" s="339"/>
      <c r="BN133" s="339"/>
      <c r="BO133" s="182"/>
      <c r="BP133" s="182"/>
      <c r="BQ133" s="182"/>
      <c r="BR133" s="182"/>
      <c r="BS133" s="182"/>
      <c r="BT133" s="182"/>
      <c r="BU133" s="182"/>
      <c r="BV133" s="182"/>
      <c r="BW133" s="182"/>
      <c r="BX133" s="182"/>
      <c r="BY133" s="182"/>
      <c r="BZ133" s="182"/>
      <c r="CA133" s="182"/>
      <c r="CB133" s="182"/>
      <c r="CC133" s="182"/>
      <c r="CD133" s="182"/>
      <c r="CE133" s="182"/>
      <c r="CF133" s="182"/>
      <c r="CG133" s="182"/>
      <c r="CH133" s="182"/>
      <c r="CI133" s="182"/>
      <c r="CJ133" s="182"/>
      <c r="CK133" s="497"/>
      <c r="CL133" s="618"/>
      <c r="CM133" s="619"/>
      <c r="CN133" s="620"/>
    </row>
    <row r="134" spans="1:92" s="344" customFormat="1">
      <c r="A134" s="335" t="s">
        <v>582</v>
      </c>
      <c r="B134" s="182" t="s">
        <v>100</v>
      </c>
      <c r="C134" s="182" t="s">
        <v>100</v>
      </c>
      <c r="D134" s="182" t="s">
        <v>100</v>
      </c>
      <c r="E134" s="182" t="s">
        <v>100</v>
      </c>
      <c r="F134" s="182" t="s">
        <v>100</v>
      </c>
      <c r="G134" s="182"/>
      <c r="H134" s="182" t="s">
        <v>100</v>
      </c>
      <c r="I134" s="182"/>
      <c r="J134" s="320"/>
      <c r="K134" s="182"/>
      <c r="L134" s="182" t="s">
        <v>100</v>
      </c>
      <c r="M134" s="182"/>
      <c r="N134" s="182" t="s">
        <v>100</v>
      </c>
      <c r="O134" s="182"/>
      <c r="P134" s="302" t="s">
        <v>100</v>
      </c>
      <c r="Q134" s="182"/>
      <c r="R134" s="302" t="s">
        <v>100</v>
      </c>
      <c r="S134" s="320"/>
      <c r="T134" s="182"/>
      <c r="U134" s="182"/>
      <c r="V134" s="182"/>
      <c r="W134" s="182"/>
      <c r="X134" s="182"/>
      <c r="Y134" s="182"/>
      <c r="Z134" s="182"/>
      <c r="AA134" s="182"/>
      <c r="AB134" s="182"/>
      <c r="AC134" s="182"/>
      <c r="AD134" s="182"/>
      <c r="AE134" s="182"/>
      <c r="AF134" s="182"/>
      <c r="AG134" s="182"/>
      <c r="AH134" s="182"/>
      <c r="AI134" s="182"/>
      <c r="AJ134" s="167">
        <f t="shared" si="37"/>
        <v>10</v>
      </c>
      <c r="AK134" s="493" t="str">
        <f>HYPERLINK("https://twitter.com/zogsport7/status/810962040512712705","Twitter")</f>
        <v>Twitter</v>
      </c>
      <c r="AL134" s="341">
        <v>42723</v>
      </c>
      <c r="AM134" s="352"/>
      <c r="AN134" s="352"/>
      <c r="AO134" s="352"/>
      <c r="AP134" s="352"/>
      <c r="AQ134" s="352"/>
      <c r="AR134" s="352"/>
      <c r="AS134" s="352"/>
      <c r="AT134" s="352"/>
      <c r="AU134" s="352"/>
      <c r="AV134" s="352"/>
      <c r="AW134" s="352"/>
      <c r="AX134" s="352"/>
      <c r="AY134" s="352"/>
      <c r="AZ134" s="352"/>
      <c r="BA134" s="352"/>
      <c r="BB134" s="352"/>
      <c r="BC134" s="352"/>
      <c r="BD134" s="352"/>
      <c r="BE134" s="352"/>
      <c r="BF134" s="352"/>
      <c r="BG134" s="352"/>
      <c r="BH134" s="352"/>
      <c r="BI134" s="352"/>
      <c r="BJ134" s="352"/>
      <c r="BK134" s="352"/>
      <c r="BL134" s="470"/>
      <c r="BM134" s="339"/>
      <c r="BN134" s="339"/>
      <c r="BO134" s="182"/>
      <c r="BP134" s="182"/>
      <c r="BQ134" s="182"/>
      <c r="BR134" s="182"/>
      <c r="BS134" s="182"/>
      <c r="BT134" s="182"/>
      <c r="BU134" s="182"/>
      <c r="BV134" s="182"/>
      <c r="BW134" s="182"/>
      <c r="BX134" s="182"/>
      <c r="BY134" s="182"/>
      <c r="BZ134" s="182"/>
      <c r="CA134" s="182"/>
      <c r="CB134" s="182"/>
      <c r="CC134" s="182"/>
      <c r="CD134" s="182"/>
      <c r="CE134" s="182"/>
      <c r="CF134" s="182"/>
      <c r="CG134" s="182"/>
      <c r="CH134" s="182"/>
      <c r="CI134" s="182"/>
      <c r="CJ134" s="182"/>
      <c r="CK134" s="497"/>
      <c r="CL134" s="762" t="s">
        <v>583</v>
      </c>
      <c r="CM134" s="762"/>
      <c r="CN134" s="762"/>
    </row>
    <row r="135" spans="1:92" s="344" customFormat="1">
      <c r="A135" s="335" t="s">
        <v>584</v>
      </c>
      <c r="B135" s="182"/>
      <c r="C135" s="182" t="s">
        <v>100</v>
      </c>
      <c r="D135" s="182"/>
      <c r="E135" s="182" t="s">
        <v>100</v>
      </c>
      <c r="F135" s="182" t="s">
        <v>100</v>
      </c>
      <c r="G135" s="182"/>
      <c r="H135" s="302" t="s">
        <v>100</v>
      </c>
      <c r="I135" s="182" t="s">
        <v>100</v>
      </c>
      <c r="J135" s="182" t="s">
        <v>100</v>
      </c>
      <c r="K135" s="182" t="s">
        <v>100</v>
      </c>
      <c r="L135" s="182" t="s">
        <v>100</v>
      </c>
      <c r="M135" s="182"/>
      <c r="N135" s="182" t="s">
        <v>100</v>
      </c>
      <c r="O135" s="320"/>
      <c r="P135" s="182"/>
      <c r="Q135" s="302" t="s">
        <v>100</v>
      </c>
      <c r="R135" s="182"/>
      <c r="S135" s="182"/>
      <c r="T135" s="182"/>
      <c r="U135" s="639"/>
      <c r="V135" s="639"/>
      <c r="W135" s="639"/>
      <c r="X135" s="639"/>
      <c r="Y135" s="639"/>
      <c r="Z135" s="639"/>
      <c r="AA135" s="639"/>
      <c r="AB135" s="639"/>
      <c r="AC135" s="639"/>
      <c r="AD135" s="639"/>
      <c r="AE135" s="639"/>
      <c r="AF135" s="639"/>
      <c r="AG135" s="639"/>
      <c r="AH135" s="639"/>
      <c r="AI135" s="639"/>
      <c r="AJ135" s="167">
        <f t="shared" si="37"/>
        <v>10</v>
      </c>
      <c r="AK135" s="493" t="str">
        <f>HYPERLINK("http://www.fanragsports.com/mlb/heymans-hall-fame-thoughts-bonds-bagwell-ballot/","Fanrag Sports")</f>
        <v>Fanrag Sports</v>
      </c>
      <c r="AL135" s="341">
        <v>42738</v>
      </c>
      <c r="AM135" s="137"/>
      <c r="AN135" s="137"/>
      <c r="AO135" s="137"/>
      <c r="AP135" s="137"/>
      <c r="AQ135" s="137"/>
      <c r="AR135" s="137"/>
      <c r="AS135" s="137"/>
      <c r="AT135" s="137"/>
      <c r="AU135" s="137"/>
      <c r="AV135" s="137"/>
      <c r="AW135" s="137"/>
      <c r="AX135" s="137"/>
      <c r="AY135" s="137"/>
      <c r="AZ135" s="137"/>
      <c r="BA135" s="137"/>
      <c r="BB135" s="137"/>
      <c r="BC135" s="137"/>
      <c r="BD135" s="137"/>
      <c r="BE135" s="137"/>
      <c r="BF135" s="137"/>
      <c r="BG135" s="137"/>
      <c r="BH135" s="137"/>
      <c r="BI135" s="137"/>
      <c r="BJ135" s="137"/>
      <c r="BK135" s="137"/>
      <c r="BL135" s="137"/>
      <c r="BM135" s="137"/>
      <c r="BN135" s="137"/>
      <c r="BO135" s="137"/>
      <c r="BP135" s="137"/>
      <c r="BQ135" s="137"/>
      <c r="BR135" s="137"/>
      <c r="BS135" s="137"/>
      <c r="BT135" s="137"/>
      <c r="BU135" s="137"/>
      <c r="BV135" s="137"/>
      <c r="BW135" s="137"/>
      <c r="BX135" s="137"/>
      <c r="BY135" s="137"/>
      <c r="BZ135" s="137"/>
      <c r="CA135" s="137"/>
      <c r="CB135" s="137"/>
      <c r="CC135" s="137"/>
      <c r="CD135" s="137"/>
      <c r="CE135" s="137"/>
      <c r="CF135" s="137"/>
      <c r="CG135" s="137"/>
      <c r="CH135" s="137"/>
      <c r="CI135" s="137"/>
      <c r="CJ135" s="137"/>
      <c r="CK135" s="137"/>
      <c r="CL135" s="680"/>
      <c r="CM135" s="681"/>
      <c r="CN135" s="682"/>
    </row>
    <row r="136" spans="1:92" s="344" customFormat="1">
      <c r="A136" s="335" t="s">
        <v>585</v>
      </c>
      <c r="B136" s="182"/>
      <c r="C136" s="182" t="s">
        <v>100</v>
      </c>
      <c r="D136" s="182"/>
      <c r="E136" s="182"/>
      <c r="F136" s="182" t="s">
        <v>100</v>
      </c>
      <c r="G136" s="182" t="s">
        <v>100</v>
      </c>
      <c r="H136" s="182" t="s">
        <v>100</v>
      </c>
      <c r="I136" s="182"/>
      <c r="J136" s="182"/>
      <c r="K136" s="182"/>
      <c r="L136" s="182" t="s">
        <v>100</v>
      </c>
      <c r="M136" s="182"/>
      <c r="N136" s="182" t="s">
        <v>100</v>
      </c>
      <c r="O136" s="182"/>
      <c r="P136" s="182"/>
      <c r="Q136" s="182" t="s">
        <v>100</v>
      </c>
      <c r="R136" s="182"/>
      <c r="S136" s="182" t="s">
        <v>100</v>
      </c>
      <c r="T136" s="182"/>
      <c r="U136" s="380"/>
      <c r="V136" s="380"/>
      <c r="W136" s="380"/>
      <c r="X136" s="380"/>
      <c r="Y136" s="380"/>
      <c r="Z136" s="380"/>
      <c r="AA136" s="380"/>
      <c r="AB136" s="380"/>
      <c r="AC136" s="380"/>
      <c r="AD136" s="380"/>
      <c r="AE136" s="380"/>
      <c r="AF136" s="380"/>
      <c r="AG136" s="380"/>
      <c r="AH136" s="380"/>
      <c r="AI136" s="380"/>
      <c r="AJ136" s="167">
        <f t="shared" si="37"/>
        <v>8</v>
      </c>
      <c r="AK136" s="492" t="str">
        <f>HYPERLINK("http://www.mercurynews.com/2017/01/16/hickeys-ballot-bonds-in-but-not-clemens-for-me/","SJ Mercury News")</f>
        <v>SJ Mercury News</v>
      </c>
      <c r="AL136" s="341">
        <v>42751</v>
      </c>
      <c r="CL136" s="680"/>
      <c r="CM136" s="681"/>
      <c r="CN136" s="682"/>
    </row>
    <row r="137" spans="1:92" s="344" customFormat="1">
      <c r="A137" s="335" t="s">
        <v>586</v>
      </c>
      <c r="B137" s="182" t="s">
        <v>100</v>
      </c>
      <c r="C137" s="182"/>
      <c r="D137" s="182"/>
      <c r="E137" s="182" t="s">
        <v>100</v>
      </c>
      <c r="F137" s="182" t="s">
        <v>100</v>
      </c>
      <c r="G137" s="182"/>
      <c r="H137" s="182" t="s">
        <v>100</v>
      </c>
      <c r="I137" s="182" t="s">
        <v>100</v>
      </c>
      <c r="J137" s="182"/>
      <c r="K137" s="182"/>
      <c r="L137" s="182" t="s">
        <v>100</v>
      </c>
      <c r="M137" s="182"/>
      <c r="N137" s="182" t="s">
        <v>100</v>
      </c>
      <c r="O137" s="182"/>
      <c r="P137" s="182"/>
      <c r="Q137" s="182" t="s">
        <v>100</v>
      </c>
      <c r="R137" s="182"/>
      <c r="S137" s="182"/>
      <c r="T137" s="182"/>
      <c r="U137" s="380"/>
      <c r="V137" s="380"/>
      <c r="W137" s="380"/>
      <c r="X137" s="380"/>
      <c r="Y137" s="380"/>
      <c r="Z137" s="380"/>
      <c r="AA137" s="380"/>
      <c r="AB137" s="380"/>
      <c r="AC137" s="380"/>
      <c r="AD137" s="380"/>
      <c r="AE137" s="380"/>
      <c r="AF137" s="380"/>
      <c r="AG137" s="380"/>
      <c r="AH137" s="380"/>
      <c r="AI137" s="380"/>
      <c r="AJ137" s="167">
        <f t="shared" si="37"/>
        <v>8</v>
      </c>
      <c r="AK137" s="489" t="s">
        <v>587</v>
      </c>
      <c r="AL137" s="341">
        <v>42742</v>
      </c>
      <c r="CL137" s="680"/>
      <c r="CM137" s="681"/>
      <c r="CN137" s="682"/>
    </row>
    <row r="138" spans="1:92" s="344" customFormat="1">
      <c r="A138" s="335" t="s">
        <v>239</v>
      </c>
      <c r="B138" s="182" t="s">
        <v>100</v>
      </c>
      <c r="C138" s="182"/>
      <c r="D138" s="182"/>
      <c r="E138" s="182"/>
      <c r="F138" s="302" t="s">
        <v>100</v>
      </c>
      <c r="G138" s="182"/>
      <c r="H138" s="302" t="s">
        <v>100</v>
      </c>
      <c r="I138" s="182"/>
      <c r="J138" s="182" t="s">
        <v>100</v>
      </c>
      <c r="K138" s="182"/>
      <c r="L138" s="182" t="s">
        <v>100</v>
      </c>
      <c r="M138" s="182"/>
      <c r="N138" s="182"/>
      <c r="O138" s="182" t="s">
        <v>100</v>
      </c>
      <c r="P138" s="182"/>
      <c r="Q138" s="182"/>
      <c r="R138" s="182"/>
      <c r="S138" s="182"/>
      <c r="T138" s="182"/>
      <c r="U138" s="380"/>
      <c r="V138" s="380"/>
      <c r="W138" s="380"/>
      <c r="X138" s="380"/>
      <c r="Y138" s="380"/>
      <c r="Z138" s="380"/>
      <c r="AA138" s="380"/>
      <c r="AB138" s="380"/>
      <c r="AC138" s="380"/>
      <c r="AD138" s="380"/>
      <c r="AE138" s="380"/>
      <c r="AF138" s="380"/>
      <c r="AG138" s="380"/>
      <c r="AH138" s="380"/>
      <c r="AI138" s="380"/>
      <c r="AJ138" s="167">
        <f t="shared" si="37"/>
        <v>6</v>
      </c>
      <c r="AK138" s="493" t="str">
        <f>HYPERLINK("http://apps.bostonglobe.com/sports/graphics/2017/01/baseball-hof/","Boston Globe")</f>
        <v>Boston Globe</v>
      </c>
      <c r="AL138" s="341">
        <v>42740</v>
      </c>
      <c r="CL138" s="680"/>
      <c r="CM138" s="681"/>
      <c r="CN138" s="682"/>
    </row>
    <row r="139" spans="1:92" s="344" customFormat="1">
      <c r="A139" s="335" t="s">
        <v>240</v>
      </c>
      <c r="B139" s="182" t="s">
        <v>100</v>
      </c>
      <c r="C139" s="182" t="s">
        <v>100</v>
      </c>
      <c r="D139" s="182" t="s">
        <v>100</v>
      </c>
      <c r="E139" s="182"/>
      <c r="F139" s="182" t="s">
        <v>100</v>
      </c>
      <c r="G139" s="182"/>
      <c r="H139" s="182"/>
      <c r="I139" s="182"/>
      <c r="J139" s="302" t="s">
        <v>100</v>
      </c>
      <c r="K139" s="182"/>
      <c r="L139" s="182" t="s">
        <v>100</v>
      </c>
      <c r="M139" s="182"/>
      <c r="N139" s="182"/>
      <c r="O139" s="182" t="s">
        <v>100</v>
      </c>
      <c r="P139" s="182" t="s">
        <v>100</v>
      </c>
      <c r="Q139" s="182" t="s">
        <v>100</v>
      </c>
      <c r="R139" s="182"/>
      <c r="S139" s="182"/>
      <c r="T139" s="182"/>
      <c r="U139" s="182"/>
      <c r="V139" s="182"/>
      <c r="W139" s="182"/>
      <c r="X139" s="182"/>
      <c r="Y139" s="182"/>
      <c r="Z139" s="182"/>
      <c r="AA139" s="182"/>
      <c r="AB139" s="182"/>
      <c r="AC139" s="182"/>
      <c r="AD139" s="182"/>
      <c r="AE139" s="182"/>
      <c r="AF139" s="182"/>
      <c r="AG139" s="182"/>
      <c r="AH139" s="182"/>
      <c r="AI139" s="182"/>
      <c r="AJ139" s="167">
        <f t="shared" si="37"/>
        <v>9</v>
      </c>
      <c r="AK139" s="483" t="s">
        <v>138</v>
      </c>
      <c r="AL139" s="341">
        <v>42725</v>
      </c>
      <c r="AM139" s="352"/>
      <c r="AN139" s="352"/>
      <c r="AO139" s="352"/>
      <c r="AP139" s="352"/>
      <c r="AQ139" s="352"/>
      <c r="AR139" s="352"/>
      <c r="AS139" s="352"/>
      <c r="AT139" s="352"/>
      <c r="AU139" s="352"/>
      <c r="AV139" s="352"/>
      <c r="AW139" s="352"/>
      <c r="AX139" s="352"/>
      <c r="AY139" s="352"/>
      <c r="AZ139" s="352"/>
      <c r="BA139" s="352"/>
      <c r="BB139" s="352"/>
      <c r="BC139" s="352"/>
      <c r="BD139" s="352"/>
      <c r="BE139" s="352"/>
      <c r="BF139" s="352"/>
      <c r="BG139" s="352"/>
      <c r="BH139" s="352"/>
      <c r="BI139" s="352"/>
      <c r="BJ139" s="352"/>
      <c r="BK139" s="352"/>
      <c r="BL139" s="470"/>
      <c r="BM139" s="339"/>
      <c r="BN139" s="339"/>
      <c r="BO139" s="182"/>
      <c r="BP139" s="182"/>
      <c r="BQ139" s="182"/>
      <c r="BR139" s="182"/>
      <c r="BS139" s="182"/>
      <c r="BT139" s="182"/>
      <c r="BU139" s="182"/>
      <c r="BV139" s="182"/>
      <c r="BW139" s="182"/>
      <c r="BX139" s="182"/>
      <c r="BY139" s="182"/>
      <c r="BZ139" s="182"/>
      <c r="CA139" s="182"/>
      <c r="CB139" s="182"/>
      <c r="CC139" s="182"/>
      <c r="CD139" s="182"/>
      <c r="CE139" s="182"/>
      <c r="CF139" s="182"/>
      <c r="CG139" s="182"/>
      <c r="CH139" s="182"/>
      <c r="CI139" s="182"/>
      <c r="CJ139" s="182"/>
      <c r="CK139" s="182"/>
      <c r="CL139" s="680"/>
      <c r="CM139" s="681"/>
      <c r="CN139" s="682"/>
    </row>
    <row r="140" spans="1:92" s="344" customFormat="1">
      <c r="A140" s="335" t="s">
        <v>588</v>
      </c>
      <c r="B140" s="182" t="s">
        <v>100</v>
      </c>
      <c r="C140" s="182"/>
      <c r="D140" s="182"/>
      <c r="E140" s="182" t="s">
        <v>100</v>
      </c>
      <c r="F140" s="182" t="s">
        <v>100</v>
      </c>
      <c r="G140" s="182"/>
      <c r="H140" s="182" t="s">
        <v>100</v>
      </c>
      <c r="I140" s="182" t="s">
        <v>100</v>
      </c>
      <c r="J140" s="182" t="s">
        <v>100</v>
      </c>
      <c r="K140" s="182"/>
      <c r="L140" s="182" t="s">
        <v>100</v>
      </c>
      <c r="M140" s="182"/>
      <c r="N140" s="182"/>
      <c r="O140" s="182" t="s">
        <v>100</v>
      </c>
      <c r="P140" s="182"/>
      <c r="Q140" s="182" t="s">
        <v>100</v>
      </c>
      <c r="R140" s="182"/>
      <c r="S140" s="182" t="s">
        <v>100</v>
      </c>
      <c r="T140" s="182"/>
      <c r="U140" s="182"/>
      <c r="V140" s="182"/>
      <c r="W140" s="182"/>
      <c r="X140" s="182"/>
      <c r="Y140" s="182"/>
      <c r="Z140" s="182"/>
      <c r="AA140" s="182"/>
      <c r="AB140" s="182"/>
      <c r="AC140" s="182"/>
      <c r="AD140" s="182"/>
      <c r="AE140" s="182"/>
      <c r="AF140" s="182"/>
      <c r="AG140" s="182"/>
      <c r="AH140" s="182"/>
      <c r="AI140" s="182"/>
      <c r="AJ140" s="167">
        <f t="shared" si="37"/>
        <v>10</v>
      </c>
      <c r="AK140" s="493" t="str">
        <f>HYPERLINK("http://www.cleveland.com/tribe/index.ssf/2017/01/has_bud_seligs_election_to_coo.html","Cleveland.com")</f>
        <v>Cleveland.com</v>
      </c>
      <c r="AL140" s="341">
        <v>42742</v>
      </c>
      <c r="AM140" s="352"/>
      <c r="AN140" s="352"/>
      <c r="AO140" s="352"/>
      <c r="AP140" s="352"/>
      <c r="AQ140" s="352"/>
      <c r="AR140" s="352"/>
      <c r="AS140" s="352"/>
      <c r="AT140" s="352"/>
      <c r="AU140" s="352"/>
      <c r="AV140" s="352"/>
      <c r="AW140" s="352"/>
      <c r="AX140" s="352"/>
      <c r="AY140" s="352"/>
      <c r="AZ140" s="352"/>
      <c r="BA140" s="352"/>
      <c r="BB140" s="352"/>
      <c r="BC140" s="352"/>
      <c r="BD140" s="352"/>
      <c r="BE140" s="352"/>
      <c r="BF140" s="352"/>
      <c r="BG140" s="352"/>
      <c r="BH140" s="352"/>
      <c r="BI140" s="352"/>
      <c r="BJ140" s="352"/>
      <c r="BK140" s="352"/>
      <c r="BL140" s="470"/>
      <c r="BM140" s="339"/>
      <c r="BN140" s="339"/>
      <c r="BO140" s="182"/>
      <c r="BP140" s="182"/>
      <c r="BQ140" s="182"/>
      <c r="BR140" s="182"/>
      <c r="BS140" s="182"/>
      <c r="BT140" s="182"/>
      <c r="BU140" s="182"/>
      <c r="BV140" s="182"/>
      <c r="BW140" s="182"/>
      <c r="BX140" s="182"/>
      <c r="BY140" s="182"/>
      <c r="BZ140" s="182"/>
      <c r="CA140" s="182"/>
      <c r="CB140" s="182"/>
      <c r="CC140" s="182"/>
      <c r="CD140" s="182"/>
      <c r="CE140" s="182"/>
      <c r="CF140" s="182"/>
      <c r="CG140" s="182"/>
      <c r="CH140" s="182"/>
      <c r="CI140" s="182"/>
      <c r="CJ140" s="182"/>
      <c r="CK140" s="182"/>
      <c r="CL140" s="680"/>
      <c r="CM140" s="681"/>
      <c r="CN140" s="682"/>
    </row>
    <row r="141" spans="1:92" s="344" customFormat="1">
      <c r="A141" s="335" t="s">
        <v>242</v>
      </c>
      <c r="B141" s="182" t="s">
        <v>100</v>
      </c>
      <c r="C141" s="302" t="s">
        <v>100</v>
      </c>
      <c r="D141" s="302" t="s">
        <v>100</v>
      </c>
      <c r="E141" s="182" t="s">
        <v>100</v>
      </c>
      <c r="F141" s="302" t="s">
        <v>100</v>
      </c>
      <c r="G141" s="182"/>
      <c r="H141" s="182" t="s">
        <v>100</v>
      </c>
      <c r="I141" s="182"/>
      <c r="J141" s="182" t="s">
        <v>100</v>
      </c>
      <c r="K141" s="182"/>
      <c r="L141" s="182" t="s">
        <v>100</v>
      </c>
      <c r="M141" s="182"/>
      <c r="N141" s="182"/>
      <c r="O141" s="182" t="s">
        <v>100</v>
      </c>
      <c r="P141" s="182"/>
      <c r="Q141" s="182"/>
      <c r="R141" s="182"/>
      <c r="S141" s="182"/>
      <c r="T141" s="182"/>
      <c r="U141" s="182"/>
      <c r="V141" s="182"/>
      <c r="W141" s="182"/>
      <c r="X141" s="182"/>
      <c r="Y141" s="182"/>
      <c r="Z141" s="182"/>
      <c r="AA141" s="182"/>
      <c r="AB141" s="182"/>
      <c r="AC141" s="182"/>
      <c r="AD141" s="182"/>
      <c r="AE141" s="182"/>
      <c r="AF141" s="182"/>
      <c r="AG141" s="182"/>
      <c r="AH141" s="182"/>
      <c r="AI141" s="182"/>
      <c r="AJ141" s="167">
        <f t="shared" si="37"/>
        <v>9</v>
      </c>
      <c r="AK141" s="493" t="str">
        <f>HYPERLINK("http://www.courant.com/sports/baseball/hc-jacobs-column-hall--bonds-clemens-1215-20161214-column.html","Hartford Courant")</f>
        <v>Hartford Courant</v>
      </c>
      <c r="AL141" s="341">
        <v>42719</v>
      </c>
      <c r="AM141" s="352"/>
      <c r="AN141" s="352"/>
      <c r="AO141" s="352"/>
      <c r="AP141" s="352"/>
      <c r="AQ141" s="352"/>
      <c r="AR141" s="352"/>
      <c r="AS141" s="352"/>
      <c r="AT141" s="352"/>
      <c r="AU141" s="352"/>
      <c r="AV141" s="352"/>
      <c r="AW141" s="352"/>
      <c r="AX141" s="352"/>
      <c r="AY141" s="352"/>
      <c r="AZ141" s="352"/>
      <c r="BA141" s="352"/>
      <c r="BB141" s="352"/>
      <c r="BC141" s="352"/>
      <c r="BD141" s="352"/>
      <c r="BE141" s="352"/>
      <c r="BF141" s="352"/>
      <c r="BG141" s="352"/>
      <c r="BH141" s="352"/>
      <c r="BI141" s="352"/>
      <c r="BJ141" s="352"/>
      <c r="BK141" s="352"/>
      <c r="BL141" s="470"/>
      <c r="BM141" s="339"/>
      <c r="BN141" s="339"/>
      <c r="BO141" s="182"/>
      <c r="BP141" s="182"/>
      <c r="BQ141" s="182"/>
      <c r="BR141" s="182"/>
      <c r="BS141" s="182"/>
      <c r="BT141" s="182"/>
      <c r="BU141" s="182"/>
      <c r="BV141" s="182"/>
      <c r="BW141" s="182"/>
      <c r="BX141" s="182"/>
      <c r="BY141" s="182"/>
      <c r="BZ141" s="182"/>
      <c r="CA141" s="182"/>
      <c r="CB141" s="182"/>
      <c r="CC141" s="182"/>
      <c r="CD141" s="182"/>
      <c r="CE141" s="182"/>
      <c r="CF141" s="182"/>
      <c r="CG141" s="182"/>
      <c r="CH141" s="182"/>
      <c r="CI141" s="182"/>
      <c r="CJ141" s="182"/>
      <c r="CK141" s="182"/>
      <c r="CL141" s="680"/>
      <c r="CM141" s="681"/>
      <c r="CN141" s="682"/>
    </row>
    <row r="142" spans="1:92" s="344" customFormat="1">
      <c r="A142" s="335" t="s">
        <v>243</v>
      </c>
      <c r="B142" s="182"/>
      <c r="C142" s="182" t="s">
        <v>100</v>
      </c>
      <c r="D142" s="182" t="s">
        <v>100</v>
      </c>
      <c r="E142" s="182" t="s">
        <v>100</v>
      </c>
      <c r="F142" s="182" t="s">
        <v>100</v>
      </c>
      <c r="G142" s="182"/>
      <c r="H142" s="182" t="s">
        <v>100</v>
      </c>
      <c r="I142" s="182"/>
      <c r="J142" s="182"/>
      <c r="K142" s="182"/>
      <c r="L142" s="182"/>
      <c r="M142" s="182" t="s">
        <v>100</v>
      </c>
      <c r="N142" s="182" t="s">
        <v>100</v>
      </c>
      <c r="O142" s="182" t="s">
        <v>100</v>
      </c>
      <c r="P142" s="182"/>
      <c r="Q142" s="182"/>
      <c r="R142" s="182" t="s">
        <v>100</v>
      </c>
      <c r="S142" s="182"/>
      <c r="T142" s="182"/>
      <c r="U142" s="182"/>
      <c r="V142" s="182"/>
      <c r="W142" s="182"/>
      <c r="X142" s="182"/>
      <c r="Y142" s="182"/>
      <c r="Z142" s="182"/>
      <c r="AA142" s="182"/>
      <c r="AB142" s="182"/>
      <c r="AC142" s="182"/>
      <c r="AD142" s="182"/>
      <c r="AE142" s="182"/>
      <c r="AF142" s="182"/>
      <c r="AG142" s="182"/>
      <c r="AH142" s="182"/>
      <c r="AI142" s="182"/>
      <c r="AJ142" s="167">
        <f t="shared" si="37"/>
        <v>9</v>
      </c>
      <c r="AK142" s="493" t="str">
        <f>HYPERLINK("http://www.sfchronicle.com/warriors/article/Warriors-season-gains-crucial-element-intrigue-10688430.php","SF Chronicle")</f>
        <v>SF Chronicle</v>
      </c>
      <c r="AL142" s="341">
        <v>42706</v>
      </c>
      <c r="AM142" s="352"/>
      <c r="AN142" s="352"/>
      <c r="AO142" s="352"/>
      <c r="AP142" s="352"/>
      <c r="AQ142" s="352"/>
      <c r="AR142" s="352"/>
      <c r="AS142" s="352"/>
      <c r="AT142" s="352"/>
      <c r="AU142" s="352"/>
      <c r="AV142" s="352"/>
      <c r="AW142" s="352"/>
      <c r="AX142" s="352"/>
      <c r="AY142" s="352"/>
      <c r="AZ142" s="352"/>
      <c r="BA142" s="352"/>
      <c r="BB142" s="352"/>
      <c r="BC142" s="352"/>
      <c r="BD142" s="352"/>
      <c r="BE142" s="352"/>
      <c r="BF142" s="352"/>
      <c r="BG142" s="352"/>
      <c r="BH142" s="352"/>
      <c r="BI142" s="352"/>
      <c r="BJ142" s="352"/>
      <c r="BK142" s="352"/>
      <c r="BL142" s="470"/>
      <c r="BM142" s="339"/>
      <c r="BN142" s="339"/>
      <c r="BO142" s="182"/>
      <c r="BP142" s="182"/>
      <c r="BQ142" s="182"/>
      <c r="BR142" s="182"/>
      <c r="BS142" s="182"/>
      <c r="BT142" s="182"/>
      <c r="BU142" s="182"/>
      <c r="BV142" s="182"/>
      <c r="BW142" s="182"/>
      <c r="BX142" s="182"/>
      <c r="BY142" s="182"/>
      <c r="BZ142" s="182"/>
      <c r="CA142" s="182"/>
      <c r="CB142" s="182"/>
      <c r="CC142" s="182"/>
      <c r="CD142" s="182"/>
      <c r="CE142" s="182"/>
      <c r="CF142" s="182"/>
      <c r="CG142" s="182"/>
      <c r="CH142" s="182"/>
      <c r="CI142" s="182"/>
      <c r="CJ142" s="182"/>
      <c r="CK142" s="182"/>
      <c r="CL142" s="680"/>
      <c r="CM142" s="681"/>
      <c r="CN142" s="682"/>
    </row>
    <row r="143" spans="1:92" s="344" customFormat="1">
      <c r="A143" s="335" t="s">
        <v>247</v>
      </c>
      <c r="B143" s="182" t="s">
        <v>100</v>
      </c>
      <c r="C143" s="302" t="s">
        <v>100</v>
      </c>
      <c r="D143" s="302" t="s">
        <v>100</v>
      </c>
      <c r="E143" s="182"/>
      <c r="F143" s="182" t="s">
        <v>100</v>
      </c>
      <c r="G143" s="182"/>
      <c r="H143" s="182" t="s">
        <v>100</v>
      </c>
      <c r="I143" s="182"/>
      <c r="J143" s="182" t="s">
        <v>100</v>
      </c>
      <c r="K143" s="182"/>
      <c r="L143" s="182" t="s">
        <v>100</v>
      </c>
      <c r="M143" s="182"/>
      <c r="N143" s="182" t="s">
        <v>100</v>
      </c>
      <c r="O143" s="182" t="s">
        <v>100</v>
      </c>
      <c r="P143" s="182"/>
      <c r="Q143" s="182"/>
      <c r="R143" s="182"/>
      <c r="S143" s="182" t="s">
        <v>100</v>
      </c>
      <c r="T143" s="182"/>
      <c r="U143" s="182"/>
      <c r="V143" s="182"/>
      <c r="W143" s="182"/>
      <c r="X143" s="182"/>
      <c r="Y143" s="182"/>
      <c r="Z143" s="182"/>
      <c r="AA143" s="182"/>
      <c r="AB143" s="182"/>
      <c r="AC143" s="182"/>
      <c r="AD143" s="182"/>
      <c r="AE143" s="182"/>
      <c r="AF143" s="182"/>
      <c r="AG143" s="182"/>
      <c r="AH143" s="182"/>
      <c r="AI143" s="182"/>
      <c r="AJ143" s="167">
        <f t="shared" si="37"/>
        <v>10</v>
      </c>
      <c r="AK143" s="483" t="s">
        <v>543</v>
      </c>
      <c r="AL143" s="341">
        <v>42714</v>
      </c>
      <c r="AM143" s="352"/>
      <c r="AN143" s="352"/>
      <c r="AO143" s="352"/>
      <c r="AP143" s="352"/>
      <c r="AQ143" s="352"/>
      <c r="AR143" s="352"/>
      <c r="AS143" s="352"/>
      <c r="AT143" s="352"/>
      <c r="AU143" s="352"/>
      <c r="AV143" s="352"/>
      <c r="AW143" s="352"/>
      <c r="AX143" s="352"/>
      <c r="AY143" s="352"/>
      <c r="AZ143" s="352"/>
      <c r="BA143" s="352"/>
      <c r="BB143" s="352"/>
      <c r="BC143" s="352"/>
      <c r="BD143" s="352"/>
      <c r="BE143" s="352"/>
      <c r="BF143" s="352"/>
      <c r="BG143" s="352"/>
      <c r="BH143" s="352"/>
      <c r="BI143" s="352"/>
      <c r="BJ143" s="352"/>
      <c r="BK143" s="352"/>
      <c r="BL143" s="470"/>
      <c r="BM143" s="339"/>
      <c r="BN143" s="339"/>
      <c r="BO143" s="182"/>
      <c r="BP143" s="182"/>
      <c r="BQ143" s="182"/>
      <c r="BR143" s="182"/>
      <c r="BS143" s="182"/>
      <c r="BT143" s="182"/>
      <c r="BU143" s="182"/>
      <c r="BV143" s="182"/>
      <c r="BW143" s="182"/>
      <c r="BX143" s="182"/>
      <c r="BY143" s="182"/>
      <c r="BZ143" s="182"/>
      <c r="CA143" s="182"/>
      <c r="CB143" s="182"/>
      <c r="CC143" s="182"/>
      <c r="CD143" s="182"/>
      <c r="CE143" s="182"/>
      <c r="CF143" s="182"/>
      <c r="CG143" s="182"/>
      <c r="CH143" s="182"/>
      <c r="CI143" s="182"/>
      <c r="CJ143" s="182"/>
      <c r="CK143" s="182"/>
      <c r="CL143" s="680" t="s">
        <v>589</v>
      </c>
      <c r="CM143" s="681"/>
      <c r="CN143" s="682"/>
    </row>
    <row r="144" spans="1:92" s="344" customFormat="1">
      <c r="A144" s="335" t="s">
        <v>249</v>
      </c>
      <c r="B144" s="182" t="s">
        <v>100</v>
      </c>
      <c r="C144" s="182"/>
      <c r="D144" s="182"/>
      <c r="E144" s="182" t="s">
        <v>100</v>
      </c>
      <c r="F144" s="182" t="s">
        <v>100</v>
      </c>
      <c r="G144" s="182"/>
      <c r="H144" s="182" t="s">
        <v>100</v>
      </c>
      <c r="I144" s="182" t="s">
        <v>100</v>
      </c>
      <c r="J144" s="182"/>
      <c r="K144" s="182"/>
      <c r="L144" s="182"/>
      <c r="M144" s="182"/>
      <c r="N144" s="182" t="s">
        <v>100</v>
      </c>
      <c r="O144" s="182"/>
      <c r="P144" s="182" t="s">
        <v>100</v>
      </c>
      <c r="Q144" s="182" t="s">
        <v>100</v>
      </c>
      <c r="R144" s="182"/>
      <c r="S144" s="182"/>
      <c r="T144" s="182"/>
      <c r="U144" s="182"/>
      <c r="V144" s="182"/>
      <c r="W144" s="182"/>
      <c r="X144" s="182"/>
      <c r="Y144" s="182"/>
      <c r="Z144" s="182"/>
      <c r="AA144" s="182"/>
      <c r="AB144" s="182"/>
      <c r="AC144" s="182"/>
      <c r="AD144" s="182"/>
      <c r="AE144" s="182"/>
      <c r="AF144" s="182"/>
      <c r="AG144" s="182"/>
      <c r="AH144" s="182"/>
      <c r="AI144" s="182"/>
      <c r="AJ144" s="167">
        <f t="shared" si="37"/>
        <v>8</v>
      </c>
      <c r="AK144" s="481" t="str">
        <f>HYPERLINK("https://twitter.com/Katzcopsnsports/status/821750536647086080","Twitter")</f>
        <v>Twitter</v>
      </c>
      <c r="AL144" s="341">
        <v>42753</v>
      </c>
      <c r="AM144" s="352"/>
      <c r="AN144" s="352"/>
      <c r="AO144" s="352"/>
      <c r="AP144" s="352"/>
      <c r="AQ144" s="352"/>
      <c r="AR144" s="352"/>
      <c r="AS144" s="352"/>
      <c r="AT144" s="352"/>
      <c r="AU144" s="352"/>
      <c r="AV144" s="352"/>
      <c r="AW144" s="352"/>
      <c r="AX144" s="352"/>
      <c r="AY144" s="352"/>
      <c r="AZ144" s="352"/>
      <c r="BA144" s="352"/>
      <c r="BB144" s="352"/>
      <c r="BC144" s="352"/>
      <c r="BD144" s="352"/>
      <c r="BE144" s="352"/>
      <c r="BF144" s="352"/>
      <c r="BG144" s="352"/>
      <c r="BH144" s="352"/>
      <c r="BI144" s="352"/>
      <c r="BJ144" s="352"/>
      <c r="BK144" s="352"/>
      <c r="BL144" s="470"/>
      <c r="BM144" s="339"/>
      <c r="BN144" s="339"/>
      <c r="BO144" s="182"/>
      <c r="BP144" s="182"/>
      <c r="BQ144" s="182"/>
      <c r="BR144" s="182"/>
      <c r="BS144" s="182"/>
      <c r="BT144" s="182"/>
      <c r="BU144" s="182"/>
      <c r="BV144" s="182"/>
      <c r="BW144" s="182"/>
      <c r="BX144" s="182"/>
      <c r="BY144" s="182"/>
      <c r="BZ144" s="182"/>
      <c r="CA144" s="182"/>
      <c r="CB144" s="182"/>
      <c r="CC144" s="182"/>
      <c r="CD144" s="182"/>
      <c r="CE144" s="182"/>
      <c r="CF144" s="182"/>
      <c r="CG144" s="182"/>
      <c r="CH144" s="182"/>
      <c r="CI144" s="182"/>
      <c r="CJ144" s="182"/>
      <c r="CK144" s="182"/>
      <c r="CL144" s="618"/>
      <c r="CM144" s="619"/>
      <c r="CN144" s="620"/>
    </row>
    <row r="145" spans="1:92" s="344" customFormat="1">
      <c r="A145" s="335" t="s">
        <v>250</v>
      </c>
      <c r="B145" s="182" t="s">
        <v>100</v>
      </c>
      <c r="C145" s="182" t="s">
        <v>100</v>
      </c>
      <c r="D145" s="182" t="s">
        <v>100</v>
      </c>
      <c r="E145" s="182"/>
      <c r="F145" s="182" t="s">
        <v>100</v>
      </c>
      <c r="G145" s="182"/>
      <c r="H145" s="302" t="s">
        <v>100</v>
      </c>
      <c r="I145" s="182"/>
      <c r="J145" s="182" t="s">
        <v>100</v>
      </c>
      <c r="K145" s="182"/>
      <c r="L145" s="182" t="s">
        <v>100</v>
      </c>
      <c r="M145" s="182"/>
      <c r="N145" s="182" t="s">
        <v>100</v>
      </c>
      <c r="O145" s="182" t="s">
        <v>100</v>
      </c>
      <c r="P145" s="182"/>
      <c r="Q145" s="182"/>
      <c r="R145" s="182"/>
      <c r="S145" s="182"/>
      <c r="T145" s="182"/>
      <c r="U145" s="182"/>
      <c r="V145" s="182"/>
      <c r="W145" s="182"/>
      <c r="X145" s="182"/>
      <c r="Y145" s="182"/>
      <c r="Z145" s="182"/>
      <c r="AA145" s="182"/>
      <c r="AB145" s="182"/>
      <c r="AC145" s="182"/>
      <c r="AD145" s="182"/>
      <c r="AE145" s="182"/>
      <c r="AF145" s="182"/>
      <c r="AG145" s="182"/>
      <c r="AH145" s="182"/>
      <c r="AI145" s="182"/>
      <c r="AJ145" s="167">
        <f t="shared" si="37"/>
        <v>9</v>
      </c>
      <c r="AK145" s="493" t="str">
        <f>HYPERLINK("https://t.co/uTLHowExip","SJ Mercury News")</f>
        <v>SJ Mercury News</v>
      </c>
      <c r="AL145" s="341">
        <v>42724</v>
      </c>
      <c r="AM145" s="352"/>
      <c r="AN145" s="352"/>
      <c r="AO145" s="352"/>
      <c r="AP145" s="352"/>
      <c r="AQ145" s="352"/>
      <c r="AR145" s="352"/>
      <c r="AS145" s="352"/>
      <c r="AT145" s="352"/>
      <c r="AU145" s="352"/>
      <c r="AV145" s="352"/>
      <c r="AW145" s="352"/>
      <c r="AX145" s="352"/>
      <c r="AY145" s="352"/>
      <c r="AZ145" s="352"/>
      <c r="BA145" s="352"/>
      <c r="BB145" s="352"/>
      <c r="BC145" s="352"/>
      <c r="BD145" s="352"/>
      <c r="BE145" s="352"/>
      <c r="BF145" s="352"/>
      <c r="BG145" s="352"/>
      <c r="BH145" s="352"/>
      <c r="BI145" s="352"/>
      <c r="BJ145" s="352"/>
      <c r="BK145" s="352"/>
      <c r="BL145" s="470"/>
      <c r="BM145" s="339"/>
      <c r="BN145" s="339"/>
      <c r="BO145" s="182"/>
      <c r="BP145" s="182"/>
      <c r="BQ145" s="182"/>
      <c r="BR145" s="182"/>
      <c r="BS145" s="182"/>
      <c r="BT145" s="182"/>
      <c r="BU145" s="182"/>
      <c r="BV145" s="182"/>
      <c r="BW145" s="182"/>
      <c r="BX145" s="182"/>
      <c r="BY145" s="182"/>
      <c r="BZ145" s="182"/>
      <c r="CA145" s="182"/>
      <c r="CB145" s="182"/>
      <c r="CC145" s="182"/>
      <c r="CD145" s="182"/>
      <c r="CE145" s="182"/>
      <c r="CF145" s="182"/>
      <c r="CG145" s="182"/>
      <c r="CH145" s="182"/>
      <c r="CI145" s="182"/>
      <c r="CJ145" s="182"/>
      <c r="CK145" s="182"/>
      <c r="CL145" s="618"/>
      <c r="CM145" s="619"/>
      <c r="CN145" s="620"/>
    </row>
    <row r="146" spans="1:92" s="344" customFormat="1">
      <c r="A146" s="335" t="s">
        <v>590</v>
      </c>
      <c r="B146" s="302" t="s">
        <v>100</v>
      </c>
      <c r="C146" s="182" t="s">
        <v>100</v>
      </c>
      <c r="D146" s="182" t="s">
        <v>100</v>
      </c>
      <c r="E146" s="182" t="s">
        <v>100</v>
      </c>
      <c r="F146" s="182"/>
      <c r="G146" s="182"/>
      <c r="H146" s="182" t="s">
        <v>100</v>
      </c>
      <c r="I146" s="182"/>
      <c r="J146" s="182" t="s">
        <v>100</v>
      </c>
      <c r="K146" s="182"/>
      <c r="L146" s="182" t="s">
        <v>100</v>
      </c>
      <c r="M146" s="182" t="s">
        <v>100</v>
      </c>
      <c r="N146" s="182" t="s">
        <v>100</v>
      </c>
      <c r="O146" s="302" t="s">
        <v>100</v>
      </c>
      <c r="P146" s="182"/>
      <c r="Q146" s="182"/>
      <c r="R146" s="182"/>
      <c r="S146" s="182"/>
      <c r="T146" s="182"/>
      <c r="U146" s="182"/>
      <c r="V146" s="182"/>
      <c r="W146" s="182"/>
      <c r="X146" s="182"/>
      <c r="Y146" s="182"/>
      <c r="Z146" s="182"/>
      <c r="AA146" s="182"/>
      <c r="AB146" s="182"/>
      <c r="AC146" s="182"/>
      <c r="AD146" s="182"/>
      <c r="AE146" s="182"/>
      <c r="AF146" s="182"/>
      <c r="AG146" s="182"/>
      <c r="AH146" s="182"/>
      <c r="AI146" s="182"/>
      <c r="AJ146" s="167">
        <f t="shared" si="37"/>
        <v>10</v>
      </c>
      <c r="AK146" s="493" t="str">
        <f>HYPERLINK("http://m.kusports.com/weblogs/keegan-lunch-break/2017/jan/10/i-am-a-pinata-here-is-my-baseball-hall-o/?templates=mobile","KU Sports")</f>
        <v>KU Sports</v>
      </c>
      <c r="AL146" s="341">
        <v>42745</v>
      </c>
      <c r="AM146" s="352"/>
      <c r="AN146" s="352"/>
      <c r="AO146" s="352"/>
      <c r="AP146" s="352"/>
      <c r="AQ146" s="352"/>
      <c r="AR146" s="352"/>
      <c r="AS146" s="352"/>
      <c r="AT146" s="352"/>
      <c r="AU146" s="352"/>
      <c r="AV146" s="352"/>
      <c r="AW146" s="352"/>
      <c r="AX146" s="352"/>
      <c r="AY146" s="352"/>
      <c r="AZ146" s="352"/>
      <c r="BA146" s="352"/>
      <c r="BB146" s="352"/>
      <c r="BC146" s="352"/>
      <c r="BD146" s="352"/>
      <c r="BE146" s="352"/>
      <c r="BF146" s="352"/>
      <c r="BG146" s="352"/>
      <c r="BH146" s="352"/>
      <c r="BI146" s="352"/>
      <c r="BJ146" s="352"/>
      <c r="BK146" s="352"/>
      <c r="BL146" s="470"/>
      <c r="BM146" s="339"/>
      <c r="BN146" s="339"/>
      <c r="BO146" s="182"/>
      <c r="BP146" s="182"/>
      <c r="BQ146" s="182"/>
      <c r="BR146" s="182"/>
      <c r="BS146" s="182"/>
      <c r="BT146" s="182"/>
      <c r="BU146" s="182"/>
      <c r="BV146" s="182"/>
      <c r="BW146" s="182"/>
      <c r="BX146" s="182"/>
      <c r="BY146" s="182"/>
      <c r="BZ146" s="182"/>
      <c r="CA146" s="182"/>
      <c r="CB146" s="182"/>
      <c r="CC146" s="182"/>
      <c r="CD146" s="182"/>
      <c r="CE146" s="182"/>
      <c r="CF146" s="182"/>
      <c r="CG146" s="182"/>
      <c r="CH146" s="182"/>
      <c r="CI146" s="182"/>
      <c r="CJ146" s="182"/>
      <c r="CK146" s="182"/>
      <c r="CL146" s="618"/>
      <c r="CM146" s="619"/>
      <c r="CN146" s="620"/>
    </row>
    <row r="147" spans="1:92" s="344" customFormat="1">
      <c r="A147" s="335" t="s">
        <v>591</v>
      </c>
      <c r="B147" s="182"/>
      <c r="C147" s="182"/>
      <c r="D147" s="182"/>
      <c r="E147" s="182" t="s">
        <v>100</v>
      </c>
      <c r="F147" s="182" t="s">
        <v>100</v>
      </c>
      <c r="G147" s="182" t="s">
        <v>100</v>
      </c>
      <c r="H147" s="302" t="s">
        <v>100</v>
      </c>
      <c r="I147" s="182" t="s">
        <v>100</v>
      </c>
      <c r="J147" s="182" t="s">
        <v>100</v>
      </c>
      <c r="K147" s="182"/>
      <c r="L147" s="182" t="s">
        <v>100</v>
      </c>
      <c r="M147" s="182"/>
      <c r="N147" s="182"/>
      <c r="O147" s="182" t="s">
        <v>100</v>
      </c>
      <c r="P147" s="182"/>
      <c r="Q147" s="182"/>
      <c r="R147" s="182"/>
      <c r="S147" s="182"/>
      <c r="T147" s="182"/>
      <c r="U147" s="182"/>
      <c r="V147" s="182"/>
      <c r="W147" s="182"/>
      <c r="X147" s="182"/>
      <c r="Y147" s="182"/>
      <c r="Z147" s="182"/>
      <c r="AA147" s="182"/>
      <c r="AB147" s="182"/>
      <c r="AC147" s="182"/>
      <c r="AD147" s="182"/>
      <c r="AE147" s="182"/>
      <c r="AF147" s="182"/>
      <c r="AG147" s="182"/>
      <c r="AH147" s="182"/>
      <c r="AI147" s="182"/>
      <c r="AJ147" s="167">
        <f t="shared" si="37"/>
        <v>8</v>
      </c>
      <c r="AK147" s="483" t="s">
        <v>543</v>
      </c>
      <c r="AL147" s="341">
        <v>42750</v>
      </c>
      <c r="AM147" s="352"/>
      <c r="AN147" s="352"/>
      <c r="AO147" s="352"/>
      <c r="AP147" s="352"/>
      <c r="AQ147" s="352"/>
      <c r="AR147" s="352"/>
      <c r="AS147" s="352"/>
      <c r="AT147" s="352"/>
      <c r="AU147" s="352"/>
      <c r="AV147" s="352"/>
      <c r="AW147" s="352"/>
      <c r="AX147" s="352"/>
      <c r="AY147" s="352"/>
      <c r="AZ147" s="352"/>
      <c r="BA147" s="352"/>
      <c r="BB147" s="352"/>
      <c r="BC147" s="352"/>
      <c r="BD147" s="352"/>
      <c r="BE147" s="352"/>
      <c r="BF147" s="352"/>
      <c r="BG147" s="352"/>
      <c r="BH147" s="352"/>
      <c r="BI147" s="352"/>
      <c r="BJ147" s="352"/>
      <c r="BK147" s="352"/>
      <c r="BL147" s="470"/>
      <c r="BM147" s="339"/>
      <c r="BN147" s="339"/>
      <c r="BO147" s="182"/>
      <c r="BP147" s="182"/>
      <c r="BQ147" s="182"/>
      <c r="BR147" s="182"/>
      <c r="BS147" s="182"/>
      <c r="BT147" s="182"/>
      <c r="BU147" s="182"/>
      <c r="BV147" s="182"/>
      <c r="BW147" s="182"/>
      <c r="BX147" s="182"/>
      <c r="BY147" s="182"/>
      <c r="BZ147" s="182"/>
      <c r="CA147" s="182"/>
      <c r="CB147" s="182"/>
      <c r="CC147" s="182"/>
      <c r="CD147" s="182"/>
      <c r="CE147" s="182"/>
      <c r="CF147" s="182"/>
      <c r="CG147" s="182"/>
      <c r="CH147" s="182"/>
      <c r="CI147" s="182"/>
      <c r="CJ147" s="182"/>
      <c r="CK147" s="182"/>
      <c r="CL147" s="618"/>
      <c r="CM147" s="619"/>
      <c r="CN147" s="620"/>
    </row>
    <row r="148" spans="1:92" s="344" customFormat="1">
      <c r="A148" s="335" t="s">
        <v>251</v>
      </c>
      <c r="B148" s="302" t="s">
        <v>100</v>
      </c>
      <c r="C148" s="302" t="s">
        <v>100</v>
      </c>
      <c r="D148" s="302" t="s">
        <v>100</v>
      </c>
      <c r="E148" s="182"/>
      <c r="F148" s="182" t="s">
        <v>100</v>
      </c>
      <c r="G148" s="320"/>
      <c r="H148" s="182" t="s">
        <v>100</v>
      </c>
      <c r="I148" s="182" t="s">
        <v>100</v>
      </c>
      <c r="J148" s="320"/>
      <c r="K148" s="182"/>
      <c r="L148" s="182" t="s">
        <v>100</v>
      </c>
      <c r="M148" s="182"/>
      <c r="N148" s="182" t="s">
        <v>100</v>
      </c>
      <c r="O148" s="302" t="s">
        <v>100</v>
      </c>
      <c r="P148" s="182" t="s">
        <v>100</v>
      </c>
      <c r="Q148" s="182"/>
      <c r="R148" s="182"/>
      <c r="S148" s="320"/>
      <c r="T148" s="182"/>
      <c r="U148" s="182"/>
      <c r="V148" s="182"/>
      <c r="W148" s="182"/>
      <c r="X148" s="182"/>
      <c r="Y148" s="182"/>
      <c r="Z148" s="182"/>
      <c r="AA148" s="182"/>
      <c r="AB148" s="182"/>
      <c r="AC148" s="182"/>
      <c r="AD148" s="182"/>
      <c r="AE148" s="182"/>
      <c r="AF148" s="182"/>
      <c r="AG148" s="182"/>
      <c r="AH148" s="182"/>
      <c r="AI148" s="182"/>
      <c r="AJ148" s="167">
        <f t="shared" si="37"/>
        <v>10</v>
      </c>
      <c r="AK148" s="493" t="str">
        <f>HYPERLINK("https://www.instagram.com/p/BOtZgKCDjVn/","Instagram")</f>
        <v>Instagram</v>
      </c>
      <c r="AL148" s="341">
        <v>42735</v>
      </c>
      <c r="AM148" s="352"/>
      <c r="AN148" s="352"/>
      <c r="AO148" s="352"/>
      <c r="AP148" s="352"/>
      <c r="AQ148" s="352"/>
      <c r="AR148" s="352"/>
      <c r="AS148" s="352"/>
      <c r="AT148" s="352"/>
      <c r="AU148" s="352"/>
      <c r="AV148" s="352"/>
      <c r="AW148" s="352"/>
      <c r="AX148" s="352"/>
      <c r="AY148" s="352"/>
      <c r="AZ148" s="352"/>
      <c r="BA148" s="352"/>
      <c r="BB148" s="352"/>
      <c r="BC148" s="352"/>
      <c r="BD148" s="352"/>
      <c r="BE148" s="352"/>
      <c r="BF148" s="352"/>
      <c r="BG148" s="352"/>
      <c r="BH148" s="352"/>
      <c r="BI148" s="352"/>
      <c r="BJ148" s="352"/>
      <c r="BK148" s="352"/>
      <c r="BL148" s="470"/>
      <c r="BM148" s="339"/>
      <c r="BN148" s="339"/>
      <c r="BO148" s="182"/>
      <c r="BP148" s="182"/>
      <c r="BQ148" s="182"/>
      <c r="BR148" s="182"/>
      <c r="BS148" s="182"/>
      <c r="BT148" s="182"/>
      <c r="BU148" s="182"/>
      <c r="BV148" s="182"/>
      <c r="BW148" s="182"/>
      <c r="BX148" s="182"/>
      <c r="BY148" s="182"/>
      <c r="BZ148" s="182"/>
      <c r="CA148" s="182"/>
      <c r="CB148" s="182"/>
      <c r="CC148" s="182"/>
      <c r="CD148" s="182"/>
      <c r="CE148" s="182"/>
      <c r="CF148" s="182"/>
      <c r="CG148" s="182"/>
      <c r="CH148" s="182"/>
      <c r="CI148" s="182"/>
      <c r="CJ148" s="182"/>
      <c r="CK148" s="182"/>
      <c r="CL148" s="618"/>
      <c r="CM148" s="619"/>
      <c r="CN148" s="620"/>
    </row>
    <row r="149" spans="1:92" s="344" customFormat="1">
      <c r="A149" s="335" t="s">
        <v>252</v>
      </c>
      <c r="B149" s="182"/>
      <c r="C149" s="182"/>
      <c r="D149" s="182"/>
      <c r="E149" s="182" t="s">
        <v>100</v>
      </c>
      <c r="F149" s="182" t="s">
        <v>100</v>
      </c>
      <c r="G149" s="182"/>
      <c r="H149" s="302" t="s">
        <v>100</v>
      </c>
      <c r="I149" s="182"/>
      <c r="J149" s="182"/>
      <c r="K149" s="182"/>
      <c r="L149" s="182" t="s">
        <v>100</v>
      </c>
      <c r="M149" s="182"/>
      <c r="N149" s="182"/>
      <c r="O149" s="182"/>
      <c r="P149" s="182"/>
      <c r="Q149" s="182" t="s">
        <v>100</v>
      </c>
      <c r="R149" s="182"/>
      <c r="S149" s="182"/>
      <c r="T149" s="182"/>
      <c r="U149" s="182"/>
      <c r="V149" s="182"/>
      <c r="W149" s="182"/>
      <c r="X149" s="182"/>
      <c r="Y149" s="182"/>
      <c r="Z149" s="182"/>
      <c r="AA149" s="182"/>
      <c r="AB149" s="182"/>
      <c r="AC149" s="182"/>
      <c r="AD149" s="182"/>
      <c r="AE149" s="182"/>
      <c r="AF149" s="182"/>
      <c r="AG149" s="182"/>
      <c r="AH149" s="182"/>
      <c r="AI149" s="182"/>
      <c r="AJ149" s="167">
        <f t="shared" si="37"/>
        <v>5</v>
      </c>
      <c r="AK149" s="481" t="str">
        <f>HYPERLINK("http://www.sfchronicle.com/giants/article/The-Chronicle-s-Hall-of-Fame-voters-break-down-10861575.php","SF Chronicle")</f>
        <v>SF Chronicle</v>
      </c>
      <c r="AL149" s="341">
        <v>42752</v>
      </c>
      <c r="AM149" s="352"/>
      <c r="AN149" s="352"/>
      <c r="AO149" s="352"/>
      <c r="AP149" s="352"/>
      <c r="AQ149" s="352"/>
      <c r="AR149" s="352"/>
      <c r="AS149" s="352"/>
      <c r="AT149" s="352"/>
      <c r="AU149" s="352"/>
      <c r="AV149" s="352"/>
      <c r="AW149" s="352"/>
      <c r="AX149" s="352"/>
      <c r="AY149" s="352"/>
      <c r="AZ149" s="352"/>
      <c r="BA149" s="352"/>
      <c r="BB149" s="352"/>
      <c r="BC149" s="352"/>
      <c r="BD149" s="352"/>
      <c r="BE149" s="352"/>
      <c r="BF149" s="352"/>
      <c r="BG149" s="352"/>
      <c r="BH149" s="352"/>
      <c r="BI149" s="352"/>
      <c r="BJ149" s="352"/>
      <c r="BK149" s="352"/>
      <c r="BL149" s="470"/>
      <c r="BM149" s="339"/>
      <c r="BN149" s="339"/>
      <c r="BO149" s="182"/>
      <c r="BP149" s="182"/>
      <c r="BQ149" s="182"/>
      <c r="BR149" s="182"/>
      <c r="BS149" s="182"/>
      <c r="BT149" s="182"/>
      <c r="BU149" s="182"/>
      <c r="BV149" s="182"/>
      <c r="BW149" s="182"/>
      <c r="BX149" s="182"/>
      <c r="BY149" s="182"/>
      <c r="BZ149" s="182"/>
      <c r="CA149" s="182"/>
      <c r="CB149" s="182"/>
      <c r="CC149" s="182"/>
      <c r="CD149" s="182"/>
      <c r="CE149" s="182"/>
      <c r="CF149" s="182"/>
      <c r="CG149" s="182"/>
      <c r="CH149" s="182"/>
      <c r="CI149" s="182"/>
      <c r="CJ149" s="182"/>
      <c r="CK149" s="182"/>
      <c r="CL149" s="618"/>
      <c r="CM149" s="619"/>
      <c r="CN149" s="620"/>
    </row>
    <row r="150" spans="1:92" s="344" customFormat="1">
      <c r="A150" s="335" t="s">
        <v>253</v>
      </c>
      <c r="B150" s="182"/>
      <c r="C150" s="182" t="s">
        <v>100</v>
      </c>
      <c r="D150" s="182" t="s">
        <v>100</v>
      </c>
      <c r="E150" s="182" t="s">
        <v>100</v>
      </c>
      <c r="F150" s="182" t="s">
        <v>100</v>
      </c>
      <c r="G150" s="182"/>
      <c r="H150" s="182"/>
      <c r="I150" s="182"/>
      <c r="J150" s="182" t="s">
        <v>100</v>
      </c>
      <c r="K150" s="182"/>
      <c r="L150" s="182"/>
      <c r="M150" s="182" t="s">
        <v>100</v>
      </c>
      <c r="N150" s="182" t="s">
        <v>100</v>
      </c>
      <c r="O150" s="182"/>
      <c r="P150" s="182" t="s">
        <v>100</v>
      </c>
      <c r="Q150" s="182"/>
      <c r="R150" s="182" t="s">
        <v>100</v>
      </c>
      <c r="S150" s="182"/>
      <c r="T150" s="182"/>
      <c r="U150" s="182"/>
      <c r="V150" s="182"/>
      <c r="W150" s="182"/>
      <c r="X150" s="182"/>
      <c r="Y150" s="182"/>
      <c r="Z150" s="182"/>
      <c r="AA150" s="182"/>
      <c r="AB150" s="182"/>
      <c r="AC150" s="182"/>
      <c r="AD150" s="182"/>
      <c r="AE150" s="182"/>
      <c r="AF150" s="182"/>
      <c r="AG150" s="182"/>
      <c r="AH150" s="182"/>
      <c r="AI150" s="182"/>
      <c r="AJ150" s="167">
        <f t="shared" si="37"/>
        <v>9</v>
      </c>
      <c r="AK150" s="481" t="str">
        <f>HYPERLINK("http://nypost.com/2017/01/18/11-voters-share-their-hall-of-fame-ballots/","NY Post")</f>
        <v>NY Post</v>
      </c>
      <c r="AL150" s="341">
        <v>42753</v>
      </c>
      <c r="AM150" s="352"/>
      <c r="AN150" s="352"/>
      <c r="AO150" s="352"/>
      <c r="AP150" s="352"/>
      <c r="AQ150" s="352"/>
      <c r="AR150" s="352"/>
      <c r="AS150" s="352"/>
      <c r="AT150" s="352"/>
      <c r="AU150" s="352"/>
      <c r="AV150" s="352"/>
      <c r="AW150" s="352"/>
      <c r="AX150" s="352"/>
      <c r="AY150" s="352"/>
      <c r="AZ150" s="352"/>
      <c r="BA150" s="352"/>
      <c r="BB150" s="352"/>
      <c r="BC150" s="352"/>
      <c r="BD150" s="352"/>
      <c r="BE150" s="352"/>
      <c r="BF150" s="352"/>
      <c r="BG150" s="352"/>
      <c r="BH150" s="352"/>
      <c r="BI150" s="352"/>
      <c r="BJ150" s="352"/>
      <c r="BK150" s="352"/>
      <c r="BL150" s="470"/>
      <c r="BM150" s="339"/>
      <c r="BN150" s="339"/>
      <c r="BO150" s="182"/>
      <c r="BP150" s="182"/>
      <c r="BQ150" s="182"/>
      <c r="BR150" s="182"/>
      <c r="BS150" s="182"/>
      <c r="BT150" s="182"/>
      <c r="BU150" s="182"/>
      <c r="BV150" s="182"/>
      <c r="BW150" s="182"/>
      <c r="BX150" s="182"/>
      <c r="BY150" s="182"/>
      <c r="BZ150" s="182"/>
      <c r="CA150" s="182"/>
      <c r="CB150" s="182"/>
      <c r="CC150" s="182"/>
      <c r="CD150" s="182"/>
      <c r="CE150" s="182"/>
      <c r="CF150" s="182"/>
      <c r="CG150" s="182"/>
      <c r="CH150" s="182"/>
      <c r="CI150" s="182"/>
      <c r="CJ150" s="182"/>
      <c r="CK150" s="182"/>
      <c r="CL150" s="618"/>
      <c r="CM150" s="619"/>
      <c r="CN150" s="620"/>
    </row>
    <row r="151" spans="1:92" s="344" customFormat="1">
      <c r="A151" s="335" t="s">
        <v>254</v>
      </c>
      <c r="B151" s="182" t="s">
        <v>100</v>
      </c>
      <c r="C151" s="182" t="s">
        <v>100</v>
      </c>
      <c r="D151" s="182" t="s">
        <v>100</v>
      </c>
      <c r="E151" s="182" t="s">
        <v>100</v>
      </c>
      <c r="F151" s="182" t="s">
        <v>100</v>
      </c>
      <c r="G151" s="182"/>
      <c r="H151" s="182" t="s">
        <v>100</v>
      </c>
      <c r="I151" s="182"/>
      <c r="J151" s="182" t="s">
        <v>100</v>
      </c>
      <c r="K151" s="182"/>
      <c r="L151" s="182" t="s">
        <v>100</v>
      </c>
      <c r="M151" s="182"/>
      <c r="N151" s="182" t="s">
        <v>100</v>
      </c>
      <c r="O151" s="182" t="s">
        <v>100</v>
      </c>
      <c r="P151" s="182"/>
      <c r="Q151" s="182"/>
      <c r="R151" s="182"/>
      <c r="S151" s="182"/>
      <c r="T151" s="182"/>
      <c r="U151" s="182"/>
      <c r="V151" s="182"/>
      <c r="W151" s="182"/>
      <c r="X151" s="182"/>
      <c r="Y151" s="182"/>
      <c r="Z151" s="182"/>
      <c r="AA151" s="182"/>
      <c r="AB151" s="182"/>
      <c r="AC151" s="182"/>
      <c r="AD151" s="182"/>
      <c r="AE151" s="182"/>
      <c r="AF151" s="182"/>
      <c r="AG151" s="182"/>
      <c r="AH151" s="182"/>
      <c r="AI151" s="182"/>
      <c r="AJ151" s="167">
        <f t="shared" si="37"/>
        <v>10</v>
      </c>
      <c r="AK151" s="493" t="str">
        <f>HYPERLINK("https://twitter.com/BobKlap/status/812300632019337216","Twitter")</f>
        <v>Twitter</v>
      </c>
      <c r="AL151" s="341">
        <v>42727</v>
      </c>
      <c r="AM151" s="352"/>
      <c r="AN151" s="352"/>
      <c r="AO151" s="352"/>
      <c r="AP151" s="352"/>
      <c r="AQ151" s="352"/>
      <c r="AR151" s="352"/>
      <c r="AS151" s="352"/>
      <c r="AT151" s="352"/>
      <c r="AU151" s="352"/>
      <c r="AV151" s="352"/>
      <c r="AW151" s="352"/>
      <c r="AX151" s="352"/>
      <c r="AY151" s="352"/>
      <c r="AZ151" s="352"/>
      <c r="BA151" s="352"/>
      <c r="BB151" s="352"/>
      <c r="BC151" s="352"/>
      <c r="BD151" s="352"/>
      <c r="BE151" s="352"/>
      <c r="BF151" s="352"/>
      <c r="BG151" s="352"/>
      <c r="BH151" s="352"/>
      <c r="BI151" s="352"/>
      <c r="BJ151" s="352"/>
      <c r="BK151" s="352"/>
      <c r="BL151" s="470"/>
      <c r="BM151" s="339"/>
      <c r="BN151" s="339"/>
      <c r="BO151" s="182"/>
      <c r="BP151" s="182"/>
      <c r="BQ151" s="182"/>
      <c r="BR151" s="182"/>
      <c r="BS151" s="182"/>
      <c r="BT151" s="182"/>
      <c r="BU151" s="182"/>
      <c r="BV151" s="182"/>
      <c r="BW151" s="182"/>
      <c r="BX151" s="182"/>
      <c r="BY151" s="182"/>
      <c r="BZ151" s="182"/>
      <c r="CA151" s="182"/>
      <c r="CB151" s="182"/>
      <c r="CC151" s="182"/>
      <c r="CD151" s="182"/>
      <c r="CE151" s="182"/>
      <c r="CF151" s="182"/>
      <c r="CG151" s="182"/>
      <c r="CH151" s="182"/>
      <c r="CI151" s="182"/>
      <c r="CJ151" s="182"/>
      <c r="CK151" s="182"/>
      <c r="CL151" s="680" t="s">
        <v>592</v>
      </c>
      <c r="CM151" s="681"/>
      <c r="CN151" s="682"/>
    </row>
    <row r="152" spans="1:92" s="344" customFormat="1">
      <c r="A152" s="335" t="s">
        <v>443</v>
      </c>
      <c r="B152" s="302" t="s">
        <v>100</v>
      </c>
      <c r="C152" s="182" t="s">
        <v>100</v>
      </c>
      <c r="D152" s="182" t="s">
        <v>100</v>
      </c>
      <c r="E152" s="182" t="s">
        <v>100</v>
      </c>
      <c r="F152" s="182" t="s">
        <v>100</v>
      </c>
      <c r="G152" s="182"/>
      <c r="H152" s="302" t="s">
        <v>100</v>
      </c>
      <c r="I152" s="182"/>
      <c r="J152" s="302" t="s">
        <v>100</v>
      </c>
      <c r="K152" s="182"/>
      <c r="L152" s="182" t="s">
        <v>100</v>
      </c>
      <c r="M152" s="182"/>
      <c r="N152" s="182" t="s">
        <v>100</v>
      </c>
      <c r="O152" s="182" t="s">
        <v>100</v>
      </c>
      <c r="P152" s="182"/>
      <c r="Q152" s="182"/>
      <c r="R152" s="182"/>
      <c r="S152" s="182"/>
      <c r="T152" s="182"/>
      <c r="U152" s="182"/>
      <c r="V152" s="182"/>
      <c r="W152" s="182"/>
      <c r="X152" s="182"/>
      <c r="Y152" s="182"/>
      <c r="Z152" s="182"/>
      <c r="AA152" s="182"/>
      <c r="AB152" s="182"/>
      <c r="AC152" s="182"/>
      <c r="AD152" s="182"/>
      <c r="AE152" s="182"/>
      <c r="AF152" s="182"/>
      <c r="AG152" s="182"/>
      <c r="AH152" s="182"/>
      <c r="AI152" s="182"/>
      <c r="AJ152" s="339">
        <f t="shared" ref="AJ152" si="51">COUNTIF(B152:AI152,"x")</f>
        <v>10</v>
      </c>
      <c r="AK152" s="493" t="str">
        <f>HYPERLINK("http://bleacherreport.com/articles/2683714-these-mlb-stars-are-the-only-ones-worthy-of-2017-hof-enshrinement","Bleacher Report")</f>
        <v>Bleacher Report</v>
      </c>
      <c r="AL152" s="341">
        <v>42733</v>
      </c>
      <c r="AM152" s="352"/>
      <c r="AN152" s="352"/>
      <c r="AO152" s="352"/>
      <c r="AP152" s="352"/>
      <c r="AQ152" s="352"/>
      <c r="AR152" s="352"/>
      <c r="AS152" s="352"/>
      <c r="AT152" s="352"/>
      <c r="AU152" s="352"/>
      <c r="AV152" s="352"/>
      <c r="AW152" s="352"/>
      <c r="AX152" s="352"/>
      <c r="AY152" s="352"/>
      <c r="AZ152" s="352"/>
      <c r="BA152" s="352"/>
      <c r="BB152" s="352"/>
      <c r="BC152" s="352"/>
      <c r="BD152" s="352"/>
      <c r="BE152" s="352"/>
      <c r="BF152" s="352"/>
      <c r="BG152" s="352"/>
      <c r="BH152" s="352"/>
      <c r="BI152" s="352"/>
      <c r="BJ152" s="352"/>
      <c r="BK152" s="352"/>
      <c r="BL152" s="470"/>
      <c r="BM152" s="339"/>
      <c r="BN152" s="339"/>
      <c r="BO152" s="182"/>
      <c r="BP152" s="182"/>
      <c r="BQ152" s="182"/>
      <c r="BR152" s="182"/>
      <c r="BS152" s="182"/>
      <c r="BT152" s="182"/>
      <c r="BU152" s="182"/>
      <c r="BV152" s="182"/>
      <c r="BW152" s="182"/>
      <c r="BX152" s="182"/>
      <c r="BY152" s="182"/>
      <c r="BZ152" s="182"/>
      <c r="CA152" s="182"/>
      <c r="CB152" s="182"/>
      <c r="CC152" s="182"/>
      <c r="CD152" s="182"/>
      <c r="CE152" s="182"/>
      <c r="CF152" s="182"/>
      <c r="CG152" s="182"/>
      <c r="CH152" s="182"/>
      <c r="CI152" s="182"/>
      <c r="CJ152" s="182"/>
      <c r="CK152" s="182"/>
      <c r="CL152" s="680" t="s">
        <v>260</v>
      </c>
      <c r="CM152" s="681"/>
      <c r="CN152" s="682"/>
    </row>
    <row r="153" spans="1:92" s="344" customFormat="1">
      <c r="A153" s="335" t="s">
        <v>256</v>
      </c>
      <c r="B153" s="182" t="s">
        <v>100</v>
      </c>
      <c r="C153" s="182"/>
      <c r="D153" s="182"/>
      <c r="E153" s="182" t="s">
        <v>100</v>
      </c>
      <c r="F153" s="182" t="s">
        <v>100</v>
      </c>
      <c r="G153" s="182"/>
      <c r="H153" s="302" t="s">
        <v>100</v>
      </c>
      <c r="I153" s="182"/>
      <c r="J153" s="182" t="s">
        <v>100</v>
      </c>
      <c r="K153" s="182"/>
      <c r="L153" s="182" t="s">
        <v>100</v>
      </c>
      <c r="M153" s="182"/>
      <c r="N153" s="182"/>
      <c r="O153" s="320"/>
      <c r="P153" s="182"/>
      <c r="Q153" s="182"/>
      <c r="R153" s="182"/>
      <c r="S153" s="182"/>
      <c r="T153" s="182"/>
      <c r="U153" s="182"/>
      <c r="V153" s="182"/>
      <c r="W153" s="182"/>
      <c r="X153" s="182"/>
      <c r="Y153" s="182"/>
      <c r="Z153" s="182"/>
      <c r="AA153" s="182"/>
      <c r="AB153" s="182"/>
      <c r="AC153" s="182"/>
      <c r="AD153" s="182"/>
      <c r="AE153" s="182"/>
      <c r="AF153" s="182"/>
      <c r="AG153" s="182"/>
      <c r="AH153" s="182"/>
      <c r="AI153" s="182"/>
      <c r="AJ153" s="167">
        <f t="shared" si="37"/>
        <v>6</v>
      </c>
      <c r="AK153" s="493" t="str">
        <f>HYPERLINK("http://dkpittsburghsports.com/2016/12/16/column-dont-like-baseball-hall-ballot-change-guidelines/","DK Pittsburgh Sports")</f>
        <v>DK Pittsburgh Sports</v>
      </c>
      <c r="AL153" s="341">
        <v>42720</v>
      </c>
      <c r="AM153" s="352"/>
      <c r="AN153" s="352"/>
      <c r="AO153" s="352"/>
      <c r="AP153" s="352"/>
      <c r="AQ153" s="352"/>
      <c r="AR153" s="352"/>
      <c r="AS153" s="352"/>
      <c r="AT153" s="352"/>
      <c r="AU153" s="352"/>
      <c r="AV153" s="352"/>
      <c r="AW153" s="352"/>
      <c r="AX153" s="352"/>
      <c r="AY153" s="352"/>
      <c r="AZ153" s="352"/>
      <c r="BA153" s="352"/>
      <c r="BB153" s="352"/>
      <c r="BC153" s="352"/>
      <c r="BD153" s="352"/>
      <c r="BE153" s="352"/>
      <c r="BF153" s="352"/>
      <c r="BG153" s="352"/>
      <c r="BH153" s="352"/>
      <c r="BI153" s="352"/>
      <c r="BJ153" s="352"/>
      <c r="BK153" s="352"/>
      <c r="BL153" s="470"/>
      <c r="BM153" s="339"/>
      <c r="BN153" s="339"/>
      <c r="BO153" s="182"/>
      <c r="BP153" s="182"/>
      <c r="BQ153" s="182"/>
      <c r="BR153" s="182"/>
      <c r="BS153" s="182"/>
      <c r="BT153" s="182"/>
      <c r="BU153" s="182"/>
      <c r="BV153" s="182"/>
      <c r="BW153" s="182"/>
      <c r="BX153" s="182"/>
      <c r="BY153" s="182"/>
      <c r="BZ153" s="182"/>
      <c r="CA153" s="182"/>
      <c r="CB153" s="182"/>
      <c r="CC153" s="182"/>
      <c r="CD153" s="182"/>
      <c r="CE153" s="182"/>
      <c r="CF153" s="182"/>
      <c r="CG153" s="182"/>
      <c r="CH153" s="182"/>
      <c r="CI153" s="182"/>
      <c r="CJ153" s="182"/>
      <c r="CK153" s="182"/>
      <c r="CL153" s="680"/>
      <c r="CM153" s="681"/>
      <c r="CN153" s="682"/>
    </row>
    <row r="154" spans="1:92" s="344" customFormat="1">
      <c r="A154" s="335" t="s">
        <v>593</v>
      </c>
      <c r="B154" s="182"/>
      <c r="C154" s="182"/>
      <c r="D154" s="182"/>
      <c r="E154" s="182" t="s">
        <v>100</v>
      </c>
      <c r="F154" s="182" t="s">
        <v>100</v>
      </c>
      <c r="G154" s="182"/>
      <c r="H154" s="182"/>
      <c r="I154" s="182"/>
      <c r="J154" s="182"/>
      <c r="K154" s="182"/>
      <c r="L154" s="182" t="s">
        <v>100</v>
      </c>
      <c r="M154" s="182"/>
      <c r="N154" s="182"/>
      <c r="O154" s="182"/>
      <c r="P154" s="182"/>
      <c r="Q154" s="182"/>
      <c r="R154" s="182"/>
      <c r="S154" s="182"/>
      <c r="T154" s="182"/>
      <c r="U154" s="182"/>
      <c r="V154" s="182"/>
      <c r="W154" s="182"/>
      <c r="X154" s="182"/>
      <c r="Y154" s="182"/>
      <c r="Z154" s="182"/>
      <c r="AA154" s="182"/>
      <c r="AB154" s="182"/>
      <c r="AC154" s="182"/>
      <c r="AD154" s="182"/>
      <c r="AE154" s="182"/>
      <c r="AF154" s="182"/>
      <c r="AG154" s="182"/>
      <c r="AH154" s="182"/>
      <c r="AI154" s="182"/>
      <c r="AJ154" s="339">
        <f t="shared" si="37"/>
        <v>3</v>
      </c>
      <c r="AK154" s="483" t="s">
        <v>115</v>
      </c>
      <c r="AL154" s="341">
        <v>42735</v>
      </c>
      <c r="AM154" s="352"/>
      <c r="AN154" s="352"/>
      <c r="AO154" s="352"/>
      <c r="AP154" s="352"/>
      <c r="AQ154" s="352"/>
      <c r="AR154" s="352"/>
      <c r="AS154" s="352"/>
      <c r="AT154" s="352"/>
      <c r="AU154" s="352"/>
      <c r="AV154" s="352"/>
      <c r="AW154" s="352"/>
      <c r="AX154" s="352"/>
      <c r="AY154" s="352"/>
      <c r="AZ154" s="352"/>
      <c r="BA154" s="352"/>
      <c r="BB154" s="352"/>
      <c r="BC154" s="352"/>
      <c r="BD154" s="352"/>
      <c r="BE154" s="352"/>
      <c r="BF154" s="352"/>
      <c r="BG154" s="352"/>
      <c r="BH154" s="352"/>
      <c r="BI154" s="352"/>
      <c r="BJ154" s="352"/>
      <c r="BK154" s="352"/>
      <c r="BL154" s="470"/>
      <c r="BM154" s="339"/>
      <c r="BN154" s="339"/>
      <c r="BO154" s="182"/>
      <c r="BP154" s="182"/>
      <c r="BQ154" s="182"/>
      <c r="BR154" s="182"/>
      <c r="BS154" s="182"/>
      <c r="BT154" s="182"/>
      <c r="BU154" s="182"/>
      <c r="BV154" s="182"/>
      <c r="BW154" s="182"/>
      <c r="BX154" s="182"/>
      <c r="BY154" s="182"/>
      <c r="BZ154" s="182"/>
      <c r="CA154" s="182"/>
      <c r="CB154" s="182"/>
      <c r="CC154" s="182"/>
      <c r="CD154" s="182"/>
      <c r="CE154" s="182"/>
      <c r="CF154" s="182"/>
      <c r="CG154" s="182"/>
      <c r="CH154" s="182"/>
      <c r="CI154" s="182"/>
      <c r="CJ154" s="182"/>
      <c r="CK154" s="182"/>
      <c r="CL154" s="618"/>
      <c r="CM154" s="619"/>
      <c r="CN154" s="620"/>
    </row>
    <row r="155" spans="1:92" s="344" customFormat="1">
      <c r="A155" s="335" t="s">
        <v>594</v>
      </c>
      <c r="B155" s="182" t="s">
        <v>100</v>
      </c>
      <c r="C155" s="182"/>
      <c r="D155" s="182"/>
      <c r="E155" s="182" t="s">
        <v>100</v>
      </c>
      <c r="F155" s="302" t="s">
        <v>100</v>
      </c>
      <c r="G155" s="302" t="s">
        <v>100</v>
      </c>
      <c r="H155" s="182" t="s">
        <v>100</v>
      </c>
      <c r="I155" s="182"/>
      <c r="J155" s="182" t="s">
        <v>100</v>
      </c>
      <c r="K155" s="182"/>
      <c r="L155" s="182" t="s">
        <v>100</v>
      </c>
      <c r="M155" s="182"/>
      <c r="N155" s="182"/>
      <c r="O155" s="320"/>
      <c r="P155" s="182" t="s">
        <v>100</v>
      </c>
      <c r="Q155" s="182"/>
      <c r="R155" s="182"/>
      <c r="S155" s="302" t="s">
        <v>100</v>
      </c>
      <c r="T155" s="182" t="s">
        <v>100</v>
      </c>
      <c r="U155" s="182"/>
      <c r="V155" s="182"/>
      <c r="W155" s="182"/>
      <c r="X155" s="182"/>
      <c r="Y155" s="182"/>
      <c r="Z155" s="182"/>
      <c r="AA155" s="182"/>
      <c r="AB155" s="182"/>
      <c r="AC155" s="182"/>
      <c r="AD155" s="182"/>
      <c r="AE155" s="182"/>
      <c r="AF155" s="182"/>
      <c r="AG155" s="182"/>
      <c r="AH155" s="182"/>
      <c r="AI155" s="182"/>
      <c r="AJ155" s="339">
        <f t="shared" si="37"/>
        <v>10</v>
      </c>
      <c r="AK155" s="493" t="str">
        <f>HYPERLINK("https://blitzkrieg13.com/2016/12/25/2017-baseball-hall-of-fame-ballot/","BlitzKrieg Blog")</f>
        <v>BlitzKrieg Blog</v>
      </c>
      <c r="AL155" s="341">
        <v>42729</v>
      </c>
      <c r="AM155" s="352"/>
      <c r="AN155" s="352"/>
      <c r="AO155" s="352"/>
      <c r="AP155" s="352"/>
      <c r="AQ155" s="352"/>
      <c r="AR155" s="352"/>
      <c r="AS155" s="352"/>
      <c r="AT155" s="352"/>
      <c r="AU155" s="352"/>
      <c r="AV155" s="352"/>
      <c r="AW155" s="352"/>
      <c r="AX155" s="352"/>
      <c r="AY155" s="352"/>
      <c r="AZ155" s="352"/>
      <c r="BA155" s="352"/>
      <c r="BB155" s="352"/>
      <c r="BC155" s="352"/>
      <c r="BD155" s="352"/>
      <c r="BE155" s="352"/>
      <c r="BF155" s="352"/>
      <c r="BG155" s="352"/>
      <c r="BH155" s="352"/>
      <c r="BI155" s="352"/>
      <c r="BJ155" s="352"/>
      <c r="BK155" s="352"/>
      <c r="BL155" s="470"/>
      <c r="BM155" s="339"/>
      <c r="BN155" s="339"/>
      <c r="BO155" s="182"/>
      <c r="BP155" s="182"/>
      <c r="BQ155" s="182"/>
      <c r="BR155" s="182"/>
      <c r="BS155" s="182"/>
      <c r="BT155" s="182"/>
      <c r="BU155" s="182"/>
      <c r="BV155" s="182"/>
      <c r="BW155" s="182"/>
      <c r="BX155" s="182"/>
      <c r="BY155" s="182"/>
      <c r="BZ155" s="182"/>
      <c r="CA155" s="182"/>
      <c r="CB155" s="182"/>
      <c r="CC155" s="182"/>
      <c r="CD155" s="182"/>
      <c r="CE155" s="182"/>
      <c r="CF155" s="182"/>
      <c r="CG155" s="182"/>
      <c r="CH155" s="182"/>
      <c r="CI155" s="182"/>
      <c r="CJ155" s="182"/>
      <c r="CK155" s="182"/>
      <c r="CL155" s="680" t="s">
        <v>158</v>
      </c>
      <c r="CM155" s="681"/>
      <c r="CN155" s="682"/>
    </row>
    <row r="156" spans="1:92" s="344" customFormat="1">
      <c r="A156" s="335" t="s">
        <v>257</v>
      </c>
      <c r="B156" s="182" t="s">
        <v>100</v>
      </c>
      <c r="C156" s="182"/>
      <c r="D156" s="182"/>
      <c r="E156" s="182" t="s">
        <v>100</v>
      </c>
      <c r="F156" s="182" t="s">
        <v>100</v>
      </c>
      <c r="G156" s="182" t="s">
        <v>100</v>
      </c>
      <c r="H156" s="182"/>
      <c r="I156" s="182"/>
      <c r="J156" s="182" t="s">
        <v>100</v>
      </c>
      <c r="K156" s="182"/>
      <c r="L156" s="182"/>
      <c r="M156" s="182"/>
      <c r="N156" s="182"/>
      <c r="O156" s="182"/>
      <c r="P156" s="182"/>
      <c r="Q156" s="182"/>
      <c r="R156" s="182"/>
      <c r="S156" s="182"/>
      <c r="T156" s="182"/>
      <c r="U156" s="182"/>
      <c r="V156" s="182"/>
      <c r="W156" s="182"/>
      <c r="X156" s="182"/>
      <c r="Y156" s="182"/>
      <c r="Z156" s="182"/>
      <c r="AA156" s="182"/>
      <c r="AB156" s="182"/>
      <c r="AC156" s="182"/>
      <c r="AD156" s="182"/>
      <c r="AE156" s="182"/>
      <c r="AF156" s="182"/>
      <c r="AG156" s="182"/>
      <c r="AH156" s="182"/>
      <c r="AI156" s="182"/>
      <c r="AJ156" s="167">
        <f t="shared" ref="AJ156:AJ162" si="52">COUNTIF(B156:AI156,"x")</f>
        <v>5</v>
      </c>
      <c r="AK156" s="481" t="str">
        <f>HYPERLINK("http://www.sfchronicle.com/giants/article/The-Chronicle-s-Hall-of-Fame-voters-break-down-10861575.php","SF Chronicle")</f>
        <v>SF Chronicle</v>
      </c>
      <c r="AL156" s="341">
        <v>42752</v>
      </c>
      <c r="AM156" s="352"/>
      <c r="AN156" s="352"/>
      <c r="AO156" s="352"/>
      <c r="AP156" s="352"/>
      <c r="AQ156" s="352"/>
      <c r="AR156" s="352"/>
      <c r="AS156" s="352"/>
      <c r="AT156" s="352"/>
      <c r="AU156" s="352"/>
      <c r="AV156" s="352"/>
      <c r="AW156" s="352"/>
      <c r="AX156" s="352"/>
      <c r="AY156" s="352"/>
      <c r="AZ156" s="352"/>
      <c r="BA156" s="352"/>
      <c r="BB156" s="352"/>
      <c r="BC156" s="352"/>
      <c r="BD156" s="352"/>
      <c r="BE156" s="352"/>
      <c r="BF156" s="352"/>
      <c r="BG156" s="352"/>
      <c r="BH156" s="352"/>
      <c r="BI156" s="352"/>
      <c r="BJ156" s="352"/>
      <c r="BK156" s="352"/>
      <c r="BL156" s="470"/>
      <c r="BM156" s="339"/>
      <c r="BN156" s="339"/>
      <c r="BO156" s="182"/>
      <c r="BP156" s="182"/>
      <c r="BQ156" s="182"/>
      <c r="BR156" s="182"/>
      <c r="BS156" s="182"/>
      <c r="BT156" s="182"/>
      <c r="BU156" s="182"/>
      <c r="BV156" s="182"/>
      <c r="BW156" s="182"/>
      <c r="BX156" s="182"/>
      <c r="BY156" s="182"/>
      <c r="BZ156" s="182"/>
      <c r="CA156" s="182"/>
      <c r="CB156" s="182"/>
      <c r="CC156" s="182"/>
      <c r="CD156" s="182"/>
      <c r="CE156" s="182"/>
      <c r="CF156" s="182"/>
      <c r="CG156" s="182"/>
      <c r="CH156" s="182"/>
      <c r="CI156" s="182"/>
      <c r="CJ156" s="182"/>
      <c r="CK156" s="182"/>
      <c r="CL156" s="618"/>
      <c r="CM156" s="619"/>
      <c r="CN156" s="620"/>
    </row>
    <row r="157" spans="1:92" s="344" customFormat="1">
      <c r="A157" s="335" t="s">
        <v>595</v>
      </c>
      <c r="B157" s="182" t="s">
        <v>100</v>
      </c>
      <c r="C157" s="302" t="s">
        <v>100</v>
      </c>
      <c r="D157" s="302" t="s">
        <v>100</v>
      </c>
      <c r="E157" s="182" t="s">
        <v>100</v>
      </c>
      <c r="F157" s="182" t="s">
        <v>100</v>
      </c>
      <c r="G157" s="182"/>
      <c r="H157" s="182" t="s">
        <v>100</v>
      </c>
      <c r="I157" s="320"/>
      <c r="J157" s="182" t="s">
        <v>100</v>
      </c>
      <c r="K157" s="182"/>
      <c r="L157" s="182" t="s">
        <v>100</v>
      </c>
      <c r="M157" s="182"/>
      <c r="N157" s="182" t="s">
        <v>100</v>
      </c>
      <c r="O157" s="182"/>
      <c r="P157" s="182"/>
      <c r="Q157" s="182" t="s">
        <v>100</v>
      </c>
      <c r="R157" s="182"/>
      <c r="S157" s="182"/>
      <c r="T157" s="182"/>
      <c r="U157" s="182"/>
      <c r="V157" s="182"/>
      <c r="W157" s="182"/>
      <c r="X157" s="182"/>
      <c r="Y157" s="182"/>
      <c r="Z157" s="182"/>
      <c r="AA157" s="182"/>
      <c r="AB157" s="182"/>
      <c r="AC157" s="182"/>
      <c r="AD157" s="182"/>
      <c r="AE157" s="182"/>
      <c r="AF157" s="182"/>
      <c r="AG157" s="182"/>
      <c r="AH157" s="182"/>
      <c r="AI157" s="182"/>
      <c r="AJ157" s="167">
        <f t="shared" si="52"/>
        <v>10</v>
      </c>
      <c r="AK157" s="493" t="str">
        <f>HYPERLINK("https://twitter.com/masnRoch/status/811229106562093057","Twitter")</f>
        <v>Twitter</v>
      </c>
      <c r="AL157" s="341">
        <v>42724</v>
      </c>
      <c r="AM157" s="352"/>
      <c r="AN157" s="352"/>
      <c r="AO157" s="352"/>
      <c r="AP157" s="352"/>
      <c r="AQ157" s="352"/>
      <c r="AR157" s="352"/>
      <c r="AS157" s="352"/>
      <c r="AT157" s="352"/>
      <c r="AU157" s="352"/>
      <c r="AV157" s="352"/>
      <c r="AW157" s="352"/>
      <c r="AX157" s="352"/>
      <c r="AY157" s="352"/>
      <c r="AZ157" s="352"/>
      <c r="BA157" s="352"/>
      <c r="BB157" s="352"/>
      <c r="BC157" s="352"/>
      <c r="BD157" s="352"/>
      <c r="BE157" s="352"/>
      <c r="BF157" s="352"/>
      <c r="BG157" s="352"/>
      <c r="BH157" s="352"/>
      <c r="BI157" s="352"/>
      <c r="BJ157" s="352"/>
      <c r="BK157" s="352"/>
      <c r="BL157" s="470"/>
      <c r="BM157" s="339"/>
      <c r="BN157" s="339"/>
      <c r="BO157" s="182"/>
      <c r="BP157" s="182"/>
      <c r="BQ157" s="182"/>
      <c r="BR157" s="182"/>
      <c r="BS157" s="182"/>
      <c r="BT157" s="182"/>
      <c r="BU157" s="182"/>
      <c r="BV157" s="182"/>
      <c r="BW157" s="182"/>
      <c r="BX157" s="182"/>
      <c r="BY157" s="182"/>
      <c r="BZ157" s="182"/>
      <c r="CA157" s="182"/>
      <c r="CB157" s="182"/>
      <c r="CC157" s="182"/>
      <c r="CD157" s="182"/>
      <c r="CE157" s="182"/>
      <c r="CF157" s="182"/>
      <c r="CG157" s="182"/>
      <c r="CH157" s="182"/>
      <c r="CI157" s="182"/>
      <c r="CJ157" s="182"/>
      <c r="CK157" s="182"/>
      <c r="CL157" s="680" t="s">
        <v>596</v>
      </c>
      <c r="CM157" s="681"/>
      <c r="CN157" s="682"/>
    </row>
    <row r="158" spans="1:92" s="344" customFormat="1">
      <c r="A158" s="335" t="s">
        <v>259</v>
      </c>
      <c r="B158" s="182" t="s">
        <v>100</v>
      </c>
      <c r="C158" s="182" t="s">
        <v>100</v>
      </c>
      <c r="D158" s="182" t="s">
        <v>100</v>
      </c>
      <c r="E158" s="182" t="s">
        <v>100</v>
      </c>
      <c r="F158" s="302" t="s">
        <v>100</v>
      </c>
      <c r="G158" s="182"/>
      <c r="H158" s="182" t="s">
        <v>100</v>
      </c>
      <c r="I158" s="182"/>
      <c r="J158" s="182" t="s">
        <v>100</v>
      </c>
      <c r="K158" s="182"/>
      <c r="L158" s="182" t="s">
        <v>100</v>
      </c>
      <c r="M158" s="182"/>
      <c r="N158" s="182" t="s">
        <v>100</v>
      </c>
      <c r="O158" s="182" t="s">
        <v>100</v>
      </c>
      <c r="P158" s="182"/>
      <c r="Q158" s="182"/>
      <c r="R158" s="182"/>
      <c r="S158" s="182"/>
      <c r="T158" s="182"/>
      <c r="U158" s="182"/>
      <c r="V158" s="182"/>
      <c r="W158" s="182"/>
      <c r="X158" s="182"/>
      <c r="Y158" s="182"/>
      <c r="Z158" s="182"/>
      <c r="AA158" s="182"/>
      <c r="AB158" s="182"/>
      <c r="AC158" s="182"/>
      <c r="AD158" s="182"/>
      <c r="AE158" s="182"/>
      <c r="AF158" s="182"/>
      <c r="AG158" s="182"/>
      <c r="AH158" s="182"/>
      <c r="AI158" s="182"/>
      <c r="AJ158" s="167">
        <f t="shared" si="52"/>
        <v>10</v>
      </c>
      <c r="AK158" s="481" t="str">
        <f>HYPERLINK("http://www.espn.com/mlb/story/_/id/18436379/seven-elected-espn-2017-baseball-hall-fame-ballot","ESPN")</f>
        <v>ESPN</v>
      </c>
      <c r="AL158" s="341">
        <v>42751</v>
      </c>
      <c r="AM158" s="352"/>
      <c r="AN158" s="352"/>
      <c r="AO158" s="352"/>
      <c r="AP158" s="352"/>
      <c r="AQ158" s="352"/>
      <c r="AR158" s="352"/>
      <c r="AS158" s="352"/>
      <c r="AT158" s="352"/>
      <c r="AU158" s="352"/>
      <c r="AV158" s="352"/>
      <c r="AW158" s="352"/>
      <c r="AX158" s="352"/>
      <c r="AY158" s="352"/>
      <c r="AZ158" s="352"/>
      <c r="BA158" s="352"/>
      <c r="BB158" s="352"/>
      <c r="BC158" s="352"/>
      <c r="BD158" s="352"/>
      <c r="BE158" s="352"/>
      <c r="BF158" s="352"/>
      <c r="BG158" s="352"/>
      <c r="BH158" s="352"/>
      <c r="BI158" s="352"/>
      <c r="BJ158" s="352"/>
      <c r="BK158" s="352"/>
      <c r="BL158" s="470"/>
      <c r="BM158" s="339"/>
      <c r="BN158" s="339"/>
      <c r="BO158" s="182"/>
      <c r="BP158" s="182"/>
      <c r="BQ158" s="182"/>
      <c r="BR158" s="182"/>
      <c r="BS158" s="182"/>
      <c r="BT158" s="182"/>
      <c r="BU158" s="182"/>
      <c r="BV158" s="182"/>
      <c r="BW158" s="182"/>
      <c r="BX158" s="182"/>
      <c r="BY158" s="182"/>
      <c r="BZ158" s="182"/>
      <c r="CA158" s="182"/>
      <c r="CB158" s="182"/>
      <c r="CC158" s="182"/>
      <c r="CD158" s="182"/>
      <c r="CE158" s="182"/>
      <c r="CF158" s="182"/>
      <c r="CG158" s="182"/>
      <c r="CH158" s="182"/>
      <c r="CI158" s="182"/>
      <c r="CJ158" s="182"/>
      <c r="CK158" s="182"/>
      <c r="CL158" s="618"/>
      <c r="CM158" s="619"/>
      <c r="CN158" s="620"/>
    </row>
    <row r="159" spans="1:92" s="344" customFormat="1">
      <c r="A159" s="335" t="s">
        <v>261</v>
      </c>
      <c r="B159" s="182" t="s">
        <v>100</v>
      </c>
      <c r="C159" s="182" t="s">
        <v>100</v>
      </c>
      <c r="D159" s="182" t="s">
        <v>100</v>
      </c>
      <c r="E159" s="182" t="s">
        <v>100</v>
      </c>
      <c r="F159" s="182" t="s">
        <v>100</v>
      </c>
      <c r="G159" s="182"/>
      <c r="H159" s="182"/>
      <c r="I159" s="182"/>
      <c r="J159" s="182"/>
      <c r="K159" s="182"/>
      <c r="L159" s="182" t="s">
        <v>100</v>
      </c>
      <c r="M159" s="182"/>
      <c r="N159" s="182" t="s">
        <v>100</v>
      </c>
      <c r="O159" s="302" t="s">
        <v>100</v>
      </c>
      <c r="P159" s="182" t="s">
        <v>100</v>
      </c>
      <c r="Q159" s="182"/>
      <c r="R159" s="182"/>
      <c r="S159" s="182"/>
      <c r="T159" s="182" t="s">
        <v>100</v>
      </c>
      <c r="U159" s="182"/>
      <c r="V159" s="182"/>
      <c r="W159" s="182"/>
      <c r="X159" s="182"/>
      <c r="Y159" s="182"/>
      <c r="Z159" s="182"/>
      <c r="AA159" s="182"/>
      <c r="AB159" s="182"/>
      <c r="AC159" s="182"/>
      <c r="AD159" s="182"/>
      <c r="AE159" s="182"/>
      <c r="AF159" s="182"/>
      <c r="AG159" s="182"/>
      <c r="AH159" s="182"/>
      <c r="AI159" s="182"/>
      <c r="AJ159" s="167">
        <f t="shared" si="52"/>
        <v>10</v>
      </c>
      <c r="AK159" s="493" t="str">
        <f>HYPERLINK("https://twitter.com/GabeLacques/status/812030384271659012","Twitter")</f>
        <v>Twitter</v>
      </c>
      <c r="AL159" s="341">
        <v>42725</v>
      </c>
      <c r="AM159" s="352"/>
      <c r="AN159" s="352"/>
      <c r="AO159" s="352"/>
      <c r="AP159" s="352"/>
      <c r="AQ159" s="352"/>
      <c r="AR159" s="352"/>
      <c r="AS159" s="352"/>
      <c r="AT159" s="352"/>
      <c r="AU159" s="352"/>
      <c r="AV159" s="352"/>
      <c r="AW159" s="352"/>
      <c r="AX159" s="352"/>
      <c r="AY159" s="352"/>
      <c r="AZ159" s="352"/>
      <c r="BA159" s="352"/>
      <c r="BB159" s="352"/>
      <c r="BC159" s="352"/>
      <c r="BD159" s="352"/>
      <c r="BE159" s="352"/>
      <c r="BF159" s="352"/>
      <c r="BG159" s="352"/>
      <c r="BH159" s="352"/>
      <c r="BI159" s="352"/>
      <c r="BJ159" s="352"/>
      <c r="BK159" s="352"/>
      <c r="BL159" s="470"/>
      <c r="BM159" s="339"/>
      <c r="BN159" s="339"/>
      <c r="BO159" s="182"/>
      <c r="BP159" s="182"/>
      <c r="BQ159" s="182"/>
      <c r="BR159" s="182"/>
      <c r="BS159" s="182"/>
      <c r="BT159" s="182"/>
      <c r="BU159" s="182"/>
      <c r="BV159" s="182"/>
      <c r="BW159" s="182"/>
      <c r="BX159" s="182"/>
      <c r="BY159" s="182"/>
      <c r="BZ159" s="182"/>
      <c r="CA159" s="182"/>
      <c r="CB159" s="182"/>
      <c r="CC159" s="182"/>
      <c r="CD159" s="182"/>
      <c r="CE159" s="182"/>
      <c r="CF159" s="182"/>
      <c r="CG159" s="182"/>
      <c r="CH159" s="182"/>
      <c r="CI159" s="182"/>
      <c r="CJ159" s="182"/>
      <c r="CK159" s="182"/>
      <c r="CL159" s="618"/>
      <c r="CM159" s="619"/>
      <c r="CN159" s="620"/>
    </row>
    <row r="160" spans="1:92" s="344" customFormat="1">
      <c r="A160" s="335" t="s">
        <v>262</v>
      </c>
      <c r="B160" s="182" t="s">
        <v>100</v>
      </c>
      <c r="C160" s="182" t="s">
        <v>100</v>
      </c>
      <c r="D160" s="182" t="s">
        <v>100</v>
      </c>
      <c r="E160" s="182" t="s">
        <v>100</v>
      </c>
      <c r="F160" s="182" t="s">
        <v>100</v>
      </c>
      <c r="G160" s="182"/>
      <c r="H160" s="182" t="s">
        <v>100</v>
      </c>
      <c r="I160" s="182"/>
      <c r="J160" s="182"/>
      <c r="K160" s="182"/>
      <c r="L160" s="182" t="s">
        <v>100</v>
      </c>
      <c r="M160" s="182"/>
      <c r="N160" s="182" t="s">
        <v>100</v>
      </c>
      <c r="O160" s="182" t="s">
        <v>100</v>
      </c>
      <c r="P160" s="182"/>
      <c r="Q160" s="182"/>
      <c r="R160" s="182"/>
      <c r="S160" s="182"/>
      <c r="T160" s="302" t="s">
        <v>100</v>
      </c>
      <c r="U160" s="182"/>
      <c r="V160" s="182"/>
      <c r="W160" s="182"/>
      <c r="X160" s="182"/>
      <c r="Y160" s="182"/>
      <c r="Z160" s="182"/>
      <c r="AA160" s="182"/>
      <c r="AB160" s="182"/>
      <c r="AC160" s="182"/>
      <c r="AD160" s="182"/>
      <c r="AE160" s="182"/>
      <c r="AF160" s="182"/>
      <c r="AG160" s="182"/>
      <c r="AH160" s="182"/>
      <c r="AI160" s="182"/>
      <c r="AJ160" s="167">
        <f t="shared" si="52"/>
        <v>10</v>
      </c>
      <c r="AK160" s="493" t="str">
        <f>HYPERLINK("http://sports.yahoo.com/news/baseball-hall-fame-2017-manny-125248892.html","Yahoo Sports")</f>
        <v>Yahoo Sports</v>
      </c>
      <c r="AL160" s="341">
        <v>42727</v>
      </c>
      <c r="AM160" s="352"/>
      <c r="AN160" s="352"/>
      <c r="AO160" s="352"/>
      <c r="AP160" s="352"/>
      <c r="AQ160" s="352"/>
      <c r="AR160" s="352"/>
      <c r="AS160" s="352"/>
      <c r="AT160" s="352"/>
      <c r="AU160" s="352"/>
      <c r="AV160" s="352"/>
      <c r="AW160" s="352"/>
      <c r="AX160" s="352"/>
      <c r="AY160" s="352"/>
      <c r="AZ160" s="352"/>
      <c r="BA160" s="352"/>
      <c r="BB160" s="352"/>
      <c r="BC160" s="352"/>
      <c r="BD160" s="352"/>
      <c r="BE160" s="352"/>
      <c r="BF160" s="352"/>
      <c r="BG160" s="352"/>
      <c r="BH160" s="352"/>
      <c r="BI160" s="352"/>
      <c r="BJ160" s="352"/>
      <c r="BK160" s="352"/>
      <c r="BL160" s="470"/>
      <c r="BM160" s="339"/>
      <c r="BN160" s="339"/>
      <c r="BO160" s="182"/>
      <c r="BP160" s="182"/>
      <c r="BQ160" s="182"/>
      <c r="BR160" s="182"/>
      <c r="BS160" s="182"/>
      <c r="BT160" s="182"/>
      <c r="BU160" s="182"/>
      <c r="BV160" s="182"/>
      <c r="BW160" s="182"/>
      <c r="BX160" s="182"/>
      <c r="BY160" s="182"/>
      <c r="BZ160" s="182"/>
      <c r="CA160" s="182"/>
      <c r="CB160" s="182"/>
      <c r="CC160" s="182"/>
      <c r="CD160" s="182"/>
      <c r="CE160" s="182"/>
      <c r="CF160" s="182"/>
      <c r="CG160" s="182"/>
      <c r="CH160" s="182"/>
      <c r="CI160" s="182"/>
      <c r="CJ160" s="182"/>
      <c r="CK160" s="182"/>
      <c r="CL160" s="618"/>
      <c r="CM160" s="619"/>
      <c r="CN160" s="620"/>
    </row>
    <row r="161" spans="1:92" s="344" customFormat="1">
      <c r="A161" s="335" t="s">
        <v>597</v>
      </c>
      <c r="B161" s="182" t="s">
        <v>100</v>
      </c>
      <c r="C161" s="182"/>
      <c r="D161" s="182"/>
      <c r="E161" s="182" t="s">
        <v>100</v>
      </c>
      <c r="F161" s="182" t="s">
        <v>100</v>
      </c>
      <c r="G161" s="182"/>
      <c r="H161" s="182"/>
      <c r="I161" s="182" t="s">
        <v>100</v>
      </c>
      <c r="J161" s="182" t="s">
        <v>100</v>
      </c>
      <c r="K161" s="182"/>
      <c r="L161" s="302" t="s">
        <v>100</v>
      </c>
      <c r="M161" s="182"/>
      <c r="N161" s="182" t="s">
        <v>100</v>
      </c>
      <c r="O161" s="182"/>
      <c r="P161" s="182" t="s">
        <v>100</v>
      </c>
      <c r="Q161" s="182" t="s">
        <v>100</v>
      </c>
      <c r="R161" s="182"/>
      <c r="S161" s="182"/>
      <c r="T161" s="182"/>
      <c r="U161" s="182"/>
      <c r="V161" s="182"/>
      <c r="W161" s="182"/>
      <c r="X161" s="182"/>
      <c r="Y161" s="182"/>
      <c r="Z161" s="182"/>
      <c r="AA161" s="182"/>
      <c r="AB161" s="182"/>
      <c r="AC161" s="182"/>
      <c r="AD161" s="182"/>
      <c r="AE161" s="182"/>
      <c r="AF161" s="182"/>
      <c r="AG161" s="182"/>
      <c r="AH161" s="182"/>
      <c r="AI161" s="182"/>
      <c r="AJ161" s="167">
        <f t="shared" si="52"/>
        <v>9</v>
      </c>
      <c r="AK161" s="483" t="s">
        <v>543</v>
      </c>
      <c r="AL161" s="341">
        <v>42720</v>
      </c>
      <c r="AM161" s="352"/>
      <c r="AN161" s="352"/>
      <c r="AO161" s="352"/>
      <c r="AP161" s="352"/>
      <c r="AQ161" s="352"/>
      <c r="AR161" s="352"/>
      <c r="AS161" s="352"/>
      <c r="AT161" s="352"/>
      <c r="AU161" s="352"/>
      <c r="AV161" s="352"/>
      <c r="AW161" s="352"/>
      <c r="AX161" s="352"/>
      <c r="AY161" s="352"/>
      <c r="AZ161" s="352"/>
      <c r="BA161" s="352"/>
      <c r="BB161" s="352"/>
      <c r="BC161" s="352"/>
      <c r="BD161" s="352"/>
      <c r="BE161" s="352"/>
      <c r="BF161" s="352"/>
      <c r="BG161" s="352"/>
      <c r="BH161" s="352"/>
      <c r="BI161" s="352"/>
      <c r="BJ161" s="352"/>
      <c r="BK161" s="352"/>
      <c r="BL161" s="470"/>
      <c r="BM161" s="339"/>
      <c r="BN161" s="339"/>
      <c r="BO161" s="182"/>
      <c r="BP161" s="182"/>
      <c r="BQ161" s="182"/>
      <c r="BR161" s="182"/>
      <c r="BS161" s="182"/>
      <c r="BT161" s="182"/>
      <c r="BU161" s="182"/>
      <c r="BV161" s="182"/>
      <c r="BW161" s="182"/>
      <c r="BX161" s="182"/>
      <c r="BY161" s="182"/>
      <c r="BZ161" s="182"/>
      <c r="CA161" s="182"/>
      <c r="CB161" s="182"/>
      <c r="CC161" s="182"/>
      <c r="CD161" s="182"/>
      <c r="CE161" s="182"/>
      <c r="CF161" s="182"/>
      <c r="CG161" s="182"/>
      <c r="CH161" s="182"/>
      <c r="CI161" s="182"/>
      <c r="CJ161" s="182"/>
      <c r="CK161" s="182"/>
      <c r="CL161" s="680"/>
      <c r="CM161" s="681"/>
      <c r="CN161" s="682"/>
    </row>
    <row r="162" spans="1:92" s="344" customFormat="1">
      <c r="A162" s="335" t="s">
        <v>598</v>
      </c>
      <c r="B162" s="182" t="s">
        <v>100</v>
      </c>
      <c r="C162" s="182" t="s">
        <v>100</v>
      </c>
      <c r="D162" s="182" t="s">
        <v>100</v>
      </c>
      <c r="E162" s="182" t="s">
        <v>100</v>
      </c>
      <c r="F162" s="182"/>
      <c r="G162" s="182"/>
      <c r="H162" s="182" t="s">
        <v>100</v>
      </c>
      <c r="I162" s="182"/>
      <c r="J162" s="182" t="s">
        <v>100</v>
      </c>
      <c r="K162" s="182"/>
      <c r="L162" s="182" t="s">
        <v>100</v>
      </c>
      <c r="M162" s="182"/>
      <c r="N162" s="182" t="s">
        <v>100</v>
      </c>
      <c r="O162" s="182" t="s">
        <v>100</v>
      </c>
      <c r="P162" s="182"/>
      <c r="Q162" s="182"/>
      <c r="R162" s="182"/>
      <c r="S162" s="182" t="s">
        <v>100</v>
      </c>
      <c r="T162" s="182"/>
      <c r="U162" s="182"/>
      <c r="V162" s="182"/>
      <c r="W162" s="182"/>
      <c r="X162" s="182"/>
      <c r="Y162" s="182"/>
      <c r="Z162" s="182"/>
      <c r="AA162" s="182"/>
      <c r="AB162" s="182"/>
      <c r="AC162" s="182"/>
      <c r="AD162" s="182"/>
      <c r="AE162" s="182"/>
      <c r="AF162" s="182"/>
      <c r="AG162" s="182"/>
      <c r="AH162" s="182"/>
      <c r="AI162" s="182"/>
      <c r="AJ162" s="167">
        <f t="shared" si="52"/>
        <v>10</v>
      </c>
      <c r="AK162" s="493" t="str">
        <f>HYPERLINK("https://www.facebook.com/lauberscott/photos/a.1483142572004409.1073741827.1483138842004782/1733205110331486/?type=3&amp;theater","Facebook")</f>
        <v>Facebook</v>
      </c>
      <c r="AL162" s="341">
        <v>42733</v>
      </c>
      <c r="AM162" s="352"/>
      <c r="AN162" s="352"/>
      <c r="AO162" s="352"/>
      <c r="AP162" s="352"/>
      <c r="AQ162" s="352"/>
      <c r="AR162" s="352"/>
      <c r="AS162" s="352"/>
      <c r="AT162" s="352"/>
      <c r="AU162" s="352"/>
      <c r="AV162" s="352"/>
      <c r="AW162" s="352"/>
      <c r="AX162" s="352"/>
      <c r="AY162" s="352"/>
      <c r="AZ162" s="352"/>
      <c r="BA162" s="352"/>
      <c r="BB162" s="352"/>
      <c r="BC162" s="352"/>
      <c r="BD162" s="352"/>
      <c r="BE162" s="352"/>
      <c r="BF162" s="352"/>
      <c r="BG162" s="352"/>
      <c r="BH162" s="352"/>
      <c r="BI162" s="352"/>
      <c r="BJ162" s="352"/>
      <c r="BK162" s="352"/>
      <c r="BL162" s="470"/>
      <c r="BM162" s="339"/>
      <c r="BN162" s="339"/>
      <c r="BO162" s="182"/>
      <c r="BP162" s="182"/>
      <c r="BQ162" s="182"/>
      <c r="BR162" s="182"/>
      <c r="BS162" s="182"/>
      <c r="BT162" s="182"/>
      <c r="BU162" s="182"/>
      <c r="BV162" s="182"/>
      <c r="BW162" s="182"/>
      <c r="BX162" s="182"/>
      <c r="BY162" s="182"/>
      <c r="BZ162" s="182"/>
      <c r="CA162" s="182"/>
      <c r="CB162" s="182"/>
      <c r="CC162" s="182"/>
      <c r="CD162" s="182"/>
      <c r="CE162" s="182"/>
      <c r="CF162" s="182"/>
      <c r="CG162" s="182"/>
      <c r="CH162" s="182"/>
      <c r="CI162" s="182"/>
      <c r="CJ162" s="182"/>
      <c r="CK162" s="182"/>
      <c r="CL162" s="680" t="s">
        <v>599</v>
      </c>
      <c r="CM162" s="681"/>
      <c r="CN162" s="682"/>
    </row>
    <row r="163" spans="1:92" s="344" customFormat="1">
      <c r="A163" s="335" t="s">
        <v>600</v>
      </c>
      <c r="B163" s="182" t="s">
        <v>100</v>
      </c>
      <c r="C163" s="182" t="s">
        <v>100</v>
      </c>
      <c r="D163" s="182" t="s">
        <v>100</v>
      </c>
      <c r="E163" s="182"/>
      <c r="F163" s="302" t="s">
        <v>100</v>
      </c>
      <c r="G163" s="182"/>
      <c r="H163" s="302" t="s">
        <v>100</v>
      </c>
      <c r="I163" s="182"/>
      <c r="J163" s="302" t="s">
        <v>100</v>
      </c>
      <c r="K163" s="182"/>
      <c r="L163" s="182" t="s">
        <v>100</v>
      </c>
      <c r="M163" s="182" t="s">
        <v>100</v>
      </c>
      <c r="N163" s="182" t="s">
        <v>100</v>
      </c>
      <c r="O163" s="182" t="s">
        <v>100</v>
      </c>
      <c r="P163" s="182"/>
      <c r="Q163" s="182"/>
      <c r="R163" s="182"/>
      <c r="S163" s="182"/>
      <c r="T163" s="182"/>
      <c r="U163" s="182"/>
      <c r="V163" s="182"/>
      <c r="W163" s="182"/>
      <c r="X163" s="182"/>
      <c r="Y163" s="182"/>
      <c r="Z163" s="182"/>
      <c r="AA163" s="182"/>
      <c r="AB163" s="182"/>
      <c r="AC163" s="182"/>
      <c r="AD163" s="182"/>
      <c r="AE163" s="182"/>
      <c r="AF163" s="182"/>
      <c r="AG163" s="182"/>
      <c r="AH163" s="182"/>
      <c r="AI163" s="182"/>
      <c r="AJ163" s="167">
        <f t="shared" si="37"/>
        <v>10</v>
      </c>
      <c r="AK163" s="493" t="str">
        <f>HYPERLINK("https://twitter.com/gilebreton/status/815980292687200256","Twitter")</f>
        <v>Twitter</v>
      </c>
      <c r="AL163" s="341">
        <v>42737</v>
      </c>
      <c r="AM163" s="352"/>
      <c r="AN163" s="352"/>
      <c r="AO163" s="352"/>
      <c r="AP163" s="352"/>
      <c r="AQ163" s="352"/>
      <c r="AR163" s="352"/>
      <c r="AS163" s="352"/>
      <c r="AT163" s="352"/>
      <c r="AU163" s="352"/>
      <c r="AV163" s="352"/>
      <c r="AW163" s="352"/>
      <c r="AX163" s="352"/>
      <c r="AY163" s="352"/>
      <c r="AZ163" s="352"/>
      <c r="BA163" s="352"/>
      <c r="BB163" s="352"/>
      <c r="BC163" s="352"/>
      <c r="BD163" s="352"/>
      <c r="BE163" s="352"/>
      <c r="BF163" s="352"/>
      <c r="BG163" s="352"/>
      <c r="BH163" s="352"/>
      <c r="BI163" s="352"/>
      <c r="BJ163" s="352"/>
      <c r="BK163" s="352"/>
      <c r="BL163" s="470"/>
      <c r="BM163" s="339"/>
      <c r="BN163" s="339"/>
      <c r="BO163" s="182"/>
      <c r="BP163" s="182"/>
      <c r="BQ163" s="182"/>
      <c r="BR163" s="182"/>
      <c r="BS163" s="182"/>
      <c r="BT163" s="182"/>
      <c r="BU163" s="182"/>
      <c r="BV163" s="182"/>
      <c r="BW163" s="182"/>
      <c r="BX163" s="182"/>
      <c r="BY163" s="182"/>
      <c r="BZ163" s="182"/>
      <c r="CA163" s="182"/>
      <c r="CB163" s="182"/>
      <c r="CC163" s="182"/>
      <c r="CD163" s="182"/>
      <c r="CE163" s="182"/>
      <c r="CF163" s="182"/>
      <c r="CG163" s="182"/>
      <c r="CH163" s="182"/>
      <c r="CI163" s="182"/>
      <c r="CJ163" s="182"/>
      <c r="CK163" s="182"/>
      <c r="CL163" s="680" t="s">
        <v>384</v>
      </c>
      <c r="CM163" s="681"/>
      <c r="CN163" s="682"/>
    </row>
    <row r="164" spans="1:92" s="344" customFormat="1">
      <c r="A164" s="335" t="s">
        <v>601</v>
      </c>
      <c r="B164" s="182" t="s">
        <v>100</v>
      </c>
      <c r="C164" s="182" t="s">
        <v>100</v>
      </c>
      <c r="D164" s="182" t="s">
        <v>100</v>
      </c>
      <c r="E164" s="182" t="s">
        <v>100</v>
      </c>
      <c r="F164" s="182" t="s">
        <v>100</v>
      </c>
      <c r="G164" s="182" t="s">
        <v>100</v>
      </c>
      <c r="H164" s="182"/>
      <c r="I164" s="182"/>
      <c r="J164" s="182"/>
      <c r="K164" s="182"/>
      <c r="L164" s="182" t="s">
        <v>100</v>
      </c>
      <c r="M164" s="182"/>
      <c r="N164" s="182" t="s">
        <v>100</v>
      </c>
      <c r="O164" s="302" t="s">
        <v>100</v>
      </c>
      <c r="P164" s="182"/>
      <c r="Q164" s="182" t="s">
        <v>100</v>
      </c>
      <c r="R164" s="182"/>
      <c r="S164" s="182"/>
      <c r="T164" s="182"/>
      <c r="U164" s="182"/>
      <c r="V164" s="182"/>
      <c r="W164" s="182"/>
      <c r="X164" s="182"/>
      <c r="Y164" s="182"/>
      <c r="Z164" s="182"/>
      <c r="AA164" s="182"/>
      <c r="AB164" s="182"/>
      <c r="AC164" s="182"/>
      <c r="AD164" s="182"/>
      <c r="AE164" s="182"/>
      <c r="AF164" s="182"/>
      <c r="AG164" s="182"/>
      <c r="AH164" s="182"/>
      <c r="AI164" s="182"/>
      <c r="AJ164" s="167">
        <f t="shared" si="37"/>
        <v>10</v>
      </c>
      <c r="AK164" s="483" t="s">
        <v>138</v>
      </c>
      <c r="AL164" s="341">
        <v>42738</v>
      </c>
      <c r="AM164" s="352"/>
      <c r="AN164" s="352"/>
      <c r="AO164" s="352"/>
      <c r="AP164" s="352"/>
      <c r="AQ164" s="352"/>
      <c r="AR164" s="352"/>
      <c r="AS164" s="352"/>
      <c r="AT164" s="352"/>
      <c r="AU164" s="352"/>
      <c r="AV164" s="352"/>
      <c r="AW164" s="352"/>
      <c r="AX164" s="352"/>
      <c r="AY164" s="352"/>
      <c r="AZ164" s="352"/>
      <c r="BA164" s="352"/>
      <c r="BB164" s="352"/>
      <c r="BC164" s="352"/>
      <c r="BD164" s="352"/>
      <c r="BE164" s="352"/>
      <c r="BF164" s="352"/>
      <c r="BG164" s="352"/>
      <c r="BH164" s="352"/>
      <c r="BI164" s="352"/>
      <c r="BJ164" s="352"/>
      <c r="BK164" s="352"/>
      <c r="BL164" s="470"/>
      <c r="BM164" s="339"/>
      <c r="BN164" s="339"/>
      <c r="BO164" s="182"/>
      <c r="BP164" s="182"/>
      <c r="BQ164" s="182"/>
      <c r="BR164" s="182"/>
      <c r="BS164" s="182"/>
      <c r="BT164" s="182"/>
      <c r="BU164" s="182"/>
      <c r="BV164" s="182"/>
      <c r="BW164" s="182"/>
      <c r="BX164" s="182"/>
      <c r="BY164" s="182"/>
      <c r="BZ164" s="182"/>
      <c r="CA164" s="182"/>
      <c r="CB164" s="182"/>
      <c r="CC164" s="182"/>
      <c r="CD164" s="182"/>
      <c r="CE164" s="182"/>
      <c r="CF164" s="182"/>
      <c r="CG164" s="182"/>
      <c r="CH164" s="182"/>
      <c r="CI164" s="182"/>
      <c r="CJ164" s="182"/>
      <c r="CK164" s="182"/>
      <c r="CL164" s="618"/>
      <c r="CM164" s="619"/>
      <c r="CN164" s="620"/>
    </row>
    <row r="165" spans="1:92" s="344" customFormat="1">
      <c r="A165" s="335" t="s">
        <v>267</v>
      </c>
      <c r="B165" s="182" t="s">
        <v>100</v>
      </c>
      <c r="C165" s="182" t="s">
        <v>100</v>
      </c>
      <c r="D165" s="182" t="s">
        <v>100</v>
      </c>
      <c r="E165" s="182" t="s">
        <v>100</v>
      </c>
      <c r="F165" s="182" t="s">
        <v>100</v>
      </c>
      <c r="G165" s="182"/>
      <c r="H165" s="182" t="s">
        <v>100</v>
      </c>
      <c r="I165" s="182"/>
      <c r="J165" s="182" t="s">
        <v>100</v>
      </c>
      <c r="K165" s="182"/>
      <c r="L165" s="182" t="s">
        <v>100</v>
      </c>
      <c r="M165" s="182"/>
      <c r="N165" s="182" t="s">
        <v>100</v>
      </c>
      <c r="O165" s="182" t="s">
        <v>100</v>
      </c>
      <c r="P165" s="182"/>
      <c r="Q165" s="182"/>
      <c r="R165" s="182"/>
      <c r="S165" s="182"/>
      <c r="T165" s="182"/>
      <c r="U165" s="182"/>
      <c r="V165" s="182"/>
      <c r="W165" s="182"/>
      <c r="X165" s="182"/>
      <c r="Y165" s="182"/>
      <c r="Z165" s="182"/>
      <c r="AA165" s="182"/>
      <c r="AB165" s="182"/>
      <c r="AC165" s="182"/>
      <c r="AD165" s="182"/>
      <c r="AE165" s="182"/>
      <c r="AF165" s="182"/>
      <c r="AG165" s="182"/>
      <c r="AH165" s="182"/>
      <c r="AI165" s="182"/>
      <c r="AJ165" s="167">
        <f t="shared" si="37"/>
        <v>10</v>
      </c>
      <c r="AK165" s="493" t="str">
        <f>HYPERLINK("https://twitter.com/DPLennon/status/812007668588089345","Twitter")</f>
        <v>Twitter</v>
      </c>
      <c r="AL165" s="341">
        <v>42725</v>
      </c>
      <c r="AM165" s="352"/>
      <c r="AN165" s="352"/>
      <c r="AO165" s="352"/>
      <c r="AP165" s="352"/>
      <c r="AQ165" s="352"/>
      <c r="AR165" s="352"/>
      <c r="AS165" s="352"/>
      <c r="AT165" s="352"/>
      <c r="AU165" s="352"/>
      <c r="AV165" s="352"/>
      <c r="AW165" s="352"/>
      <c r="AX165" s="352"/>
      <c r="AY165" s="352"/>
      <c r="AZ165" s="352"/>
      <c r="BA165" s="352"/>
      <c r="BB165" s="352"/>
      <c r="BC165" s="352"/>
      <c r="BD165" s="352"/>
      <c r="BE165" s="352"/>
      <c r="BF165" s="352"/>
      <c r="BG165" s="352"/>
      <c r="BH165" s="352"/>
      <c r="BI165" s="352"/>
      <c r="BJ165" s="352"/>
      <c r="BK165" s="352"/>
      <c r="BL165" s="470"/>
      <c r="BM165" s="339"/>
      <c r="BN165" s="339"/>
      <c r="BO165" s="182"/>
      <c r="BP165" s="182"/>
      <c r="BQ165" s="182"/>
      <c r="BR165" s="182"/>
      <c r="BS165" s="182"/>
      <c r="BT165" s="182"/>
      <c r="BU165" s="182"/>
      <c r="BV165" s="182"/>
      <c r="BW165" s="182"/>
      <c r="BX165" s="182"/>
      <c r="BY165" s="182"/>
      <c r="BZ165" s="182"/>
      <c r="CA165" s="182"/>
      <c r="CB165" s="182"/>
      <c r="CC165" s="182"/>
      <c r="CD165" s="182"/>
      <c r="CE165" s="182"/>
      <c r="CF165" s="182"/>
      <c r="CG165" s="182"/>
      <c r="CH165" s="182"/>
      <c r="CI165" s="182"/>
      <c r="CJ165" s="182"/>
      <c r="CK165" s="182"/>
      <c r="CL165" s="618"/>
      <c r="CM165" s="619"/>
      <c r="CN165" s="620"/>
    </row>
    <row r="166" spans="1:92" s="344" customFormat="1">
      <c r="A166" s="331" t="s">
        <v>602</v>
      </c>
      <c r="B166" s="182" t="s">
        <v>100</v>
      </c>
      <c r="C166" s="182" t="s">
        <v>100</v>
      </c>
      <c r="D166" s="182" t="s">
        <v>100</v>
      </c>
      <c r="E166" s="182"/>
      <c r="F166" s="182" t="s">
        <v>100</v>
      </c>
      <c r="G166" s="182"/>
      <c r="H166" s="182" t="s">
        <v>100</v>
      </c>
      <c r="I166" s="182"/>
      <c r="J166" s="182"/>
      <c r="K166" s="182"/>
      <c r="L166" s="182" t="s">
        <v>100</v>
      </c>
      <c r="M166" s="182" t="s">
        <v>100</v>
      </c>
      <c r="N166" s="182" t="s">
        <v>100</v>
      </c>
      <c r="O166" s="182" t="s">
        <v>100</v>
      </c>
      <c r="P166" s="182"/>
      <c r="Q166" s="182"/>
      <c r="R166" s="182"/>
      <c r="S166" s="182" t="s">
        <v>100</v>
      </c>
      <c r="T166" s="182"/>
      <c r="U166" s="182"/>
      <c r="V166" s="182"/>
      <c r="W166" s="182"/>
      <c r="X166" s="182"/>
      <c r="Y166" s="182"/>
      <c r="Z166" s="182"/>
      <c r="AA166" s="182"/>
      <c r="AB166" s="182"/>
      <c r="AC166" s="182"/>
      <c r="AD166" s="182"/>
      <c r="AE166" s="182"/>
      <c r="AF166" s="182"/>
      <c r="AG166" s="182"/>
      <c r="AH166" s="182"/>
      <c r="AI166" s="182"/>
      <c r="AJ166" s="167">
        <f t="shared" si="37"/>
        <v>10</v>
      </c>
      <c r="AK166" s="493" t="str">
        <f>HYPERLINK("https://twitter.com/JosephLiaoWJ/status/811699791323398144","Twitter")</f>
        <v>Twitter</v>
      </c>
      <c r="AL166" s="341">
        <v>42725</v>
      </c>
      <c r="AM166" s="352"/>
      <c r="AN166" s="352"/>
      <c r="AO166" s="352"/>
      <c r="AP166" s="352"/>
      <c r="AQ166" s="352"/>
      <c r="AR166" s="352"/>
      <c r="AS166" s="352"/>
      <c r="AT166" s="352"/>
      <c r="AU166" s="352"/>
      <c r="AV166" s="352"/>
      <c r="AW166" s="352"/>
      <c r="AX166" s="352"/>
      <c r="AY166" s="352"/>
      <c r="AZ166" s="352"/>
      <c r="BA166" s="352"/>
      <c r="BB166" s="352"/>
      <c r="BC166" s="352"/>
      <c r="BD166" s="352"/>
      <c r="BE166" s="352"/>
      <c r="BF166" s="352"/>
      <c r="BG166" s="352"/>
      <c r="BH166" s="352"/>
      <c r="BI166" s="352"/>
      <c r="BJ166" s="352"/>
      <c r="BK166" s="352"/>
      <c r="BL166" s="470"/>
      <c r="BM166" s="339"/>
      <c r="BN166" s="339"/>
      <c r="BO166" s="182"/>
      <c r="BP166" s="182"/>
      <c r="BQ166" s="182"/>
      <c r="BR166" s="182"/>
      <c r="BS166" s="182"/>
      <c r="BT166" s="182"/>
      <c r="BU166" s="182"/>
      <c r="BV166" s="182"/>
      <c r="BW166" s="182"/>
      <c r="BX166" s="182"/>
      <c r="BY166" s="182"/>
      <c r="BZ166" s="182"/>
      <c r="CA166" s="182"/>
      <c r="CB166" s="182"/>
      <c r="CC166" s="182"/>
      <c r="CD166" s="182"/>
      <c r="CE166" s="182"/>
      <c r="CF166" s="182"/>
      <c r="CG166" s="182"/>
      <c r="CH166" s="182"/>
      <c r="CI166" s="182"/>
      <c r="CJ166" s="182"/>
      <c r="CK166" s="182"/>
      <c r="CL166" s="680" t="s">
        <v>384</v>
      </c>
      <c r="CM166" s="681"/>
      <c r="CN166" s="682"/>
    </row>
    <row r="167" spans="1:92" s="344" customFormat="1">
      <c r="A167" s="335" t="s">
        <v>603</v>
      </c>
      <c r="B167" s="182" t="s">
        <v>100</v>
      </c>
      <c r="C167" s="182" t="s">
        <v>100</v>
      </c>
      <c r="D167" s="182" t="s">
        <v>100</v>
      </c>
      <c r="E167" s="182" t="s">
        <v>100</v>
      </c>
      <c r="F167" s="182"/>
      <c r="G167" s="182"/>
      <c r="H167" s="182"/>
      <c r="I167" s="182"/>
      <c r="J167" s="182"/>
      <c r="K167" s="182"/>
      <c r="L167" s="182" t="s">
        <v>100</v>
      </c>
      <c r="M167" s="182" t="s">
        <v>100</v>
      </c>
      <c r="N167" s="182" t="s">
        <v>100</v>
      </c>
      <c r="O167" s="182"/>
      <c r="P167" s="182"/>
      <c r="Q167" s="182"/>
      <c r="R167" s="320"/>
      <c r="S167" s="182"/>
      <c r="T167" s="182"/>
      <c r="U167" s="182"/>
      <c r="V167" s="182"/>
      <c r="W167" s="182"/>
      <c r="X167" s="182"/>
      <c r="Y167" s="182"/>
      <c r="Z167" s="182"/>
      <c r="AA167" s="182"/>
      <c r="AB167" s="182"/>
      <c r="AC167" s="182"/>
      <c r="AD167" s="182"/>
      <c r="AE167" s="182"/>
      <c r="AF167" s="182"/>
      <c r="AG167" s="182"/>
      <c r="AH167" s="182"/>
      <c r="AI167" s="182"/>
      <c r="AJ167" s="167">
        <f t="shared" si="37"/>
        <v>7</v>
      </c>
      <c r="AK167" s="493" t="str">
        <f>HYPERLINK("http://www.chicagotribune.com/sports/columnists/ct-selig-hall-of-fame-sham-lincicome-spt-1218-20161217-column.html","Chicago Tribune")</f>
        <v>Chicago Tribune</v>
      </c>
      <c r="AL167" s="341">
        <v>42720</v>
      </c>
      <c r="AM167" s="352"/>
      <c r="AN167" s="352"/>
      <c r="AO167" s="352"/>
      <c r="AP167" s="352"/>
      <c r="AQ167" s="352"/>
      <c r="AR167" s="352"/>
      <c r="AS167" s="352"/>
      <c r="AT167" s="352"/>
      <c r="AU167" s="352"/>
      <c r="AV167" s="352"/>
      <c r="AW167" s="352"/>
      <c r="AX167" s="352"/>
      <c r="AY167" s="352"/>
      <c r="AZ167" s="352"/>
      <c r="BA167" s="352"/>
      <c r="BB167" s="352"/>
      <c r="BC167" s="352"/>
      <c r="BD167" s="352"/>
      <c r="BE167" s="352"/>
      <c r="BF167" s="352"/>
      <c r="BG167" s="352"/>
      <c r="BH167" s="352"/>
      <c r="BI167" s="352"/>
      <c r="BJ167" s="352"/>
      <c r="BK167" s="352"/>
      <c r="BL167" s="470"/>
      <c r="BM167" s="339"/>
      <c r="BN167" s="339"/>
      <c r="BO167" s="182"/>
      <c r="BP167" s="182"/>
      <c r="BQ167" s="182"/>
      <c r="BR167" s="182"/>
      <c r="BS167" s="182"/>
      <c r="BT167" s="182"/>
      <c r="BU167" s="182"/>
      <c r="BV167" s="182"/>
      <c r="BW167" s="182"/>
      <c r="BX167" s="182"/>
      <c r="BY167" s="182"/>
      <c r="BZ167" s="182"/>
      <c r="CA167" s="182"/>
      <c r="CB167" s="182"/>
      <c r="CC167" s="182"/>
      <c r="CD167" s="182"/>
      <c r="CE167" s="182"/>
      <c r="CF167" s="182"/>
      <c r="CG167" s="182"/>
      <c r="CH167" s="182"/>
      <c r="CI167" s="182"/>
      <c r="CJ167" s="182"/>
      <c r="CK167" s="182"/>
      <c r="CL167" s="680"/>
      <c r="CM167" s="681"/>
      <c r="CN167" s="682"/>
    </row>
    <row r="168" spans="1:92" s="344" customFormat="1">
      <c r="A168" s="335" t="s">
        <v>604</v>
      </c>
      <c r="B168" s="182"/>
      <c r="C168" s="182"/>
      <c r="D168" s="182"/>
      <c r="E168" s="182"/>
      <c r="F168" s="182"/>
      <c r="G168" s="182"/>
      <c r="H168" s="182"/>
      <c r="I168" s="182"/>
      <c r="J168" s="182"/>
      <c r="K168" s="182"/>
      <c r="L168" s="182"/>
      <c r="M168" s="182"/>
      <c r="N168" s="182"/>
      <c r="O168" s="182"/>
      <c r="P168" s="182"/>
      <c r="Q168" s="182"/>
      <c r="R168" s="182"/>
      <c r="S168" s="182"/>
      <c r="T168" s="182"/>
      <c r="U168" s="182"/>
      <c r="V168" s="182"/>
      <c r="W168" s="182"/>
      <c r="X168" s="182"/>
      <c r="Y168" s="182"/>
      <c r="Z168" s="182"/>
      <c r="AA168" s="182"/>
      <c r="AB168" s="182"/>
      <c r="AC168" s="182"/>
      <c r="AD168" s="182"/>
      <c r="AE168" s="182"/>
      <c r="AF168" s="182"/>
      <c r="AG168" s="182"/>
      <c r="AH168" s="182"/>
      <c r="AI168" s="182"/>
      <c r="AJ168" s="167">
        <f t="shared" si="37"/>
        <v>0</v>
      </c>
      <c r="AK168" s="481" t="str">
        <f>HYPERLINK("http://www.cleveland.com/livingston/index.ssf/2017/01/why_i_abstained_on_my_baseball.html","Cleveland.com")</f>
        <v>Cleveland.com</v>
      </c>
      <c r="AL168" s="341">
        <v>42752</v>
      </c>
      <c r="AM168" s="352"/>
      <c r="AN168" s="352"/>
      <c r="AO168" s="352"/>
      <c r="AP168" s="352"/>
      <c r="AQ168" s="352"/>
      <c r="AR168" s="352"/>
      <c r="AS168" s="352"/>
      <c r="AT168" s="352"/>
      <c r="AU168" s="352"/>
      <c r="AV168" s="352"/>
      <c r="AW168" s="352"/>
      <c r="AX168" s="352"/>
      <c r="AY168" s="352"/>
      <c r="AZ168" s="352"/>
      <c r="BA168" s="352"/>
      <c r="BB168" s="352"/>
      <c r="BC168" s="352"/>
      <c r="BD168" s="352"/>
      <c r="BE168" s="352"/>
      <c r="BF168" s="352"/>
      <c r="BG168" s="352"/>
      <c r="BH168" s="352"/>
      <c r="BI168" s="352"/>
      <c r="BJ168" s="352"/>
      <c r="BK168" s="352"/>
      <c r="BL168" s="470"/>
      <c r="BM168" s="339"/>
      <c r="BN168" s="339"/>
      <c r="BO168" s="182"/>
      <c r="BP168" s="182"/>
      <c r="BQ168" s="182"/>
      <c r="BR168" s="182"/>
      <c r="BS168" s="182"/>
      <c r="BT168" s="182"/>
      <c r="BU168" s="182"/>
      <c r="BV168" s="182"/>
      <c r="BW168" s="182"/>
      <c r="BX168" s="182"/>
      <c r="BY168" s="182"/>
      <c r="BZ168" s="182"/>
      <c r="CA168" s="182"/>
      <c r="CB168" s="182"/>
      <c r="CC168" s="182"/>
      <c r="CD168" s="182"/>
      <c r="CE168" s="182"/>
      <c r="CF168" s="182"/>
      <c r="CG168" s="182"/>
      <c r="CH168" s="182"/>
      <c r="CI168" s="182"/>
      <c r="CJ168" s="182"/>
      <c r="CK168" s="182"/>
      <c r="CL168" s="618"/>
      <c r="CM168" s="619"/>
      <c r="CN168" s="620"/>
    </row>
    <row r="169" spans="1:92" s="344" customFormat="1">
      <c r="A169" s="335" t="s">
        <v>605</v>
      </c>
      <c r="B169" s="182" t="s">
        <v>100</v>
      </c>
      <c r="C169" s="182"/>
      <c r="D169" s="182"/>
      <c r="E169" s="182" t="s">
        <v>100</v>
      </c>
      <c r="F169" s="182" t="s">
        <v>100</v>
      </c>
      <c r="G169" s="302" t="s">
        <v>100</v>
      </c>
      <c r="H169" s="182" t="s">
        <v>100</v>
      </c>
      <c r="I169" s="182" t="s">
        <v>100</v>
      </c>
      <c r="J169" s="182" t="s">
        <v>100</v>
      </c>
      <c r="K169" s="182"/>
      <c r="L169" s="182"/>
      <c r="M169" s="182"/>
      <c r="N169" s="182" t="s">
        <v>100</v>
      </c>
      <c r="O169" s="320"/>
      <c r="P169" s="182"/>
      <c r="Q169" s="182"/>
      <c r="R169" s="182"/>
      <c r="S169" s="182"/>
      <c r="T169" s="302" t="s">
        <v>100</v>
      </c>
      <c r="U169" s="182"/>
      <c r="V169" s="182"/>
      <c r="W169" s="182"/>
      <c r="X169" s="182"/>
      <c r="Y169" s="182"/>
      <c r="Z169" s="182"/>
      <c r="AA169" s="182"/>
      <c r="AB169" s="182"/>
      <c r="AC169" s="182"/>
      <c r="AD169" s="182"/>
      <c r="AE169" s="182"/>
      <c r="AF169" s="182"/>
      <c r="AG169" s="182"/>
      <c r="AH169" s="182"/>
      <c r="AI169" s="182"/>
      <c r="AJ169" s="167">
        <f t="shared" si="37"/>
        <v>9</v>
      </c>
      <c r="AK169" s="493" t="str">
        <f>HYPERLINK("http://www.washingtontimes.com/news/2016/dec/27/shame-barry-bonds-roger-clemens-hall-fame/","Washington Times")</f>
        <v>Washington Times</v>
      </c>
      <c r="AL169" s="341">
        <v>42731</v>
      </c>
      <c r="AM169" s="352"/>
      <c r="AN169" s="352"/>
      <c r="AO169" s="352"/>
      <c r="AP169" s="352"/>
      <c r="AQ169" s="352"/>
      <c r="AR169" s="352"/>
      <c r="AS169" s="352"/>
      <c r="AT169" s="352"/>
      <c r="AU169" s="352"/>
      <c r="AV169" s="352"/>
      <c r="AW169" s="352"/>
      <c r="AX169" s="352"/>
      <c r="AY169" s="352"/>
      <c r="AZ169" s="352"/>
      <c r="BA169" s="352"/>
      <c r="BB169" s="352"/>
      <c r="BC169" s="352"/>
      <c r="BD169" s="352"/>
      <c r="BE169" s="352"/>
      <c r="BF169" s="352"/>
      <c r="BG169" s="352"/>
      <c r="BH169" s="352"/>
      <c r="BI169" s="352"/>
      <c r="BJ169" s="352"/>
      <c r="BK169" s="352"/>
      <c r="BL169" s="470"/>
      <c r="BM169" s="339"/>
      <c r="BN169" s="339"/>
      <c r="BO169" s="182"/>
      <c r="BP169" s="182"/>
      <c r="BQ169" s="182"/>
      <c r="BR169" s="182"/>
      <c r="BS169" s="182"/>
      <c r="BT169" s="182"/>
      <c r="BU169" s="182"/>
      <c r="BV169" s="182"/>
      <c r="BW169" s="182"/>
      <c r="BX169" s="182"/>
      <c r="BY169" s="182"/>
      <c r="BZ169" s="182"/>
      <c r="CA169" s="182"/>
      <c r="CB169" s="182"/>
      <c r="CC169" s="182"/>
      <c r="CD169" s="182"/>
      <c r="CE169" s="182"/>
      <c r="CF169" s="182"/>
      <c r="CG169" s="182"/>
      <c r="CH169" s="182"/>
      <c r="CI169" s="182"/>
      <c r="CJ169" s="182"/>
      <c r="CK169" s="182"/>
      <c r="CL169" s="618"/>
      <c r="CM169" s="619"/>
      <c r="CN169" s="620"/>
    </row>
    <row r="170" spans="1:92" s="344" customFormat="1" ht="22.5" customHeight="1">
      <c r="A170" s="335" t="s">
        <v>272</v>
      </c>
      <c r="B170" s="182" t="s">
        <v>100</v>
      </c>
      <c r="C170" s="182" t="s">
        <v>100</v>
      </c>
      <c r="D170" s="182" t="s">
        <v>100</v>
      </c>
      <c r="E170" s="182"/>
      <c r="F170" s="182" t="s">
        <v>100</v>
      </c>
      <c r="G170" s="302" t="s">
        <v>100</v>
      </c>
      <c r="H170" s="182"/>
      <c r="I170" s="182"/>
      <c r="J170" s="182"/>
      <c r="K170" s="182"/>
      <c r="L170" s="302" t="s">
        <v>100</v>
      </c>
      <c r="M170" s="182"/>
      <c r="N170" s="182"/>
      <c r="O170" s="320"/>
      <c r="P170" s="182" t="s">
        <v>100</v>
      </c>
      <c r="Q170" s="302" t="s">
        <v>100</v>
      </c>
      <c r="R170" s="182" t="s">
        <v>100</v>
      </c>
      <c r="S170" s="302" t="s">
        <v>100</v>
      </c>
      <c r="T170" s="182"/>
      <c r="U170" s="182"/>
      <c r="V170" s="182"/>
      <c r="W170" s="182"/>
      <c r="X170" s="182"/>
      <c r="Y170" s="182"/>
      <c r="Z170" s="182"/>
      <c r="AA170" s="182"/>
      <c r="AB170" s="182"/>
      <c r="AC170" s="182"/>
      <c r="AD170" s="182"/>
      <c r="AE170" s="182"/>
      <c r="AF170" s="182"/>
      <c r="AG170" s="182"/>
      <c r="AH170" s="182"/>
      <c r="AI170" s="182"/>
      <c r="AJ170" s="167">
        <f t="shared" si="37"/>
        <v>10</v>
      </c>
      <c r="AK170" s="483" t="s">
        <v>543</v>
      </c>
      <c r="AL170" s="341">
        <v>42738</v>
      </c>
      <c r="AM170" s="352"/>
      <c r="AN170" s="352"/>
      <c r="AO170" s="352"/>
      <c r="AP170" s="352"/>
      <c r="AQ170" s="352"/>
      <c r="AR170" s="352"/>
      <c r="AS170" s="352"/>
      <c r="AT170" s="352"/>
      <c r="AU170" s="352"/>
      <c r="AV170" s="352"/>
      <c r="AW170" s="352"/>
      <c r="AX170" s="352"/>
      <c r="AY170" s="352"/>
      <c r="AZ170" s="352"/>
      <c r="BA170" s="352"/>
      <c r="BB170" s="352"/>
      <c r="BC170" s="352"/>
      <c r="BD170" s="352"/>
      <c r="BE170" s="352"/>
      <c r="BF170" s="352"/>
      <c r="BG170" s="352"/>
      <c r="BH170" s="352"/>
      <c r="BI170" s="352"/>
      <c r="BJ170" s="352"/>
      <c r="BK170" s="352"/>
      <c r="BL170" s="470"/>
      <c r="BM170" s="339"/>
      <c r="BN170" s="339"/>
      <c r="BO170" s="182"/>
      <c r="BP170" s="182"/>
      <c r="BQ170" s="182"/>
      <c r="BR170" s="182"/>
      <c r="BS170" s="182"/>
      <c r="BT170" s="182"/>
      <c r="BU170" s="182"/>
      <c r="BV170" s="182"/>
      <c r="BW170" s="182"/>
      <c r="BX170" s="182"/>
      <c r="BY170" s="182"/>
      <c r="BZ170" s="182"/>
      <c r="CA170" s="182"/>
      <c r="CB170" s="182"/>
      <c r="CC170" s="182"/>
      <c r="CD170" s="182"/>
      <c r="CE170" s="182"/>
      <c r="CF170" s="182"/>
      <c r="CG170" s="182"/>
      <c r="CH170" s="182"/>
      <c r="CI170" s="182"/>
      <c r="CJ170" s="182"/>
      <c r="CK170" s="182"/>
      <c r="CL170" s="680" t="s">
        <v>606</v>
      </c>
      <c r="CM170" s="681"/>
      <c r="CN170" s="682"/>
    </row>
    <row r="171" spans="1:92" s="344" customFormat="1" ht="13.5" customHeight="1">
      <c r="A171" s="335" t="s">
        <v>273</v>
      </c>
      <c r="B171" s="182" t="s">
        <v>100</v>
      </c>
      <c r="C171" s="182" t="s">
        <v>100</v>
      </c>
      <c r="D171" s="182" t="s">
        <v>100</v>
      </c>
      <c r="E171" s="182" t="s">
        <v>100</v>
      </c>
      <c r="F171" s="182" t="s">
        <v>100</v>
      </c>
      <c r="G171" s="182"/>
      <c r="H171" s="182" t="s">
        <v>100</v>
      </c>
      <c r="I171" s="182"/>
      <c r="J171" s="182"/>
      <c r="K171" s="182"/>
      <c r="L171" s="182" t="s">
        <v>100</v>
      </c>
      <c r="M171" s="182"/>
      <c r="N171" s="182" t="s">
        <v>100</v>
      </c>
      <c r="O171" s="182" t="s">
        <v>100</v>
      </c>
      <c r="P171" s="182"/>
      <c r="Q171" s="182" t="s">
        <v>100</v>
      </c>
      <c r="R171" s="182"/>
      <c r="S171" s="182"/>
      <c r="T171" s="182"/>
      <c r="U171" s="182"/>
      <c r="V171" s="182"/>
      <c r="W171" s="182"/>
      <c r="X171" s="182"/>
      <c r="Y171" s="182"/>
      <c r="Z171" s="182"/>
      <c r="AA171" s="182"/>
      <c r="AB171" s="182"/>
      <c r="AC171" s="182"/>
      <c r="AD171" s="182"/>
      <c r="AE171" s="182"/>
      <c r="AF171" s="182"/>
      <c r="AG171" s="182"/>
      <c r="AH171" s="182"/>
      <c r="AI171" s="182"/>
      <c r="AJ171" s="167">
        <f t="shared" si="37"/>
        <v>10</v>
      </c>
      <c r="AK171" s="481" t="str">
        <f>HYPERLINK("http://www.heraldtribune.com/sports/20170118/hall-of-fame-dennis-maffezzolis-reveals-his-picks-for-baseball-hall","Herald Tribune")</f>
        <v>Herald Tribune</v>
      </c>
      <c r="AL171" s="341">
        <v>42753</v>
      </c>
      <c r="AM171" s="352"/>
      <c r="AN171" s="352"/>
      <c r="AO171" s="352"/>
      <c r="AP171" s="352"/>
      <c r="AQ171" s="352"/>
      <c r="AR171" s="352"/>
      <c r="AS171" s="352"/>
      <c r="AT171" s="352"/>
      <c r="AU171" s="352"/>
      <c r="AV171" s="352"/>
      <c r="AW171" s="352"/>
      <c r="AX171" s="352"/>
      <c r="AY171" s="352"/>
      <c r="AZ171" s="352"/>
      <c r="BA171" s="352"/>
      <c r="BB171" s="352"/>
      <c r="BC171" s="352"/>
      <c r="BD171" s="352"/>
      <c r="BE171" s="352"/>
      <c r="BF171" s="352"/>
      <c r="BG171" s="352"/>
      <c r="BH171" s="352"/>
      <c r="BI171" s="352"/>
      <c r="BJ171" s="352"/>
      <c r="BK171" s="352"/>
      <c r="BL171" s="470"/>
      <c r="BM171" s="339"/>
      <c r="BN171" s="339"/>
      <c r="BO171" s="182"/>
      <c r="BP171" s="182"/>
      <c r="BQ171" s="182"/>
      <c r="BR171" s="182"/>
      <c r="BS171" s="182"/>
      <c r="BT171" s="182"/>
      <c r="BU171" s="182"/>
      <c r="BV171" s="182"/>
      <c r="BW171" s="182"/>
      <c r="BX171" s="182"/>
      <c r="BY171" s="182"/>
      <c r="BZ171" s="182"/>
      <c r="CA171" s="182"/>
      <c r="CB171" s="182"/>
      <c r="CC171" s="182"/>
      <c r="CD171" s="182"/>
      <c r="CE171" s="182"/>
      <c r="CF171" s="182"/>
      <c r="CG171" s="182"/>
      <c r="CH171" s="182"/>
      <c r="CI171" s="182"/>
      <c r="CJ171" s="182"/>
      <c r="CK171" s="182"/>
      <c r="CL171" s="618"/>
      <c r="CM171" s="619"/>
      <c r="CN171" s="620"/>
    </row>
    <row r="172" spans="1:92" s="344" customFormat="1">
      <c r="A172" s="335" t="s">
        <v>274</v>
      </c>
      <c r="B172" s="182" t="s">
        <v>100</v>
      </c>
      <c r="C172" s="182" t="s">
        <v>100</v>
      </c>
      <c r="D172" s="182" t="s">
        <v>100</v>
      </c>
      <c r="E172" s="182" t="s">
        <v>100</v>
      </c>
      <c r="F172" s="182" t="s">
        <v>100</v>
      </c>
      <c r="G172" s="182"/>
      <c r="H172" s="182"/>
      <c r="I172" s="182"/>
      <c r="J172" s="182"/>
      <c r="K172" s="182"/>
      <c r="L172" s="182" t="s">
        <v>100</v>
      </c>
      <c r="M172" s="182" t="s">
        <v>100</v>
      </c>
      <c r="N172" s="182" t="s">
        <v>100</v>
      </c>
      <c r="O172" s="182"/>
      <c r="P172" s="302" t="s">
        <v>100</v>
      </c>
      <c r="Q172" s="182"/>
      <c r="R172" s="182"/>
      <c r="S172" s="182"/>
      <c r="T172" s="182" t="s">
        <v>100</v>
      </c>
      <c r="U172" s="182"/>
      <c r="V172" s="182"/>
      <c r="W172" s="182"/>
      <c r="X172" s="182"/>
      <c r="Y172" s="182"/>
      <c r="Z172" s="182"/>
      <c r="AA172" s="182"/>
      <c r="AB172" s="182"/>
      <c r="AC172" s="182"/>
      <c r="AD172" s="182"/>
      <c r="AE172" s="182"/>
      <c r="AF172" s="182"/>
      <c r="AG172" s="182"/>
      <c r="AH172" s="182"/>
      <c r="AI172" s="182"/>
      <c r="AJ172" s="167">
        <f t="shared" si="37"/>
        <v>10</v>
      </c>
      <c r="AK172" s="493" t="str">
        <f>HYPERLINK("https://twitter.com/JackMagruder/status/813943992857468928","Twitter")</f>
        <v>Twitter</v>
      </c>
      <c r="AL172" s="341">
        <v>42731</v>
      </c>
      <c r="AM172" s="352"/>
      <c r="AN172" s="352"/>
      <c r="AO172" s="352"/>
      <c r="AP172" s="352"/>
      <c r="AQ172" s="352"/>
      <c r="AR172" s="352"/>
      <c r="AS172" s="352"/>
      <c r="AT172" s="352"/>
      <c r="AU172" s="352"/>
      <c r="AV172" s="352"/>
      <c r="AW172" s="352"/>
      <c r="AX172" s="352"/>
      <c r="AY172" s="352"/>
      <c r="AZ172" s="352"/>
      <c r="BA172" s="352"/>
      <c r="BB172" s="352"/>
      <c r="BC172" s="352"/>
      <c r="BD172" s="352"/>
      <c r="BE172" s="352"/>
      <c r="BF172" s="352"/>
      <c r="BG172" s="352"/>
      <c r="BH172" s="352"/>
      <c r="BI172" s="352"/>
      <c r="BJ172" s="352"/>
      <c r="BK172" s="352"/>
      <c r="BL172" s="470"/>
      <c r="BM172" s="339"/>
      <c r="BN172" s="339"/>
      <c r="BO172" s="182"/>
      <c r="BP172" s="182"/>
      <c r="BQ172" s="182"/>
      <c r="BR172" s="182"/>
      <c r="BS172" s="182"/>
      <c r="BT172" s="182"/>
      <c r="BU172" s="182"/>
      <c r="BV172" s="182"/>
      <c r="BW172" s="182"/>
      <c r="BX172" s="182"/>
      <c r="BY172" s="182"/>
      <c r="BZ172" s="182"/>
      <c r="CA172" s="182"/>
      <c r="CB172" s="182"/>
      <c r="CC172" s="182"/>
      <c r="CD172" s="182"/>
      <c r="CE172" s="182"/>
      <c r="CF172" s="182"/>
      <c r="CG172" s="182"/>
      <c r="CH172" s="182"/>
      <c r="CI172" s="182"/>
      <c r="CJ172" s="182"/>
      <c r="CK172" s="182"/>
      <c r="CL172" s="618"/>
      <c r="CM172" s="619"/>
      <c r="CN172" s="620"/>
    </row>
    <row r="173" spans="1:92" s="344" customFormat="1">
      <c r="A173" s="469" t="s">
        <v>275</v>
      </c>
      <c r="B173" s="410" t="s">
        <v>100</v>
      </c>
      <c r="C173" s="410"/>
      <c r="D173" s="410"/>
      <c r="E173" s="410" t="s">
        <v>100</v>
      </c>
      <c r="F173" s="502" t="s">
        <v>100</v>
      </c>
      <c r="G173" s="410"/>
      <c r="H173" s="410" t="s">
        <v>100</v>
      </c>
      <c r="I173" s="410"/>
      <c r="J173" s="410" t="s">
        <v>100</v>
      </c>
      <c r="K173" s="410"/>
      <c r="L173" s="410" t="s">
        <v>100</v>
      </c>
      <c r="M173" s="410"/>
      <c r="N173" s="410" t="s">
        <v>100</v>
      </c>
      <c r="O173" s="410" t="s">
        <v>100</v>
      </c>
      <c r="P173" s="410"/>
      <c r="Q173" s="410"/>
      <c r="R173" s="410"/>
      <c r="S173" s="410"/>
      <c r="T173" s="502" t="s">
        <v>100</v>
      </c>
      <c r="U173" s="639"/>
      <c r="V173" s="639"/>
      <c r="W173" s="639"/>
      <c r="X173" s="639"/>
      <c r="Y173" s="639"/>
      <c r="Z173" s="639"/>
      <c r="AA173" s="639"/>
      <c r="AB173" s="639"/>
      <c r="AC173" s="639"/>
      <c r="AD173" s="639"/>
      <c r="AE173" s="639"/>
      <c r="AF173" s="639"/>
      <c r="AG173" s="639"/>
      <c r="AH173" s="639"/>
      <c r="AI173" s="639"/>
      <c r="AJ173" s="167">
        <f t="shared" si="37"/>
        <v>9</v>
      </c>
      <c r="AK173" s="508" t="str">
        <f>HYPERLINK("http://www.cleveland.com/tribe/index.ssf/2017/01/hall_of_fame_baseball.html","Cleveland.com")</f>
        <v>Cleveland.com</v>
      </c>
      <c r="AL173" s="471">
        <v>42753</v>
      </c>
      <c r="AM173" s="352"/>
      <c r="AN173" s="352"/>
      <c r="AO173" s="352"/>
      <c r="AP173" s="352"/>
      <c r="AQ173" s="352"/>
      <c r="AR173" s="352"/>
      <c r="AS173" s="352"/>
      <c r="AT173" s="352"/>
      <c r="AU173" s="352"/>
      <c r="AV173" s="352"/>
      <c r="AW173" s="352"/>
      <c r="AX173" s="352"/>
      <c r="AY173" s="352"/>
      <c r="AZ173" s="352"/>
      <c r="BA173" s="352"/>
      <c r="BB173" s="352"/>
      <c r="BC173" s="352"/>
      <c r="BD173" s="352"/>
      <c r="BE173" s="352"/>
      <c r="BF173" s="352"/>
      <c r="BG173" s="352"/>
      <c r="BH173" s="352"/>
      <c r="BI173" s="352"/>
      <c r="BJ173" s="352"/>
      <c r="BK173" s="352"/>
      <c r="BL173" s="470"/>
      <c r="BM173" s="339"/>
      <c r="BN173" s="339"/>
      <c r="BO173" s="182"/>
      <c r="BP173" s="182"/>
      <c r="BQ173" s="182"/>
      <c r="BR173" s="182"/>
      <c r="BS173" s="182"/>
      <c r="BT173" s="182"/>
      <c r="BU173" s="182"/>
      <c r="BV173" s="182"/>
      <c r="BW173" s="182"/>
      <c r="BX173" s="182"/>
      <c r="BY173" s="182"/>
      <c r="BZ173" s="182"/>
      <c r="CA173" s="182"/>
      <c r="CB173" s="182"/>
      <c r="CC173" s="182"/>
      <c r="CD173" s="182"/>
      <c r="CE173" s="182"/>
      <c r="CF173" s="182"/>
      <c r="CG173" s="182"/>
      <c r="CH173" s="182"/>
      <c r="CI173" s="182"/>
      <c r="CJ173" s="182"/>
      <c r="CK173" s="182"/>
      <c r="CL173" s="618"/>
      <c r="CM173" s="619"/>
      <c r="CN173" s="620"/>
    </row>
    <row r="174" spans="1:92" s="344" customFormat="1">
      <c r="A174" s="335" t="s">
        <v>607</v>
      </c>
      <c r="B174" s="182"/>
      <c r="C174" s="182"/>
      <c r="D174" s="182"/>
      <c r="E174" s="182" t="s">
        <v>100</v>
      </c>
      <c r="F174" s="182" t="s">
        <v>100</v>
      </c>
      <c r="G174" s="182"/>
      <c r="H174" s="182"/>
      <c r="I174" s="182"/>
      <c r="J174" s="182"/>
      <c r="K174" s="182"/>
      <c r="L174" s="182"/>
      <c r="M174" s="182"/>
      <c r="N174" s="182"/>
      <c r="O174" s="182"/>
      <c r="P174" s="182"/>
      <c r="Q174" s="182"/>
      <c r="R174" s="182"/>
      <c r="S174" s="182"/>
      <c r="T174" s="182"/>
      <c r="U174" s="182"/>
      <c r="V174" s="182"/>
      <c r="W174" s="182"/>
      <c r="X174" s="182"/>
      <c r="Y174" s="182"/>
      <c r="Z174" s="182"/>
      <c r="AA174" s="182"/>
      <c r="AB174" s="182"/>
      <c r="AC174" s="182"/>
      <c r="AD174" s="182"/>
      <c r="AE174" s="182"/>
      <c r="AF174" s="182"/>
      <c r="AG174" s="182"/>
      <c r="AH174" s="182"/>
      <c r="AI174" s="182"/>
      <c r="AJ174" s="167">
        <f t="shared" si="37"/>
        <v>2</v>
      </c>
      <c r="AK174" s="493" t="str">
        <f>HYPERLINK("http://www.newsday.com/sports/baseball/2017-baseball-hall-of-fame-ballot-by-newsday-s-steven-marcus-1.12757116","Newsday")</f>
        <v>Newsday</v>
      </c>
      <c r="AL174" s="341">
        <v>42718</v>
      </c>
      <c r="AM174" s="352"/>
      <c r="AN174" s="352"/>
      <c r="AO174" s="352"/>
      <c r="AP174" s="352"/>
      <c r="AQ174" s="352"/>
      <c r="AR174" s="352"/>
      <c r="AS174" s="352"/>
      <c r="AT174" s="352"/>
      <c r="AU174" s="352"/>
      <c r="AV174" s="352"/>
      <c r="AW174" s="352"/>
      <c r="AX174" s="352"/>
      <c r="AY174" s="352"/>
      <c r="AZ174" s="352"/>
      <c r="BA174" s="352"/>
      <c r="BB174" s="352"/>
      <c r="BC174" s="352"/>
      <c r="BD174" s="352"/>
      <c r="BE174" s="352"/>
      <c r="BF174" s="352"/>
      <c r="BG174" s="352"/>
      <c r="BH174" s="352"/>
      <c r="BI174" s="352"/>
      <c r="BJ174" s="352"/>
      <c r="BK174" s="352"/>
      <c r="BL174" s="470"/>
      <c r="BM174" s="339"/>
      <c r="BN174" s="339"/>
      <c r="BO174" s="182"/>
      <c r="BP174" s="182"/>
      <c r="BQ174" s="182"/>
      <c r="BR174" s="182"/>
      <c r="BS174" s="182"/>
      <c r="BT174" s="182"/>
      <c r="BU174" s="182"/>
      <c r="BV174" s="182"/>
      <c r="BW174" s="182"/>
      <c r="BX174" s="182"/>
      <c r="BY174" s="182"/>
      <c r="BZ174" s="182"/>
      <c r="CA174" s="182"/>
      <c r="CB174" s="182"/>
      <c r="CC174" s="182"/>
      <c r="CD174" s="182"/>
      <c r="CE174" s="182"/>
      <c r="CF174" s="182"/>
      <c r="CG174" s="182"/>
      <c r="CH174" s="182"/>
      <c r="CI174" s="182"/>
      <c r="CJ174" s="182"/>
      <c r="CK174" s="182"/>
      <c r="CL174" s="680"/>
      <c r="CM174" s="681"/>
      <c r="CN174" s="682"/>
    </row>
    <row r="175" spans="1:92" s="344" customFormat="1">
      <c r="A175" s="335" t="s">
        <v>277</v>
      </c>
      <c r="B175" s="182"/>
      <c r="C175" s="182" t="s">
        <v>100</v>
      </c>
      <c r="D175" s="182" t="s">
        <v>100</v>
      </c>
      <c r="E175" s="182" t="s">
        <v>100</v>
      </c>
      <c r="F175" s="302" t="s">
        <v>100</v>
      </c>
      <c r="G175" s="182"/>
      <c r="H175" s="182"/>
      <c r="I175" s="182"/>
      <c r="J175" s="182" t="s">
        <v>100</v>
      </c>
      <c r="K175" s="182"/>
      <c r="L175" s="182"/>
      <c r="M175" s="182" t="s">
        <v>100</v>
      </c>
      <c r="N175" s="182" t="s">
        <v>100</v>
      </c>
      <c r="O175" s="182"/>
      <c r="P175" s="182"/>
      <c r="Q175" s="182"/>
      <c r="R175" s="182" t="s">
        <v>100</v>
      </c>
      <c r="S175" s="182"/>
      <c r="T175" s="182"/>
      <c r="U175" s="182"/>
      <c r="V175" s="182"/>
      <c r="W175" s="182"/>
      <c r="X175" s="182"/>
      <c r="Y175" s="182"/>
      <c r="Z175" s="182"/>
      <c r="AA175" s="182"/>
      <c r="AB175" s="182"/>
      <c r="AC175" s="182"/>
      <c r="AD175" s="182"/>
      <c r="AE175" s="182"/>
      <c r="AF175" s="182"/>
      <c r="AG175" s="182"/>
      <c r="AH175" s="182"/>
      <c r="AI175" s="182"/>
      <c r="AJ175" s="167">
        <f t="shared" si="37"/>
        <v>8</v>
      </c>
      <c r="AK175" s="493" t="str">
        <f>HYPERLINK("http://www.davidmaril.com/index.php?post_id=31&amp;title=%E2%80%8Bvoters-in-baseball%E2%80%99s-hall-of-fame-election-are-only-qualified-to-judge-former-players-on-talent-and-their-play-on-the-field","DavidMaril.com")</f>
        <v>DavidMaril.com</v>
      </c>
      <c r="AL175" s="341">
        <v>42706</v>
      </c>
      <c r="AM175" s="352"/>
      <c r="AN175" s="352"/>
      <c r="AO175" s="352"/>
      <c r="AP175" s="352"/>
      <c r="AQ175" s="352"/>
      <c r="AR175" s="352"/>
      <c r="AS175" s="352"/>
      <c r="AT175" s="352"/>
      <c r="AU175" s="352"/>
      <c r="AV175" s="352"/>
      <c r="AW175" s="352"/>
      <c r="AX175" s="352"/>
      <c r="AY175" s="352"/>
      <c r="AZ175" s="352"/>
      <c r="BA175" s="352"/>
      <c r="BB175" s="352"/>
      <c r="BC175" s="352"/>
      <c r="BD175" s="352"/>
      <c r="BE175" s="352"/>
      <c r="BF175" s="352"/>
      <c r="BG175" s="352"/>
      <c r="BH175" s="352"/>
      <c r="BI175" s="352"/>
      <c r="BJ175" s="352"/>
      <c r="BK175" s="352"/>
      <c r="BL175" s="470"/>
      <c r="BM175" s="339"/>
      <c r="BN175" s="339"/>
      <c r="BO175" s="182"/>
      <c r="BP175" s="182"/>
      <c r="BQ175" s="182"/>
      <c r="BR175" s="182"/>
      <c r="BS175" s="182"/>
      <c r="BT175" s="182"/>
      <c r="BU175" s="182"/>
      <c r="BV175" s="182"/>
      <c r="BW175" s="182"/>
      <c r="BX175" s="182"/>
      <c r="BY175" s="182"/>
      <c r="BZ175" s="182"/>
      <c r="CA175" s="182"/>
      <c r="CB175" s="182"/>
      <c r="CC175" s="182"/>
      <c r="CD175" s="182"/>
      <c r="CE175" s="182"/>
      <c r="CF175" s="182"/>
      <c r="CG175" s="182"/>
      <c r="CH175" s="182"/>
      <c r="CI175" s="182"/>
      <c r="CJ175" s="182"/>
      <c r="CK175" s="182"/>
      <c r="CL175" s="680"/>
      <c r="CM175" s="681"/>
      <c r="CN175" s="682"/>
    </row>
    <row r="176" spans="1:92" s="344" customFormat="1">
      <c r="A176" s="335" t="s">
        <v>608</v>
      </c>
      <c r="B176" s="182" t="s">
        <v>100</v>
      </c>
      <c r="C176" s="302" t="s">
        <v>100</v>
      </c>
      <c r="D176" s="302" t="s">
        <v>100</v>
      </c>
      <c r="E176" s="182"/>
      <c r="F176" s="182"/>
      <c r="G176" s="182"/>
      <c r="H176" s="182" t="s">
        <v>100</v>
      </c>
      <c r="I176" s="182"/>
      <c r="J176" s="182" t="s">
        <v>100</v>
      </c>
      <c r="K176" s="182"/>
      <c r="L176" s="302" t="s">
        <v>100</v>
      </c>
      <c r="M176" s="182"/>
      <c r="N176" s="182" t="s">
        <v>100</v>
      </c>
      <c r="O176" s="182"/>
      <c r="P176" s="182" t="s">
        <v>100</v>
      </c>
      <c r="Q176" s="182"/>
      <c r="R176" s="182"/>
      <c r="S176" s="182"/>
      <c r="T176" s="182" t="s">
        <v>100</v>
      </c>
      <c r="U176" s="182"/>
      <c r="V176" s="182"/>
      <c r="W176" s="182"/>
      <c r="X176" s="182"/>
      <c r="Y176" s="182"/>
      <c r="Z176" s="182"/>
      <c r="AA176" s="182"/>
      <c r="AB176" s="182"/>
      <c r="AC176" s="182"/>
      <c r="AD176" s="182"/>
      <c r="AE176" s="182"/>
      <c r="AF176" s="182"/>
      <c r="AG176" s="182"/>
      <c r="AH176" s="182"/>
      <c r="AI176" s="182"/>
      <c r="AJ176" s="167">
        <f t="shared" si="37"/>
        <v>9</v>
      </c>
      <c r="AK176" s="483" t="s">
        <v>543</v>
      </c>
      <c r="AL176" s="341">
        <v>42734</v>
      </c>
      <c r="AM176" s="352"/>
      <c r="AN176" s="352"/>
      <c r="AO176" s="352"/>
      <c r="AP176" s="352"/>
      <c r="AQ176" s="352"/>
      <c r="AR176" s="352"/>
      <c r="AS176" s="352"/>
      <c r="AT176" s="352"/>
      <c r="AU176" s="352"/>
      <c r="AV176" s="352"/>
      <c r="AW176" s="352"/>
      <c r="AX176" s="352"/>
      <c r="AY176" s="352"/>
      <c r="AZ176" s="352"/>
      <c r="BA176" s="352"/>
      <c r="BB176" s="352"/>
      <c r="BC176" s="352"/>
      <c r="BD176" s="352"/>
      <c r="BE176" s="352"/>
      <c r="BF176" s="352"/>
      <c r="BG176" s="352"/>
      <c r="BH176" s="352"/>
      <c r="BI176" s="352"/>
      <c r="BJ176" s="352"/>
      <c r="BK176" s="352"/>
      <c r="BL176" s="470"/>
      <c r="BM176" s="339"/>
      <c r="BN176" s="339"/>
      <c r="BO176" s="182"/>
      <c r="BP176" s="182"/>
      <c r="BQ176" s="182"/>
      <c r="BR176" s="182"/>
      <c r="BS176" s="182"/>
      <c r="BT176" s="182"/>
      <c r="BU176" s="182"/>
      <c r="BV176" s="182"/>
      <c r="BW176" s="182"/>
      <c r="BX176" s="182"/>
      <c r="BY176" s="182"/>
      <c r="BZ176" s="182"/>
      <c r="CA176" s="182"/>
      <c r="CB176" s="182"/>
      <c r="CC176" s="182"/>
      <c r="CD176" s="182"/>
      <c r="CE176" s="182"/>
      <c r="CF176" s="182"/>
      <c r="CG176" s="182"/>
      <c r="CH176" s="182"/>
      <c r="CI176" s="182"/>
      <c r="CJ176" s="182"/>
      <c r="CK176" s="182"/>
      <c r="CL176" s="618"/>
      <c r="CM176" s="619"/>
      <c r="CN176" s="620"/>
    </row>
    <row r="177" spans="1:92">
      <c r="A177" s="181" t="s">
        <v>278</v>
      </c>
      <c r="B177" s="182"/>
      <c r="C177" s="182" t="s">
        <v>100</v>
      </c>
      <c r="D177" s="182" t="s">
        <v>100</v>
      </c>
      <c r="E177" s="182"/>
      <c r="F177" s="182"/>
      <c r="G177" s="182"/>
      <c r="H177" s="182" t="s">
        <v>100</v>
      </c>
      <c r="I177" s="182"/>
      <c r="J177" s="182"/>
      <c r="K177" s="182"/>
      <c r="L177" s="182"/>
      <c r="M177" s="182" t="s">
        <v>100</v>
      </c>
      <c r="N177" s="182" t="s">
        <v>100</v>
      </c>
      <c r="O177" s="182"/>
      <c r="P177" s="182"/>
      <c r="Q177" s="182"/>
      <c r="R177" s="182"/>
      <c r="S177" s="182"/>
      <c r="T177" s="182"/>
      <c r="U177" s="182"/>
      <c r="V177" s="182"/>
      <c r="W177" s="182"/>
      <c r="X177" s="182"/>
      <c r="Y177" s="182"/>
      <c r="Z177" s="182"/>
      <c r="AA177" s="182"/>
      <c r="AB177" s="182"/>
      <c r="AC177" s="182"/>
      <c r="AD177" s="182"/>
      <c r="AE177" s="182"/>
      <c r="AF177" s="182"/>
      <c r="AG177" s="182"/>
      <c r="AH177" s="182"/>
      <c r="AI177" s="182"/>
      <c r="AJ177" s="167">
        <f t="shared" si="37"/>
        <v>5</v>
      </c>
      <c r="AK177" s="482" t="s">
        <v>609</v>
      </c>
      <c r="AL177" s="186">
        <v>42700</v>
      </c>
      <c r="AM177" s="187"/>
      <c r="AN177" s="187"/>
      <c r="AO177" s="187"/>
      <c r="AP177" s="187"/>
      <c r="AQ177" s="187"/>
      <c r="AR177" s="187"/>
      <c r="AS177" s="187"/>
      <c r="AT177" s="187"/>
      <c r="AU177" s="187"/>
      <c r="AV177" s="187"/>
      <c r="AW177" s="187"/>
      <c r="AX177" s="187"/>
      <c r="AY177" s="187"/>
      <c r="AZ177" s="187"/>
      <c r="BA177" s="187"/>
      <c r="BB177" s="187"/>
      <c r="BC177" s="187"/>
      <c r="BD177" s="187"/>
      <c r="BE177" s="187"/>
      <c r="BF177" s="187"/>
      <c r="BG177" s="187"/>
      <c r="BH177" s="187"/>
      <c r="BI177" s="187"/>
      <c r="BJ177" s="187"/>
      <c r="BK177" s="187"/>
      <c r="BL177" s="273"/>
      <c r="BM177" s="167"/>
      <c r="BN177" s="167"/>
      <c r="BO177" s="644"/>
      <c r="BP177" s="644"/>
      <c r="BQ177" s="644"/>
      <c r="BR177" s="644"/>
      <c r="BS177" s="644"/>
      <c r="BT177" s="644"/>
      <c r="BU177" s="644"/>
      <c r="BV177" s="644"/>
      <c r="BW177" s="644"/>
      <c r="BX177" s="644"/>
      <c r="BY177" s="644"/>
      <c r="BZ177" s="644"/>
      <c r="CA177" s="644"/>
      <c r="CB177" s="644"/>
      <c r="CC177" s="644"/>
      <c r="CD177" s="644"/>
      <c r="CE177" s="644"/>
      <c r="CF177" s="644"/>
      <c r="CG177" s="644"/>
      <c r="CH177" s="644"/>
      <c r="CI177" s="644"/>
      <c r="CJ177" s="644"/>
      <c r="CK177" s="644"/>
      <c r="CL177" s="680"/>
      <c r="CM177" s="681"/>
      <c r="CN177" s="682"/>
    </row>
    <row r="178" spans="1:92">
      <c r="A178" s="181" t="s">
        <v>610</v>
      </c>
      <c r="B178" s="182" t="s">
        <v>100</v>
      </c>
      <c r="C178" s="182" t="s">
        <v>100</v>
      </c>
      <c r="D178" s="182" t="s">
        <v>100</v>
      </c>
      <c r="E178" s="182" t="s">
        <v>100</v>
      </c>
      <c r="F178" s="182" t="s">
        <v>100</v>
      </c>
      <c r="G178" s="182"/>
      <c r="H178" s="182"/>
      <c r="I178" s="182"/>
      <c r="J178" s="182"/>
      <c r="K178" s="182"/>
      <c r="L178" s="302" t="s">
        <v>100</v>
      </c>
      <c r="M178" s="182"/>
      <c r="N178" s="182" t="s">
        <v>100</v>
      </c>
      <c r="O178" s="302" t="s">
        <v>100</v>
      </c>
      <c r="P178" s="182"/>
      <c r="Q178" s="182" t="s">
        <v>100</v>
      </c>
      <c r="R178" s="182"/>
      <c r="S178" s="182"/>
      <c r="T178" s="182"/>
      <c r="U178" s="182"/>
      <c r="V178" s="182"/>
      <c r="W178" s="182"/>
      <c r="X178" s="182"/>
      <c r="Y178" s="182"/>
      <c r="Z178" s="182"/>
      <c r="AA178" s="182"/>
      <c r="AB178" s="182"/>
      <c r="AC178" s="182"/>
      <c r="AD178" s="182"/>
      <c r="AE178" s="182"/>
      <c r="AF178" s="182"/>
      <c r="AG178" s="182"/>
      <c r="AH178" s="182"/>
      <c r="AI178" s="182"/>
      <c r="AJ178" s="167">
        <f t="shared" si="37"/>
        <v>9</v>
      </c>
      <c r="AK178" s="493" t="str">
        <f>HYPERLINK("http://bit.ly/2gGMY8D","Twitter")</f>
        <v>Twitter</v>
      </c>
      <c r="AL178" s="186">
        <v>42702</v>
      </c>
      <c r="AM178" s="187"/>
      <c r="AN178" s="187"/>
      <c r="AO178" s="187"/>
      <c r="AP178" s="187"/>
      <c r="AQ178" s="187"/>
      <c r="AR178" s="187"/>
      <c r="AS178" s="187"/>
      <c r="AT178" s="187"/>
      <c r="AU178" s="187"/>
      <c r="AV178" s="187"/>
      <c r="AW178" s="187"/>
      <c r="AX178" s="187"/>
      <c r="AY178" s="187"/>
      <c r="AZ178" s="187"/>
      <c r="BA178" s="187"/>
      <c r="BB178" s="187"/>
      <c r="BC178" s="187"/>
      <c r="BD178" s="187"/>
      <c r="BE178" s="187"/>
      <c r="BF178" s="187"/>
      <c r="BG178" s="187"/>
      <c r="BH178" s="187"/>
      <c r="BI178" s="187"/>
      <c r="BJ178" s="187"/>
      <c r="BK178" s="187"/>
      <c r="BL178" s="273"/>
      <c r="BM178" s="167"/>
      <c r="BN178" s="167"/>
      <c r="BO178" s="644"/>
      <c r="BP178" s="644"/>
      <c r="BQ178" s="644"/>
      <c r="BR178" s="644"/>
      <c r="BS178" s="644"/>
      <c r="BT178" s="644"/>
      <c r="BU178" s="644"/>
      <c r="BV178" s="644"/>
      <c r="BW178" s="644"/>
      <c r="BX178" s="644"/>
      <c r="BY178" s="644"/>
      <c r="BZ178" s="644"/>
      <c r="CA178" s="644"/>
      <c r="CB178" s="644"/>
      <c r="CC178" s="644"/>
      <c r="CD178" s="644"/>
      <c r="CE178" s="644"/>
      <c r="CF178" s="644"/>
      <c r="CG178" s="644"/>
      <c r="CH178" s="644"/>
      <c r="CI178" s="644"/>
      <c r="CJ178" s="644"/>
      <c r="CK178" s="644"/>
      <c r="CL178" s="680"/>
      <c r="CM178" s="681"/>
      <c r="CN178" s="682"/>
    </row>
    <row r="179" spans="1:92" s="344" customFormat="1">
      <c r="A179" s="335" t="s">
        <v>283</v>
      </c>
      <c r="B179" s="182" t="s">
        <v>100</v>
      </c>
      <c r="C179" s="182" t="s">
        <v>100</v>
      </c>
      <c r="D179" s="182" t="s">
        <v>100</v>
      </c>
      <c r="E179" s="182" t="s">
        <v>100</v>
      </c>
      <c r="F179" s="182"/>
      <c r="G179" s="182" t="s">
        <v>100</v>
      </c>
      <c r="H179" s="182" t="s">
        <v>100</v>
      </c>
      <c r="I179" s="182"/>
      <c r="J179" s="182" t="s">
        <v>100</v>
      </c>
      <c r="K179" s="182"/>
      <c r="L179" s="182" t="s">
        <v>100</v>
      </c>
      <c r="M179" s="182"/>
      <c r="N179" s="182" t="s">
        <v>100</v>
      </c>
      <c r="O179" s="182" t="s">
        <v>100</v>
      </c>
      <c r="P179" s="182"/>
      <c r="Q179" s="182"/>
      <c r="R179" s="182"/>
      <c r="S179" s="182"/>
      <c r="T179" s="182"/>
      <c r="U179" s="182"/>
      <c r="V179" s="182"/>
      <c r="W179" s="182"/>
      <c r="X179" s="182"/>
      <c r="Y179" s="182"/>
      <c r="Z179" s="182"/>
      <c r="AA179" s="182"/>
      <c r="AB179" s="182"/>
      <c r="AC179" s="182"/>
      <c r="AD179" s="182"/>
      <c r="AE179" s="182"/>
      <c r="AF179" s="182"/>
      <c r="AG179" s="182"/>
      <c r="AH179" s="182"/>
      <c r="AI179" s="182"/>
      <c r="AJ179" s="167">
        <f t="shared" si="37"/>
        <v>10</v>
      </c>
      <c r="AK179" s="481" t="str">
        <f>HYPERLINK("https://twitter.com/AnthonyMcCarron/status/821774805137555458","Twitter")</f>
        <v>Twitter</v>
      </c>
      <c r="AL179" s="341">
        <v>42753</v>
      </c>
      <c r="AM179" s="352"/>
      <c r="AN179" s="352"/>
      <c r="AO179" s="352"/>
      <c r="AP179" s="352"/>
      <c r="AQ179" s="352"/>
      <c r="AR179" s="352"/>
      <c r="AS179" s="352"/>
      <c r="AT179" s="352"/>
      <c r="AU179" s="352"/>
      <c r="AV179" s="352"/>
      <c r="AW179" s="352"/>
      <c r="AX179" s="352"/>
      <c r="AY179" s="352"/>
      <c r="AZ179" s="352"/>
      <c r="BA179" s="352"/>
      <c r="BB179" s="352"/>
      <c r="BC179" s="352"/>
      <c r="BD179" s="352"/>
      <c r="BE179" s="352"/>
      <c r="BF179" s="352"/>
      <c r="BG179" s="352"/>
      <c r="BH179" s="352"/>
      <c r="BI179" s="352"/>
      <c r="BJ179" s="352"/>
      <c r="BK179" s="352"/>
      <c r="BL179" s="470"/>
      <c r="BM179" s="339"/>
      <c r="BN179" s="339"/>
      <c r="BO179" s="182"/>
      <c r="BP179" s="182"/>
      <c r="BQ179" s="182"/>
      <c r="BR179" s="182"/>
      <c r="BS179" s="182"/>
      <c r="BT179" s="182"/>
      <c r="BU179" s="182"/>
      <c r="BV179" s="182"/>
      <c r="BW179" s="182"/>
      <c r="BX179" s="182"/>
      <c r="BY179" s="182"/>
      <c r="BZ179" s="182"/>
      <c r="CA179" s="182"/>
      <c r="CB179" s="182"/>
      <c r="CC179" s="182"/>
      <c r="CD179" s="182"/>
      <c r="CE179" s="182"/>
      <c r="CF179" s="182"/>
      <c r="CG179" s="182"/>
      <c r="CH179" s="182"/>
      <c r="CI179" s="182"/>
      <c r="CJ179" s="182"/>
      <c r="CK179" s="182"/>
      <c r="CL179" s="680" t="s">
        <v>224</v>
      </c>
      <c r="CM179" s="681"/>
      <c r="CN179" s="682"/>
    </row>
    <row r="180" spans="1:92" s="344" customFormat="1">
      <c r="A180" s="335" t="s">
        <v>611</v>
      </c>
      <c r="B180" s="182" t="s">
        <v>100</v>
      </c>
      <c r="C180" s="182" t="s">
        <v>100</v>
      </c>
      <c r="D180" s="182" t="s">
        <v>100</v>
      </c>
      <c r="E180" s="182" t="s">
        <v>100</v>
      </c>
      <c r="F180" s="182" t="s">
        <v>100</v>
      </c>
      <c r="G180" s="182"/>
      <c r="H180" s="182" t="s">
        <v>100</v>
      </c>
      <c r="I180" s="182"/>
      <c r="J180" s="182"/>
      <c r="K180" s="182"/>
      <c r="L180" s="182" t="s">
        <v>100</v>
      </c>
      <c r="M180" s="182" t="s">
        <v>100</v>
      </c>
      <c r="N180" s="182" t="s">
        <v>100</v>
      </c>
      <c r="O180" s="182" t="s">
        <v>100</v>
      </c>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67">
        <f t="shared" si="37"/>
        <v>10</v>
      </c>
      <c r="AK180" s="483" t="s">
        <v>543</v>
      </c>
      <c r="AL180" s="341">
        <v>42715</v>
      </c>
      <c r="AM180" s="352"/>
      <c r="AN180" s="352"/>
      <c r="AO180" s="352"/>
      <c r="AP180" s="352"/>
      <c r="AQ180" s="352"/>
      <c r="AR180" s="352"/>
      <c r="AS180" s="352"/>
      <c r="AT180" s="352"/>
      <c r="AU180" s="352"/>
      <c r="AV180" s="352"/>
      <c r="AW180" s="352"/>
      <c r="AX180" s="352"/>
      <c r="AY180" s="352"/>
      <c r="AZ180" s="352"/>
      <c r="BA180" s="352"/>
      <c r="BB180" s="352"/>
      <c r="BC180" s="352"/>
      <c r="BD180" s="352"/>
      <c r="BE180" s="352"/>
      <c r="BF180" s="352"/>
      <c r="BG180" s="352"/>
      <c r="BH180" s="352"/>
      <c r="BI180" s="352"/>
      <c r="BJ180" s="352"/>
      <c r="BK180" s="352"/>
      <c r="BL180" s="470"/>
      <c r="BM180" s="339"/>
      <c r="BN180" s="339"/>
      <c r="BO180" s="182"/>
      <c r="BP180" s="182"/>
      <c r="BQ180" s="182"/>
      <c r="BR180" s="182"/>
      <c r="BS180" s="182"/>
      <c r="BT180" s="182"/>
      <c r="BU180" s="182"/>
      <c r="BV180" s="182"/>
      <c r="BW180" s="182"/>
      <c r="BX180" s="182"/>
      <c r="BY180" s="182"/>
      <c r="BZ180" s="182"/>
      <c r="CA180" s="182"/>
      <c r="CB180" s="182"/>
      <c r="CC180" s="182"/>
      <c r="CD180" s="182"/>
      <c r="CE180" s="182"/>
      <c r="CF180" s="182"/>
      <c r="CG180" s="182"/>
      <c r="CH180" s="182"/>
      <c r="CI180" s="182"/>
      <c r="CJ180" s="182"/>
      <c r="CK180" s="182"/>
      <c r="CL180" s="680"/>
      <c r="CM180" s="681"/>
      <c r="CN180" s="682"/>
    </row>
    <row r="181" spans="1:92" s="344" customFormat="1">
      <c r="A181" s="335" t="s">
        <v>612</v>
      </c>
      <c r="B181" s="182" t="s">
        <v>100</v>
      </c>
      <c r="C181" s="182" t="s">
        <v>100</v>
      </c>
      <c r="D181" s="182" t="s">
        <v>100</v>
      </c>
      <c r="E181" s="182"/>
      <c r="F181" s="182" t="s">
        <v>100</v>
      </c>
      <c r="G181" s="182" t="s">
        <v>100</v>
      </c>
      <c r="H181" s="182"/>
      <c r="I181" s="182"/>
      <c r="J181" s="182" t="s">
        <v>100</v>
      </c>
      <c r="K181" s="182"/>
      <c r="L181" s="182" t="s">
        <v>100</v>
      </c>
      <c r="M181" s="182" t="s">
        <v>100</v>
      </c>
      <c r="N181" s="182" t="s">
        <v>100</v>
      </c>
      <c r="O181" s="182" t="s">
        <v>100</v>
      </c>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67">
        <f t="shared" si="37"/>
        <v>10</v>
      </c>
      <c r="AK181" s="481" t="str">
        <f>HYPERLINK("http://www.mydaytondailynews.com/sports/sports-daily-hall-fame-ballot-opposite-blank/nab7BBrkXpQ2Ctn7vLF7DI/","Dayton Daily News")</f>
        <v>Dayton Daily News</v>
      </c>
      <c r="AL181" s="341">
        <v>42752</v>
      </c>
      <c r="AM181" s="352"/>
      <c r="AN181" s="352"/>
      <c r="AO181" s="352"/>
      <c r="AP181" s="352"/>
      <c r="AQ181" s="352"/>
      <c r="AR181" s="352"/>
      <c r="AS181" s="352"/>
      <c r="AT181" s="352"/>
      <c r="AU181" s="352"/>
      <c r="AV181" s="352"/>
      <c r="AW181" s="352"/>
      <c r="AX181" s="352"/>
      <c r="AY181" s="352"/>
      <c r="AZ181" s="352"/>
      <c r="BA181" s="352"/>
      <c r="BB181" s="352"/>
      <c r="BC181" s="352"/>
      <c r="BD181" s="352"/>
      <c r="BE181" s="352"/>
      <c r="BF181" s="352"/>
      <c r="BG181" s="352"/>
      <c r="BH181" s="352"/>
      <c r="BI181" s="352"/>
      <c r="BJ181" s="352"/>
      <c r="BK181" s="352"/>
      <c r="BL181" s="470"/>
      <c r="BM181" s="339"/>
      <c r="BN181" s="339"/>
      <c r="BO181" s="182"/>
      <c r="BP181" s="182"/>
      <c r="BQ181" s="182"/>
      <c r="BR181" s="182"/>
      <c r="BS181" s="182"/>
      <c r="BT181" s="182"/>
      <c r="BU181" s="182"/>
      <c r="BV181" s="182"/>
      <c r="BW181" s="182"/>
      <c r="BX181" s="182"/>
      <c r="BY181" s="182"/>
      <c r="BZ181" s="182"/>
      <c r="CA181" s="182"/>
      <c r="CB181" s="182"/>
      <c r="CC181" s="182"/>
      <c r="CD181" s="182"/>
      <c r="CE181" s="182"/>
      <c r="CF181" s="182"/>
      <c r="CG181" s="182"/>
      <c r="CH181" s="182"/>
      <c r="CI181" s="182"/>
      <c r="CJ181" s="182"/>
      <c r="CK181" s="182"/>
      <c r="CL181" s="618"/>
      <c r="CM181" s="619"/>
      <c r="CN181" s="620"/>
    </row>
    <row r="182" spans="1:92" s="344" customFormat="1">
      <c r="A182" s="331" t="s">
        <v>286</v>
      </c>
      <c r="B182" s="182" t="s">
        <v>100</v>
      </c>
      <c r="C182" s="182" t="s">
        <v>100</v>
      </c>
      <c r="D182" s="182" t="s">
        <v>100</v>
      </c>
      <c r="E182" s="182" t="s">
        <v>100</v>
      </c>
      <c r="F182" s="182"/>
      <c r="G182" s="182"/>
      <c r="H182" s="182" t="s">
        <v>100</v>
      </c>
      <c r="I182" s="182"/>
      <c r="J182" s="182" t="s">
        <v>100</v>
      </c>
      <c r="K182" s="182"/>
      <c r="L182" s="182" t="s">
        <v>100</v>
      </c>
      <c r="M182" s="182" t="s">
        <v>100</v>
      </c>
      <c r="N182" s="182" t="s">
        <v>100</v>
      </c>
      <c r="O182" s="182"/>
      <c r="P182" s="182"/>
      <c r="Q182" s="182"/>
      <c r="R182" s="182" t="s">
        <v>100</v>
      </c>
      <c r="S182" s="182"/>
      <c r="T182" s="182"/>
      <c r="U182" s="182"/>
      <c r="V182" s="182"/>
      <c r="W182" s="182"/>
      <c r="X182" s="182"/>
      <c r="Y182" s="182"/>
      <c r="Z182" s="182"/>
      <c r="AA182" s="182"/>
      <c r="AB182" s="182"/>
      <c r="AC182" s="182"/>
      <c r="AD182" s="182"/>
      <c r="AE182" s="182"/>
      <c r="AF182" s="182"/>
      <c r="AG182" s="182"/>
      <c r="AH182" s="182"/>
      <c r="AI182" s="182"/>
      <c r="AJ182" s="167">
        <f t="shared" si="37"/>
        <v>10</v>
      </c>
      <c r="AK182" s="493" t="str">
        <f>HYPERLINK("https://twitter.com/ESPNJoeyMac/status/811969743968235520","Twitter")</f>
        <v>Twitter</v>
      </c>
      <c r="AL182" s="341">
        <v>42726</v>
      </c>
      <c r="AM182" s="352"/>
      <c r="AN182" s="352"/>
      <c r="AO182" s="352"/>
      <c r="AP182" s="352"/>
      <c r="AQ182" s="352"/>
      <c r="AR182" s="352"/>
      <c r="AS182" s="352"/>
      <c r="AT182" s="352"/>
      <c r="AU182" s="352"/>
      <c r="AV182" s="352"/>
      <c r="AW182" s="352"/>
      <c r="AX182" s="352"/>
      <c r="AY182" s="352"/>
      <c r="AZ182" s="352"/>
      <c r="BA182" s="352"/>
      <c r="BB182" s="352"/>
      <c r="BC182" s="352"/>
      <c r="BD182" s="352"/>
      <c r="BE182" s="352"/>
      <c r="BF182" s="352"/>
      <c r="BG182" s="352"/>
      <c r="BH182" s="352"/>
      <c r="BI182" s="352"/>
      <c r="BJ182" s="352"/>
      <c r="BK182" s="352"/>
      <c r="BL182" s="470"/>
      <c r="BM182" s="339"/>
      <c r="BN182" s="339"/>
      <c r="BO182" s="182"/>
      <c r="BP182" s="182"/>
      <c r="BQ182" s="182"/>
      <c r="BR182" s="182"/>
      <c r="BS182" s="182"/>
      <c r="BT182" s="182"/>
      <c r="BU182" s="182"/>
      <c r="BV182" s="182"/>
      <c r="BW182" s="182"/>
      <c r="BX182" s="182"/>
      <c r="BY182" s="182"/>
      <c r="BZ182" s="182"/>
      <c r="CA182" s="182"/>
      <c r="CB182" s="182"/>
      <c r="CC182" s="182"/>
      <c r="CD182" s="182"/>
      <c r="CE182" s="182"/>
      <c r="CF182" s="182"/>
      <c r="CG182" s="182"/>
      <c r="CH182" s="182"/>
      <c r="CI182" s="182"/>
      <c r="CJ182" s="182"/>
      <c r="CK182" s="182"/>
      <c r="CL182" s="618"/>
      <c r="CM182" s="619"/>
      <c r="CN182" s="620"/>
    </row>
    <row r="183" spans="1:92" s="344" customFormat="1">
      <c r="A183" s="331" t="s">
        <v>288</v>
      </c>
      <c r="B183" s="182" t="s">
        <v>100</v>
      </c>
      <c r="C183" s="182" t="s">
        <v>100</v>
      </c>
      <c r="D183" s="182" t="s">
        <v>100</v>
      </c>
      <c r="E183" s="182"/>
      <c r="F183" s="182"/>
      <c r="G183" s="182"/>
      <c r="H183" s="182" t="s">
        <v>100</v>
      </c>
      <c r="I183" s="182"/>
      <c r="J183" s="182" t="s">
        <v>100</v>
      </c>
      <c r="K183" s="182"/>
      <c r="L183" s="182" t="s">
        <v>100</v>
      </c>
      <c r="M183" s="182" t="s">
        <v>100</v>
      </c>
      <c r="N183" s="182" t="s">
        <v>100</v>
      </c>
      <c r="O183" s="182" t="s">
        <v>100</v>
      </c>
      <c r="P183" s="182"/>
      <c r="Q183" s="182"/>
      <c r="R183" s="182"/>
      <c r="S183" s="182"/>
      <c r="T183" s="182" t="s">
        <v>100</v>
      </c>
      <c r="U183" s="182"/>
      <c r="V183" s="182"/>
      <c r="W183" s="182"/>
      <c r="X183" s="182"/>
      <c r="Y183" s="182"/>
      <c r="Z183" s="182"/>
      <c r="AA183" s="182"/>
      <c r="AB183" s="182"/>
      <c r="AC183" s="182"/>
      <c r="AD183" s="182"/>
      <c r="AE183" s="182"/>
      <c r="AF183" s="182"/>
      <c r="AG183" s="182"/>
      <c r="AH183" s="182"/>
      <c r="AI183" s="182"/>
      <c r="AJ183" s="167">
        <f t="shared" si="37"/>
        <v>10</v>
      </c>
      <c r="AK183" s="493" t="str">
        <f>HYPERLINK("https://twitter.com/mellinger/status/810218016545898497","Twitter")</f>
        <v>Twitter</v>
      </c>
      <c r="AL183" s="341">
        <v>42721</v>
      </c>
      <c r="AM183" s="352"/>
      <c r="AN183" s="352"/>
      <c r="AO183" s="352"/>
      <c r="AP183" s="352"/>
      <c r="AQ183" s="352"/>
      <c r="AR183" s="352"/>
      <c r="AS183" s="352"/>
      <c r="AT183" s="352"/>
      <c r="AU183" s="352"/>
      <c r="AV183" s="352"/>
      <c r="AW183" s="352"/>
      <c r="AX183" s="352"/>
      <c r="AY183" s="352"/>
      <c r="AZ183" s="352"/>
      <c r="BA183" s="352"/>
      <c r="BB183" s="352"/>
      <c r="BC183" s="352"/>
      <c r="BD183" s="352"/>
      <c r="BE183" s="352"/>
      <c r="BF183" s="352"/>
      <c r="BG183" s="352"/>
      <c r="BH183" s="352"/>
      <c r="BI183" s="352"/>
      <c r="BJ183" s="352"/>
      <c r="BK183" s="352"/>
      <c r="BL183" s="470"/>
      <c r="BM183" s="339"/>
      <c r="BN183" s="339"/>
      <c r="BO183" s="182"/>
      <c r="BP183" s="182"/>
      <c r="BQ183" s="182"/>
      <c r="BR183" s="182"/>
      <c r="BS183" s="182"/>
      <c r="BT183" s="182"/>
      <c r="BU183" s="182"/>
      <c r="BV183" s="182"/>
      <c r="BW183" s="182"/>
      <c r="BX183" s="182"/>
      <c r="BY183" s="182"/>
      <c r="BZ183" s="182"/>
      <c r="CA183" s="182"/>
      <c r="CB183" s="182"/>
      <c r="CC183" s="182"/>
      <c r="CD183" s="182"/>
      <c r="CE183" s="182"/>
      <c r="CF183" s="182"/>
      <c r="CG183" s="182"/>
      <c r="CH183" s="182"/>
      <c r="CI183" s="182"/>
      <c r="CJ183" s="182"/>
      <c r="CK183" s="182"/>
      <c r="CL183" s="680" t="s">
        <v>384</v>
      </c>
      <c r="CM183" s="681"/>
      <c r="CN183" s="682"/>
    </row>
    <row r="184" spans="1:92" s="344" customFormat="1">
      <c r="A184" s="335" t="s">
        <v>289</v>
      </c>
      <c r="B184" s="182" t="s">
        <v>100</v>
      </c>
      <c r="C184" s="302" t="s">
        <v>100</v>
      </c>
      <c r="D184" s="302" t="s">
        <v>100</v>
      </c>
      <c r="E184" s="182" t="s">
        <v>100</v>
      </c>
      <c r="F184" s="182" t="s">
        <v>100</v>
      </c>
      <c r="G184" s="182"/>
      <c r="H184" s="182" t="s">
        <v>100</v>
      </c>
      <c r="I184" s="182"/>
      <c r="J184" s="182" t="s">
        <v>100</v>
      </c>
      <c r="K184" s="182"/>
      <c r="L184" s="182" t="s">
        <v>100</v>
      </c>
      <c r="M184" s="182"/>
      <c r="N184" s="182" t="s">
        <v>100</v>
      </c>
      <c r="O184" s="320"/>
      <c r="P184" s="182"/>
      <c r="Q184" s="182" t="s">
        <v>100</v>
      </c>
      <c r="R184" s="182"/>
      <c r="S184" s="182"/>
      <c r="T184" s="182"/>
      <c r="U184" s="182"/>
      <c r="V184" s="182"/>
      <c r="W184" s="182"/>
      <c r="X184" s="182"/>
      <c r="Y184" s="182"/>
      <c r="Z184" s="182"/>
      <c r="AA184" s="182"/>
      <c r="AB184" s="182"/>
      <c r="AC184" s="182"/>
      <c r="AD184" s="182"/>
      <c r="AE184" s="182"/>
      <c r="AF184" s="182"/>
      <c r="AG184" s="182"/>
      <c r="AH184" s="182"/>
      <c r="AI184" s="182"/>
      <c r="AJ184" s="167">
        <f t="shared" si="37"/>
        <v>10</v>
      </c>
      <c r="AK184" s="493" t="str">
        <f>HYPERLINK("http://www.dailyherald.com/article/20161226/sports/161229288/","Daily Herald")</f>
        <v>Daily Herald</v>
      </c>
      <c r="AL184" s="341">
        <v>42730</v>
      </c>
      <c r="AM184" s="352"/>
      <c r="AN184" s="352"/>
      <c r="AO184" s="352"/>
      <c r="AP184" s="352"/>
      <c r="AQ184" s="352"/>
      <c r="AR184" s="352"/>
      <c r="AS184" s="352"/>
      <c r="AT184" s="352"/>
      <c r="AU184" s="352"/>
      <c r="AV184" s="352"/>
      <c r="AW184" s="352"/>
      <c r="AX184" s="352"/>
      <c r="AY184" s="352"/>
      <c r="AZ184" s="352"/>
      <c r="BA184" s="352"/>
      <c r="BB184" s="352"/>
      <c r="BC184" s="352"/>
      <c r="BD184" s="352"/>
      <c r="BE184" s="352"/>
      <c r="BF184" s="352"/>
      <c r="BG184" s="352"/>
      <c r="BH184" s="352"/>
      <c r="BI184" s="352"/>
      <c r="BJ184" s="352"/>
      <c r="BK184" s="352"/>
      <c r="BL184" s="470"/>
      <c r="BM184" s="339"/>
      <c r="BN184" s="339"/>
      <c r="BO184" s="182"/>
      <c r="BP184" s="182"/>
      <c r="BQ184" s="182"/>
      <c r="BR184" s="182"/>
      <c r="BS184" s="182"/>
      <c r="BT184" s="182"/>
      <c r="BU184" s="182"/>
      <c r="BV184" s="182"/>
      <c r="BW184" s="182"/>
      <c r="BX184" s="182"/>
      <c r="BY184" s="182"/>
      <c r="BZ184" s="182"/>
      <c r="CA184" s="182"/>
      <c r="CB184" s="182"/>
      <c r="CC184" s="182"/>
      <c r="CD184" s="182"/>
      <c r="CE184" s="182"/>
      <c r="CF184" s="182"/>
      <c r="CG184" s="182"/>
      <c r="CH184" s="182"/>
      <c r="CI184" s="182"/>
      <c r="CJ184" s="182"/>
      <c r="CK184" s="182"/>
      <c r="CL184" s="618"/>
      <c r="CM184" s="619"/>
      <c r="CN184" s="620"/>
    </row>
    <row r="185" spans="1:92" s="344" customFormat="1">
      <c r="A185" s="331" t="s">
        <v>290</v>
      </c>
      <c r="B185" s="182" t="s">
        <v>100</v>
      </c>
      <c r="C185" s="182" t="s">
        <v>100</v>
      </c>
      <c r="D185" s="182" t="s">
        <v>100</v>
      </c>
      <c r="E185" s="182"/>
      <c r="F185" s="182"/>
      <c r="G185" s="182"/>
      <c r="H185" s="182"/>
      <c r="I185" s="182"/>
      <c r="J185" s="182" t="s">
        <v>100</v>
      </c>
      <c r="K185" s="182"/>
      <c r="L185" s="182" t="s">
        <v>100</v>
      </c>
      <c r="M185" s="182" t="s">
        <v>100</v>
      </c>
      <c r="N185" s="182" t="s">
        <v>100</v>
      </c>
      <c r="O185" s="182" t="s">
        <v>100</v>
      </c>
      <c r="P185" s="182"/>
      <c r="Q185" s="182"/>
      <c r="R185" s="182" t="s">
        <v>100</v>
      </c>
      <c r="S185" s="182"/>
      <c r="T185" s="182" t="s">
        <v>100</v>
      </c>
      <c r="U185" s="182"/>
      <c r="V185" s="182"/>
      <c r="W185" s="182"/>
      <c r="X185" s="182"/>
      <c r="Y185" s="182"/>
      <c r="Z185" s="182"/>
      <c r="AA185" s="182"/>
      <c r="AB185" s="182"/>
      <c r="AC185" s="182"/>
      <c r="AD185" s="182"/>
      <c r="AE185" s="182"/>
      <c r="AF185" s="182"/>
      <c r="AG185" s="182"/>
      <c r="AH185" s="182"/>
      <c r="AI185" s="182"/>
      <c r="AJ185" s="167">
        <f t="shared" si="37"/>
        <v>10</v>
      </c>
      <c r="AK185" s="483" t="s">
        <v>543</v>
      </c>
      <c r="AL185" s="341">
        <v>42752</v>
      </c>
      <c r="AM185" s="352"/>
      <c r="AN185" s="352"/>
      <c r="AO185" s="352"/>
      <c r="AP185" s="352"/>
      <c r="AQ185" s="352"/>
      <c r="AR185" s="352"/>
      <c r="AS185" s="352"/>
      <c r="AT185" s="352"/>
      <c r="AU185" s="352"/>
      <c r="AV185" s="352"/>
      <c r="AW185" s="352"/>
      <c r="AX185" s="352"/>
      <c r="AY185" s="352"/>
      <c r="AZ185" s="352"/>
      <c r="BA185" s="352"/>
      <c r="BB185" s="352"/>
      <c r="BC185" s="352"/>
      <c r="BD185" s="352"/>
      <c r="BE185" s="352"/>
      <c r="BF185" s="352"/>
      <c r="BG185" s="352"/>
      <c r="BH185" s="352"/>
      <c r="BI185" s="352"/>
      <c r="BJ185" s="352"/>
      <c r="BK185" s="352"/>
      <c r="BL185" s="470"/>
      <c r="BM185" s="339"/>
      <c r="BN185" s="339"/>
      <c r="BO185" s="182"/>
      <c r="BP185" s="182"/>
      <c r="BQ185" s="182"/>
      <c r="BR185" s="182"/>
      <c r="BS185" s="182"/>
      <c r="BT185" s="182"/>
      <c r="BU185" s="182"/>
      <c r="BV185" s="182"/>
      <c r="BW185" s="182"/>
      <c r="BX185" s="182"/>
      <c r="BY185" s="182"/>
      <c r="BZ185" s="182"/>
      <c r="CA185" s="182"/>
      <c r="CB185" s="182"/>
      <c r="CC185" s="182"/>
      <c r="CD185" s="182"/>
      <c r="CE185" s="182"/>
      <c r="CF185" s="182"/>
      <c r="CG185" s="182"/>
      <c r="CH185" s="182"/>
      <c r="CI185" s="182"/>
      <c r="CJ185" s="182"/>
      <c r="CK185" s="182"/>
      <c r="CL185" s="618"/>
      <c r="CM185" s="619"/>
      <c r="CN185" s="620"/>
    </row>
    <row r="186" spans="1:92" s="344" customFormat="1">
      <c r="A186" s="335" t="s">
        <v>613</v>
      </c>
      <c r="B186" s="182" t="s">
        <v>100</v>
      </c>
      <c r="C186" s="182"/>
      <c r="D186" s="182"/>
      <c r="E186" s="182" t="s">
        <v>100</v>
      </c>
      <c r="F186" s="182" t="s">
        <v>100</v>
      </c>
      <c r="G186" s="182"/>
      <c r="H186" s="182"/>
      <c r="I186" s="182" t="s">
        <v>100</v>
      </c>
      <c r="J186" s="182"/>
      <c r="K186" s="182"/>
      <c r="L186" s="182"/>
      <c r="M186" s="182"/>
      <c r="N186" s="182"/>
      <c r="O186" s="182"/>
      <c r="P186" s="182"/>
      <c r="Q186" s="182"/>
      <c r="R186" s="182"/>
      <c r="S186" s="182" t="s">
        <v>100</v>
      </c>
      <c r="T186" s="182"/>
      <c r="U186" s="182"/>
      <c r="V186" s="182"/>
      <c r="W186" s="182"/>
      <c r="X186" s="182"/>
      <c r="Y186" s="182"/>
      <c r="Z186" s="182"/>
      <c r="AA186" s="182"/>
      <c r="AB186" s="182"/>
      <c r="AC186" s="182"/>
      <c r="AD186" s="182"/>
      <c r="AE186" s="182"/>
      <c r="AF186" s="182"/>
      <c r="AG186" s="182"/>
      <c r="AH186" s="182"/>
      <c r="AI186" s="182"/>
      <c r="AJ186" s="167">
        <f t="shared" si="37"/>
        <v>5</v>
      </c>
      <c r="AK186" s="493" t="str">
        <f>HYPERLINK("http://www.nj.com/yankees/index.ssf/2017/01/baseball_hall_of_fame_how_i_filled_out_my_2017_bal.html#0","NJ.com")</f>
        <v>NJ.com</v>
      </c>
      <c r="AL186" s="341">
        <v>42741</v>
      </c>
      <c r="AM186" s="352"/>
      <c r="AN186" s="352"/>
      <c r="AO186" s="352"/>
      <c r="AP186" s="352"/>
      <c r="AQ186" s="352"/>
      <c r="AR186" s="352"/>
      <c r="AS186" s="352"/>
      <c r="AT186" s="352"/>
      <c r="AU186" s="352"/>
      <c r="AV186" s="352"/>
      <c r="AW186" s="352"/>
      <c r="AX186" s="352"/>
      <c r="AY186" s="352"/>
      <c r="AZ186" s="352"/>
      <c r="BA186" s="352"/>
      <c r="BB186" s="352"/>
      <c r="BC186" s="352"/>
      <c r="BD186" s="352"/>
      <c r="BE186" s="352"/>
      <c r="BF186" s="352"/>
      <c r="BG186" s="352"/>
      <c r="BH186" s="352"/>
      <c r="BI186" s="352"/>
      <c r="BJ186" s="352"/>
      <c r="BK186" s="352"/>
      <c r="BL186" s="470"/>
      <c r="BM186" s="339"/>
      <c r="BN186" s="339"/>
      <c r="BO186" s="182"/>
      <c r="BP186" s="182"/>
      <c r="BQ186" s="182"/>
      <c r="BR186" s="182"/>
      <c r="BS186" s="182"/>
      <c r="BT186" s="182"/>
      <c r="BU186" s="182"/>
      <c r="BV186" s="182"/>
      <c r="BW186" s="182"/>
      <c r="BX186" s="182"/>
      <c r="BY186" s="182"/>
      <c r="BZ186" s="182"/>
      <c r="CA186" s="182"/>
      <c r="CB186" s="182"/>
      <c r="CC186" s="182"/>
      <c r="CD186" s="182"/>
      <c r="CE186" s="182"/>
      <c r="CF186" s="182"/>
      <c r="CG186" s="182"/>
      <c r="CH186" s="182"/>
      <c r="CI186" s="182"/>
      <c r="CJ186" s="182"/>
      <c r="CK186" s="182"/>
      <c r="CL186" s="618"/>
      <c r="CM186" s="619"/>
      <c r="CN186" s="620"/>
    </row>
    <row r="187" spans="1:92" s="344" customFormat="1">
      <c r="A187" s="335" t="s">
        <v>293</v>
      </c>
      <c r="B187" s="302" t="s">
        <v>100</v>
      </c>
      <c r="C187" s="182"/>
      <c r="D187" s="182"/>
      <c r="E187" s="182" t="s">
        <v>100</v>
      </c>
      <c r="F187" s="182" t="s">
        <v>100</v>
      </c>
      <c r="G187" s="182" t="s">
        <v>100</v>
      </c>
      <c r="H187" s="302" t="s">
        <v>100</v>
      </c>
      <c r="I187" s="182" t="s">
        <v>100</v>
      </c>
      <c r="J187" s="182" t="s">
        <v>100</v>
      </c>
      <c r="K187" s="182"/>
      <c r="L187" s="182" t="s">
        <v>100</v>
      </c>
      <c r="M187" s="182"/>
      <c r="N187" s="182"/>
      <c r="O187" s="182"/>
      <c r="P187" s="182"/>
      <c r="Q187" s="182"/>
      <c r="R187" s="182"/>
      <c r="S187" s="182"/>
      <c r="T187" s="182"/>
      <c r="U187" s="182"/>
      <c r="V187" s="182"/>
      <c r="W187" s="182"/>
      <c r="X187" s="182"/>
      <c r="Y187" s="182"/>
      <c r="Z187" s="182"/>
      <c r="AA187" s="182"/>
      <c r="AB187" s="182"/>
      <c r="AC187" s="182"/>
      <c r="AD187" s="182"/>
      <c r="AE187" s="182"/>
      <c r="AF187" s="182"/>
      <c r="AG187" s="182"/>
      <c r="AH187" s="182"/>
      <c r="AI187" s="182"/>
      <c r="AJ187" s="167">
        <f t="shared" si="37"/>
        <v>8</v>
      </c>
      <c r="AK187" s="493" t="str">
        <f>HYPERLINK("http://bleacherreport.com/articles/2686125-seligs-call-to-the-hall-shouldnt-bring-flood-of-new-names-to-cooperstown","Bleacher Report")</f>
        <v>Bleacher Report</v>
      </c>
      <c r="AL187" s="341">
        <v>42745</v>
      </c>
      <c r="AM187" s="352"/>
      <c r="AN187" s="352"/>
      <c r="AO187" s="352"/>
      <c r="AP187" s="352"/>
      <c r="AQ187" s="352"/>
      <c r="AR187" s="352"/>
      <c r="AS187" s="352"/>
      <c r="AT187" s="352"/>
      <c r="AU187" s="352"/>
      <c r="AV187" s="352"/>
      <c r="AW187" s="352"/>
      <c r="AX187" s="352"/>
      <c r="AY187" s="352"/>
      <c r="AZ187" s="352"/>
      <c r="BA187" s="352"/>
      <c r="BB187" s="352"/>
      <c r="BC187" s="352"/>
      <c r="BD187" s="352"/>
      <c r="BE187" s="352"/>
      <c r="BF187" s="352"/>
      <c r="BG187" s="352"/>
      <c r="BH187" s="352"/>
      <c r="BI187" s="352"/>
      <c r="BJ187" s="352"/>
      <c r="BK187" s="352"/>
      <c r="BL187" s="470"/>
      <c r="BM187" s="339"/>
      <c r="BN187" s="339"/>
      <c r="BO187" s="182"/>
      <c r="BP187" s="182"/>
      <c r="BQ187" s="182"/>
      <c r="BR187" s="182"/>
      <c r="BS187" s="182"/>
      <c r="BT187" s="182"/>
      <c r="BU187" s="182"/>
      <c r="BV187" s="182"/>
      <c r="BW187" s="182"/>
      <c r="BX187" s="182"/>
      <c r="BY187" s="182"/>
      <c r="BZ187" s="182"/>
      <c r="CA187" s="182"/>
      <c r="CB187" s="182"/>
      <c r="CC187" s="182"/>
      <c r="CD187" s="182"/>
      <c r="CE187" s="182"/>
      <c r="CF187" s="182"/>
      <c r="CG187" s="182"/>
      <c r="CH187" s="182"/>
      <c r="CI187" s="182"/>
      <c r="CJ187" s="182"/>
      <c r="CK187" s="182"/>
      <c r="CL187" s="618"/>
      <c r="CM187" s="619"/>
      <c r="CN187" s="620"/>
    </row>
    <row r="188" spans="1:92" s="344" customFormat="1" ht="25.5">
      <c r="A188" s="335" t="s">
        <v>614</v>
      </c>
      <c r="B188" s="182" t="s">
        <v>100</v>
      </c>
      <c r="C188" s="182" t="s">
        <v>100</v>
      </c>
      <c r="D188" s="182" t="s">
        <v>100</v>
      </c>
      <c r="E188" s="182" t="s">
        <v>100</v>
      </c>
      <c r="F188" s="182" t="s">
        <v>100</v>
      </c>
      <c r="G188" s="182"/>
      <c r="H188" s="182"/>
      <c r="I188" s="182"/>
      <c r="J188" s="182"/>
      <c r="K188" s="182"/>
      <c r="L188" s="182" t="s">
        <v>100</v>
      </c>
      <c r="M188" s="182" t="s">
        <v>100</v>
      </c>
      <c r="N188" s="182" t="s">
        <v>100</v>
      </c>
      <c r="O188" s="182" t="s">
        <v>100</v>
      </c>
      <c r="P188" s="182" t="s">
        <v>100</v>
      </c>
      <c r="Q188" s="182"/>
      <c r="R188" s="182"/>
      <c r="S188" s="182"/>
      <c r="T188" s="182"/>
      <c r="U188" s="182"/>
      <c r="V188" s="182"/>
      <c r="W188" s="182"/>
      <c r="X188" s="182"/>
      <c r="Y188" s="182"/>
      <c r="Z188" s="182"/>
      <c r="AA188" s="182"/>
      <c r="AB188" s="182"/>
      <c r="AC188" s="182"/>
      <c r="AD188" s="182"/>
      <c r="AE188" s="182"/>
      <c r="AF188" s="182"/>
      <c r="AG188" s="182"/>
      <c r="AH188" s="182"/>
      <c r="AI188" s="182"/>
      <c r="AJ188" s="167">
        <f t="shared" si="37"/>
        <v>10</v>
      </c>
      <c r="AK188" s="493" t="str">
        <f>HYPERLINK("https://twitter.com/KevinModesti/status/818863958593417221","Twitter")</f>
        <v>Twitter</v>
      </c>
      <c r="AL188" s="341">
        <v>42745</v>
      </c>
      <c r="AM188" s="352"/>
      <c r="AN188" s="352"/>
      <c r="AO188" s="352"/>
      <c r="AP188" s="352"/>
      <c r="AQ188" s="352"/>
      <c r="AR188" s="352"/>
      <c r="AS188" s="352"/>
      <c r="AT188" s="352"/>
      <c r="AU188" s="352"/>
      <c r="AV188" s="352"/>
      <c r="AW188" s="352"/>
      <c r="AX188" s="352"/>
      <c r="AY188" s="352"/>
      <c r="AZ188" s="352"/>
      <c r="BA188" s="352"/>
      <c r="BB188" s="352"/>
      <c r="BC188" s="352"/>
      <c r="BD188" s="352"/>
      <c r="BE188" s="352"/>
      <c r="BF188" s="352"/>
      <c r="BG188" s="352"/>
      <c r="BH188" s="352"/>
      <c r="BI188" s="352"/>
      <c r="BJ188" s="352"/>
      <c r="BK188" s="352"/>
      <c r="BL188" s="470"/>
      <c r="BM188" s="339"/>
      <c r="BN188" s="339"/>
      <c r="BO188" s="182"/>
      <c r="BP188" s="182"/>
      <c r="BQ188" s="182"/>
      <c r="BR188" s="182"/>
      <c r="BS188" s="182"/>
      <c r="BT188" s="182"/>
      <c r="BU188" s="182"/>
      <c r="BV188" s="182"/>
      <c r="BW188" s="182"/>
      <c r="BX188" s="182"/>
      <c r="BY188" s="182"/>
      <c r="BZ188" s="182"/>
      <c r="CA188" s="182"/>
      <c r="CB188" s="182"/>
      <c r="CC188" s="182"/>
      <c r="CD188" s="182"/>
      <c r="CE188" s="182"/>
      <c r="CF188" s="182"/>
      <c r="CG188" s="182"/>
      <c r="CH188" s="182"/>
      <c r="CI188" s="182"/>
      <c r="CJ188" s="182"/>
      <c r="CK188" s="182"/>
      <c r="CL188" s="618"/>
      <c r="CM188" s="619"/>
      <c r="CN188" s="620"/>
    </row>
    <row r="189" spans="1:92" s="344" customFormat="1">
      <c r="A189" s="335" t="s">
        <v>615</v>
      </c>
      <c r="B189" s="182" t="s">
        <v>100</v>
      </c>
      <c r="C189" s="182"/>
      <c r="D189" s="182"/>
      <c r="E189" s="182" t="s">
        <v>100</v>
      </c>
      <c r="F189" s="182" t="s">
        <v>100</v>
      </c>
      <c r="G189" s="302" t="s">
        <v>100</v>
      </c>
      <c r="H189" s="182" t="s">
        <v>100</v>
      </c>
      <c r="I189" s="182"/>
      <c r="J189" s="182"/>
      <c r="K189" s="182"/>
      <c r="L189" s="182" t="s">
        <v>100</v>
      </c>
      <c r="M189" s="182" t="s">
        <v>100</v>
      </c>
      <c r="N189" s="182" t="s">
        <v>100</v>
      </c>
      <c r="O189" s="320"/>
      <c r="P189" s="182"/>
      <c r="Q189" s="182" t="s">
        <v>100</v>
      </c>
      <c r="R189" s="182"/>
      <c r="S189" s="320"/>
      <c r="T189" s="182"/>
      <c r="U189" s="182"/>
      <c r="V189" s="182"/>
      <c r="W189" s="182"/>
      <c r="X189" s="182"/>
      <c r="Y189" s="182"/>
      <c r="Z189" s="182"/>
      <c r="AA189" s="182"/>
      <c r="AB189" s="182"/>
      <c r="AC189" s="182"/>
      <c r="AD189" s="182" t="s">
        <v>100</v>
      </c>
      <c r="AE189" s="182"/>
      <c r="AF189" s="182"/>
      <c r="AG189" s="182"/>
      <c r="AH189" s="182"/>
      <c r="AI189" s="182"/>
      <c r="AJ189" s="167">
        <f t="shared" si="37"/>
        <v>10</v>
      </c>
      <c r="AK189" s="493" t="str">
        <f>HYPERLINK("https://twitter.com/jimmolony1/status/807351744414052356","Twitter")</f>
        <v>Twitter</v>
      </c>
      <c r="AL189" s="341">
        <v>42713</v>
      </c>
      <c r="AM189" s="352"/>
      <c r="AN189" s="352"/>
      <c r="AO189" s="352"/>
      <c r="AP189" s="352"/>
      <c r="AQ189" s="352"/>
      <c r="AR189" s="352"/>
      <c r="AS189" s="352"/>
      <c r="AT189" s="352"/>
      <c r="AU189" s="352"/>
      <c r="AV189" s="352"/>
      <c r="AW189" s="352"/>
      <c r="AX189" s="352"/>
      <c r="AY189" s="352"/>
      <c r="AZ189" s="352"/>
      <c r="BA189" s="352"/>
      <c r="BB189" s="352"/>
      <c r="BC189" s="352"/>
      <c r="BD189" s="352"/>
      <c r="BE189" s="352"/>
      <c r="BF189" s="352"/>
      <c r="BG189" s="352"/>
      <c r="BH189" s="352"/>
      <c r="BI189" s="352"/>
      <c r="BJ189" s="352"/>
      <c r="BK189" s="352"/>
      <c r="BL189" s="470"/>
      <c r="BM189" s="339"/>
      <c r="BN189" s="339"/>
      <c r="BO189" s="182"/>
      <c r="BP189" s="182"/>
      <c r="BQ189" s="182"/>
      <c r="BR189" s="182"/>
      <c r="BS189" s="182"/>
      <c r="BT189" s="182"/>
      <c r="BU189" s="182"/>
      <c r="BV189" s="182"/>
      <c r="BW189" s="182"/>
      <c r="BX189" s="182"/>
      <c r="BY189" s="182"/>
      <c r="BZ189" s="182"/>
      <c r="CA189" s="182"/>
      <c r="CB189" s="182"/>
      <c r="CC189" s="182"/>
      <c r="CD189" s="182"/>
      <c r="CE189" s="182"/>
      <c r="CF189" s="182"/>
      <c r="CG189" s="182"/>
      <c r="CH189" s="182"/>
      <c r="CI189" s="182"/>
      <c r="CJ189" s="182"/>
      <c r="CK189" s="182"/>
      <c r="CL189" s="680" t="s">
        <v>547</v>
      </c>
      <c r="CM189" s="681"/>
      <c r="CN189" s="682"/>
    </row>
    <row r="190" spans="1:92" s="344" customFormat="1" ht="24.75" customHeight="1">
      <c r="A190" s="335" t="s">
        <v>295</v>
      </c>
      <c r="B190" s="182" t="s">
        <v>100</v>
      </c>
      <c r="C190" s="182" t="s">
        <v>100</v>
      </c>
      <c r="D190" s="182" t="s">
        <v>100</v>
      </c>
      <c r="E190" s="182" t="s">
        <v>100</v>
      </c>
      <c r="F190" s="302" t="s">
        <v>100</v>
      </c>
      <c r="G190" s="182"/>
      <c r="H190" s="182" t="s">
        <v>100</v>
      </c>
      <c r="I190" s="182" t="s">
        <v>100</v>
      </c>
      <c r="J190" s="182"/>
      <c r="K190" s="182"/>
      <c r="L190" s="182" t="s">
        <v>100</v>
      </c>
      <c r="M190" s="182"/>
      <c r="N190" s="182" t="s">
        <v>100</v>
      </c>
      <c r="O190" s="182" t="s">
        <v>100</v>
      </c>
      <c r="P190" s="182"/>
      <c r="Q190" s="182"/>
      <c r="R190" s="182"/>
      <c r="S190" s="182"/>
      <c r="T190" s="182"/>
      <c r="U190" s="182"/>
      <c r="V190" s="182"/>
      <c r="W190" s="182"/>
      <c r="X190" s="182"/>
      <c r="Y190" s="182"/>
      <c r="Z190" s="182"/>
      <c r="AA190" s="182"/>
      <c r="AB190" s="182"/>
      <c r="AC190" s="182"/>
      <c r="AD190" s="182"/>
      <c r="AE190" s="182"/>
      <c r="AF190" s="182"/>
      <c r="AG190" s="182"/>
      <c r="AH190" s="182"/>
      <c r="AI190" s="182"/>
      <c r="AJ190" s="167">
        <f t="shared" si="37"/>
        <v>10</v>
      </c>
      <c r="AK190" s="483" t="s">
        <v>115</v>
      </c>
      <c r="AL190" s="341">
        <v>42748</v>
      </c>
      <c r="AM190" s="352"/>
      <c r="AN190" s="352"/>
      <c r="AO190" s="352"/>
      <c r="AP190" s="352"/>
      <c r="AQ190" s="352"/>
      <c r="AR190" s="352"/>
      <c r="AS190" s="352"/>
      <c r="AT190" s="352"/>
      <c r="AU190" s="352"/>
      <c r="AV190" s="352"/>
      <c r="AW190" s="352"/>
      <c r="AX190" s="352"/>
      <c r="AY190" s="352"/>
      <c r="AZ190" s="352"/>
      <c r="BA190" s="352"/>
      <c r="BB190" s="352"/>
      <c r="BC190" s="352"/>
      <c r="BD190" s="352"/>
      <c r="BE190" s="352"/>
      <c r="BF190" s="352"/>
      <c r="BG190" s="352"/>
      <c r="BH190" s="352"/>
      <c r="BI190" s="352"/>
      <c r="BJ190" s="352"/>
      <c r="BK190" s="352"/>
      <c r="BL190" s="470"/>
      <c r="BM190" s="339"/>
      <c r="BN190" s="339"/>
      <c r="BO190" s="182"/>
      <c r="BP190" s="182"/>
      <c r="BQ190" s="182"/>
      <c r="BR190" s="182"/>
      <c r="BS190" s="182"/>
      <c r="BT190" s="182"/>
      <c r="BU190" s="182"/>
      <c r="BV190" s="182"/>
      <c r="BW190" s="182"/>
      <c r="BX190" s="182"/>
      <c r="BY190" s="182"/>
      <c r="BZ190" s="182"/>
      <c r="CA190" s="182"/>
      <c r="CB190" s="182"/>
      <c r="CC190" s="182"/>
      <c r="CD190" s="182"/>
      <c r="CE190" s="182"/>
      <c r="CF190" s="182"/>
      <c r="CG190" s="182"/>
      <c r="CH190" s="182"/>
      <c r="CI190" s="182"/>
      <c r="CJ190" s="182"/>
      <c r="CK190" s="182"/>
      <c r="CL190" s="680" t="s">
        <v>616</v>
      </c>
      <c r="CM190" s="681"/>
      <c r="CN190" s="682"/>
    </row>
    <row r="191" spans="1:92" s="344" customFormat="1">
      <c r="A191" s="335" t="s">
        <v>296</v>
      </c>
      <c r="B191" s="302" t="s">
        <v>100</v>
      </c>
      <c r="C191" s="182"/>
      <c r="D191" s="182"/>
      <c r="E191" s="182" t="s">
        <v>100</v>
      </c>
      <c r="F191" s="182" t="s">
        <v>100</v>
      </c>
      <c r="G191" s="182"/>
      <c r="H191" s="182"/>
      <c r="I191" s="182" t="s">
        <v>100</v>
      </c>
      <c r="J191" s="182"/>
      <c r="K191" s="182"/>
      <c r="L191" s="182" t="s">
        <v>100</v>
      </c>
      <c r="M191" s="182"/>
      <c r="N191" s="182" t="s">
        <v>100</v>
      </c>
      <c r="O191" s="182"/>
      <c r="P191" s="182" t="s">
        <v>100</v>
      </c>
      <c r="Q191" s="182" t="s">
        <v>100</v>
      </c>
      <c r="R191" s="182"/>
      <c r="S191" s="182"/>
      <c r="T191" s="182"/>
      <c r="U191" s="182"/>
      <c r="V191" s="182"/>
      <c r="W191" s="182"/>
      <c r="X191" s="182"/>
      <c r="Y191" s="182"/>
      <c r="Z191" s="182"/>
      <c r="AA191" s="182"/>
      <c r="AB191" s="182"/>
      <c r="AC191" s="182"/>
      <c r="AD191" s="182"/>
      <c r="AE191" s="182"/>
      <c r="AF191" s="182"/>
      <c r="AG191" s="182"/>
      <c r="AH191" s="182"/>
      <c r="AI191" s="182"/>
      <c r="AJ191" s="167">
        <f t="shared" si="37"/>
        <v>8</v>
      </c>
      <c r="AK191" s="493" t="str">
        <f>HYPERLINK("http://m.mlb.com/news/article/212565674/jeff-bagwells-stats-deserve-hall-of-fame-vote/","MLB.com")</f>
        <v>MLB.com</v>
      </c>
      <c r="AL191" s="341">
        <v>42735</v>
      </c>
      <c r="AM191" s="352"/>
      <c r="AN191" s="352"/>
      <c r="AO191" s="352"/>
      <c r="AP191" s="352"/>
      <c r="AQ191" s="352"/>
      <c r="AR191" s="352"/>
      <c r="AS191" s="352"/>
      <c r="AT191" s="352"/>
      <c r="AU191" s="352"/>
      <c r="AV191" s="352"/>
      <c r="AW191" s="352"/>
      <c r="AX191" s="352"/>
      <c r="AY191" s="352"/>
      <c r="AZ191" s="352"/>
      <c r="BA191" s="352"/>
      <c r="BB191" s="352"/>
      <c r="BC191" s="352"/>
      <c r="BD191" s="352"/>
      <c r="BE191" s="352"/>
      <c r="BF191" s="352"/>
      <c r="BG191" s="352"/>
      <c r="BH191" s="352"/>
      <c r="BI191" s="352"/>
      <c r="BJ191" s="352"/>
      <c r="BK191" s="352"/>
      <c r="BL191" s="470"/>
      <c r="BM191" s="339"/>
      <c r="BN191" s="339"/>
      <c r="BO191" s="182"/>
      <c r="BP191" s="182"/>
      <c r="BQ191" s="182"/>
      <c r="BR191" s="182"/>
      <c r="BS191" s="182"/>
      <c r="BT191" s="182"/>
      <c r="BU191" s="182"/>
      <c r="BV191" s="182"/>
      <c r="BW191" s="182"/>
      <c r="BX191" s="182"/>
      <c r="BY191" s="182"/>
      <c r="BZ191" s="182"/>
      <c r="CA191" s="182"/>
      <c r="CB191" s="182"/>
      <c r="CC191" s="182"/>
      <c r="CD191" s="182"/>
      <c r="CE191" s="182"/>
      <c r="CF191" s="182"/>
      <c r="CG191" s="182"/>
      <c r="CH191" s="182"/>
      <c r="CI191" s="182"/>
      <c r="CJ191" s="182"/>
      <c r="CK191" s="182"/>
      <c r="CL191" s="618"/>
      <c r="CM191" s="619"/>
      <c r="CN191" s="620"/>
    </row>
    <row r="192" spans="1:92" s="475" customFormat="1">
      <c r="A192" s="335" t="s">
        <v>297</v>
      </c>
      <c r="B192" s="182" t="s">
        <v>100</v>
      </c>
      <c r="C192" s="182" t="s">
        <v>100</v>
      </c>
      <c r="D192" s="182" t="s">
        <v>100</v>
      </c>
      <c r="E192" s="182" t="s">
        <v>100</v>
      </c>
      <c r="F192" s="302" t="s">
        <v>100</v>
      </c>
      <c r="G192" s="182"/>
      <c r="H192" s="182" t="s">
        <v>100</v>
      </c>
      <c r="I192" s="182"/>
      <c r="J192" s="302" t="s">
        <v>100</v>
      </c>
      <c r="K192" s="182"/>
      <c r="L192" s="302" t="s">
        <v>100</v>
      </c>
      <c r="M192" s="182"/>
      <c r="N192" s="182" t="s">
        <v>100</v>
      </c>
      <c r="O192" s="182"/>
      <c r="P192" s="182"/>
      <c r="Q192" s="182"/>
      <c r="R192" s="182" t="s">
        <v>100</v>
      </c>
      <c r="S192" s="182"/>
      <c r="T192" s="182"/>
      <c r="U192" s="182"/>
      <c r="V192" s="182"/>
      <c r="W192" s="182"/>
      <c r="X192" s="182"/>
      <c r="Y192" s="182"/>
      <c r="Z192" s="182"/>
      <c r="AA192" s="182"/>
      <c r="AB192" s="182"/>
      <c r="AC192" s="182"/>
      <c r="AD192" s="182"/>
      <c r="AE192" s="182"/>
      <c r="AF192" s="182"/>
      <c r="AG192" s="182"/>
      <c r="AH192" s="182"/>
      <c r="AI192" s="182"/>
      <c r="AJ192" s="167">
        <f t="shared" si="37"/>
        <v>10</v>
      </c>
      <c r="AK192" s="493" t="str">
        <f>HYPERLINK("https://twitter.com/aurelio02/status/809952717678514176","Twitter")</f>
        <v>Twitter</v>
      </c>
      <c r="AL192" s="341">
        <v>42720</v>
      </c>
      <c r="AM192" s="352"/>
      <c r="AN192" s="352"/>
      <c r="AO192" s="352"/>
      <c r="AP192" s="352"/>
      <c r="AQ192" s="352"/>
      <c r="AR192" s="352"/>
      <c r="AS192" s="352"/>
      <c r="AT192" s="352"/>
      <c r="AU192" s="352"/>
      <c r="AV192" s="352"/>
      <c r="AW192" s="352"/>
      <c r="AX192" s="352"/>
      <c r="AY192" s="352"/>
      <c r="AZ192" s="352"/>
      <c r="BA192" s="352"/>
      <c r="BB192" s="352"/>
      <c r="BC192" s="352"/>
      <c r="BD192" s="352"/>
      <c r="BE192" s="352"/>
      <c r="BF192" s="352"/>
      <c r="BG192" s="352"/>
      <c r="BH192" s="352"/>
      <c r="BI192" s="352"/>
      <c r="BJ192" s="352"/>
      <c r="BK192" s="352"/>
      <c r="BL192" s="470"/>
      <c r="BM192" s="339"/>
      <c r="BN192" s="339"/>
      <c r="BO192" s="182"/>
      <c r="BP192" s="182"/>
      <c r="BQ192" s="182"/>
      <c r="BR192" s="182"/>
      <c r="BS192" s="182"/>
      <c r="BT192" s="182"/>
      <c r="BU192" s="182"/>
      <c r="BV192" s="182"/>
      <c r="BW192" s="182"/>
      <c r="BX192" s="182"/>
      <c r="BY192" s="182"/>
      <c r="BZ192" s="182"/>
      <c r="CA192" s="182"/>
      <c r="CB192" s="182"/>
      <c r="CC192" s="182"/>
      <c r="CD192" s="182"/>
      <c r="CE192" s="182"/>
      <c r="CF192" s="182"/>
      <c r="CG192" s="182"/>
      <c r="CH192" s="182"/>
      <c r="CI192" s="182"/>
      <c r="CJ192" s="182"/>
      <c r="CK192" s="182"/>
      <c r="CL192" s="680"/>
      <c r="CM192" s="681"/>
      <c r="CN192" s="682"/>
    </row>
    <row r="193" spans="1:92" s="475" customFormat="1" ht="24.75" customHeight="1">
      <c r="A193" s="335" t="s">
        <v>298</v>
      </c>
      <c r="B193" s="182" t="s">
        <v>100</v>
      </c>
      <c r="C193" s="182" t="s">
        <v>100</v>
      </c>
      <c r="D193" s="182" t="s">
        <v>100</v>
      </c>
      <c r="E193" s="182" t="s">
        <v>100</v>
      </c>
      <c r="F193" s="302" t="s">
        <v>100</v>
      </c>
      <c r="G193" s="182"/>
      <c r="H193" s="182" t="s">
        <v>100</v>
      </c>
      <c r="I193" s="182"/>
      <c r="J193" s="182" t="s">
        <v>100</v>
      </c>
      <c r="K193" s="182"/>
      <c r="L193" s="182" t="s">
        <v>100</v>
      </c>
      <c r="M193" s="182"/>
      <c r="N193" s="182" t="s">
        <v>100</v>
      </c>
      <c r="O193" s="182" t="s">
        <v>100</v>
      </c>
      <c r="P193" s="182"/>
      <c r="Q193" s="182"/>
      <c r="R193" s="182"/>
      <c r="S193" s="182"/>
      <c r="T193" s="320"/>
      <c r="U193" s="182"/>
      <c r="V193" s="182"/>
      <c r="W193" s="182"/>
      <c r="X193" s="182"/>
      <c r="Y193" s="182"/>
      <c r="Z193" s="182"/>
      <c r="AA193" s="182"/>
      <c r="AB193" s="182"/>
      <c r="AC193" s="182"/>
      <c r="AD193" s="182"/>
      <c r="AE193" s="182"/>
      <c r="AF193" s="182"/>
      <c r="AG193" s="182"/>
      <c r="AH193" s="182"/>
      <c r="AI193" s="182"/>
      <c r="AJ193" s="167">
        <f t="shared" si="37"/>
        <v>10</v>
      </c>
      <c r="AK193" s="493" t="str">
        <f>HYPERLINK("http://m.mlb.com/news/article/212483252/jon-paul-morosis-2017-hall-of-fame-ballot/","MLB.com")</f>
        <v>MLB.com</v>
      </c>
      <c r="AL193" s="341">
        <v>42733</v>
      </c>
      <c r="AM193" s="352"/>
      <c r="AN193" s="352"/>
      <c r="AO193" s="352"/>
      <c r="AP193" s="352"/>
      <c r="AQ193" s="352"/>
      <c r="AR193" s="352"/>
      <c r="AS193" s="352"/>
      <c r="AT193" s="352"/>
      <c r="AU193" s="352"/>
      <c r="AV193" s="352"/>
      <c r="AW193" s="352"/>
      <c r="AX193" s="352"/>
      <c r="AY193" s="352"/>
      <c r="AZ193" s="352"/>
      <c r="BA193" s="352"/>
      <c r="BB193" s="352"/>
      <c r="BC193" s="352"/>
      <c r="BD193" s="352"/>
      <c r="BE193" s="352"/>
      <c r="BF193" s="352"/>
      <c r="BG193" s="352"/>
      <c r="BH193" s="352"/>
      <c r="BI193" s="352"/>
      <c r="BJ193" s="352"/>
      <c r="BK193" s="352"/>
      <c r="BL193" s="470"/>
      <c r="BM193" s="339"/>
      <c r="BN193" s="339"/>
      <c r="BO193" s="182"/>
      <c r="BP193" s="182"/>
      <c r="BQ193" s="182"/>
      <c r="BR193" s="182"/>
      <c r="BS193" s="182"/>
      <c r="BT193" s="182"/>
      <c r="BU193" s="182"/>
      <c r="BV193" s="182"/>
      <c r="BW193" s="182"/>
      <c r="BX193" s="182"/>
      <c r="BY193" s="182"/>
      <c r="BZ193" s="182"/>
      <c r="CA193" s="182"/>
      <c r="CB193" s="182"/>
      <c r="CC193" s="182"/>
      <c r="CD193" s="182"/>
      <c r="CE193" s="182"/>
      <c r="CF193" s="182"/>
      <c r="CG193" s="182"/>
      <c r="CH193" s="182"/>
      <c r="CI193" s="182"/>
      <c r="CJ193" s="182"/>
      <c r="CK193" s="182"/>
      <c r="CL193" s="680" t="s">
        <v>617</v>
      </c>
      <c r="CM193" s="681"/>
      <c r="CN193" s="682"/>
    </row>
    <row r="194" spans="1:92" s="344" customFormat="1">
      <c r="A194" s="335" t="s">
        <v>618</v>
      </c>
      <c r="B194" s="182"/>
      <c r="C194" s="182"/>
      <c r="D194" s="182"/>
      <c r="E194" s="182"/>
      <c r="F194" s="182" t="s">
        <v>100</v>
      </c>
      <c r="G194" s="182"/>
      <c r="H194" s="182"/>
      <c r="I194" s="182"/>
      <c r="J194" s="182"/>
      <c r="K194" s="182"/>
      <c r="L194" s="302" t="s">
        <v>100</v>
      </c>
      <c r="M194" s="182"/>
      <c r="N194" s="182"/>
      <c r="O194" s="302" t="s">
        <v>100</v>
      </c>
      <c r="P194" s="182"/>
      <c r="Q194" s="182"/>
      <c r="R194" s="182"/>
      <c r="S194" s="182"/>
      <c r="T194" s="302" t="s">
        <v>100</v>
      </c>
      <c r="U194" s="182"/>
      <c r="V194" s="182"/>
      <c r="W194" s="182"/>
      <c r="X194" s="182"/>
      <c r="Y194" s="182"/>
      <c r="Z194" s="182"/>
      <c r="AA194" s="182"/>
      <c r="AB194" s="182"/>
      <c r="AC194" s="182"/>
      <c r="AD194" s="182"/>
      <c r="AE194" s="182"/>
      <c r="AF194" s="182"/>
      <c r="AG194" s="182"/>
      <c r="AH194" s="182"/>
      <c r="AI194" s="182"/>
      <c r="AJ194" s="167">
        <f t="shared" si="37"/>
        <v>4</v>
      </c>
      <c r="AK194" s="493" t="str">
        <f>HYPERLINK("http://chicago.suntimes.com/sports/my-vote-for-hall-of-fame-raines-hoffman-schilling-and-walker/","Chicago Sun Times")</f>
        <v>Chicago Sun Times</v>
      </c>
      <c r="AL194" s="341">
        <v>42720</v>
      </c>
      <c r="AM194" s="352"/>
      <c r="AN194" s="352"/>
      <c r="AO194" s="352"/>
      <c r="AP194" s="352"/>
      <c r="AQ194" s="352"/>
      <c r="AR194" s="352"/>
      <c r="AS194" s="352"/>
      <c r="AT194" s="352"/>
      <c r="AU194" s="352"/>
      <c r="AV194" s="352"/>
      <c r="AW194" s="352"/>
      <c r="AX194" s="352"/>
      <c r="AY194" s="352"/>
      <c r="AZ194" s="352"/>
      <c r="BA194" s="352"/>
      <c r="BB194" s="352"/>
      <c r="BC194" s="352"/>
      <c r="BD194" s="352"/>
      <c r="BE194" s="352"/>
      <c r="BF194" s="352"/>
      <c r="BG194" s="352"/>
      <c r="BH194" s="352"/>
      <c r="BI194" s="352"/>
      <c r="BJ194" s="352"/>
      <c r="BK194" s="352"/>
      <c r="BL194" s="470"/>
      <c r="BM194" s="339"/>
      <c r="BN194" s="339"/>
      <c r="BO194" s="182"/>
      <c r="BP194" s="182"/>
      <c r="BQ194" s="182"/>
      <c r="BR194" s="182"/>
      <c r="BS194" s="182"/>
      <c r="BT194" s="182"/>
      <c r="BU194" s="182"/>
      <c r="BV194" s="182"/>
      <c r="BW194" s="182"/>
      <c r="BX194" s="182"/>
      <c r="BY194" s="182"/>
      <c r="BZ194" s="182"/>
      <c r="CA194" s="182"/>
      <c r="CB194" s="182"/>
      <c r="CC194" s="182"/>
      <c r="CD194" s="182"/>
      <c r="CE194" s="182"/>
      <c r="CF194" s="182"/>
      <c r="CG194" s="182"/>
      <c r="CH194" s="182"/>
      <c r="CI194" s="182"/>
      <c r="CJ194" s="182"/>
      <c r="CK194" s="182"/>
      <c r="CL194" s="680"/>
      <c r="CM194" s="681"/>
      <c r="CN194" s="682"/>
    </row>
    <row r="195" spans="1:92" s="344" customFormat="1">
      <c r="A195" s="335" t="s">
        <v>301</v>
      </c>
      <c r="B195" s="302" t="s">
        <v>100</v>
      </c>
      <c r="C195" s="182" t="s">
        <v>100</v>
      </c>
      <c r="D195" s="182" t="s">
        <v>100</v>
      </c>
      <c r="E195" s="182"/>
      <c r="F195" s="182"/>
      <c r="G195" s="182"/>
      <c r="H195" s="182"/>
      <c r="I195" s="182"/>
      <c r="J195" s="182"/>
      <c r="K195" s="182"/>
      <c r="L195" s="182" t="s">
        <v>100</v>
      </c>
      <c r="M195" s="182"/>
      <c r="N195" s="182" t="s">
        <v>100</v>
      </c>
      <c r="O195" s="182"/>
      <c r="P195" s="182"/>
      <c r="Q195" s="182"/>
      <c r="R195" s="182"/>
      <c r="S195" s="182"/>
      <c r="T195" s="182"/>
      <c r="U195" s="182"/>
      <c r="V195" s="182"/>
      <c r="W195" s="182"/>
      <c r="X195" s="182"/>
      <c r="Y195" s="182"/>
      <c r="Z195" s="182"/>
      <c r="AA195" s="182"/>
      <c r="AB195" s="182"/>
      <c r="AC195" s="182"/>
      <c r="AD195" s="182"/>
      <c r="AE195" s="182"/>
      <c r="AF195" s="182"/>
      <c r="AG195" s="182"/>
      <c r="AH195" s="182"/>
      <c r="AI195" s="182"/>
      <c r="AJ195" s="339">
        <f t="shared" si="37"/>
        <v>5</v>
      </c>
      <c r="AK195" s="481" t="str">
        <f>HYPERLINK("http://m.mlb.com/news/article/213641980/mlb-writers-reveal-ballots-for-hall-of-fame/","MLB.com")</f>
        <v>MLB.com</v>
      </c>
      <c r="AL195" s="341">
        <v>42752</v>
      </c>
      <c r="AM195" s="352"/>
      <c r="AN195" s="352"/>
      <c r="AO195" s="352"/>
      <c r="AP195" s="352"/>
      <c r="AQ195" s="352"/>
      <c r="AR195" s="352"/>
      <c r="AS195" s="352"/>
      <c r="AT195" s="352"/>
      <c r="AU195" s="352"/>
      <c r="AV195" s="352"/>
      <c r="AW195" s="352"/>
      <c r="AX195" s="352"/>
      <c r="AY195" s="352"/>
      <c r="AZ195" s="352"/>
      <c r="BA195" s="352"/>
      <c r="BB195" s="352"/>
      <c r="BC195" s="352"/>
      <c r="BD195" s="352"/>
      <c r="BE195" s="352"/>
      <c r="BF195" s="352"/>
      <c r="BG195" s="352"/>
      <c r="BH195" s="352"/>
      <c r="BI195" s="352"/>
      <c r="BJ195" s="352"/>
      <c r="BK195" s="352"/>
      <c r="BL195" s="470"/>
      <c r="BM195" s="339"/>
      <c r="BN195" s="339"/>
      <c r="BO195" s="182"/>
      <c r="BP195" s="182"/>
      <c r="BQ195" s="182"/>
      <c r="BR195" s="182"/>
      <c r="BS195" s="182"/>
      <c r="BT195" s="182"/>
      <c r="BU195" s="182"/>
      <c r="BV195" s="182"/>
      <c r="BW195" s="182"/>
      <c r="BX195" s="182"/>
      <c r="BY195" s="182"/>
      <c r="BZ195" s="182"/>
      <c r="CA195" s="182"/>
      <c r="CB195" s="182"/>
      <c r="CC195" s="182"/>
      <c r="CD195" s="182"/>
      <c r="CE195" s="182"/>
      <c r="CF195" s="182"/>
      <c r="CG195" s="182"/>
      <c r="CH195" s="182"/>
      <c r="CI195" s="182"/>
      <c r="CJ195" s="182"/>
      <c r="CK195" s="182"/>
      <c r="CL195" s="618"/>
      <c r="CM195" s="619"/>
      <c r="CN195" s="620"/>
    </row>
    <row r="196" spans="1:92" s="344" customFormat="1">
      <c r="A196" s="335" t="s">
        <v>302</v>
      </c>
      <c r="B196" s="182" t="s">
        <v>100</v>
      </c>
      <c r="C196" s="302" t="s">
        <v>100</v>
      </c>
      <c r="D196" s="302" t="s">
        <v>100</v>
      </c>
      <c r="E196" s="182" t="s">
        <v>100</v>
      </c>
      <c r="F196" s="182" t="s">
        <v>100</v>
      </c>
      <c r="G196" s="182"/>
      <c r="H196" s="182" t="s">
        <v>100</v>
      </c>
      <c r="I196" s="320"/>
      <c r="J196" s="182" t="s">
        <v>100</v>
      </c>
      <c r="K196" s="182"/>
      <c r="L196" s="182" t="s">
        <v>100</v>
      </c>
      <c r="M196" s="182"/>
      <c r="N196" s="182" t="s">
        <v>100</v>
      </c>
      <c r="O196" s="320"/>
      <c r="P196" s="182"/>
      <c r="Q196" s="182" t="s">
        <v>100</v>
      </c>
      <c r="R196" s="182"/>
      <c r="S196" s="182"/>
      <c r="T196" s="182"/>
      <c r="U196" s="182"/>
      <c r="V196" s="182"/>
      <c r="W196" s="182"/>
      <c r="X196" s="182"/>
      <c r="Y196" s="182"/>
      <c r="Z196" s="182"/>
      <c r="AA196" s="182"/>
      <c r="AB196" s="182"/>
      <c r="AC196" s="182"/>
      <c r="AD196" s="182"/>
      <c r="AE196" s="182"/>
      <c r="AF196" s="182"/>
      <c r="AG196" s="182"/>
      <c r="AH196" s="182"/>
      <c r="AI196" s="182"/>
      <c r="AJ196" s="167">
        <f t="shared" si="37"/>
        <v>10</v>
      </c>
      <c r="AK196" s="483" t="s">
        <v>543</v>
      </c>
      <c r="AL196" s="341">
        <v>42723</v>
      </c>
      <c r="AM196" s="352"/>
      <c r="AN196" s="352"/>
      <c r="AO196" s="352"/>
      <c r="AP196" s="352"/>
      <c r="AQ196" s="352"/>
      <c r="AR196" s="352"/>
      <c r="AS196" s="352"/>
      <c r="AT196" s="352"/>
      <c r="AU196" s="352"/>
      <c r="AV196" s="352"/>
      <c r="AW196" s="352"/>
      <c r="AX196" s="352"/>
      <c r="AY196" s="352"/>
      <c r="AZ196" s="352"/>
      <c r="BA196" s="352"/>
      <c r="BB196" s="352"/>
      <c r="BC196" s="352"/>
      <c r="BD196" s="352"/>
      <c r="BE196" s="352"/>
      <c r="BF196" s="352"/>
      <c r="BG196" s="352"/>
      <c r="BH196" s="352"/>
      <c r="BI196" s="352"/>
      <c r="BJ196" s="352"/>
      <c r="BK196" s="352"/>
      <c r="BL196" s="470"/>
      <c r="BM196" s="339"/>
      <c r="BN196" s="339"/>
      <c r="BO196" s="182"/>
      <c r="BP196" s="182"/>
      <c r="BQ196" s="182"/>
      <c r="BR196" s="182"/>
      <c r="BS196" s="182"/>
      <c r="BT196" s="182"/>
      <c r="BU196" s="182"/>
      <c r="BV196" s="182"/>
      <c r="BW196" s="182"/>
      <c r="BX196" s="182"/>
      <c r="BY196" s="182"/>
      <c r="BZ196" s="182"/>
      <c r="CA196" s="182"/>
      <c r="CB196" s="182"/>
      <c r="CC196" s="182"/>
      <c r="CD196" s="182"/>
      <c r="CE196" s="182"/>
      <c r="CF196" s="182"/>
      <c r="CG196" s="182"/>
      <c r="CH196" s="182"/>
      <c r="CI196" s="182"/>
      <c r="CJ196" s="182"/>
      <c r="CK196" s="182"/>
      <c r="CL196" s="680" t="s">
        <v>619</v>
      </c>
      <c r="CM196" s="681"/>
      <c r="CN196" s="682"/>
    </row>
    <row r="197" spans="1:92" s="344" customFormat="1">
      <c r="A197" s="335" t="s">
        <v>303</v>
      </c>
      <c r="B197" s="182" t="s">
        <v>100</v>
      </c>
      <c r="C197" s="302" t="s">
        <v>100</v>
      </c>
      <c r="D197" s="302" t="s">
        <v>100</v>
      </c>
      <c r="E197" s="182" t="s">
        <v>100</v>
      </c>
      <c r="F197" s="182"/>
      <c r="G197" s="182"/>
      <c r="H197" s="182"/>
      <c r="I197" s="182"/>
      <c r="J197" s="182" t="s">
        <v>100</v>
      </c>
      <c r="K197" s="182"/>
      <c r="L197" s="182" t="s">
        <v>100</v>
      </c>
      <c r="M197" s="182"/>
      <c r="N197" s="182"/>
      <c r="O197" s="182" t="s">
        <v>100</v>
      </c>
      <c r="P197" s="182"/>
      <c r="Q197" s="182"/>
      <c r="R197" s="182"/>
      <c r="S197" s="182"/>
      <c r="T197" s="182"/>
      <c r="U197" s="182"/>
      <c r="V197" s="182"/>
      <c r="W197" s="182"/>
      <c r="X197" s="182"/>
      <c r="Y197" s="182"/>
      <c r="Z197" s="182"/>
      <c r="AA197" s="182"/>
      <c r="AB197" s="182"/>
      <c r="AC197" s="182"/>
      <c r="AD197" s="182"/>
      <c r="AE197" s="182"/>
      <c r="AF197" s="182"/>
      <c r="AG197" s="182"/>
      <c r="AH197" s="182"/>
      <c r="AI197" s="182"/>
      <c r="AJ197" s="167">
        <f t="shared" si="37"/>
        <v>7</v>
      </c>
      <c r="AK197" s="493" t="str">
        <f>HYPERLINK("http://thebaldesttruth.blogspot.com/2016/12/mad-about-vlad-for-hall-of-fame-plus.html","The Baldest Truth")</f>
        <v>The Baldest Truth</v>
      </c>
      <c r="AL197" s="341">
        <v>42732</v>
      </c>
      <c r="AM197" s="352"/>
      <c r="AN197" s="352"/>
      <c r="AO197" s="352"/>
      <c r="AP197" s="352"/>
      <c r="AQ197" s="352"/>
      <c r="AR197" s="352"/>
      <c r="AS197" s="352"/>
      <c r="AT197" s="352"/>
      <c r="AU197" s="352"/>
      <c r="AV197" s="352"/>
      <c r="AW197" s="352"/>
      <c r="AX197" s="352"/>
      <c r="AY197" s="352"/>
      <c r="AZ197" s="352"/>
      <c r="BA197" s="352"/>
      <c r="BB197" s="352"/>
      <c r="BC197" s="352"/>
      <c r="BD197" s="352"/>
      <c r="BE197" s="352"/>
      <c r="BF197" s="352"/>
      <c r="BG197" s="352"/>
      <c r="BH197" s="352"/>
      <c r="BI197" s="352"/>
      <c r="BJ197" s="352"/>
      <c r="BK197" s="352"/>
      <c r="BL197" s="470"/>
      <c r="BM197" s="339"/>
      <c r="BN197" s="339"/>
      <c r="BO197" s="182"/>
      <c r="BP197" s="182"/>
      <c r="BQ197" s="182"/>
      <c r="BR197" s="182"/>
      <c r="BS197" s="182"/>
      <c r="BT197" s="182"/>
      <c r="BU197" s="182"/>
      <c r="BV197" s="182"/>
      <c r="BW197" s="182"/>
      <c r="BX197" s="182"/>
      <c r="BY197" s="182"/>
      <c r="BZ197" s="182"/>
      <c r="CA197" s="182"/>
      <c r="CB197" s="182"/>
      <c r="CC197" s="182"/>
      <c r="CD197" s="182"/>
      <c r="CE197" s="182"/>
      <c r="CF197" s="182"/>
      <c r="CG197" s="182"/>
      <c r="CH197" s="182"/>
      <c r="CI197" s="182"/>
      <c r="CJ197" s="182"/>
      <c r="CK197" s="182"/>
      <c r="CL197" s="618"/>
      <c r="CM197" s="619"/>
      <c r="CN197" s="620"/>
    </row>
    <row r="198" spans="1:92" s="344" customFormat="1">
      <c r="A198" s="335" t="s">
        <v>306</v>
      </c>
      <c r="B198" s="302" t="s">
        <v>100</v>
      </c>
      <c r="C198" s="182" t="s">
        <v>100</v>
      </c>
      <c r="D198" s="182" t="s">
        <v>100</v>
      </c>
      <c r="E198" s="182" t="s">
        <v>100</v>
      </c>
      <c r="F198" s="182" t="s">
        <v>100</v>
      </c>
      <c r="G198" s="182"/>
      <c r="H198" s="302" t="s">
        <v>100</v>
      </c>
      <c r="I198" s="182"/>
      <c r="J198" s="302" t="s">
        <v>100</v>
      </c>
      <c r="K198" s="182"/>
      <c r="L198" s="302" t="s">
        <v>100</v>
      </c>
      <c r="M198" s="182"/>
      <c r="N198" s="182" t="s">
        <v>100</v>
      </c>
      <c r="O198" s="302" t="s">
        <v>100</v>
      </c>
      <c r="P198" s="182"/>
      <c r="Q198" s="182"/>
      <c r="R198" s="182"/>
      <c r="S198" s="182"/>
      <c r="T198" s="182"/>
      <c r="U198" s="182"/>
      <c r="V198" s="182"/>
      <c r="W198" s="182"/>
      <c r="X198" s="182"/>
      <c r="Y198" s="182"/>
      <c r="Z198" s="182"/>
      <c r="AA198" s="182"/>
      <c r="AB198" s="182"/>
      <c r="AC198" s="182"/>
      <c r="AD198" s="182"/>
      <c r="AE198" s="182"/>
      <c r="AF198" s="182"/>
      <c r="AG198" s="182"/>
      <c r="AH198" s="182"/>
      <c r="AI198" s="182"/>
      <c r="AJ198" s="167">
        <f t="shared" si="37"/>
        <v>10</v>
      </c>
      <c r="AK198" s="493" t="str">
        <f>HYPERLINK("http://www.sportsonearth.com/article/210988244/baseball-hall-of-fame-ballot-2017-bonds-raines","Sports on Earth")</f>
        <v>Sports on Earth</v>
      </c>
      <c r="AL198" s="341">
        <v>42717</v>
      </c>
      <c r="AM198" s="352"/>
      <c r="AN198" s="352"/>
      <c r="AO198" s="352"/>
      <c r="AP198" s="352"/>
      <c r="AQ198" s="352"/>
      <c r="AR198" s="352"/>
      <c r="AS198" s="352"/>
      <c r="AT198" s="352"/>
      <c r="AU198" s="352"/>
      <c r="AV198" s="352"/>
      <c r="AW198" s="352"/>
      <c r="AX198" s="352"/>
      <c r="AY198" s="352"/>
      <c r="AZ198" s="352"/>
      <c r="BA198" s="352"/>
      <c r="BB198" s="352"/>
      <c r="BC198" s="352"/>
      <c r="BD198" s="352"/>
      <c r="BE198" s="352"/>
      <c r="BF198" s="352"/>
      <c r="BG198" s="352"/>
      <c r="BH198" s="352"/>
      <c r="BI198" s="352"/>
      <c r="BJ198" s="352"/>
      <c r="BK198" s="352"/>
      <c r="BL198" s="470"/>
      <c r="BM198" s="339"/>
      <c r="BN198" s="339"/>
      <c r="BO198" s="182"/>
      <c r="BP198" s="182"/>
      <c r="BQ198" s="182"/>
      <c r="BR198" s="182"/>
      <c r="BS198" s="182"/>
      <c r="BT198" s="182"/>
      <c r="BU198" s="182"/>
      <c r="BV198" s="182"/>
      <c r="BW198" s="182"/>
      <c r="BX198" s="182"/>
      <c r="BY198" s="182"/>
      <c r="BZ198" s="182"/>
      <c r="CA198" s="182"/>
      <c r="CB198" s="182"/>
      <c r="CC198" s="182"/>
      <c r="CD198" s="182"/>
      <c r="CE198" s="182"/>
      <c r="CF198" s="182"/>
      <c r="CG198" s="182"/>
      <c r="CH198" s="182"/>
      <c r="CI198" s="182"/>
      <c r="CJ198" s="182"/>
      <c r="CK198" s="182"/>
      <c r="CL198" s="680" t="s">
        <v>620</v>
      </c>
      <c r="CM198" s="681"/>
      <c r="CN198" s="682"/>
    </row>
    <row r="199" spans="1:92" s="344" customFormat="1">
      <c r="A199" s="335" t="s">
        <v>308</v>
      </c>
      <c r="B199" s="182" t="s">
        <v>100</v>
      </c>
      <c r="C199" s="182" t="s">
        <v>100</v>
      </c>
      <c r="D199" s="182" t="s">
        <v>100</v>
      </c>
      <c r="E199" s="182" t="s">
        <v>100</v>
      </c>
      <c r="F199" s="182" t="s">
        <v>100</v>
      </c>
      <c r="G199" s="182"/>
      <c r="H199" s="182"/>
      <c r="I199" s="182" t="s">
        <v>100</v>
      </c>
      <c r="J199" s="182"/>
      <c r="K199" s="182"/>
      <c r="L199" s="182" t="s">
        <v>100</v>
      </c>
      <c r="M199" s="182"/>
      <c r="N199" s="182" t="s">
        <v>100</v>
      </c>
      <c r="O199" s="182"/>
      <c r="P199" s="182" t="s">
        <v>100</v>
      </c>
      <c r="Q199" s="182"/>
      <c r="R199" s="182" t="s">
        <v>100</v>
      </c>
      <c r="S199" s="182"/>
      <c r="T199" s="182"/>
      <c r="U199" s="182"/>
      <c r="V199" s="182"/>
      <c r="W199" s="182"/>
      <c r="X199" s="182"/>
      <c r="Y199" s="182"/>
      <c r="Z199" s="182"/>
      <c r="AA199" s="182"/>
      <c r="AB199" s="182"/>
      <c r="AC199" s="182"/>
      <c r="AD199" s="182"/>
      <c r="AE199" s="182"/>
      <c r="AF199" s="182"/>
      <c r="AG199" s="182"/>
      <c r="AH199" s="182"/>
      <c r="AI199" s="182"/>
      <c r="AJ199" s="167">
        <f t="shared" si="37"/>
        <v>10</v>
      </c>
      <c r="AK199" s="493" t="str">
        <f>HYPERLINK("http://www.usatoday.com/story/sports/mlb/columnist/bob-nightengale/2017/01/03/barry-bonds-roger-clemens-hall-of-fame/96099982/","USA Today")</f>
        <v>USA Today</v>
      </c>
      <c r="AL199" s="341">
        <v>42738</v>
      </c>
      <c r="AM199" s="352"/>
      <c r="AN199" s="352"/>
      <c r="AO199" s="352"/>
      <c r="AP199" s="352"/>
      <c r="AQ199" s="352"/>
      <c r="AR199" s="352"/>
      <c r="AS199" s="352"/>
      <c r="AT199" s="352"/>
      <c r="AU199" s="352"/>
      <c r="AV199" s="352"/>
      <c r="AW199" s="352"/>
      <c r="AX199" s="352"/>
      <c r="AY199" s="352"/>
      <c r="AZ199" s="352"/>
      <c r="BA199" s="352"/>
      <c r="BB199" s="352"/>
      <c r="BC199" s="352"/>
      <c r="BD199" s="352"/>
      <c r="BE199" s="352"/>
      <c r="BF199" s="352"/>
      <c r="BG199" s="352"/>
      <c r="BH199" s="352"/>
      <c r="BI199" s="352"/>
      <c r="BJ199" s="352"/>
      <c r="BK199" s="352"/>
      <c r="BL199" s="470"/>
      <c r="BM199" s="339"/>
      <c r="BN199" s="339"/>
      <c r="BO199" s="182"/>
      <c r="BP199" s="182"/>
      <c r="BQ199" s="182"/>
      <c r="BR199" s="182"/>
      <c r="BS199" s="182"/>
      <c r="BT199" s="182"/>
      <c r="BU199" s="182"/>
      <c r="BV199" s="182"/>
      <c r="BW199" s="182"/>
      <c r="BX199" s="182"/>
      <c r="BY199" s="182"/>
      <c r="BZ199" s="182"/>
      <c r="CA199" s="182"/>
      <c r="CB199" s="182"/>
      <c r="CC199" s="182"/>
      <c r="CD199" s="182"/>
      <c r="CE199" s="182"/>
      <c r="CF199" s="182"/>
      <c r="CG199" s="182"/>
      <c r="CH199" s="182"/>
      <c r="CI199" s="182"/>
      <c r="CJ199" s="182"/>
      <c r="CK199" s="182"/>
      <c r="CL199" s="618"/>
      <c r="CM199" s="619"/>
      <c r="CN199" s="620"/>
    </row>
    <row r="200" spans="1:92" s="344" customFormat="1">
      <c r="A200" s="335" t="s">
        <v>621</v>
      </c>
      <c r="B200" s="182" t="s">
        <v>100</v>
      </c>
      <c r="C200" s="182" t="s">
        <v>100</v>
      </c>
      <c r="D200" s="182" t="s">
        <v>100</v>
      </c>
      <c r="E200" s="182" t="s">
        <v>100</v>
      </c>
      <c r="F200" s="182"/>
      <c r="G200" s="182"/>
      <c r="H200" s="182" t="s">
        <v>100</v>
      </c>
      <c r="I200" s="182"/>
      <c r="J200" s="182" t="s">
        <v>100</v>
      </c>
      <c r="K200" s="182"/>
      <c r="L200" s="182" t="s">
        <v>100</v>
      </c>
      <c r="M200" s="182"/>
      <c r="N200" s="182" t="s">
        <v>100</v>
      </c>
      <c r="O200" s="182" t="s">
        <v>100</v>
      </c>
      <c r="P200" s="182"/>
      <c r="Q200" s="182"/>
      <c r="R200" s="182"/>
      <c r="S200" s="182"/>
      <c r="T200" s="302" t="s">
        <v>100</v>
      </c>
      <c r="U200" s="182"/>
      <c r="V200" s="182"/>
      <c r="W200" s="182"/>
      <c r="X200" s="182"/>
      <c r="Y200" s="182"/>
      <c r="Z200" s="182"/>
      <c r="AA200" s="182"/>
      <c r="AB200" s="182"/>
      <c r="AC200" s="182"/>
      <c r="AD200" s="182"/>
      <c r="AE200" s="182"/>
      <c r="AF200" s="182"/>
      <c r="AG200" s="182"/>
      <c r="AH200" s="182"/>
      <c r="AI200" s="182"/>
      <c r="AJ200" s="167">
        <f t="shared" si="37"/>
        <v>10</v>
      </c>
      <c r="AK200" s="493" t="str">
        <f>HYPERLINK("https://twitter.com/EricNunezAP/status/820682186928115712","Twitter")</f>
        <v>Twitter</v>
      </c>
      <c r="AL200" s="341">
        <v>42750</v>
      </c>
      <c r="AM200" s="352"/>
      <c r="AN200" s="352"/>
      <c r="AO200" s="352"/>
      <c r="AP200" s="352"/>
      <c r="AQ200" s="352"/>
      <c r="AR200" s="352"/>
      <c r="AS200" s="352"/>
      <c r="AT200" s="352"/>
      <c r="AU200" s="352"/>
      <c r="AV200" s="352"/>
      <c r="AW200" s="352"/>
      <c r="AX200" s="352"/>
      <c r="AY200" s="352"/>
      <c r="AZ200" s="352"/>
      <c r="BA200" s="352"/>
      <c r="BB200" s="352"/>
      <c r="BC200" s="352"/>
      <c r="BD200" s="352"/>
      <c r="BE200" s="352"/>
      <c r="BF200" s="352"/>
      <c r="BG200" s="352"/>
      <c r="BH200" s="352"/>
      <c r="BI200" s="352"/>
      <c r="BJ200" s="352"/>
      <c r="BK200" s="352"/>
      <c r="BL200" s="470"/>
      <c r="BM200" s="339"/>
      <c r="BN200" s="339"/>
      <c r="BO200" s="182"/>
      <c r="BP200" s="182"/>
      <c r="BQ200" s="182"/>
      <c r="BR200" s="182"/>
      <c r="BS200" s="182"/>
      <c r="BT200" s="182"/>
      <c r="BU200" s="182"/>
      <c r="BV200" s="182"/>
      <c r="BW200" s="182"/>
      <c r="BX200" s="182"/>
      <c r="BY200" s="182"/>
      <c r="BZ200" s="182"/>
      <c r="CA200" s="182"/>
      <c r="CB200" s="182"/>
      <c r="CC200" s="182"/>
      <c r="CD200" s="182"/>
      <c r="CE200" s="182"/>
      <c r="CF200" s="182"/>
      <c r="CG200" s="182"/>
      <c r="CH200" s="182"/>
      <c r="CI200" s="182"/>
      <c r="CJ200" s="182"/>
      <c r="CK200" s="182"/>
      <c r="CL200" s="618"/>
      <c r="CM200" s="619"/>
      <c r="CN200" s="620"/>
    </row>
    <row r="201" spans="1:92" s="344" customFormat="1">
      <c r="A201" s="335" t="s">
        <v>310</v>
      </c>
      <c r="B201" s="182" t="s">
        <v>100</v>
      </c>
      <c r="C201" s="182" t="s">
        <v>100</v>
      </c>
      <c r="D201" s="182" t="s">
        <v>100</v>
      </c>
      <c r="E201" s="182" t="s">
        <v>100</v>
      </c>
      <c r="F201" s="182" t="s">
        <v>100</v>
      </c>
      <c r="G201" s="182"/>
      <c r="H201" s="182"/>
      <c r="I201" s="182"/>
      <c r="J201" s="182" t="s">
        <v>100</v>
      </c>
      <c r="K201" s="182"/>
      <c r="L201" s="182" t="s">
        <v>100</v>
      </c>
      <c r="M201" s="182"/>
      <c r="N201" s="182" t="s">
        <v>100</v>
      </c>
      <c r="O201" s="182" t="s">
        <v>100</v>
      </c>
      <c r="P201" s="182"/>
      <c r="Q201" s="182" t="s">
        <v>100</v>
      </c>
      <c r="R201" s="182"/>
      <c r="S201" s="182"/>
      <c r="T201" s="182"/>
      <c r="U201" s="182"/>
      <c r="V201" s="182"/>
      <c r="W201" s="182"/>
      <c r="X201" s="182"/>
      <c r="Y201" s="182"/>
      <c r="Z201" s="182"/>
      <c r="AA201" s="182"/>
      <c r="AB201" s="182"/>
      <c r="AC201" s="182"/>
      <c r="AD201" s="182"/>
      <c r="AE201" s="182"/>
      <c r="AF201" s="182"/>
      <c r="AG201" s="182"/>
      <c r="AH201" s="182"/>
      <c r="AI201" s="182"/>
      <c r="AJ201" s="167">
        <f t="shared" si="37"/>
        <v>10</v>
      </c>
      <c r="AK201" s="493" t="str">
        <f>HYPERLINK("https://twitter.com/Ian_OConnor/status/811677426191335424","Twitter")</f>
        <v>Twitter</v>
      </c>
      <c r="AL201" s="341">
        <v>42725</v>
      </c>
      <c r="AM201" s="352"/>
      <c r="AN201" s="352"/>
      <c r="AO201" s="352"/>
      <c r="AP201" s="352"/>
      <c r="AQ201" s="352"/>
      <c r="AR201" s="352"/>
      <c r="AS201" s="352"/>
      <c r="AT201" s="352"/>
      <c r="AU201" s="352"/>
      <c r="AV201" s="352"/>
      <c r="AW201" s="352"/>
      <c r="AX201" s="352"/>
      <c r="AY201" s="352"/>
      <c r="AZ201" s="352"/>
      <c r="BA201" s="352"/>
      <c r="BB201" s="352"/>
      <c r="BC201" s="352"/>
      <c r="BD201" s="352"/>
      <c r="BE201" s="352"/>
      <c r="BF201" s="352"/>
      <c r="BG201" s="352"/>
      <c r="BH201" s="352"/>
      <c r="BI201" s="352"/>
      <c r="BJ201" s="352"/>
      <c r="BK201" s="352"/>
      <c r="BL201" s="470"/>
      <c r="BM201" s="339"/>
      <c r="BN201" s="339"/>
      <c r="BO201" s="182"/>
      <c r="BP201" s="182"/>
      <c r="BQ201" s="182"/>
      <c r="BR201" s="182"/>
      <c r="BS201" s="182"/>
      <c r="BT201" s="182"/>
      <c r="BU201" s="182"/>
      <c r="BV201" s="182"/>
      <c r="BW201" s="182"/>
      <c r="BX201" s="182"/>
      <c r="BY201" s="182"/>
      <c r="BZ201" s="182"/>
      <c r="CA201" s="182"/>
      <c r="CB201" s="182"/>
      <c r="CC201" s="182"/>
      <c r="CD201" s="182"/>
      <c r="CE201" s="182"/>
      <c r="CF201" s="182"/>
      <c r="CG201" s="182"/>
      <c r="CH201" s="182"/>
      <c r="CI201" s="182"/>
      <c r="CJ201" s="182"/>
      <c r="CK201" s="182"/>
      <c r="CL201" s="680" t="s">
        <v>541</v>
      </c>
      <c r="CM201" s="681"/>
      <c r="CN201" s="682"/>
    </row>
    <row r="202" spans="1:92" s="344" customFormat="1">
      <c r="A202" s="335" t="s">
        <v>622</v>
      </c>
      <c r="B202" s="182" t="s">
        <v>100</v>
      </c>
      <c r="C202" s="182" t="s">
        <v>100</v>
      </c>
      <c r="D202" s="182" t="s">
        <v>100</v>
      </c>
      <c r="E202" s="182"/>
      <c r="F202" s="182" t="s">
        <v>100</v>
      </c>
      <c r="G202" s="182"/>
      <c r="H202" s="302" t="s">
        <v>100</v>
      </c>
      <c r="I202" s="182"/>
      <c r="J202" s="302" t="s">
        <v>100</v>
      </c>
      <c r="K202" s="182"/>
      <c r="L202" s="182" t="s">
        <v>100</v>
      </c>
      <c r="M202" s="182"/>
      <c r="N202" s="182" t="s">
        <v>100</v>
      </c>
      <c r="O202" s="182" t="s">
        <v>100</v>
      </c>
      <c r="P202" s="182"/>
      <c r="Q202" s="182"/>
      <c r="R202" s="182"/>
      <c r="S202" s="182"/>
      <c r="T202" s="182"/>
      <c r="U202" s="182"/>
      <c r="V202" s="182"/>
      <c r="W202" s="182"/>
      <c r="X202" s="182"/>
      <c r="Y202" s="182"/>
      <c r="Z202" s="182"/>
      <c r="AA202" s="182"/>
      <c r="AB202" s="182"/>
      <c r="AC202" s="182"/>
      <c r="AD202" s="182"/>
      <c r="AE202" s="182"/>
      <c r="AF202" s="182"/>
      <c r="AG202" s="182"/>
      <c r="AH202" s="182"/>
      <c r="AI202" s="182"/>
      <c r="AJ202" s="167">
        <f t="shared" si="37"/>
        <v>9</v>
      </c>
      <c r="AK202" s="493" t="str">
        <f>HYPERLINK("http://thebig1070.iheart.com/onair/drew-olson-57982/one-writers-baseball-hall-of-fame-15469155/","The Big 1070")</f>
        <v>The Big 1070</v>
      </c>
      <c r="AL202" s="341">
        <v>42748</v>
      </c>
      <c r="AM202" s="352"/>
      <c r="AN202" s="352"/>
      <c r="AO202" s="352"/>
      <c r="AP202" s="352"/>
      <c r="AQ202" s="352"/>
      <c r="AR202" s="352"/>
      <c r="AS202" s="352"/>
      <c r="AT202" s="352"/>
      <c r="AU202" s="352"/>
      <c r="AV202" s="352"/>
      <c r="AW202" s="352"/>
      <c r="AX202" s="352"/>
      <c r="AY202" s="352"/>
      <c r="AZ202" s="352"/>
      <c r="BA202" s="352"/>
      <c r="BB202" s="352"/>
      <c r="BC202" s="352"/>
      <c r="BD202" s="352"/>
      <c r="BE202" s="352"/>
      <c r="BF202" s="352"/>
      <c r="BG202" s="352"/>
      <c r="BH202" s="352"/>
      <c r="BI202" s="352"/>
      <c r="BJ202" s="352"/>
      <c r="BK202" s="352"/>
      <c r="BL202" s="470"/>
      <c r="BM202" s="339"/>
      <c r="BN202" s="339"/>
      <c r="BO202" s="182"/>
      <c r="BP202" s="182"/>
      <c r="BQ202" s="182"/>
      <c r="BR202" s="182"/>
      <c r="BS202" s="182"/>
      <c r="BT202" s="182"/>
      <c r="BU202" s="182"/>
      <c r="BV202" s="182"/>
      <c r="BW202" s="182"/>
      <c r="BX202" s="182"/>
      <c r="BY202" s="182"/>
      <c r="BZ202" s="182"/>
      <c r="CA202" s="182"/>
      <c r="CB202" s="182"/>
      <c r="CC202" s="182"/>
      <c r="CD202" s="182"/>
      <c r="CE202" s="182"/>
      <c r="CF202" s="182"/>
      <c r="CG202" s="182"/>
      <c r="CH202" s="182"/>
      <c r="CI202" s="182"/>
      <c r="CJ202" s="182"/>
      <c r="CK202" s="182"/>
      <c r="CL202" s="618"/>
      <c r="CM202" s="619"/>
      <c r="CN202" s="620"/>
    </row>
    <row r="203" spans="1:92" s="344" customFormat="1">
      <c r="A203" s="335" t="s">
        <v>311</v>
      </c>
      <c r="B203" s="182" t="s">
        <v>100</v>
      </c>
      <c r="C203" s="182"/>
      <c r="D203" s="182"/>
      <c r="E203" s="182" t="s">
        <v>100</v>
      </c>
      <c r="F203" s="182" t="s">
        <v>100</v>
      </c>
      <c r="G203" s="182" t="s">
        <v>100</v>
      </c>
      <c r="H203" s="182"/>
      <c r="I203" s="182"/>
      <c r="J203" s="182"/>
      <c r="K203" s="182"/>
      <c r="L203" s="182" t="s">
        <v>100</v>
      </c>
      <c r="M203" s="182"/>
      <c r="N203" s="182" t="s">
        <v>100</v>
      </c>
      <c r="O203" s="182"/>
      <c r="P203" s="182"/>
      <c r="Q203" s="182"/>
      <c r="R203" s="182"/>
      <c r="S203" s="182"/>
      <c r="T203" s="182"/>
      <c r="U203" s="182"/>
      <c r="V203" s="182"/>
      <c r="W203" s="182"/>
      <c r="X203" s="182"/>
      <c r="Y203" s="182"/>
      <c r="Z203" s="182"/>
      <c r="AA203" s="182"/>
      <c r="AB203" s="182"/>
      <c r="AC203" s="182"/>
      <c r="AD203" s="182"/>
      <c r="AE203" s="182"/>
      <c r="AF203" s="182"/>
      <c r="AG203" s="182"/>
      <c r="AH203" s="182"/>
      <c r="AI203" s="182"/>
      <c r="AJ203" s="167">
        <f t="shared" si="37"/>
        <v>6</v>
      </c>
      <c r="AK203" s="481" t="str">
        <f>HYPERLINK("http://www.usatoday.com/story/sports/mlb/2017/01/17/baseball-hall-fame-how-usa-today-sports-voted/96676540/","USA Today")</f>
        <v>USA Today</v>
      </c>
      <c r="AL203" s="341">
        <v>42752</v>
      </c>
      <c r="AM203" s="352"/>
      <c r="AN203" s="352"/>
      <c r="AO203" s="352"/>
      <c r="AP203" s="352"/>
      <c r="AQ203" s="352"/>
      <c r="AR203" s="352"/>
      <c r="AS203" s="352"/>
      <c r="AT203" s="352"/>
      <c r="AU203" s="352"/>
      <c r="AV203" s="352"/>
      <c r="AW203" s="352"/>
      <c r="AX203" s="352"/>
      <c r="AY203" s="352"/>
      <c r="AZ203" s="352"/>
      <c r="BA203" s="352"/>
      <c r="BB203" s="352"/>
      <c r="BC203" s="352"/>
      <c r="BD203" s="352"/>
      <c r="BE203" s="352"/>
      <c r="BF203" s="352"/>
      <c r="BG203" s="352"/>
      <c r="BH203" s="352"/>
      <c r="BI203" s="352"/>
      <c r="BJ203" s="352"/>
      <c r="BK203" s="352"/>
      <c r="BL203" s="470"/>
      <c r="BM203" s="339"/>
      <c r="BN203" s="339"/>
      <c r="BO203" s="182"/>
      <c r="BP203" s="182"/>
      <c r="BQ203" s="182"/>
      <c r="BR203" s="182"/>
      <c r="BS203" s="182"/>
      <c r="BT203" s="182"/>
      <c r="BU203" s="182"/>
      <c r="BV203" s="182"/>
      <c r="BW203" s="182"/>
      <c r="BX203" s="182"/>
      <c r="BY203" s="182"/>
      <c r="BZ203" s="182"/>
      <c r="CA203" s="182"/>
      <c r="CB203" s="182"/>
      <c r="CC203" s="182"/>
      <c r="CD203" s="182"/>
      <c r="CE203" s="182"/>
      <c r="CF203" s="182"/>
      <c r="CG203" s="182"/>
      <c r="CH203" s="182"/>
      <c r="CI203" s="182"/>
      <c r="CJ203" s="182"/>
      <c r="CK203" s="182"/>
      <c r="CL203" s="618"/>
      <c r="CM203" s="619"/>
      <c r="CN203" s="620"/>
    </row>
    <row r="204" spans="1:92">
      <c r="A204" s="181" t="s">
        <v>623</v>
      </c>
      <c r="B204" s="182" t="s">
        <v>100</v>
      </c>
      <c r="C204" s="182" t="s">
        <v>100</v>
      </c>
      <c r="D204" s="182" t="s">
        <v>100</v>
      </c>
      <c r="E204" s="182" t="s">
        <v>100</v>
      </c>
      <c r="F204" s="182" t="s">
        <v>100</v>
      </c>
      <c r="G204" s="182" t="s">
        <v>100</v>
      </c>
      <c r="H204" s="182"/>
      <c r="I204" s="182"/>
      <c r="J204" s="182"/>
      <c r="K204" s="182"/>
      <c r="L204" s="182" t="s">
        <v>100</v>
      </c>
      <c r="M204" s="182"/>
      <c r="N204" s="182" t="s">
        <v>100</v>
      </c>
      <c r="O204" s="182"/>
      <c r="P204" s="182"/>
      <c r="Q204" s="182" t="s">
        <v>100</v>
      </c>
      <c r="R204" s="182"/>
      <c r="S204" s="182" t="s">
        <v>100</v>
      </c>
      <c r="T204" s="182"/>
      <c r="U204" s="182"/>
      <c r="V204" s="182"/>
      <c r="W204" s="182"/>
      <c r="X204" s="182"/>
      <c r="Y204" s="182"/>
      <c r="Z204" s="182"/>
      <c r="AA204" s="182"/>
      <c r="AB204" s="182"/>
      <c r="AC204" s="182"/>
      <c r="AD204" s="182"/>
      <c r="AE204" s="182"/>
      <c r="AF204" s="182"/>
      <c r="AG204" s="182"/>
      <c r="AH204" s="182"/>
      <c r="AI204" s="182"/>
      <c r="AJ204" s="167">
        <f t="shared" si="37"/>
        <v>10</v>
      </c>
      <c r="AK204" s="493" t="str">
        <f>HYPERLINK("https://twitter.com/OrtizKicks/status/802317582778953728","Twitter")</f>
        <v>Twitter</v>
      </c>
      <c r="AL204" s="186">
        <v>42699</v>
      </c>
      <c r="AM204" s="187"/>
      <c r="AN204" s="187"/>
      <c r="AO204" s="187"/>
      <c r="AP204" s="187"/>
      <c r="AQ204" s="187"/>
      <c r="AR204" s="187"/>
      <c r="AS204" s="187"/>
      <c r="AT204" s="187"/>
      <c r="AU204" s="187"/>
      <c r="AV204" s="187"/>
      <c r="AW204" s="187"/>
      <c r="AX204" s="187"/>
      <c r="AY204" s="187"/>
      <c r="AZ204" s="187"/>
      <c r="BA204" s="187"/>
      <c r="BB204" s="187"/>
      <c r="BC204" s="187"/>
      <c r="BD204" s="187"/>
      <c r="BE204" s="187"/>
      <c r="BF204" s="187"/>
      <c r="BG204" s="187"/>
      <c r="BH204" s="187"/>
      <c r="BI204" s="187"/>
      <c r="BJ204" s="187"/>
      <c r="BK204" s="187"/>
      <c r="BL204" s="273"/>
      <c r="BM204" s="167"/>
      <c r="BN204" s="167"/>
      <c r="BO204" s="644"/>
      <c r="BP204" s="644"/>
      <c r="BQ204" s="644"/>
      <c r="BR204" s="644"/>
      <c r="BS204" s="644"/>
      <c r="BT204" s="644"/>
      <c r="BU204" s="644"/>
      <c r="BV204" s="644"/>
      <c r="BW204" s="644"/>
      <c r="BX204" s="644"/>
      <c r="BY204" s="644"/>
      <c r="BZ204" s="644"/>
      <c r="CA204" s="644"/>
      <c r="CB204" s="644"/>
      <c r="CC204" s="644"/>
      <c r="CD204" s="644"/>
      <c r="CE204" s="644"/>
      <c r="CF204" s="644"/>
      <c r="CG204" s="644"/>
      <c r="CH204" s="644"/>
      <c r="CI204" s="644"/>
      <c r="CJ204" s="644"/>
      <c r="CK204" s="644"/>
      <c r="CL204" s="680" t="s">
        <v>194</v>
      </c>
      <c r="CM204" s="681"/>
      <c r="CN204" s="682"/>
    </row>
    <row r="205" spans="1:92">
      <c r="A205" s="181" t="s">
        <v>624</v>
      </c>
      <c r="B205" s="182" t="s">
        <v>100</v>
      </c>
      <c r="C205" s="182"/>
      <c r="D205" s="182"/>
      <c r="E205" s="182"/>
      <c r="F205" s="182" t="s">
        <v>100</v>
      </c>
      <c r="G205" s="320"/>
      <c r="H205" s="182"/>
      <c r="I205" s="182"/>
      <c r="J205" s="182"/>
      <c r="K205" s="182"/>
      <c r="L205" s="302" t="s">
        <v>100</v>
      </c>
      <c r="M205" s="182"/>
      <c r="N205" s="182"/>
      <c r="O205" s="182"/>
      <c r="P205" s="182"/>
      <c r="Q205" s="182"/>
      <c r="R205" s="182"/>
      <c r="S205" s="182"/>
      <c r="T205" s="182"/>
      <c r="U205" s="182"/>
      <c r="V205" s="182"/>
      <c r="W205" s="182"/>
      <c r="X205" s="182"/>
      <c r="Y205" s="182"/>
      <c r="Z205" s="182"/>
      <c r="AA205" s="182"/>
      <c r="AB205" s="182"/>
      <c r="AC205" s="182"/>
      <c r="AD205" s="182"/>
      <c r="AE205" s="182"/>
      <c r="AF205" s="182"/>
      <c r="AG205" s="182"/>
      <c r="AH205" s="182"/>
      <c r="AI205" s="182"/>
      <c r="AJ205" s="167">
        <f t="shared" si="37"/>
        <v>3</v>
      </c>
      <c r="AK205" s="482" t="s">
        <v>138</v>
      </c>
      <c r="AL205" s="186">
        <v>42711</v>
      </c>
      <c r="AM205" s="187"/>
      <c r="AN205" s="187"/>
      <c r="AO205" s="187"/>
      <c r="AP205" s="187"/>
      <c r="AQ205" s="187"/>
      <c r="AR205" s="187"/>
      <c r="AS205" s="187"/>
      <c r="AT205" s="187"/>
      <c r="AU205" s="187"/>
      <c r="AV205" s="187"/>
      <c r="AW205" s="187"/>
      <c r="AX205" s="187"/>
      <c r="AY205" s="187"/>
      <c r="AZ205" s="187"/>
      <c r="BA205" s="187"/>
      <c r="BB205" s="187"/>
      <c r="BC205" s="187"/>
      <c r="BD205" s="187"/>
      <c r="BE205" s="187"/>
      <c r="BF205" s="187"/>
      <c r="BG205" s="187"/>
      <c r="BH205" s="187"/>
      <c r="BI205" s="187"/>
      <c r="BJ205" s="187"/>
      <c r="BK205" s="187"/>
      <c r="BL205" s="273"/>
      <c r="BM205" s="167"/>
      <c r="BN205" s="167"/>
      <c r="BO205" s="644"/>
      <c r="BP205" s="644"/>
      <c r="BQ205" s="644"/>
      <c r="BR205" s="644"/>
      <c r="BS205" s="644"/>
      <c r="BT205" s="644"/>
      <c r="BU205" s="644"/>
      <c r="BV205" s="644"/>
      <c r="BW205" s="644"/>
      <c r="BX205" s="644"/>
      <c r="BY205" s="644"/>
      <c r="BZ205" s="644"/>
      <c r="CA205" s="644"/>
      <c r="CB205" s="644"/>
      <c r="CC205" s="644"/>
      <c r="CD205" s="644"/>
      <c r="CE205" s="644"/>
      <c r="CF205" s="644"/>
      <c r="CG205" s="644"/>
      <c r="CH205" s="644"/>
      <c r="CI205" s="644"/>
      <c r="CJ205" s="644"/>
      <c r="CK205" s="644"/>
      <c r="CL205" s="680"/>
      <c r="CM205" s="681"/>
      <c r="CN205" s="682"/>
    </row>
    <row r="206" spans="1:92" s="344" customFormat="1">
      <c r="A206" s="335" t="s">
        <v>625</v>
      </c>
      <c r="B206" s="182" t="s">
        <v>100</v>
      </c>
      <c r="C206" s="182" t="s">
        <v>100</v>
      </c>
      <c r="D206" s="182" t="s">
        <v>100</v>
      </c>
      <c r="E206" s="182" t="s">
        <v>100</v>
      </c>
      <c r="F206" s="182" t="s">
        <v>100</v>
      </c>
      <c r="G206" s="182"/>
      <c r="H206" s="182" t="s">
        <v>100</v>
      </c>
      <c r="I206" s="182"/>
      <c r="J206" s="182" t="s">
        <v>100</v>
      </c>
      <c r="K206" s="182"/>
      <c r="L206" s="182" t="s">
        <v>100</v>
      </c>
      <c r="M206" s="182" t="s">
        <v>100</v>
      </c>
      <c r="N206" s="182" t="s">
        <v>100</v>
      </c>
      <c r="O206" s="320"/>
      <c r="P206" s="182"/>
      <c r="Q206" s="182"/>
      <c r="R206" s="182"/>
      <c r="S206" s="182"/>
      <c r="T206" s="182"/>
      <c r="U206" s="182"/>
      <c r="V206" s="182"/>
      <c r="W206" s="182"/>
      <c r="X206" s="182"/>
      <c r="Y206" s="182"/>
      <c r="Z206" s="182"/>
      <c r="AA206" s="182"/>
      <c r="AB206" s="182"/>
      <c r="AC206" s="182"/>
      <c r="AD206" s="182"/>
      <c r="AE206" s="182"/>
      <c r="AF206" s="182"/>
      <c r="AG206" s="182"/>
      <c r="AH206" s="182"/>
      <c r="AI206" s="182"/>
      <c r="AJ206" s="167">
        <f t="shared" si="37"/>
        <v>10</v>
      </c>
      <c r="AK206" s="493" t="str">
        <f>HYPERLINK("https://twitter.com/DougPadilla/status/815092256281530368","Twitter")</f>
        <v>Twitter</v>
      </c>
      <c r="AL206" s="341">
        <v>42735</v>
      </c>
      <c r="AM206" s="352"/>
      <c r="AN206" s="352"/>
      <c r="AO206" s="352"/>
      <c r="AP206" s="352"/>
      <c r="AQ206" s="352"/>
      <c r="AR206" s="352"/>
      <c r="AS206" s="352"/>
      <c r="AT206" s="352"/>
      <c r="AU206" s="352"/>
      <c r="AV206" s="352"/>
      <c r="AW206" s="352"/>
      <c r="AX206" s="352"/>
      <c r="AY206" s="352"/>
      <c r="AZ206" s="352"/>
      <c r="BA206" s="352"/>
      <c r="BB206" s="352"/>
      <c r="BC206" s="352"/>
      <c r="BD206" s="352"/>
      <c r="BE206" s="352"/>
      <c r="BF206" s="352"/>
      <c r="BG206" s="352"/>
      <c r="BH206" s="352"/>
      <c r="BI206" s="352"/>
      <c r="BJ206" s="352"/>
      <c r="BK206" s="352"/>
      <c r="BL206" s="470"/>
      <c r="BM206" s="339"/>
      <c r="BN206" s="339"/>
      <c r="BO206" s="182"/>
      <c r="BP206" s="182"/>
      <c r="BQ206" s="182"/>
      <c r="BR206" s="182"/>
      <c r="BS206" s="182"/>
      <c r="BT206" s="182"/>
      <c r="BU206" s="182"/>
      <c r="BV206" s="182"/>
      <c r="BW206" s="182"/>
      <c r="BX206" s="182"/>
      <c r="BY206" s="182"/>
      <c r="BZ206" s="182"/>
      <c r="CA206" s="182"/>
      <c r="CB206" s="182"/>
      <c r="CC206" s="182"/>
      <c r="CD206" s="182"/>
      <c r="CE206" s="182"/>
      <c r="CF206" s="182"/>
      <c r="CG206" s="182"/>
      <c r="CH206" s="182"/>
      <c r="CI206" s="182"/>
      <c r="CJ206" s="182"/>
      <c r="CK206" s="182"/>
      <c r="CL206" s="618"/>
      <c r="CM206" s="619"/>
      <c r="CN206" s="620"/>
    </row>
    <row r="207" spans="1:92" s="344" customFormat="1">
      <c r="A207" s="331" t="s">
        <v>626</v>
      </c>
      <c r="B207" s="182" t="s">
        <v>100</v>
      </c>
      <c r="C207" s="182" t="s">
        <v>100</v>
      </c>
      <c r="D207" s="182" t="s">
        <v>100</v>
      </c>
      <c r="E207" s="182"/>
      <c r="F207" s="182" t="s">
        <v>100</v>
      </c>
      <c r="G207" s="182"/>
      <c r="H207" s="182" t="s">
        <v>100</v>
      </c>
      <c r="I207" s="182"/>
      <c r="J207" s="182" t="s">
        <v>100</v>
      </c>
      <c r="K207" s="182"/>
      <c r="L207" s="182" t="s">
        <v>100</v>
      </c>
      <c r="M207" s="182"/>
      <c r="N207" s="182"/>
      <c r="O207" s="182" t="s">
        <v>100</v>
      </c>
      <c r="P207" s="182"/>
      <c r="Q207" s="182" t="s">
        <v>100</v>
      </c>
      <c r="R207" s="182" t="s">
        <v>100</v>
      </c>
      <c r="S207" s="182"/>
      <c r="T207" s="182"/>
      <c r="U207" s="182"/>
      <c r="V207" s="182"/>
      <c r="W207" s="182"/>
      <c r="X207" s="182"/>
      <c r="Y207" s="182"/>
      <c r="Z207" s="182"/>
      <c r="AA207" s="182"/>
      <c r="AB207" s="182"/>
      <c r="AC207" s="182"/>
      <c r="AD207" s="182"/>
      <c r="AE207" s="182"/>
      <c r="AF207" s="182"/>
      <c r="AG207" s="182"/>
      <c r="AH207" s="182"/>
      <c r="AI207" s="182"/>
      <c r="AJ207" s="167">
        <f>COUNTIF(B207:AI207,"x")</f>
        <v>10</v>
      </c>
      <c r="AK207" s="481" t="str">
        <f>HYPERLINK("https://twitter.com/jparis_sports/status/821404917784948736","Twitter")</f>
        <v>Twitter</v>
      </c>
      <c r="AL207" s="341">
        <v>42752</v>
      </c>
      <c r="AM207" s="352"/>
      <c r="AN207" s="352"/>
      <c r="AO207" s="352"/>
      <c r="AP207" s="352"/>
      <c r="AQ207" s="352"/>
      <c r="AR207" s="352"/>
      <c r="AS207" s="352"/>
      <c r="AT207" s="352"/>
      <c r="AU207" s="352"/>
      <c r="AV207" s="352"/>
      <c r="AW207" s="352"/>
      <c r="AX207" s="352"/>
      <c r="AY207" s="352"/>
      <c r="AZ207" s="352"/>
      <c r="BA207" s="352"/>
      <c r="BB207" s="352"/>
      <c r="BC207" s="352"/>
      <c r="BD207" s="352"/>
      <c r="BE207" s="352"/>
      <c r="BF207" s="352"/>
      <c r="BG207" s="352"/>
      <c r="BH207" s="352"/>
      <c r="BI207" s="352"/>
      <c r="BJ207" s="352"/>
      <c r="BK207" s="352"/>
      <c r="BL207" s="470"/>
      <c r="BM207" s="339"/>
      <c r="BN207" s="339"/>
      <c r="BO207" s="182"/>
      <c r="BP207" s="182"/>
      <c r="BQ207" s="182"/>
      <c r="BR207" s="182"/>
      <c r="BS207" s="182"/>
      <c r="BT207" s="182"/>
      <c r="BU207" s="182"/>
      <c r="BV207" s="182"/>
      <c r="BW207" s="182"/>
      <c r="BX207" s="182"/>
      <c r="BY207" s="182"/>
      <c r="BZ207" s="182"/>
      <c r="CA207" s="182"/>
      <c r="CB207" s="182"/>
      <c r="CC207" s="182"/>
      <c r="CD207" s="182"/>
      <c r="CE207" s="182"/>
      <c r="CF207" s="182"/>
      <c r="CG207" s="182"/>
      <c r="CH207" s="182"/>
      <c r="CI207" s="182"/>
      <c r="CJ207" s="182"/>
      <c r="CK207" s="182"/>
      <c r="CL207" s="618"/>
      <c r="CM207" s="619"/>
      <c r="CN207" s="620"/>
    </row>
    <row r="208" spans="1:92" s="344" customFormat="1">
      <c r="A208" s="335" t="s">
        <v>313</v>
      </c>
      <c r="B208" s="182"/>
      <c r="C208" s="182" t="s">
        <v>100</v>
      </c>
      <c r="D208" s="182" t="s">
        <v>100</v>
      </c>
      <c r="E208" s="182"/>
      <c r="F208" s="182" t="s">
        <v>100</v>
      </c>
      <c r="G208" s="182"/>
      <c r="H208" s="182"/>
      <c r="I208" s="182"/>
      <c r="J208" s="182"/>
      <c r="K208" s="182"/>
      <c r="L208" s="182"/>
      <c r="M208" s="182"/>
      <c r="N208" s="182" t="s">
        <v>100</v>
      </c>
      <c r="O208" s="182"/>
      <c r="P208" s="182" t="s">
        <v>100</v>
      </c>
      <c r="Q208" s="182" t="s">
        <v>100</v>
      </c>
      <c r="R208" s="182" t="s">
        <v>100</v>
      </c>
      <c r="S208" s="182"/>
      <c r="T208" s="182"/>
      <c r="U208" s="182"/>
      <c r="V208" s="182"/>
      <c r="W208" s="182"/>
      <c r="X208" s="182"/>
      <c r="Y208" s="182"/>
      <c r="Z208" s="182"/>
      <c r="AA208" s="182"/>
      <c r="AB208" s="182"/>
      <c r="AC208" s="182"/>
      <c r="AD208" s="182"/>
      <c r="AE208" s="182"/>
      <c r="AF208" s="182"/>
      <c r="AG208" s="182"/>
      <c r="AH208" s="182"/>
      <c r="AI208" s="182"/>
      <c r="AJ208" s="167">
        <f>COUNTIF(B208:AI208,"x")</f>
        <v>7</v>
      </c>
      <c r="AK208" s="481" t="str">
        <f>HYPERLINK("https://theshadowleague.com/story/my-baseball-hall-of-fame-ballot","The Shadow League")</f>
        <v>The Shadow League</v>
      </c>
      <c r="AL208" s="341">
        <v>42752</v>
      </c>
      <c r="AM208" s="352"/>
      <c r="AN208" s="352"/>
      <c r="AO208" s="352"/>
      <c r="AP208" s="352"/>
      <c r="AQ208" s="352"/>
      <c r="AR208" s="352"/>
      <c r="AS208" s="352"/>
      <c r="AT208" s="352"/>
      <c r="AU208" s="352"/>
      <c r="AV208" s="352"/>
      <c r="AW208" s="352"/>
      <c r="AX208" s="352"/>
      <c r="AY208" s="352"/>
      <c r="AZ208" s="352"/>
      <c r="BA208" s="352"/>
      <c r="BB208" s="352"/>
      <c r="BC208" s="352"/>
      <c r="BD208" s="352"/>
      <c r="BE208" s="352"/>
      <c r="BF208" s="352"/>
      <c r="BG208" s="352"/>
      <c r="BH208" s="352"/>
      <c r="BI208" s="352"/>
      <c r="BJ208" s="352"/>
      <c r="BK208" s="352"/>
      <c r="BL208" s="470"/>
      <c r="BM208" s="339"/>
      <c r="BN208" s="339"/>
      <c r="BO208" s="182"/>
      <c r="BP208" s="182"/>
      <c r="BQ208" s="182"/>
      <c r="BR208" s="182"/>
      <c r="BS208" s="182"/>
      <c r="BT208" s="182"/>
      <c r="BU208" s="182"/>
      <c r="BV208" s="182"/>
      <c r="BW208" s="182"/>
      <c r="BX208" s="182"/>
      <c r="BY208" s="182"/>
      <c r="BZ208" s="182"/>
      <c r="CA208" s="182"/>
      <c r="CB208" s="182"/>
      <c r="CC208" s="182"/>
      <c r="CD208" s="182"/>
      <c r="CE208" s="182"/>
      <c r="CF208" s="182"/>
      <c r="CG208" s="182"/>
      <c r="CH208" s="182"/>
      <c r="CI208" s="182"/>
      <c r="CJ208" s="182"/>
      <c r="CK208" s="182"/>
      <c r="CL208" s="618"/>
      <c r="CM208" s="619"/>
      <c r="CN208" s="620"/>
    </row>
    <row r="209" spans="1:92" s="344" customFormat="1">
      <c r="A209" s="335" t="s">
        <v>627</v>
      </c>
      <c r="B209" s="182" t="s">
        <v>100</v>
      </c>
      <c r="C209" s="182" t="s">
        <v>100</v>
      </c>
      <c r="D209" s="182" t="s">
        <v>100</v>
      </c>
      <c r="E209" s="182" t="s">
        <v>100</v>
      </c>
      <c r="F209" s="182"/>
      <c r="G209" s="182"/>
      <c r="H209" s="182" t="s">
        <v>100</v>
      </c>
      <c r="I209" s="182"/>
      <c r="J209" s="182" t="s">
        <v>100</v>
      </c>
      <c r="K209" s="182"/>
      <c r="L209" s="182" t="s">
        <v>100</v>
      </c>
      <c r="M209" s="182" t="s">
        <v>100</v>
      </c>
      <c r="N209" s="182" t="s">
        <v>100</v>
      </c>
      <c r="O209" s="182" t="s">
        <v>100</v>
      </c>
      <c r="P209" s="182"/>
      <c r="Q209" s="182"/>
      <c r="R209" s="182"/>
      <c r="S209" s="182"/>
      <c r="T209" s="182"/>
      <c r="U209" s="182"/>
      <c r="V209" s="182"/>
      <c r="W209" s="182"/>
      <c r="X209" s="182"/>
      <c r="Y209" s="182"/>
      <c r="Z209" s="182"/>
      <c r="AA209" s="182"/>
      <c r="AB209" s="182"/>
      <c r="AC209" s="182"/>
      <c r="AD209" s="182"/>
      <c r="AE209" s="182"/>
      <c r="AF209" s="182"/>
      <c r="AG209" s="182"/>
      <c r="AH209" s="182"/>
      <c r="AI209" s="182"/>
      <c r="AJ209" s="167">
        <f>COUNTIF(B209:AI209,"x")</f>
        <v>10</v>
      </c>
      <c r="AK209" s="493" t="str">
        <f>HYPERLINK("https://twitter.com/JeffPassan/status/809484334868660228","Jeff Passan")</f>
        <v>Jeff Passan</v>
      </c>
      <c r="AL209" s="341">
        <v>42719</v>
      </c>
      <c r="AM209" s="352"/>
      <c r="AN209" s="352"/>
      <c r="AO209" s="352"/>
      <c r="AP209" s="352"/>
      <c r="AQ209" s="352"/>
      <c r="AR209" s="352"/>
      <c r="AS209" s="352"/>
      <c r="AT209" s="352"/>
      <c r="AU209" s="352"/>
      <c r="AV209" s="352"/>
      <c r="AW209" s="352"/>
      <c r="AX209" s="352"/>
      <c r="AY209" s="352"/>
      <c r="AZ209" s="352"/>
      <c r="BA209" s="352"/>
      <c r="BB209" s="352"/>
      <c r="BC209" s="352"/>
      <c r="BD209" s="352"/>
      <c r="BE209" s="352"/>
      <c r="BF209" s="352"/>
      <c r="BG209" s="352"/>
      <c r="BH209" s="352"/>
      <c r="BI209" s="352"/>
      <c r="BJ209" s="352"/>
      <c r="BK209" s="352"/>
      <c r="BL209" s="470"/>
      <c r="BM209" s="339"/>
      <c r="BN209" s="339"/>
      <c r="BO209" s="182"/>
      <c r="BP209" s="182"/>
      <c r="BQ209" s="182"/>
      <c r="BR209" s="182"/>
      <c r="BS209" s="182"/>
      <c r="BT209" s="182"/>
      <c r="BU209" s="182"/>
      <c r="BV209" s="182"/>
      <c r="BW209" s="182"/>
      <c r="BX209" s="182"/>
      <c r="BY209" s="182"/>
      <c r="BZ209" s="182"/>
      <c r="CA209" s="182"/>
      <c r="CB209" s="182"/>
      <c r="CC209" s="182"/>
      <c r="CD209" s="182"/>
      <c r="CE209" s="182"/>
      <c r="CF209" s="182"/>
      <c r="CG209" s="182"/>
      <c r="CH209" s="182"/>
      <c r="CI209" s="182"/>
      <c r="CJ209" s="182"/>
      <c r="CK209" s="182"/>
      <c r="CL209" s="680"/>
      <c r="CM209" s="681"/>
      <c r="CN209" s="682"/>
    </row>
    <row r="210" spans="1:92" s="344" customFormat="1">
      <c r="A210" s="335" t="s">
        <v>314</v>
      </c>
      <c r="B210" s="182" t="s">
        <v>100</v>
      </c>
      <c r="C210" s="182"/>
      <c r="D210" s="182"/>
      <c r="E210" s="182" t="s">
        <v>100</v>
      </c>
      <c r="F210" s="182" t="s">
        <v>100</v>
      </c>
      <c r="G210" s="302" t="s">
        <v>100</v>
      </c>
      <c r="H210" s="182" t="s">
        <v>100</v>
      </c>
      <c r="I210" s="182"/>
      <c r="J210" s="182" t="s">
        <v>100</v>
      </c>
      <c r="K210" s="182"/>
      <c r="L210" s="182" t="s">
        <v>100</v>
      </c>
      <c r="M210" s="182"/>
      <c r="N210" s="182" t="s">
        <v>100</v>
      </c>
      <c r="O210" s="182" t="s">
        <v>100</v>
      </c>
      <c r="P210" s="182"/>
      <c r="Q210" s="182" t="s">
        <v>100</v>
      </c>
      <c r="R210" s="182"/>
      <c r="S210" s="182"/>
      <c r="T210" s="182"/>
      <c r="U210" s="182"/>
      <c r="V210" s="182"/>
      <c r="W210" s="182"/>
      <c r="X210" s="182"/>
      <c r="Y210" s="182"/>
      <c r="Z210" s="182"/>
      <c r="AA210" s="182"/>
      <c r="AB210" s="182"/>
      <c r="AC210" s="182"/>
      <c r="AD210" s="182"/>
      <c r="AE210" s="182"/>
      <c r="AF210" s="182"/>
      <c r="AG210" s="182"/>
      <c r="AH210" s="182"/>
      <c r="AI210" s="182"/>
      <c r="AJ210" s="167">
        <f t="shared" si="37"/>
        <v>10</v>
      </c>
      <c r="AK210" s="483" t="s">
        <v>113</v>
      </c>
      <c r="AL210" s="341">
        <v>42747</v>
      </c>
      <c r="AM210" s="352"/>
      <c r="AN210" s="352"/>
      <c r="AO210" s="352"/>
      <c r="AP210" s="352"/>
      <c r="AQ210" s="352"/>
      <c r="AR210" s="352"/>
      <c r="AS210" s="352"/>
      <c r="AT210" s="352"/>
      <c r="AU210" s="352"/>
      <c r="AV210" s="352"/>
      <c r="AW210" s="352"/>
      <c r="AX210" s="352"/>
      <c r="AY210" s="352"/>
      <c r="AZ210" s="352"/>
      <c r="BA210" s="352"/>
      <c r="BB210" s="352"/>
      <c r="BC210" s="352"/>
      <c r="BD210" s="352"/>
      <c r="BE210" s="352"/>
      <c r="BF210" s="352"/>
      <c r="BG210" s="352"/>
      <c r="BH210" s="352"/>
      <c r="BI210" s="352"/>
      <c r="BJ210" s="352"/>
      <c r="BK210" s="352"/>
      <c r="BL210" s="470"/>
      <c r="BM210" s="339"/>
      <c r="BN210" s="339"/>
      <c r="BO210" s="182"/>
      <c r="BP210" s="182"/>
      <c r="BQ210" s="182"/>
      <c r="BR210" s="182"/>
      <c r="BS210" s="182"/>
      <c r="BT210" s="182"/>
      <c r="BU210" s="182"/>
      <c r="BV210" s="182"/>
      <c r="BW210" s="182"/>
      <c r="BX210" s="182"/>
      <c r="BY210" s="182"/>
      <c r="BZ210" s="182"/>
      <c r="CA210" s="182"/>
      <c r="CB210" s="182"/>
      <c r="CC210" s="182"/>
      <c r="CD210" s="182"/>
      <c r="CE210" s="182"/>
      <c r="CF210" s="182"/>
      <c r="CG210" s="182"/>
      <c r="CH210" s="182"/>
      <c r="CI210" s="182"/>
      <c r="CJ210" s="182"/>
      <c r="CK210" s="182"/>
      <c r="CL210" s="618"/>
      <c r="CM210" s="619"/>
      <c r="CN210" s="620"/>
    </row>
    <row r="211" spans="1:92" s="344" customFormat="1">
      <c r="A211" s="335" t="s">
        <v>315</v>
      </c>
      <c r="B211" s="182" t="s">
        <v>100</v>
      </c>
      <c r="C211" s="182" t="s">
        <v>100</v>
      </c>
      <c r="D211" s="182" t="s">
        <v>100</v>
      </c>
      <c r="E211" s="182" t="s">
        <v>100</v>
      </c>
      <c r="F211" s="182"/>
      <c r="G211" s="182"/>
      <c r="H211" s="182"/>
      <c r="I211" s="182"/>
      <c r="J211" s="182"/>
      <c r="K211" s="182"/>
      <c r="L211" s="182" t="s">
        <v>100</v>
      </c>
      <c r="M211" s="182"/>
      <c r="N211" s="182" t="s">
        <v>100</v>
      </c>
      <c r="O211" s="182"/>
      <c r="P211" s="182"/>
      <c r="Q211" s="182"/>
      <c r="R211" s="182"/>
      <c r="S211" s="182"/>
      <c r="T211" s="182" t="s">
        <v>100</v>
      </c>
      <c r="U211" s="182"/>
      <c r="V211" s="182"/>
      <c r="W211" s="182"/>
      <c r="X211" s="182"/>
      <c r="Y211" s="182"/>
      <c r="Z211" s="182"/>
      <c r="AA211" s="182"/>
      <c r="AB211" s="182"/>
      <c r="AC211" s="182"/>
      <c r="AD211" s="182"/>
      <c r="AE211" s="182"/>
      <c r="AF211" s="182"/>
      <c r="AG211" s="182"/>
      <c r="AH211" s="182"/>
      <c r="AI211" s="182"/>
      <c r="AJ211" s="167">
        <f t="shared" si="37"/>
        <v>7</v>
      </c>
      <c r="AK211" s="483" t="s">
        <v>279</v>
      </c>
      <c r="AL211" s="341">
        <v>42725</v>
      </c>
      <c r="AM211" s="352"/>
      <c r="AN211" s="352"/>
      <c r="AO211" s="352"/>
      <c r="AP211" s="352"/>
      <c r="AQ211" s="352"/>
      <c r="AR211" s="352"/>
      <c r="AS211" s="352"/>
      <c r="AT211" s="352"/>
      <c r="AU211" s="352"/>
      <c r="AV211" s="352"/>
      <c r="AW211" s="352"/>
      <c r="AX211" s="352"/>
      <c r="AY211" s="352"/>
      <c r="AZ211" s="352"/>
      <c r="BA211" s="352"/>
      <c r="BB211" s="352"/>
      <c r="BC211" s="352"/>
      <c r="BD211" s="352"/>
      <c r="BE211" s="352"/>
      <c r="BF211" s="352"/>
      <c r="BG211" s="352"/>
      <c r="BH211" s="352"/>
      <c r="BI211" s="352"/>
      <c r="BJ211" s="352"/>
      <c r="BK211" s="352"/>
      <c r="BL211" s="470"/>
      <c r="BM211" s="339"/>
      <c r="BN211" s="339"/>
      <c r="BO211" s="182"/>
      <c r="BP211" s="182"/>
      <c r="BQ211" s="182"/>
      <c r="BR211" s="182"/>
      <c r="BS211" s="182"/>
      <c r="BT211" s="182"/>
      <c r="BU211" s="182"/>
      <c r="BV211" s="182"/>
      <c r="BW211" s="182"/>
      <c r="BX211" s="182"/>
      <c r="BY211" s="182"/>
      <c r="BZ211" s="182"/>
      <c r="CA211" s="182"/>
      <c r="CB211" s="182"/>
      <c r="CC211" s="182"/>
      <c r="CD211" s="182"/>
      <c r="CE211" s="182"/>
      <c r="CF211" s="182"/>
      <c r="CG211" s="182"/>
      <c r="CH211" s="182"/>
      <c r="CI211" s="182"/>
      <c r="CJ211" s="182"/>
      <c r="CK211" s="182"/>
      <c r="CL211" s="618"/>
      <c r="CM211" s="619"/>
      <c r="CN211" s="620"/>
    </row>
    <row r="212" spans="1:92" s="344" customFormat="1">
      <c r="A212" s="335" t="s">
        <v>316</v>
      </c>
      <c r="B212" s="182" t="s">
        <v>100</v>
      </c>
      <c r="C212" s="182" t="s">
        <v>100</v>
      </c>
      <c r="D212" s="182" t="s">
        <v>100</v>
      </c>
      <c r="E212" s="182"/>
      <c r="F212" s="182" t="s">
        <v>100</v>
      </c>
      <c r="G212" s="182"/>
      <c r="H212" s="302" t="s">
        <v>100</v>
      </c>
      <c r="I212" s="182"/>
      <c r="J212" s="182" t="s">
        <v>100</v>
      </c>
      <c r="K212" s="182"/>
      <c r="L212" s="302" t="s">
        <v>100</v>
      </c>
      <c r="M212" s="182"/>
      <c r="N212" s="182" t="s">
        <v>100</v>
      </c>
      <c r="O212" s="320"/>
      <c r="P212" s="320"/>
      <c r="Q212" s="302" t="s">
        <v>100</v>
      </c>
      <c r="R212" s="182"/>
      <c r="S212" s="182"/>
      <c r="T212" s="182" t="s">
        <v>100</v>
      </c>
      <c r="U212" s="182"/>
      <c r="V212" s="182"/>
      <c r="W212" s="182"/>
      <c r="X212" s="182"/>
      <c r="Y212" s="182"/>
      <c r="Z212" s="182"/>
      <c r="AA212" s="182"/>
      <c r="AB212" s="182"/>
      <c r="AC212" s="182"/>
      <c r="AD212" s="182"/>
      <c r="AE212" s="182"/>
      <c r="AF212" s="182"/>
      <c r="AG212" s="182"/>
      <c r="AH212" s="182"/>
      <c r="AI212" s="182"/>
      <c r="AJ212" s="167">
        <f t="shared" si="37"/>
        <v>10</v>
      </c>
      <c r="AK212" s="481" t="str">
        <f>HYPERLINK("http://www.fanragsports.com/mlb/perrotto-explaining-my-hall-of-fame-ballot/","Fanrag Sports")</f>
        <v>Fanrag Sports</v>
      </c>
      <c r="AL212" s="341">
        <v>42752</v>
      </c>
      <c r="AM212" s="352"/>
      <c r="AN212" s="352"/>
      <c r="AO212" s="352"/>
      <c r="AP212" s="352"/>
      <c r="AQ212" s="352"/>
      <c r="AR212" s="352"/>
      <c r="AS212" s="352"/>
      <c r="AT212" s="352"/>
      <c r="AU212" s="352"/>
      <c r="AV212" s="352"/>
      <c r="AW212" s="352"/>
      <c r="AX212" s="352"/>
      <c r="AY212" s="352"/>
      <c r="AZ212" s="352"/>
      <c r="BA212" s="352"/>
      <c r="BB212" s="352"/>
      <c r="BC212" s="352"/>
      <c r="BD212" s="352"/>
      <c r="BE212" s="352"/>
      <c r="BF212" s="352"/>
      <c r="BG212" s="352"/>
      <c r="BH212" s="352"/>
      <c r="BI212" s="352"/>
      <c r="BJ212" s="352"/>
      <c r="BK212" s="352"/>
      <c r="BL212" s="470"/>
      <c r="BM212" s="339"/>
      <c r="BN212" s="339"/>
      <c r="BO212" s="182"/>
      <c r="BP212" s="182"/>
      <c r="BQ212" s="182"/>
      <c r="BR212" s="182"/>
      <c r="BS212" s="182"/>
      <c r="BT212" s="182"/>
      <c r="BU212" s="182"/>
      <c r="BV212" s="182"/>
      <c r="BW212" s="182"/>
      <c r="BX212" s="182"/>
      <c r="BY212" s="182"/>
      <c r="BZ212" s="182"/>
      <c r="CA212" s="182"/>
      <c r="CB212" s="182"/>
      <c r="CC212" s="182"/>
      <c r="CD212" s="182"/>
      <c r="CE212" s="182"/>
      <c r="CF212" s="182"/>
      <c r="CG212" s="182"/>
      <c r="CH212" s="182"/>
      <c r="CI212" s="182"/>
      <c r="CJ212" s="182"/>
      <c r="CK212" s="182"/>
      <c r="CL212" s="618"/>
      <c r="CM212" s="619"/>
      <c r="CN212" s="620"/>
    </row>
    <row r="213" spans="1:92" s="344" customFormat="1">
      <c r="A213" s="335" t="s">
        <v>317</v>
      </c>
      <c r="B213" s="182" t="s">
        <v>100</v>
      </c>
      <c r="C213" s="182"/>
      <c r="D213" s="182"/>
      <c r="E213" s="182" t="s">
        <v>100</v>
      </c>
      <c r="F213" s="302" t="s">
        <v>100</v>
      </c>
      <c r="G213" s="182" t="s">
        <v>100</v>
      </c>
      <c r="H213" s="302" t="s">
        <v>100</v>
      </c>
      <c r="I213" s="182" t="s">
        <v>100</v>
      </c>
      <c r="J213" s="182" t="s">
        <v>100</v>
      </c>
      <c r="K213" s="182"/>
      <c r="L213" s="182" t="s">
        <v>100</v>
      </c>
      <c r="M213" s="182"/>
      <c r="N213" s="182"/>
      <c r="O213" s="182" t="s">
        <v>100</v>
      </c>
      <c r="P213" s="182"/>
      <c r="Q213" s="182"/>
      <c r="R213" s="182"/>
      <c r="S213" s="182"/>
      <c r="T213" s="182" t="s">
        <v>100</v>
      </c>
      <c r="U213" s="182"/>
      <c r="V213" s="182"/>
      <c r="W213" s="182"/>
      <c r="X213" s="182"/>
      <c r="Y213" s="182"/>
      <c r="Z213" s="182"/>
      <c r="AA213" s="182"/>
      <c r="AB213" s="182"/>
      <c r="AC213" s="182"/>
      <c r="AD213" s="182"/>
      <c r="AE213" s="182"/>
      <c r="AF213" s="182"/>
      <c r="AG213" s="182"/>
      <c r="AH213" s="182"/>
      <c r="AI213" s="182"/>
      <c r="AJ213" s="167">
        <f t="shared" si="37"/>
        <v>10</v>
      </c>
      <c r="AK213" s="483" t="s">
        <v>115</v>
      </c>
      <c r="AL213" s="341">
        <v>42735</v>
      </c>
      <c r="AM213" s="352"/>
      <c r="AN213" s="352"/>
      <c r="AO213" s="352"/>
      <c r="AP213" s="352"/>
      <c r="AQ213" s="352"/>
      <c r="AR213" s="352"/>
      <c r="AS213" s="352"/>
      <c r="AT213" s="352"/>
      <c r="AU213" s="352"/>
      <c r="AV213" s="352"/>
      <c r="AW213" s="352"/>
      <c r="AX213" s="352"/>
      <c r="AY213" s="352"/>
      <c r="AZ213" s="352"/>
      <c r="BA213" s="352"/>
      <c r="BB213" s="352"/>
      <c r="BC213" s="352"/>
      <c r="BD213" s="352"/>
      <c r="BE213" s="352"/>
      <c r="BF213" s="352"/>
      <c r="BG213" s="352"/>
      <c r="BH213" s="352"/>
      <c r="BI213" s="352"/>
      <c r="BJ213" s="352"/>
      <c r="BK213" s="352"/>
      <c r="BL213" s="470"/>
      <c r="BM213" s="339"/>
      <c r="BN213" s="339"/>
      <c r="BO213" s="182"/>
      <c r="BP213" s="182"/>
      <c r="BQ213" s="182"/>
      <c r="BR213" s="182"/>
      <c r="BS213" s="182"/>
      <c r="BT213" s="182"/>
      <c r="BU213" s="182"/>
      <c r="BV213" s="182"/>
      <c r="BW213" s="182"/>
      <c r="BX213" s="182"/>
      <c r="BY213" s="182"/>
      <c r="BZ213" s="182"/>
      <c r="CA213" s="182"/>
      <c r="CB213" s="182"/>
      <c r="CC213" s="182"/>
      <c r="CD213" s="182"/>
      <c r="CE213" s="182"/>
      <c r="CF213" s="182"/>
      <c r="CG213" s="182"/>
      <c r="CH213" s="182"/>
      <c r="CI213" s="182"/>
      <c r="CJ213" s="182"/>
      <c r="CK213" s="182"/>
      <c r="CL213" s="618"/>
      <c r="CM213" s="619"/>
      <c r="CN213" s="620"/>
    </row>
    <row r="214" spans="1:92" s="344" customFormat="1">
      <c r="A214" s="335" t="s">
        <v>319</v>
      </c>
      <c r="B214" s="302" t="s">
        <v>100</v>
      </c>
      <c r="C214" s="302" t="s">
        <v>100</v>
      </c>
      <c r="D214" s="302" t="s">
        <v>100</v>
      </c>
      <c r="E214" s="182" t="s">
        <v>100</v>
      </c>
      <c r="F214" s="182" t="s">
        <v>100</v>
      </c>
      <c r="G214" s="182"/>
      <c r="H214" s="182" t="s">
        <v>100</v>
      </c>
      <c r="I214" s="182"/>
      <c r="J214" s="182"/>
      <c r="K214" s="182"/>
      <c r="L214" s="182" t="s">
        <v>100</v>
      </c>
      <c r="M214" s="182" t="s">
        <v>100</v>
      </c>
      <c r="N214" s="182" t="s">
        <v>100</v>
      </c>
      <c r="O214" s="182"/>
      <c r="P214" s="182"/>
      <c r="Q214" s="182"/>
      <c r="R214" s="302" t="s">
        <v>100</v>
      </c>
      <c r="S214" s="182"/>
      <c r="T214" s="182"/>
      <c r="U214" s="182"/>
      <c r="V214" s="182"/>
      <c r="W214" s="182"/>
      <c r="X214" s="182"/>
      <c r="Y214" s="182"/>
      <c r="Z214" s="182"/>
      <c r="AA214" s="182"/>
      <c r="AB214" s="182"/>
      <c r="AC214" s="182"/>
      <c r="AD214" s="182"/>
      <c r="AE214" s="182"/>
      <c r="AF214" s="182"/>
      <c r="AG214" s="182"/>
      <c r="AH214" s="182"/>
      <c r="AI214" s="182"/>
      <c r="AJ214" s="167">
        <f t="shared" si="37"/>
        <v>10</v>
      </c>
      <c r="AK214" s="493" t="str">
        <f>HYPERLINK("https://twitter.com/npiet_ESPN/status/812282367515721729","Twitter")</f>
        <v>Twitter</v>
      </c>
      <c r="AL214" s="341">
        <v>42727</v>
      </c>
      <c r="AM214" s="352"/>
      <c r="AN214" s="352"/>
      <c r="AO214" s="352"/>
      <c r="AP214" s="352"/>
      <c r="AQ214" s="352"/>
      <c r="AR214" s="352"/>
      <c r="AS214" s="352"/>
      <c r="AT214" s="352"/>
      <c r="AU214" s="352"/>
      <c r="AV214" s="352"/>
      <c r="AW214" s="352"/>
      <c r="AX214" s="352"/>
      <c r="AY214" s="352"/>
      <c r="AZ214" s="352"/>
      <c r="BA214" s="352"/>
      <c r="BB214" s="352"/>
      <c r="BC214" s="352"/>
      <c r="BD214" s="352"/>
      <c r="BE214" s="352"/>
      <c r="BF214" s="352"/>
      <c r="BG214" s="352"/>
      <c r="BH214" s="352"/>
      <c r="BI214" s="352"/>
      <c r="BJ214" s="352"/>
      <c r="BK214" s="352"/>
      <c r="BL214" s="470"/>
      <c r="BM214" s="339"/>
      <c r="BN214" s="339"/>
      <c r="BO214" s="182"/>
      <c r="BP214" s="182"/>
      <c r="BQ214" s="182"/>
      <c r="BR214" s="182"/>
      <c r="BS214" s="182"/>
      <c r="BT214" s="182"/>
      <c r="BU214" s="182"/>
      <c r="BV214" s="182"/>
      <c r="BW214" s="182"/>
      <c r="BX214" s="182"/>
      <c r="BY214" s="182"/>
      <c r="BZ214" s="182"/>
      <c r="CA214" s="182"/>
      <c r="CB214" s="182"/>
      <c r="CC214" s="182"/>
      <c r="CD214" s="182"/>
      <c r="CE214" s="182"/>
      <c r="CF214" s="182"/>
      <c r="CG214" s="182"/>
      <c r="CH214" s="182"/>
      <c r="CI214" s="182"/>
      <c r="CJ214" s="182"/>
      <c r="CK214" s="182"/>
      <c r="CL214" s="618"/>
      <c r="CM214" s="619"/>
      <c r="CN214" s="620"/>
    </row>
    <row r="215" spans="1:92" s="344" customFormat="1">
      <c r="A215" s="335" t="s">
        <v>320</v>
      </c>
      <c r="B215" s="182" t="s">
        <v>100</v>
      </c>
      <c r="C215" s="182" t="s">
        <v>100</v>
      </c>
      <c r="D215" s="182" t="s">
        <v>100</v>
      </c>
      <c r="E215" s="182" t="s">
        <v>100</v>
      </c>
      <c r="F215" s="182"/>
      <c r="G215" s="182"/>
      <c r="H215" s="302" t="s">
        <v>100</v>
      </c>
      <c r="I215" s="182"/>
      <c r="J215" s="182" t="s">
        <v>100</v>
      </c>
      <c r="K215" s="182"/>
      <c r="L215" s="182" t="s">
        <v>100</v>
      </c>
      <c r="M215" s="182"/>
      <c r="N215" s="182" t="s">
        <v>100</v>
      </c>
      <c r="O215" s="182" t="s">
        <v>100</v>
      </c>
      <c r="P215" s="182"/>
      <c r="Q215" s="182"/>
      <c r="R215" s="182"/>
      <c r="S215" s="182"/>
      <c r="T215" s="182" t="s">
        <v>100</v>
      </c>
      <c r="U215" s="182"/>
      <c r="V215" s="182"/>
      <c r="W215" s="182"/>
      <c r="X215" s="182"/>
      <c r="Y215" s="182"/>
      <c r="Z215" s="182"/>
      <c r="AA215" s="182"/>
      <c r="AB215" s="182"/>
      <c r="AC215" s="182"/>
      <c r="AD215" s="182"/>
      <c r="AE215" s="182"/>
      <c r="AF215" s="182"/>
      <c r="AG215" s="182"/>
      <c r="AH215" s="182"/>
      <c r="AI215" s="182"/>
      <c r="AJ215" s="167">
        <f t="shared" si="37"/>
        <v>10</v>
      </c>
      <c r="AK215" s="483" t="s">
        <v>113</v>
      </c>
      <c r="AL215" s="341">
        <v>42732</v>
      </c>
      <c r="AM215" s="352"/>
      <c r="AN215" s="352"/>
      <c r="AO215" s="352"/>
      <c r="AP215" s="352"/>
      <c r="AQ215" s="352"/>
      <c r="AR215" s="352"/>
      <c r="AS215" s="352"/>
      <c r="AT215" s="352"/>
      <c r="AU215" s="352"/>
      <c r="AV215" s="352"/>
      <c r="AW215" s="352"/>
      <c r="AX215" s="352"/>
      <c r="AY215" s="352"/>
      <c r="AZ215" s="352"/>
      <c r="BA215" s="352"/>
      <c r="BB215" s="352"/>
      <c r="BC215" s="352"/>
      <c r="BD215" s="352"/>
      <c r="BE215" s="352"/>
      <c r="BF215" s="352"/>
      <c r="BG215" s="352"/>
      <c r="BH215" s="352"/>
      <c r="BI215" s="352"/>
      <c r="BJ215" s="352"/>
      <c r="BK215" s="352"/>
      <c r="BL215" s="470"/>
      <c r="BM215" s="339"/>
      <c r="BN215" s="339"/>
      <c r="BO215" s="182"/>
      <c r="BP215" s="182"/>
      <c r="BQ215" s="182"/>
      <c r="BR215" s="182"/>
      <c r="BS215" s="182"/>
      <c r="BT215" s="182"/>
      <c r="BU215" s="182"/>
      <c r="BV215" s="182"/>
      <c r="BW215" s="182"/>
      <c r="BX215" s="182"/>
      <c r="BY215" s="182"/>
      <c r="BZ215" s="182"/>
      <c r="CA215" s="182"/>
      <c r="CB215" s="182"/>
      <c r="CC215" s="182"/>
      <c r="CD215" s="182"/>
      <c r="CE215" s="182"/>
      <c r="CF215" s="182"/>
      <c r="CG215" s="182"/>
      <c r="CH215" s="182"/>
      <c r="CI215" s="182"/>
      <c r="CJ215" s="182"/>
      <c r="CK215" s="182"/>
      <c r="CL215" s="618"/>
      <c r="CM215" s="619"/>
      <c r="CN215" s="620"/>
    </row>
    <row r="216" spans="1:92" s="344" customFormat="1">
      <c r="A216" s="335" t="s">
        <v>321</v>
      </c>
      <c r="B216" s="182" t="s">
        <v>100</v>
      </c>
      <c r="C216" s="182"/>
      <c r="D216" s="182"/>
      <c r="E216" s="182" t="s">
        <v>100</v>
      </c>
      <c r="F216" s="182" t="s">
        <v>100</v>
      </c>
      <c r="G216" s="182" t="s">
        <v>100</v>
      </c>
      <c r="H216" s="182" t="s">
        <v>100</v>
      </c>
      <c r="I216" s="182"/>
      <c r="J216" s="182"/>
      <c r="K216" s="182"/>
      <c r="L216" s="182"/>
      <c r="M216" s="182"/>
      <c r="N216" s="182" t="s">
        <v>100</v>
      </c>
      <c r="O216" s="182"/>
      <c r="P216" s="302" t="s">
        <v>100</v>
      </c>
      <c r="Q216" s="182"/>
      <c r="R216" s="182"/>
      <c r="S216" s="182"/>
      <c r="T216" s="182" t="s">
        <v>100</v>
      </c>
      <c r="U216" s="182"/>
      <c r="V216" s="182"/>
      <c r="W216" s="182"/>
      <c r="X216" s="182"/>
      <c r="Y216" s="182"/>
      <c r="Z216" s="182"/>
      <c r="AA216" s="182"/>
      <c r="AB216" s="182"/>
      <c r="AC216" s="182"/>
      <c r="AD216" s="182"/>
      <c r="AE216" s="182"/>
      <c r="AF216" s="182"/>
      <c r="AG216" s="182"/>
      <c r="AH216" s="182"/>
      <c r="AI216" s="182"/>
      <c r="AJ216" s="167">
        <f t="shared" si="37"/>
        <v>8</v>
      </c>
      <c r="AK216" s="483" t="s">
        <v>543</v>
      </c>
      <c r="AL216" s="341">
        <v>42724</v>
      </c>
      <c r="AM216" s="352"/>
      <c r="AN216" s="352"/>
      <c r="AO216" s="352"/>
      <c r="AP216" s="352"/>
      <c r="AQ216" s="352"/>
      <c r="AR216" s="352"/>
      <c r="AS216" s="352"/>
      <c r="AT216" s="352"/>
      <c r="AU216" s="352"/>
      <c r="AV216" s="352"/>
      <c r="AW216" s="352"/>
      <c r="AX216" s="352"/>
      <c r="AY216" s="352"/>
      <c r="AZ216" s="352"/>
      <c r="BA216" s="352"/>
      <c r="BB216" s="352"/>
      <c r="BC216" s="352"/>
      <c r="BD216" s="352"/>
      <c r="BE216" s="352"/>
      <c r="BF216" s="352"/>
      <c r="BG216" s="352"/>
      <c r="BH216" s="352"/>
      <c r="BI216" s="352"/>
      <c r="BJ216" s="352"/>
      <c r="BK216" s="352"/>
      <c r="BL216" s="470"/>
      <c r="BM216" s="339"/>
      <c r="BN216" s="339"/>
      <c r="BO216" s="182"/>
      <c r="BP216" s="182"/>
      <c r="BQ216" s="182"/>
      <c r="BR216" s="182"/>
      <c r="BS216" s="182"/>
      <c r="BT216" s="182"/>
      <c r="BU216" s="182"/>
      <c r="BV216" s="182"/>
      <c r="BW216" s="182"/>
      <c r="BX216" s="182"/>
      <c r="BY216" s="182"/>
      <c r="BZ216" s="182"/>
      <c r="CA216" s="182"/>
      <c r="CB216" s="182"/>
      <c r="CC216" s="182"/>
      <c r="CD216" s="182"/>
      <c r="CE216" s="182"/>
      <c r="CF216" s="182"/>
      <c r="CG216" s="182"/>
      <c r="CH216" s="182"/>
      <c r="CI216" s="182"/>
      <c r="CJ216" s="182"/>
      <c r="CK216" s="182"/>
      <c r="CL216" s="618"/>
      <c r="CM216" s="619"/>
      <c r="CN216" s="620"/>
    </row>
    <row r="217" spans="1:92">
      <c r="A217" s="181" t="s">
        <v>323</v>
      </c>
      <c r="B217" s="182" t="s">
        <v>100</v>
      </c>
      <c r="C217" s="182" t="s">
        <v>100</v>
      </c>
      <c r="D217" s="182" t="s">
        <v>100</v>
      </c>
      <c r="E217" s="182"/>
      <c r="F217" s="182" t="s">
        <v>100</v>
      </c>
      <c r="G217" s="182" t="s">
        <v>100</v>
      </c>
      <c r="H217" s="302" t="s">
        <v>100</v>
      </c>
      <c r="I217" s="320"/>
      <c r="J217" s="182" t="s">
        <v>100</v>
      </c>
      <c r="K217" s="182" t="s">
        <v>100</v>
      </c>
      <c r="L217" s="182" t="s">
        <v>100</v>
      </c>
      <c r="M217" s="182"/>
      <c r="N217" s="182" t="s">
        <v>100</v>
      </c>
      <c r="O217" s="182"/>
      <c r="P217" s="182"/>
      <c r="Q217" s="182"/>
      <c r="R217" s="182"/>
      <c r="S217" s="182"/>
      <c r="T217" s="182"/>
      <c r="U217" s="182"/>
      <c r="V217" s="182"/>
      <c r="W217" s="182"/>
      <c r="X217" s="182"/>
      <c r="Y217" s="182"/>
      <c r="Z217" s="182"/>
      <c r="AA217" s="182"/>
      <c r="AB217" s="182"/>
      <c r="AC217" s="182"/>
      <c r="AD217" s="182"/>
      <c r="AE217" s="182"/>
      <c r="AF217" s="182"/>
      <c r="AG217" s="182"/>
      <c r="AH217" s="182"/>
      <c r="AI217" s="182"/>
      <c r="AJ217" s="167">
        <f t="shared" si="37"/>
        <v>10</v>
      </c>
      <c r="AK217" s="493" t="str">
        <f>HYPERLINK("http://www.nj.com/yankees/index.ssf/2016/12/baseball_hall_of_fame_how_columnist_steve_politi_v_1.html#0","NJ.com")</f>
        <v>NJ.com</v>
      </c>
      <c r="AL217" s="186">
        <v>42709</v>
      </c>
      <c r="AM217" s="187"/>
      <c r="AN217" s="187"/>
      <c r="AO217" s="187"/>
      <c r="AP217" s="187"/>
      <c r="AQ217" s="187"/>
      <c r="AR217" s="187"/>
      <c r="AS217" s="187"/>
      <c r="AT217" s="187"/>
      <c r="AU217" s="187"/>
      <c r="AV217" s="187"/>
      <c r="AW217" s="187"/>
      <c r="AX217" s="187"/>
      <c r="AY217" s="187"/>
      <c r="AZ217" s="187"/>
      <c r="BA217" s="187"/>
      <c r="BB217" s="187"/>
      <c r="BC217" s="187"/>
      <c r="BD217" s="187"/>
      <c r="BE217" s="187"/>
      <c r="BF217" s="187"/>
      <c r="BG217" s="187"/>
      <c r="BH217" s="187"/>
      <c r="BI217" s="187"/>
      <c r="BJ217" s="187"/>
      <c r="BK217" s="187"/>
      <c r="BL217" s="273"/>
      <c r="BM217" s="167"/>
      <c r="BN217" s="167"/>
      <c r="BO217" s="644"/>
      <c r="BP217" s="644"/>
      <c r="BQ217" s="644"/>
      <c r="BR217" s="644"/>
      <c r="BS217" s="644"/>
      <c r="BT217" s="644"/>
      <c r="BU217" s="644"/>
      <c r="BV217" s="644"/>
      <c r="BW217" s="644"/>
      <c r="BX217" s="644"/>
      <c r="BY217" s="644"/>
      <c r="BZ217" s="644"/>
      <c r="CA217" s="644"/>
      <c r="CB217" s="644"/>
      <c r="CC217" s="644"/>
      <c r="CD217" s="644"/>
      <c r="CE217" s="644"/>
      <c r="CF217" s="644"/>
      <c r="CG217" s="644"/>
      <c r="CH217" s="644"/>
      <c r="CI217" s="644"/>
      <c r="CJ217" s="644"/>
      <c r="CK217" s="644"/>
      <c r="CL217" s="680" t="s">
        <v>628</v>
      </c>
      <c r="CM217" s="681"/>
      <c r="CN217" s="682"/>
    </row>
    <row r="218" spans="1:92" s="344" customFormat="1">
      <c r="A218" s="335" t="s">
        <v>325</v>
      </c>
      <c r="B218" s="182" t="s">
        <v>100</v>
      </c>
      <c r="C218" s="182" t="s">
        <v>100</v>
      </c>
      <c r="D218" s="182" t="s">
        <v>100</v>
      </c>
      <c r="E218" s="182" t="s">
        <v>100</v>
      </c>
      <c r="F218" s="182"/>
      <c r="G218" s="182"/>
      <c r="H218" s="182" t="s">
        <v>100</v>
      </c>
      <c r="I218" s="182"/>
      <c r="J218" s="182" t="s">
        <v>100</v>
      </c>
      <c r="K218" s="182"/>
      <c r="L218" s="182" t="s">
        <v>100</v>
      </c>
      <c r="M218" s="182"/>
      <c r="N218" s="182" t="s">
        <v>100</v>
      </c>
      <c r="O218" s="182" t="s">
        <v>100</v>
      </c>
      <c r="P218" s="182"/>
      <c r="Q218" s="182"/>
      <c r="R218" s="182"/>
      <c r="S218" s="182" t="s">
        <v>100</v>
      </c>
      <c r="T218" s="182"/>
      <c r="U218" s="182"/>
      <c r="V218" s="182"/>
      <c r="W218" s="182"/>
      <c r="X218" s="182"/>
      <c r="Y218" s="182"/>
      <c r="Z218" s="182"/>
      <c r="AA218" s="182"/>
      <c r="AB218" s="182"/>
      <c r="AC218" s="182"/>
      <c r="AD218" s="182"/>
      <c r="AE218" s="182"/>
      <c r="AF218" s="182"/>
      <c r="AG218" s="182"/>
      <c r="AH218" s="182"/>
      <c r="AI218" s="182"/>
      <c r="AJ218" s="167">
        <f t="shared" si="37"/>
        <v>10</v>
      </c>
      <c r="AK218" s="493" t="str">
        <f>HYPERLINK("https://twitter.com/StevePopper/status/811754461022535685","Twitter")</f>
        <v>Twitter</v>
      </c>
      <c r="AL218" s="341">
        <v>42725</v>
      </c>
      <c r="AM218" s="352"/>
      <c r="AN218" s="352"/>
      <c r="AO218" s="352"/>
      <c r="AP218" s="352"/>
      <c r="AQ218" s="352"/>
      <c r="AR218" s="352"/>
      <c r="AS218" s="352"/>
      <c r="AT218" s="352"/>
      <c r="AU218" s="352"/>
      <c r="AV218" s="352"/>
      <c r="AW218" s="352"/>
      <c r="AX218" s="352"/>
      <c r="AY218" s="352"/>
      <c r="AZ218" s="352"/>
      <c r="BA218" s="352"/>
      <c r="BB218" s="352"/>
      <c r="BC218" s="352"/>
      <c r="BD218" s="352"/>
      <c r="BE218" s="352"/>
      <c r="BF218" s="352"/>
      <c r="BG218" s="352"/>
      <c r="BH218" s="352"/>
      <c r="BI218" s="352"/>
      <c r="BJ218" s="352"/>
      <c r="BK218" s="352"/>
      <c r="BL218" s="470"/>
      <c r="BM218" s="339"/>
      <c r="BN218" s="339"/>
      <c r="BO218" s="182"/>
      <c r="BP218" s="182"/>
      <c r="BQ218" s="182"/>
      <c r="BR218" s="182"/>
      <c r="BS218" s="182"/>
      <c r="BT218" s="182"/>
      <c r="BU218" s="182"/>
      <c r="BV218" s="182"/>
      <c r="BW218" s="182"/>
      <c r="BX218" s="182"/>
      <c r="BY218" s="182"/>
      <c r="BZ218" s="182"/>
      <c r="CA218" s="182"/>
      <c r="CB218" s="182"/>
      <c r="CC218" s="182"/>
      <c r="CD218" s="182"/>
      <c r="CE218" s="182"/>
      <c r="CF218" s="182"/>
      <c r="CG218" s="182"/>
      <c r="CH218" s="182"/>
      <c r="CI218" s="182"/>
      <c r="CJ218" s="182"/>
      <c r="CK218" s="182"/>
      <c r="CL218" s="618"/>
      <c r="CM218" s="619"/>
      <c r="CN218" s="620"/>
    </row>
    <row r="219" spans="1:92" s="344" customFormat="1">
      <c r="A219" s="335" t="s">
        <v>629</v>
      </c>
      <c r="B219" s="182" t="s">
        <v>100</v>
      </c>
      <c r="C219" s="182" t="s">
        <v>100</v>
      </c>
      <c r="D219" s="182" t="s">
        <v>100</v>
      </c>
      <c r="E219" s="182"/>
      <c r="F219" s="182"/>
      <c r="G219" s="182"/>
      <c r="H219" s="182" t="s">
        <v>100</v>
      </c>
      <c r="I219" s="182"/>
      <c r="J219" s="182" t="s">
        <v>100</v>
      </c>
      <c r="K219" s="182"/>
      <c r="L219" s="182" t="s">
        <v>100</v>
      </c>
      <c r="M219" s="182" t="s">
        <v>100</v>
      </c>
      <c r="N219" s="182" t="s">
        <v>100</v>
      </c>
      <c r="O219" s="182" t="s">
        <v>100</v>
      </c>
      <c r="P219" s="182"/>
      <c r="Q219" s="182"/>
      <c r="R219" s="182"/>
      <c r="S219" s="182"/>
      <c r="T219" s="302" t="s">
        <v>100</v>
      </c>
      <c r="U219" s="182"/>
      <c r="V219" s="182"/>
      <c r="W219" s="182"/>
      <c r="X219" s="182"/>
      <c r="Y219" s="182"/>
      <c r="Z219" s="182"/>
      <c r="AA219" s="182"/>
      <c r="AB219" s="182"/>
      <c r="AC219" s="182"/>
      <c r="AD219" s="182"/>
      <c r="AE219" s="182"/>
      <c r="AF219" s="182"/>
      <c r="AG219" s="182"/>
      <c r="AH219" s="182"/>
      <c r="AI219" s="182"/>
      <c r="AJ219" s="167">
        <f t="shared" si="37"/>
        <v>10</v>
      </c>
      <c r="AK219" s="481" t="str">
        <f>HYPERLINK("http://joeposnanski.com/ballot-10-vlad-and-manny/","JoePosnanski.com")</f>
        <v>JoePosnanski.com</v>
      </c>
      <c r="AL219" s="341">
        <v>42752</v>
      </c>
      <c r="AM219" s="352"/>
      <c r="AN219" s="352"/>
      <c r="AO219" s="352"/>
      <c r="AP219" s="352"/>
      <c r="AQ219" s="352"/>
      <c r="AR219" s="352"/>
      <c r="AS219" s="352"/>
      <c r="AT219" s="352"/>
      <c r="AU219" s="352"/>
      <c r="AV219" s="352"/>
      <c r="AW219" s="352"/>
      <c r="AX219" s="352"/>
      <c r="AY219" s="352"/>
      <c r="AZ219" s="352"/>
      <c r="BA219" s="352"/>
      <c r="BB219" s="352"/>
      <c r="BC219" s="352"/>
      <c r="BD219" s="352"/>
      <c r="BE219" s="352"/>
      <c r="BF219" s="352"/>
      <c r="BG219" s="352"/>
      <c r="BH219" s="352"/>
      <c r="BI219" s="352"/>
      <c r="BJ219" s="352"/>
      <c r="BK219" s="352"/>
      <c r="BL219" s="470"/>
      <c r="BM219" s="339"/>
      <c r="BN219" s="339"/>
      <c r="BO219" s="182"/>
      <c r="BP219" s="182"/>
      <c r="BQ219" s="182"/>
      <c r="BR219" s="182"/>
      <c r="BS219" s="182"/>
      <c r="BT219" s="182"/>
      <c r="BU219" s="182"/>
      <c r="BV219" s="182"/>
      <c r="BW219" s="182"/>
      <c r="BX219" s="182"/>
      <c r="BY219" s="182"/>
      <c r="BZ219" s="182"/>
      <c r="CA219" s="182"/>
      <c r="CB219" s="182"/>
      <c r="CC219" s="182"/>
      <c r="CD219" s="182"/>
      <c r="CE219" s="182"/>
      <c r="CF219" s="182"/>
      <c r="CG219" s="182"/>
      <c r="CH219" s="182"/>
      <c r="CI219" s="182"/>
      <c r="CJ219" s="182"/>
      <c r="CK219" s="182"/>
      <c r="CL219" s="618"/>
      <c r="CM219" s="619"/>
      <c r="CN219" s="620"/>
    </row>
    <row r="220" spans="1:92" s="344" customFormat="1">
      <c r="A220" s="335" t="s">
        <v>630</v>
      </c>
      <c r="B220" s="182" t="s">
        <v>100</v>
      </c>
      <c r="C220" s="182" t="s">
        <v>100</v>
      </c>
      <c r="D220" s="182" t="s">
        <v>100</v>
      </c>
      <c r="E220" s="182" t="s">
        <v>100</v>
      </c>
      <c r="F220" s="182"/>
      <c r="G220" s="182"/>
      <c r="H220" s="182" t="s">
        <v>100</v>
      </c>
      <c r="I220" s="182"/>
      <c r="J220" s="182" t="s">
        <v>100</v>
      </c>
      <c r="K220" s="182"/>
      <c r="L220" s="182" t="s">
        <v>100</v>
      </c>
      <c r="M220" s="182" t="s">
        <v>100</v>
      </c>
      <c r="N220" s="182" t="s">
        <v>100</v>
      </c>
      <c r="O220" s="182" t="s">
        <v>100</v>
      </c>
      <c r="P220" s="182"/>
      <c r="Q220" s="182"/>
      <c r="R220" s="182"/>
      <c r="S220" s="182"/>
      <c r="T220" s="182"/>
      <c r="U220" s="182"/>
      <c r="V220" s="182"/>
      <c r="W220" s="182"/>
      <c r="X220" s="182"/>
      <c r="Y220" s="182"/>
      <c r="Z220" s="182"/>
      <c r="AA220" s="182"/>
      <c r="AB220" s="182"/>
      <c r="AC220" s="182"/>
      <c r="AD220" s="182"/>
      <c r="AE220" s="182"/>
      <c r="AF220" s="182"/>
      <c r="AG220" s="182"/>
      <c r="AH220" s="182"/>
      <c r="AI220" s="182"/>
      <c r="AJ220" s="167">
        <f t="shared" si="37"/>
        <v>10</v>
      </c>
      <c r="AK220" s="493" t="str">
        <f>HYPERLINK("https://twitter.com/spriestle/status/813755075562762241","Twitter")</f>
        <v>Twitter</v>
      </c>
      <c r="AL220" s="341">
        <v>42731</v>
      </c>
      <c r="AM220" s="352"/>
      <c r="AN220" s="352"/>
      <c r="AO220" s="352"/>
      <c r="AP220" s="352"/>
      <c r="AQ220" s="352"/>
      <c r="AR220" s="352"/>
      <c r="AS220" s="352"/>
      <c r="AT220" s="352"/>
      <c r="AU220" s="352"/>
      <c r="AV220" s="352"/>
      <c r="AW220" s="352"/>
      <c r="AX220" s="352"/>
      <c r="AY220" s="352"/>
      <c r="AZ220" s="352"/>
      <c r="BA220" s="352"/>
      <c r="BB220" s="352"/>
      <c r="BC220" s="352"/>
      <c r="BD220" s="352"/>
      <c r="BE220" s="352"/>
      <c r="BF220" s="352"/>
      <c r="BG220" s="352"/>
      <c r="BH220" s="352"/>
      <c r="BI220" s="352"/>
      <c r="BJ220" s="352"/>
      <c r="BK220" s="352"/>
      <c r="BL220" s="470"/>
      <c r="BM220" s="339"/>
      <c r="BN220" s="339"/>
      <c r="BO220" s="182"/>
      <c r="BP220" s="182"/>
      <c r="BQ220" s="182"/>
      <c r="BR220" s="182"/>
      <c r="BS220" s="182"/>
      <c r="BT220" s="182"/>
      <c r="BU220" s="182"/>
      <c r="BV220" s="182"/>
      <c r="BW220" s="182"/>
      <c r="BX220" s="182"/>
      <c r="BY220" s="182"/>
      <c r="BZ220" s="182"/>
      <c r="CA220" s="182"/>
      <c r="CB220" s="182"/>
      <c r="CC220" s="182"/>
      <c r="CD220" s="182"/>
      <c r="CE220" s="182"/>
      <c r="CF220" s="182"/>
      <c r="CG220" s="182"/>
      <c r="CH220" s="182"/>
      <c r="CI220" s="182"/>
      <c r="CJ220" s="182"/>
      <c r="CK220" s="182"/>
      <c r="CL220" s="680" t="s">
        <v>264</v>
      </c>
      <c r="CM220" s="681"/>
      <c r="CN220" s="682"/>
    </row>
    <row r="221" spans="1:92" s="344" customFormat="1">
      <c r="A221" s="335" t="s">
        <v>331</v>
      </c>
      <c r="B221" s="302" t="s">
        <v>100</v>
      </c>
      <c r="C221" s="182" t="s">
        <v>100</v>
      </c>
      <c r="D221" s="182" t="s">
        <v>100</v>
      </c>
      <c r="E221" s="182" t="s">
        <v>100</v>
      </c>
      <c r="F221" s="182"/>
      <c r="G221" s="182"/>
      <c r="H221" s="302" t="s">
        <v>100</v>
      </c>
      <c r="I221" s="182"/>
      <c r="J221" s="302" t="s">
        <v>100</v>
      </c>
      <c r="K221" s="182"/>
      <c r="L221" s="302" t="s">
        <v>100</v>
      </c>
      <c r="M221" s="182"/>
      <c r="N221" s="182" t="s">
        <v>100</v>
      </c>
      <c r="O221" s="302" t="s">
        <v>100</v>
      </c>
      <c r="P221" s="182"/>
      <c r="Q221" s="182"/>
      <c r="R221" s="182"/>
      <c r="S221" s="302" t="s">
        <v>100</v>
      </c>
      <c r="T221" s="182"/>
      <c r="U221" s="182"/>
      <c r="V221" s="182"/>
      <c r="W221" s="182"/>
      <c r="X221" s="182"/>
      <c r="Y221" s="182"/>
      <c r="Z221" s="182"/>
      <c r="AA221" s="182"/>
      <c r="AB221" s="182"/>
      <c r="AC221" s="182"/>
      <c r="AD221" s="182"/>
      <c r="AE221" s="182"/>
      <c r="AF221" s="182"/>
      <c r="AG221" s="182"/>
      <c r="AH221" s="182"/>
      <c r="AI221" s="182"/>
      <c r="AJ221" s="167">
        <f t="shared" si="37"/>
        <v>10</v>
      </c>
      <c r="AK221" s="493" t="str">
        <f>HYPERLINK("https://twitter.com/NYPost_Mets/status/814893731484667904","Twitter")</f>
        <v>Twitter</v>
      </c>
      <c r="AL221" s="341">
        <v>42734</v>
      </c>
      <c r="AM221" s="352"/>
      <c r="AN221" s="352"/>
      <c r="AO221" s="352"/>
      <c r="AP221" s="352"/>
      <c r="AQ221" s="352"/>
      <c r="AR221" s="352"/>
      <c r="AS221" s="352"/>
      <c r="AT221" s="352"/>
      <c r="AU221" s="352"/>
      <c r="AV221" s="352"/>
      <c r="AW221" s="352"/>
      <c r="AX221" s="352"/>
      <c r="AY221" s="352"/>
      <c r="AZ221" s="352"/>
      <c r="BA221" s="352"/>
      <c r="BB221" s="352"/>
      <c r="BC221" s="352"/>
      <c r="BD221" s="352"/>
      <c r="BE221" s="352"/>
      <c r="BF221" s="352"/>
      <c r="BG221" s="352"/>
      <c r="BH221" s="352"/>
      <c r="BI221" s="352"/>
      <c r="BJ221" s="352"/>
      <c r="BK221" s="352"/>
      <c r="BL221" s="470"/>
      <c r="BM221" s="339"/>
      <c r="BN221" s="339"/>
      <c r="BO221" s="182"/>
      <c r="BP221" s="182"/>
      <c r="BQ221" s="182"/>
      <c r="BR221" s="182"/>
      <c r="BS221" s="182"/>
      <c r="BT221" s="182"/>
      <c r="BU221" s="182"/>
      <c r="BV221" s="182"/>
      <c r="BW221" s="182"/>
      <c r="BX221" s="182"/>
      <c r="BY221" s="182"/>
      <c r="BZ221" s="182"/>
      <c r="CA221" s="182"/>
      <c r="CB221" s="182"/>
      <c r="CC221" s="182"/>
      <c r="CD221" s="182"/>
      <c r="CE221" s="182"/>
      <c r="CF221" s="182"/>
      <c r="CG221" s="182"/>
      <c r="CH221" s="182"/>
      <c r="CI221" s="182"/>
      <c r="CJ221" s="182"/>
      <c r="CK221" s="182"/>
      <c r="CL221" s="618"/>
      <c r="CM221" s="619"/>
      <c r="CN221" s="620"/>
    </row>
    <row r="222" spans="1:92" s="344" customFormat="1">
      <c r="A222" s="335" t="s">
        <v>332</v>
      </c>
      <c r="B222" s="302" t="s">
        <v>100</v>
      </c>
      <c r="C222" s="182"/>
      <c r="D222" s="182"/>
      <c r="E222" s="182" t="s">
        <v>100</v>
      </c>
      <c r="F222" s="182"/>
      <c r="G222" s="182"/>
      <c r="H222" s="182"/>
      <c r="I222" s="182"/>
      <c r="J222" s="182"/>
      <c r="K222" s="182"/>
      <c r="L222" s="182" t="s">
        <v>100</v>
      </c>
      <c r="M222" s="182"/>
      <c r="N222" s="182"/>
      <c r="O222" s="182"/>
      <c r="P222" s="182"/>
      <c r="Q222" s="182" t="s">
        <v>100</v>
      </c>
      <c r="R222" s="182"/>
      <c r="S222" s="182"/>
      <c r="T222" s="182"/>
      <c r="U222" s="182"/>
      <c r="V222" s="182"/>
      <c r="W222" s="182"/>
      <c r="X222" s="182"/>
      <c r="Y222" s="182"/>
      <c r="Z222" s="182"/>
      <c r="AA222" s="182"/>
      <c r="AB222" s="182"/>
      <c r="AC222" s="182"/>
      <c r="AD222" s="182"/>
      <c r="AE222" s="182"/>
      <c r="AF222" s="182"/>
      <c r="AG222" s="182"/>
      <c r="AH222" s="182"/>
      <c r="AI222" s="182"/>
      <c r="AJ222" s="167">
        <f t="shared" si="37"/>
        <v>4</v>
      </c>
      <c r="AK222" s="481" t="str">
        <f>HYPERLINK("http://www.mercurynews.com/2017/01/16/purdy-ballot-peds-still-cloud-my-baseball-hall-of-fame-votes/","SJ Mercury News")</f>
        <v>SJ Mercury News</v>
      </c>
      <c r="AL222" s="341">
        <v>42751</v>
      </c>
      <c r="AM222" s="352"/>
      <c r="AN222" s="352"/>
      <c r="AO222" s="352"/>
      <c r="AP222" s="352"/>
      <c r="AQ222" s="352"/>
      <c r="AR222" s="352"/>
      <c r="AS222" s="352"/>
      <c r="AT222" s="352"/>
      <c r="AU222" s="352"/>
      <c r="AV222" s="352"/>
      <c r="AW222" s="352"/>
      <c r="AX222" s="352"/>
      <c r="AY222" s="352"/>
      <c r="AZ222" s="352"/>
      <c r="BA222" s="352"/>
      <c r="BB222" s="352"/>
      <c r="BC222" s="352"/>
      <c r="BD222" s="352"/>
      <c r="BE222" s="352"/>
      <c r="BF222" s="352"/>
      <c r="BG222" s="352"/>
      <c r="BH222" s="352"/>
      <c r="BI222" s="352"/>
      <c r="BJ222" s="352"/>
      <c r="BK222" s="352"/>
      <c r="BL222" s="470"/>
      <c r="BM222" s="339"/>
      <c r="BN222" s="339"/>
      <c r="BO222" s="182"/>
      <c r="BP222" s="182"/>
      <c r="BQ222" s="182"/>
      <c r="BR222" s="182"/>
      <c r="BS222" s="182"/>
      <c r="BT222" s="182"/>
      <c r="BU222" s="182"/>
      <c r="BV222" s="182"/>
      <c r="BW222" s="182"/>
      <c r="BX222" s="182"/>
      <c r="BY222" s="182"/>
      <c r="BZ222" s="182"/>
      <c r="CA222" s="182"/>
      <c r="CB222" s="182"/>
      <c r="CC222" s="182"/>
      <c r="CD222" s="182"/>
      <c r="CE222" s="182"/>
      <c r="CF222" s="182"/>
      <c r="CG222" s="182"/>
      <c r="CH222" s="182"/>
      <c r="CI222" s="182"/>
      <c r="CJ222" s="182"/>
      <c r="CK222" s="182"/>
      <c r="CL222" s="618"/>
      <c r="CM222" s="619"/>
      <c r="CN222" s="620"/>
    </row>
    <row r="223" spans="1:92" s="344" customFormat="1">
      <c r="A223" s="335" t="s">
        <v>333</v>
      </c>
      <c r="B223" s="182" t="s">
        <v>100</v>
      </c>
      <c r="C223" s="182"/>
      <c r="D223" s="182"/>
      <c r="E223" s="182"/>
      <c r="F223" s="182" t="s">
        <v>100</v>
      </c>
      <c r="G223" s="182"/>
      <c r="H223" s="182"/>
      <c r="I223" s="182"/>
      <c r="J223" s="182"/>
      <c r="K223" s="182"/>
      <c r="L223" s="182" t="s">
        <v>100</v>
      </c>
      <c r="M223" s="182"/>
      <c r="N223" s="182" t="s">
        <v>100</v>
      </c>
      <c r="O223" s="182"/>
      <c r="P223" s="182"/>
      <c r="Q223" s="182" t="s">
        <v>100</v>
      </c>
      <c r="R223" s="182"/>
      <c r="S223" s="182"/>
      <c r="T223" s="182"/>
      <c r="U223" s="182"/>
      <c r="V223" s="182"/>
      <c r="W223" s="182"/>
      <c r="X223" s="182"/>
      <c r="Y223" s="182"/>
      <c r="Z223" s="182"/>
      <c r="AA223" s="182"/>
      <c r="AB223" s="182"/>
      <c r="AC223" s="182"/>
      <c r="AD223" s="182"/>
      <c r="AE223" s="182"/>
      <c r="AF223" s="182"/>
      <c r="AG223" s="182"/>
      <c r="AH223" s="182"/>
      <c r="AI223" s="182"/>
      <c r="AJ223" s="167">
        <f t="shared" si="37"/>
        <v>5</v>
      </c>
      <c r="AK223" s="493" t="str">
        <f>HYPERLINK("https://twitter.com/RobRains/status/819275961648742400","Twitter")</f>
        <v>Twitter</v>
      </c>
      <c r="AL223" s="341">
        <v>42746</v>
      </c>
      <c r="AM223" s="352"/>
      <c r="AN223" s="352"/>
      <c r="AO223" s="352"/>
      <c r="AP223" s="352"/>
      <c r="AQ223" s="352"/>
      <c r="AR223" s="352"/>
      <c r="AS223" s="352"/>
      <c r="AT223" s="352"/>
      <c r="AU223" s="352"/>
      <c r="AV223" s="352"/>
      <c r="AW223" s="352"/>
      <c r="AX223" s="352"/>
      <c r="AY223" s="352"/>
      <c r="AZ223" s="352"/>
      <c r="BA223" s="352"/>
      <c r="BB223" s="352"/>
      <c r="BC223" s="352"/>
      <c r="BD223" s="352"/>
      <c r="BE223" s="352"/>
      <c r="BF223" s="352"/>
      <c r="BG223" s="352"/>
      <c r="BH223" s="352"/>
      <c r="BI223" s="352"/>
      <c r="BJ223" s="352"/>
      <c r="BK223" s="352"/>
      <c r="BL223" s="470"/>
      <c r="BM223" s="339"/>
      <c r="BN223" s="339"/>
      <c r="BO223" s="182"/>
      <c r="BP223" s="182"/>
      <c r="BQ223" s="182"/>
      <c r="BR223" s="182"/>
      <c r="BS223" s="182"/>
      <c r="BT223" s="182"/>
      <c r="BU223" s="182"/>
      <c r="BV223" s="182"/>
      <c r="BW223" s="182"/>
      <c r="BX223" s="182"/>
      <c r="BY223" s="182"/>
      <c r="BZ223" s="182"/>
      <c r="CA223" s="182"/>
      <c r="CB223" s="182"/>
      <c r="CC223" s="182"/>
      <c r="CD223" s="182"/>
      <c r="CE223" s="182"/>
      <c r="CF223" s="182"/>
      <c r="CG223" s="182"/>
      <c r="CH223" s="182"/>
      <c r="CI223" s="182"/>
      <c r="CJ223" s="182"/>
      <c r="CK223" s="182"/>
      <c r="CL223" s="618"/>
      <c r="CM223" s="619"/>
      <c r="CN223" s="620"/>
    </row>
    <row r="224" spans="1:92" s="344" customFormat="1">
      <c r="A224" s="335" t="s">
        <v>631</v>
      </c>
      <c r="B224" s="182" t="s">
        <v>100</v>
      </c>
      <c r="C224" s="182"/>
      <c r="D224" s="182"/>
      <c r="E224" s="182" t="s">
        <v>100</v>
      </c>
      <c r="F224" s="182" t="s">
        <v>100</v>
      </c>
      <c r="G224" s="182"/>
      <c r="H224" s="182"/>
      <c r="I224" s="182"/>
      <c r="J224" s="182"/>
      <c r="K224" s="182"/>
      <c r="L224" s="182" t="s">
        <v>100</v>
      </c>
      <c r="M224" s="182"/>
      <c r="N224" s="182" t="s">
        <v>100</v>
      </c>
      <c r="O224" s="182"/>
      <c r="P224" s="182"/>
      <c r="Q224" s="182"/>
      <c r="R224" s="182"/>
      <c r="S224" s="182"/>
      <c r="T224" s="182"/>
      <c r="U224" s="182"/>
      <c r="V224" s="182"/>
      <c r="W224" s="182"/>
      <c r="X224" s="182"/>
      <c r="Y224" s="182"/>
      <c r="Z224" s="182"/>
      <c r="AA224" s="182"/>
      <c r="AB224" s="182"/>
      <c r="AC224" s="182"/>
      <c r="AD224" s="182"/>
      <c r="AE224" s="182"/>
      <c r="AF224" s="182"/>
      <c r="AG224" s="182"/>
      <c r="AH224" s="182"/>
      <c r="AI224" s="182"/>
      <c r="AJ224" s="167">
        <f t="shared" si="37"/>
        <v>5</v>
      </c>
      <c r="AK224" s="483" t="s">
        <v>138</v>
      </c>
      <c r="AL224" s="341">
        <v>42742</v>
      </c>
      <c r="AM224" s="352"/>
      <c r="AN224" s="352"/>
      <c r="AO224" s="352"/>
      <c r="AP224" s="352"/>
      <c r="AQ224" s="352"/>
      <c r="AR224" s="352"/>
      <c r="AS224" s="352"/>
      <c r="AT224" s="352"/>
      <c r="AU224" s="352"/>
      <c r="AV224" s="352"/>
      <c r="AW224" s="352"/>
      <c r="AX224" s="352"/>
      <c r="AY224" s="352"/>
      <c r="AZ224" s="352"/>
      <c r="BA224" s="352"/>
      <c r="BB224" s="352"/>
      <c r="BC224" s="352"/>
      <c r="BD224" s="352"/>
      <c r="BE224" s="352"/>
      <c r="BF224" s="352"/>
      <c r="BG224" s="352"/>
      <c r="BH224" s="352"/>
      <c r="BI224" s="352"/>
      <c r="BJ224" s="352"/>
      <c r="BK224" s="352"/>
      <c r="BL224" s="470"/>
      <c r="BM224" s="339"/>
      <c r="BN224" s="339"/>
      <c r="BO224" s="182"/>
      <c r="BP224" s="182"/>
      <c r="BQ224" s="182"/>
      <c r="BR224" s="182"/>
      <c r="BS224" s="182"/>
      <c r="BT224" s="182"/>
      <c r="BU224" s="182"/>
      <c r="BV224" s="182"/>
      <c r="BW224" s="182"/>
      <c r="BX224" s="182"/>
      <c r="BY224" s="182"/>
      <c r="BZ224" s="182"/>
      <c r="CA224" s="182"/>
      <c r="CB224" s="182"/>
      <c r="CC224" s="182"/>
      <c r="CD224" s="182"/>
      <c r="CE224" s="182"/>
      <c r="CF224" s="182"/>
      <c r="CG224" s="182"/>
      <c r="CH224" s="182"/>
      <c r="CI224" s="182"/>
      <c r="CJ224" s="182"/>
      <c r="CK224" s="182"/>
      <c r="CL224" s="618"/>
      <c r="CM224" s="619"/>
      <c r="CN224" s="620"/>
    </row>
    <row r="225" spans="1:92" s="344" customFormat="1">
      <c r="A225" s="335" t="s">
        <v>336</v>
      </c>
      <c r="B225" s="182" t="s">
        <v>100</v>
      </c>
      <c r="C225" s="182"/>
      <c r="D225" s="182"/>
      <c r="E225" s="182" t="s">
        <v>100</v>
      </c>
      <c r="F225" s="182" t="s">
        <v>100</v>
      </c>
      <c r="G225" s="182"/>
      <c r="H225" s="182" t="s">
        <v>100</v>
      </c>
      <c r="I225" s="182"/>
      <c r="J225" s="182" t="s">
        <v>100</v>
      </c>
      <c r="K225" s="182"/>
      <c r="L225" s="182" t="s">
        <v>100</v>
      </c>
      <c r="M225" s="182"/>
      <c r="N225" s="182" t="s">
        <v>100</v>
      </c>
      <c r="O225" s="182" t="s">
        <v>100</v>
      </c>
      <c r="P225" s="182"/>
      <c r="Q225" s="302" t="s">
        <v>100</v>
      </c>
      <c r="R225" s="182"/>
      <c r="S225" s="182"/>
      <c r="T225" s="182" t="s">
        <v>100</v>
      </c>
      <c r="U225" s="182"/>
      <c r="V225" s="182"/>
      <c r="W225" s="182"/>
      <c r="X225" s="182"/>
      <c r="Y225" s="182"/>
      <c r="Z225" s="182"/>
      <c r="AA225" s="182"/>
      <c r="AB225" s="182"/>
      <c r="AC225" s="182"/>
      <c r="AD225" s="182"/>
      <c r="AE225" s="182"/>
      <c r="AF225" s="182"/>
      <c r="AG225" s="182"/>
      <c r="AH225" s="182"/>
      <c r="AI225" s="182"/>
      <c r="AJ225" s="167">
        <f t="shared" si="37"/>
        <v>10</v>
      </c>
      <c r="AK225" s="493" t="str">
        <f>HYPERLINK("https://twitter.com/clarkspencer/status/817386914231808000","Twitter")</f>
        <v>Twitter</v>
      </c>
      <c r="AL225" s="341">
        <v>42741</v>
      </c>
      <c r="AM225" s="352"/>
      <c r="AN225" s="352"/>
      <c r="AO225" s="352"/>
      <c r="AP225" s="352"/>
      <c r="AQ225" s="352"/>
      <c r="AR225" s="352"/>
      <c r="AS225" s="352"/>
      <c r="AT225" s="352"/>
      <c r="AU225" s="352"/>
      <c r="AV225" s="352"/>
      <c r="AW225" s="352"/>
      <c r="AX225" s="352"/>
      <c r="AY225" s="352"/>
      <c r="AZ225" s="352"/>
      <c r="BA225" s="352"/>
      <c r="BB225" s="352"/>
      <c r="BC225" s="352"/>
      <c r="BD225" s="352"/>
      <c r="BE225" s="352"/>
      <c r="BF225" s="352"/>
      <c r="BG225" s="352"/>
      <c r="BH225" s="352"/>
      <c r="BI225" s="352"/>
      <c r="BJ225" s="352"/>
      <c r="BK225" s="352"/>
      <c r="BL225" s="470"/>
      <c r="BM225" s="339"/>
      <c r="BN225" s="339"/>
      <c r="BO225" s="182"/>
      <c r="BP225" s="182"/>
      <c r="BQ225" s="182"/>
      <c r="BR225" s="182"/>
      <c r="BS225" s="182"/>
      <c r="BT225" s="182"/>
      <c r="BU225" s="182"/>
      <c r="BV225" s="182"/>
      <c r="BW225" s="182"/>
      <c r="BX225" s="182"/>
      <c r="BY225" s="182"/>
      <c r="BZ225" s="182"/>
      <c r="CA225" s="182"/>
      <c r="CB225" s="182"/>
      <c r="CC225" s="182"/>
      <c r="CD225" s="182"/>
      <c r="CE225" s="182"/>
      <c r="CF225" s="182"/>
      <c r="CG225" s="182"/>
      <c r="CH225" s="182"/>
      <c r="CI225" s="182"/>
      <c r="CJ225" s="182"/>
      <c r="CK225" s="182"/>
      <c r="CL225" s="618"/>
      <c r="CM225" s="619"/>
      <c r="CN225" s="620"/>
    </row>
    <row r="226" spans="1:92" s="344" customFormat="1">
      <c r="A226" s="335" t="s">
        <v>632</v>
      </c>
      <c r="B226" s="182" t="s">
        <v>100</v>
      </c>
      <c r="C226" s="182"/>
      <c r="D226" s="182"/>
      <c r="E226" s="182" t="s">
        <v>100</v>
      </c>
      <c r="F226" s="182" t="s">
        <v>100</v>
      </c>
      <c r="G226" s="320"/>
      <c r="H226" s="182" t="s">
        <v>100</v>
      </c>
      <c r="I226" s="182"/>
      <c r="J226" s="302" t="s">
        <v>100</v>
      </c>
      <c r="K226" s="182"/>
      <c r="L226" s="182" t="s">
        <v>100</v>
      </c>
      <c r="M226" s="182"/>
      <c r="N226" s="182" t="s">
        <v>100</v>
      </c>
      <c r="O226" s="182" t="s">
        <v>100</v>
      </c>
      <c r="P226" s="182"/>
      <c r="Q226" s="182"/>
      <c r="R226" s="182"/>
      <c r="S226" s="182"/>
      <c r="T226" s="182" t="s">
        <v>100</v>
      </c>
      <c r="U226" s="182"/>
      <c r="V226" s="182"/>
      <c r="W226" s="182"/>
      <c r="X226" s="182"/>
      <c r="Y226" s="182"/>
      <c r="Z226" s="182"/>
      <c r="AA226" s="182"/>
      <c r="AB226" s="182"/>
      <c r="AC226" s="182"/>
      <c r="AD226" s="182"/>
      <c r="AE226" s="182"/>
      <c r="AF226" s="182"/>
      <c r="AG226" s="182"/>
      <c r="AH226" s="182"/>
      <c r="AI226" s="182"/>
      <c r="AJ226" s="167">
        <f t="shared" si="37"/>
        <v>9</v>
      </c>
      <c r="AK226" s="493" t="str">
        <f>HYPERLINK("http://podcasts.pjstar.com/2016/sportswriters-43-peoria-baseball-panel-discusses-the-hall-of-fame/?rssfeed=true&amp;utm_source=twitter.com&amp;utm_medium=social","Journal Star Podcast")</f>
        <v>Journal Star Podcast</v>
      </c>
      <c r="AL226" s="341">
        <v>42713</v>
      </c>
      <c r="AM226" s="352"/>
      <c r="AN226" s="352"/>
      <c r="AO226" s="352"/>
      <c r="AP226" s="352"/>
      <c r="AQ226" s="352"/>
      <c r="AR226" s="352"/>
      <c r="AS226" s="352"/>
      <c r="AT226" s="352"/>
      <c r="AU226" s="352"/>
      <c r="AV226" s="352"/>
      <c r="AW226" s="352"/>
      <c r="AX226" s="352"/>
      <c r="AY226" s="352"/>
      <c r="AZ226" s="352"/>
      <c r="BA226" s="352"/>
      <c r="BB226" s="352"/>
      <c r="BC226" s="352"/>
      <c r="BD226" s="352"/>
      <c r="BE226" s="352"/>
      <c r="BF226" s="352"/>
      <c r="BG226" s="352"/>
      <c r="BH226" s="352"/>
      <c r="BI226" s="352"/>
      <c r="BJ226" s="352"/>
      <c r="BK226" s="352"/>
      <c r="BL226" s="470"/>
      <c r="BM226" s="339"/>
      <c r="BN226" s="339"/>
      <c r="BO226" s="182"/>
      <c r="BP226" s="182"/>
      <c r="BQ226" s="182"/>
      <c r="BR226" s="182"/>
      <c r="BS226" s="182"/>
      <c r="BT226" s="182"/>
      <c r="BU226" s="182"/>
      <c r="BV226" s="182"/>
      <c r="BW226" s="182"/>
      <c r="BX226" s="182"/>
      <c r="BY226" s="182"/>
      <c r="BZ226" s="182"/>
      <c r="CA226" s="182"/>
      <c r="CB226" s="182"/>
      <c r="CC226" s="182"/>
      <c r="CD226" s="182"/>
      <c r="CE226" s="182"/>
      <c r="CF226" s="182"/>
      <c r="CG226" s="182"/>
      <c r="CH226" s="182"/>
      <c r="CI226" s="182"/>
      <c r="CJ226" s="182"/>
      <c r="CK226" s="182"/>
      <c r="CL226" s="680"/>
      <c r="CM226" s="681"/>
      <c r="CN226" s="682"/>
    </row>
    <row r="227" spans="1:92" s="344" customFormat="1">
      <c r="A227" s="335" t="s">
        <v>339</v>
      </c>
      <c r="B227" s="182" t="s">
        <v>100</v>
      </c>
      <c r="C227" s="182" t="s">
        <v>100</v>
      </c>
      <c r="D227" s="182" t="s">
        <v>100</v>
      </c>
      <c r="E227" s="182"/>
      <c r="F227" s="182" t="s">
        <v>100</v>
      </c>
      <c r="G227" s="182"/>
      <c r="H227" s="182" t="s">
        <v>100</v>
      </c>
      <c r="I227" s="182"/>
      <c r="J227" s="182"/>
      <c r="K227" s="182"/>
      <c r="L227" s="182" t="s">
        <v>100</v>
      </c>
      <c r="M227" s="182" t="s">
        <v>100</v>
      </c>
      <c r="N227" s="182" t="s">
        <v>100</v>
      </c>
      <c r="O227" s="182"/>
      <c r="P227" s="182"/>
      <c r="Q227" s="182" t="s">
        <v>100</v>
      </c>
      <c r="R227" s="182"/>
      <c r="S227" s="182"/>
      <c r="T227" s="182" t="s">
        <v>100</v>
      </c>
      <c r="U227" s="182"/>
      <c r="V227" s="182"/>
      <c r="W227" s="182"/>
      <c r="X227" s="182"/>
      <c r="Y227" s="182"/>
      <c r="Z227" s="182"/>
      <c r="AA227" s="182"/>
      <c r="AB227" s="182"/>
      <c r="AC227" s="182"/>
      <c r="AD227" s="182"/>
      <c r="AE227" s="182"/>
      <c r="AF227" s="182"/>
      <c r="AG227" s="182"/>
      <c r="AH227" s="182"/>
      <c r="AI227" s="182"/>
      <c r="AJ227" s="167">
        <f t="shared" si="37"/>
        <v>10</v>
      </c>
      <c r="AK227" s="481" t="str">
        <f>HYPERLINK("https://twitter.com/ByTimReynolds/status/821726540484513792","Twitter")</f>
        <v>Twitter</v>
      </c>
      <c r="AL227" s="341">
        <v>42753</v>
      </c>
      <c r="AM227" s="352"/>
      <c r="AN227" s="352"/>
      <c r="AO227" s="352"/>
      <c r="AP227" s="352"/>
      <c r="AQ227" s="352"/>
      <c r="AR227" s="352"/>
      <c r="AS227" s="352"/>
      <c r="AT227" s="352"/>
      <c r="AU227" s="352"/>
      <c r="AV227" s="352"/>
      <c r="AW227" s="352"/>
      <c r="AX227" s="352"/>
      <c r="AY227" s="352"/>
      <c r="AZ227" s="352"/>
      <c r="BA227" s="352"/>
      <c r="BB227" s="352"/>
      <c r="BC227" s="352"/>
      <c r="BD227" s="352"/>
      <c r="BE227" s="352"/>
      <c r="BF227" s="352"/>
      <c r="BG227" s="352"/>
      <c r="BH227" s="352"/>
      <c r="BI227" s="352"/>
      <c r="BJ227" s="352"/>
      <c r="BK227" s="352"/>
      <c r="BL227" s="470"/>
      <c r="BM227" s="339"/>
      <c r="BN227" s="339"/>
      <c r="BO227" s="182"/>
      <c r="BP227" s="182"/>
      <c r="BQ227" s="182"/>
      <c r="BR227" s="182"/>
      <c r="BS227" s="182"/>
      <c r="BT227" s="182"/>
      <c r="BU227" s="182"/>
      <c r="BV227" s="182"/>
      <c r="BW227" s="182"/>
      <c r="BX227" s="182"/>
      <c r="BY227" s="182"/>
      <c r="BZ227" s="182"/>
      <c r="CA227" s="182"/>
      <c r="CB227" s="182"/>
      <c r="CC227" s="182"/>
      <c r="CD227" s="182"/>
      <c r="CE227" s="182"/>
      <c r="CF227" s="182"/>
      <c r="CG227" s="182"/>
      <c r="CH227" s="182"/>
      <c r="CI227" s="182"/>
      <c r="CJ227" s="182"/>
      <c r="CK227" s="182"/>
      <c r="CL227" s="618"/>
      <c r="CM227" s="619"/>
      <c r="CN227" s="620"/>
    </row>
    <row r="228" spans="1:92" s="344" customFormat="1">
      <c r="A228" s="335" t="s">
        <v>340</v>
      </c>
      <c r="B228" s="182"/>
      <c r="C228" s="182" t="s">
        <v>100</v>
      </c>
      <c r="D228" s="182" t="s">
        <v>100</v>
      </c>
      <c r="E228" s="182" t="s">
        <v>100</v>
      </c>
      <c r="F228" s="182" t="s">
        <v>100</v>
      </c>
      <c r="G228" s="182" t="s">
        <v>100</v>
      </c>
      <c r="H228" s="182"/>
      <c r="I228" s="182"/>
      <c r="J228" s="182" t="s">
        <v>100</v>
      </c>
      <c r="K228" s="182"/>
      <c r="L228" s="182"/>
      <c r="M228" s="182" t="s">
        <v>100</v>
      </c>
      <c r="N228" s="182" t="s">
        <v>100</v>
      </c>
      <c r="O228" s="182" t="s">
        <v>100</v>
      </c>
      <c r="P228" s="182"/>
      <c r="Q228" s="182"/>
      <c r="R228" s="182"/>
      <c r="S228" s="182"/>
      <c r="T228" s="182"/>
      <c r="U228" s="182"/>
      <c r="V228" s="182"/>
      <c r="W228" s="182"/>
      <c r="X228" s="182"/>
      <c r="Y228" s="182"/>
      <c r="Z228" s="182"/>
      <c r="AA228" s="182"/>
      <c r="AB228" s="182"/>
      <c r="AC228" s="182"/>
      <c r="AD228" s="182"/>
      <c r="AE228" s="182"/>
      <c r="AF228" s="182"/>
      <c r="AG228" s="182"/>
      <c r="AH228" s="182"/>
      <c r="AI228" s="182"/>
      <c r="AJ228" s="167">
        <f t="shared" si="37"/>
        <v>9</v>
      </c>
      <c r="AK228" s="481" t="str">
        <f>HYPERLINK("http://www.newsday.com/sports/baseball/2017-baseball-hall-of-fame-ballot-by-newsday-s-anthony-rieber-1.12973508?utm_content=buffer983ae&amp;utm_medium=social&amp;utm_source=twitter.com&amp;utm_campaign=buffer","Newsday")</f>
        <v>Newsday</v>
      </c>
      <c r="AL228" s="341">
        <v>42753</v>
      </c>
      <c r="AM228" s="352"/>
      <c r="AN228" s="352"/>
      <c r="AO228" s="352"/>
      <c r="AP228" s="352"/>
      <c r="AQ228" s="352"/>
      <c r="AR228" s="352"/>
      <c r="AS228" s="352"/>
      <c r="AT228" s="352"/>
      <c r="AU228" s="352"/>
      <c r="AV228" s="352"/>
      <c r="AW228" s="352"/>
      <c r="AX228" s="352"/>
      <c r="AY228" s="352"/>
      <c r="AZ228" s="352"/>
      <c r="BA228" s="352"/>
      <c r="BB228" s="352"/>
      <c r="BC228" s="352"/>
      <c r="BD228" s="352"/>
      <c r="BE228" s="352"/>
      <c r="BF228" s="352"/>
      <c r="BG228" s="352"/>
      <c r="BH228" s="352"/>
      <c r="BI228" s="352"/>
      <c r="BJ228" s="352"/>
      <c r="BK228" s="352"/>
      <c r="BL228" s="470"/>
      <c r="BM228" s="339"/>
      <c r="BN228" s="339"/>
      <c r="BO228" s="182"/>
      <c r="BP228" s="182"/>
      <c r="BQ228" s="182"/>
      <c r="BR228" s="182"/>
      <c r="BS228" s="182"/>
      <c r="BT228" s="182"/>
      <c r="BU228" s="182"/>
      <c r="BV228" s="182"/>
      <c r="BW228" s="182"/>
      <c r="BX228" s="182"/>
      <c r="BY228" s="182"/>
      <c r="BZ228" s="182"/>
      <c r="CA228" s="182"/>
      <c r="CB228" s="182"/>
      <c r="CC228" s="182"/>
      <c r="CD228" s="182"/>
      <c r="CE228" s="182"/>
      <c r="CF228" s="182"/>
      <c r="CG228" s="182"/>
      <c r="CH228" s="182"/>
      <c r="CI228" s="182"/>
      <c r="CJ228" s="182"/>
      <c r="CK228" s="182"/>
      <c r="CL228" s="618"/>
      <c r="CM228" s="619"/>
      <c r="CN228" s="620"/>
    </row>
    <row r="229" spans="1:92" s="344" customFormat="1">
      <c r="A229" s="335" t="s">
        <v>341</v>
      </c>
      <c r="B229" s="182" t="s">
        <v>100</v>
      </c>
      <c r="C229" s="182" t="s">
        <v>100</v>
      </c>
      <c r="D229" s="182" t="s">
        <v>100</v>
      </c>
      <c r="E229" s="182"/>
      <c r="F229" s="182" t="s">
        <v>100</v>
      </c>
      <c r="G229" s="182"/>
      <c r="H229" s="182"/>
      <c r="I229" s="302" t="s">
        <v>100</v>
      </c>
      <c r="J229" s="302" t="s">
        <v>100</v>
      </c>
      <c r="K229" s="182"/>
      <c r="L229" s="182" t="s">
        <v>100</v>
      </c>
      <c r="M229" s="182"/>
      <c r="N229" s="182" t="s">
        <v>100</v>
      </c>
      <c r="O229" s="182"/>
      <c r="P229" s="182"/>
      <c r="Q229" s="182" t="s">
        <v>100</v>
      </c>
      <c r="R229" s="182"/>
      <c r="S229" s="182"/>
      <c r="T229" s="182" t="s">
        <v>100</v>
      </c>
      <c r="U229" s="182"/>
      <c r="V229" s="182"/>
      <c r="W229" s="182"/>
      <c r="X229" s="182"/>
      <c r="Y229" s="182"/>
      <c r="Z229" s="182"/>
      <c r="AA229" s="182"/>
      <c r="AB229" s="182"/>
      <c r="AC229" s="182"/>
      <c r="AD229" s="182"/>
      <c r="AE229" s="182"/>
      <c r="AF229" s="182"/>
      <c r="AG229" s="182"/>
      <c r="AH229" s="182"/>
      <c r="AI229" s="182"/>
      <c r="AJ229" s="167">
        <f t="shared" si="37"/>
        <v>10</v>
      </c>
      <c r="AK229" s="493" t="str">
        <f>HYPERLINK("https://twitter.com/TracyRingolsby/status/818810414381355010","Twitter")</f>
        <v>Twitter</v>
      </c>
      <c r="AL229" s="341">
        <v>42745</v>
      </c>
      <c r="AM229" s="352"/>
      <c r="AN229" s="352"/>
      <c r="AO229" s="352"/>
      <c r="AP229" s="352"/>
      <c r="AQ229" s="352"/>
      <c r="AR229" s="352"/>
      <c r="AS229" s="352"/>
      <c r="AT229" s="352"/>
      <c r="AU229" s="352"/>
      <c r="AV229" s="352"/>
      <c r="AW229" s="352"/>
      <c r="AX229" s="352"/>
      <c r="AY229" s="352"/>
      <c r="AZ229" s="352"/>
      <c r="BA229" s="352"/>
      <c r="BB229" s="352"/>
      <c r="BC229" s="352"/>
      <c r="BD229" s="352"/>
      <c r="BE229" s="352"/>
      <c r="BF229" s="352"/>
      <c r="BG229" s="352"/>
      <c r="BH229" s="352"/>
      <c r="BI229" s="352"/>
      <c r="BJ229" s="352"/>
      <c r="BK229" s="352"/>
      <c r="BL229" s="470"/>
      <c r="BM229" s="339"/>
      <c r="BN229" s="339"/>
      <c r="BO229" s="182"/>
      <c r="BP229" s="182"/>
      <c r="BQ229" s="182"/>
      <c r="BR229" s="182"/>
      <c r="BS229" s="182"/>
      <c r="BT229" s="182"/>
      <c r="BU229" s="182"/>
      <c r="BV229" s="182"/>
      <c r="BW229" s="182"/>
      <c r="BX229" s="182"/>
      <c r="BY229" s="182"/>
      <c r="BZ229" s="182"/>
      <c r="CA229" s="182"/>
      <c r="CB229" s="182"/>
      <c r="CC229" s="182"/>
      <c r="CD229" s="182"/>
      <c r="CE229" s="182"/>
      <c r="CF229" s="182"/>
      <c r="CG229" s="182"/>
      <c r="CH229" s="182"/>
      <c r="CI229" s="182"/>
      <c r="CJ229" s="182"/>
      <c r="CK229" s="182"/>
      <c r="CL229" s="618"/>
      <c r="CM229" s="619"/>
      <c r="CN229" s="620"/>
    </row>
    <row r="230" spans="1:92" s="344" customFormat="1">
      <c r="A230" s="335" t="s">
        <v>633</v>
      </c>
      <c r="B230" s="182" t="s">
        <v>100</v>
      </c>
      <c r="C230" s="182" t="s">
        <v>100</v>
      </c>
      <c r="D230" s="182" t="s">
        <v>100</v>
      </c>
      <c r="E230" s="182" t="s">
        <v>100</v>
      </c>
      <c r="F230" s="320"/>
      <c r="G230" s="182"/>
      <c r="H230" s="182"/>
      <c r="I230" s="182"/>
      <c r="J230" s="182" t="s">
        <v>100</v>
      </c>
      <c r="K230" s="182" t="s">
        <v>100</v>
      </c>
      <c r="L230" s="182" t="s">
        <v>100</v>
      </c>
      <c r="M230" s="182" t="s">
        <v>100</v>
      </c>
      <c r="N230" s="182" t="s">
        <v>100</v>
      </c>
      <c r="O230" s="182" t="s">
        <v>100</v>
      </c>
      <c r="P230" s="182"/>
      <c r="Q230" s="182"/>
      <c r="R230" s="182"/>
      <c r="S230" s="182"/>
      <c r="T230" s="182"/>
      <c r="U230" s="182"/>
      <c r="V230" s="182"/>
      <c r="W230" s="182"/>
      <c r="X230" s="182"/>
      <c r="Y230" s="182"/>
      <c r="Z230" s="182"/>
      <c r="AA230" s="182"/>
      <c r="AB230" s="182"/>
      <c r="AC230" s="182"/>
      <c r="AD230" s="182"/>
      <c r="AE230" s="182"/>
      <c r="AF230" s="182"/>
      <c r="AG230" s="182"/>
      <c r="AH230" s="182"/>
      <c r="AI230" s="182"/>
      <c r="AJ230" s="167">
        <f t="shared" si="37"/>
        <v>10</v>
      </c>
      <c r="AK230" s="483" t="s">
        <v>115</v>
      </c>
      <c r="AL230" s="341">
        <v>42714</v>
      </c>
      <c r="AM230" s="352"/>
      <c r="AN230" s="352"/>
      <c r="AO230" s="352"/>
      <c r="AP230" s="352"/>
      <c r="AQ230" s="352"/>
      <c r="AR230" s="352"/>
      <c r="AS230" s="352"/>
      <c r="AT230" s="352"/>
      <c r="AU230" s="352"/>
      <c r="AV230" s="352"/>
      <c r="AW230" s="352"/>
      <c r="AX230" s="352"/>
      <c r="AY230" s="352"/>
      <c r="AZ230" s="352"/>
      <c r="BA230" s="352"/>
      <c r="BB230" s="352"/>
      <c r="BC230" s="352"/>
      <c r="BD230" s="352"/>
      <c r="BE230" s="352"/>
      <c r="BF230" s="352"/>
      <c r="BG230" s="352"/>
      <c r="BH230" s="352"/>
      <c r="BI230" s="352"/>
      <c r="BJ230" s="352"/>
      <c r="BK230" s="352"/>
      <c r="BL230" s="470"/>
      <c r="BM230" s="339"/>
      <c r="BN230" s="339"/>
      <c r="BO230" s="182"/>
      <c r="BP230" s="182"/>
      <c r="BQ230" s="182"/>
      <c r="BR230" s="182"/>
      <c r="BS230" s="182"/>
      <c r="BT230" s="182"/>
      <c r="BU230" s="182"/>
      <c r="BV230" s="182"/>
      <c r="BW230" s="182"/>
      <c r="BX230" s="182"/>
      <c r="BY230" s="182"/>
      <c r="BZ230" s="182"/>
      <c r="CA230" s="182"/>
      <c r="CB230" s="182"/>
      <c r="CC230" s="182"/>
      <c r="CD230" s="182"/>
      <c r="CE230" s="182"/>
      <c r="CF230" s="182"/>
      <c r="CG230" s="182"/>
      <c r="CH230" s="182"/>
      <c r="CI230" s="182"/>
      <c r="CJ230" s="182"/>
      <c r="CK230" s="182"/>
      <c r="CL230" s="680" t="s">
        <v>307</v>
      </c>
      <c r="CM230" s="681"/>
      <c r="CN230" s="682"/>
    </row>
    <row r="231" spans="1:92" s="344" customFormat="1">
      <c r="A231" s="335" t="s">
        <v>634</v>
      </c>
      <c r="B231" s="182"/>
      <c r="C231" s="182" t="s">
        <v>100</v>
      </c>
      <c r="D231" s="182"/>
      <c r="E231" s="182"/>
      <c r="F231" s="182"/>
      <c r="G231" s="182"/>
      <c r="H231" s="182"/>
      <c r="I231" s="182" t="s">
        <v>100</v>
      </c>
      <c r="J231" s="182"/>
      <c r="K231" s="182"/>
      <c r="L231" s="182" t="s">
        <v>100</v>
      </c>
      <c r="M231" s="182"/>
      <c r="N231" s="182" t="s">
        <v>100</v>
      </c>
      <c r="O231" s="182"/>
      <c r="P231" s="182"/>
      <c r="Q231" s="182"/>
      <c r="R231" s="182"/>
      <c r="S231" s="182"/>
      <c r="T231" s="182"/>
      <c r="U231" s="182"/>
      <c r="V231" s="182"/>
      <c r="W231" s="182"/>
      <c r="X231" s="182"/>
      <c r="Y231" s="182"/>
      <c r="Z231" s="182"/>
      <c r="AA231" s="182"/>
      <c r="AB231" s="182"/>
      <c r="AC231" s="182"/>
      <c r="AD231" s="182"/>
      <c r="AE231" s="182"/>
      <c r="AF231" s="182"/>
      <c r="AG231" s="182"/>
      <c r="AH231" s="182"/>
      <c r="AI231" s="182"/>
      <c r="AJ231" s="167">
        <f t="shared" si="37"/>
        <v>4</v>
      </c>
      <c r="AK231" s="481" t="str">
        <f>HYPERLINK("https://twitter.com/alanrobinson412/status/821829896804573185","Twitter")</f>
        <v>Twitter</v>
      </c>
      <c r="AL231" s="341">
        <v>42753</v>
      </c>
      <c r="AM231" s="352"/>
      <c r="AN231" s="352"/>
      <c r="AO231" s="352"/>
      <c r="AP231" s="352"/>
      <c r="AQ231" s="352"/>
      <c r="AR231" s="352"/>
      <c r="AS231" s="352"/>
      <c r="AT231" s="352"/>
      <c r="AU231" s="352"/>
      <c r="AV231" s="352"/>
      <c r="AW231" s="352"/>
      <c r="AX231" s="352"/>
      <c r="AY231" s="352"/>
      <c r="AZ231" s="352"/>
      <c r="BA231" s="352"/>
      <c r="BB231" s="352"/>
      <c r="BC231" s="352"/>
      <c r="BD231" s="352"/>
      <c r="BE231" s="352"/>
      <c r="BF231" s="352"/>
      <c r="BG231" s="352"/>
      <c r="BH231" s="352"/>
      <c r="BI231" s="352"/>
      <c r="BJ231" s="352"/>
      <c r="BK231" s="352"/>
      <c r="BL231" s="470"/>
      <c r="BM231" s="339"/>
      <c r="BN231" s="339"/>
      <c r="BO231" s="182"/>
      <c r="BP231" s="182"/>
      <c r="BQ231" s="182"/>
      <c r="BR231" s="182"/>
      <c r="BS231" s="182"/>
      <c r="BT231" s="182"/>
      <c r="BU231" s="182"/>
      <c r="BV231" s="182"/>
      <c r="BW231" s="182"/>
      <c r="BX231" s="182"/>
      <c r="BY231" s="182"/>
      <c r="BZ231" s="182"/>
      <c r="CA231" s="182"/>
      <c r="CB231" s="182"/>
      <c r="CC231" s="182"/>
      <c r="CD231" s="182"/>
      <c r="CE231" s="182"/>
      <c r="CF231" s="182"/>
      <c r="CG231" s="182"/>
      <c r="CH231" s="182"/>
      <c r="CI231" s="182"/>
      <c r="CJ231" s="182"/>
      <c r="CK231" s="182"/>
      <c r="CL231" s="618"/>
      <c r="CM231" s="619"/>
      <c r="CN231" s="620"/>
    </row>
    <row r="232" spans="1:92" s="344" customFormat="1">
      <c r="A232" s="335" t="s">
        <v>342</v>
      </c>
      <c r="B232" s="182" t="s">
        <v>100</v>
      </c>
      <c r="C232" s="182"/>
      <c r="D232" s="182"/>
      <c r="E232" s="182"/>
      <c r="F232" s="182"/>
      <c r="G232" s="182"/>
      <c r="H232" s="182"/>
      <c r="I232" s="182"/>
      <c r="J232" s="182" t="s">
        <v>100</v>
      </c>
      <c r="K232" s="182"/>
      <c r="L232" s="182" t="s">
        <v>100</v>
      </c>
      <c r="M232" s="182"/>
      <c r="N232" s="182" t="s">
        <v>100</v>
      </c>
      <c r="O232" s="182" t="s">
        <v>100</v>
      </c>
      <c r="P232" s="182"/>
      <c r="Q232" s="182"/>
      <c r="R232" s="182"/>
      <c r="S232" s="182"/>
      <c r="T232" s="182" t="s">
        <v>100</v>
      </c>
      <c r="U232" s="182"/>
      <c r="V232" s="182"/>
      <c r="W232" s="182"/>
      <c r="X232" s="182"/>
      <c r="Y232" s="182"/>
      <c r="Z232" s="182"/>
      <c r="AA232" s="182"/>
      <c r="AB232" s="182"/>
      <c r="AC232" s="182"/>
      <c r="AD232" s="182"/>
      <c r="AE232" s="182"/>
      <c r="AF232" s="182"/>
      <c r="AG232" s="182"/>
      <c r="AH232" s="182"/>
      <c r="AI232" s="182"/>
      <c r="AJ232" s="167">
        <f t="shared" si="37"/>
        <v>6</v>
      </c>
      <c r="AK232" s="483" t="s">
        <v>635</v>
      </c>
      <c r="AL232" s="341">
        <v>42731</v>
      </c>
      <c r="AM232" s="352"/>
      <c r="AN232" s="352"/>
      <c r="AO232" s="352"/>
      <c r="AP232" s="352"/>
      <c r="AQ232" s="352"/>
      <c r="AR232" s="352"/>
      <c r="AS232" s="352"/>
      <c r="AT232" s="352"/>
      <c r="AU232" s="352"/>
      <c r="AV232" s="352"/>
      <c r="AW232" s="352"/>
      <c r="AX232" s="352"/>
      <c r="AY232" s="352"/>
      <c r="AZ232" s="352"/>
      <c r="BA232" s="352"/>
      <c r="BB232" s="352"/>
      <c r="BC232" s="352"/>
      <c r="BD232" s="352"/>
      <c r="BE232" s="352"/>
      <c r="BF232" s="352"/>
      <c r="BG232" s="352"/>
      <c r="BH232" s="352"/>
      <c r="BI232" s="352"/>
      <c r="BJ232" s="352"/>
      <c r="BK232" s="352"/>
      <c r="BL232" s="470"/>
      <c r="BM232" s="339"/>
      <c r="BN232" s="339"/>
      <c r="BO232" s="182"/>
      <c r="BP232" s="182"/>
      <c r="BQ232" s="182"/>
      <c r="BR232" s="182"/>
      <c r="BS232" s="182"/>
      <c r="BT232" s="182"/>
      <c r="BU232" s="182"/>
      <c r="BV232" s="182"/>
      <c r="BW232" s="182"/>
      <c r="BX232" s="182"/>
      <c r="BY232" s="182"/>
      <c r="BZ232" s="182"/>
      <c r="CA232" s="182"/>
      <c r="CB232" s="182"/>
      <c r="CC232" s="182"/>
      <c r="CD232" s="182"/>
      <c r="CE232" s="182"/>
      <c r="CF232" s="182"/>
      <c r="CG232" s="182"/>
      <c r="CH232" s="182"/>
      <c r="CI232" s="182"/>
      <c r="CJ232" s="182"/>
      <c r="CK232" s="182"/>
      <c r="CL232" s="618"/>
      <c r="CM232" s="619"/>
      <c r="CN232" s="620"/>
    </row>
    <row r="233" spans="1:92" s="344" customFormat="1">
      <c r="A233" s="359" t="s">
        <v>636</v>
      </c>
      <c r="B233" s="182" t="s">
        <v>100</v>
      </c>
      <c r="C233" s="182" t="s">
        <v>100</v>
      </c>
      <c r="D233" s="182" t="s">
        <v>100</v>
      </c>
      <c r="E233" s="182"/>
      <c r="F233" s="182"/>
      <c r="G233" s="182"/>
      <c r="H233" s="182" t="s">
        <v>100</v>
      </c>
      <c r="I233" s="182" t="s">
        <v>100</v>
      </c>
      <c r="J233" s="182" t="s">
        <v>100</v>
      </c>
      <c r="K233" s="182"/>
      <c r="L233" s="182" t="s">
        <v>100</v>
      </c>
      <c r="M233" s="182" t="s">
        <v>100</v>
      </c>
      <c r="N233" s="182" t="s">
        <v>100</v>
      </c>
      <c r="O233" s="182" t="s">
        <v>100</v>
      </c>
      <c r="P233" s="182"/>
      <c r="Q233" s="182"/>
      <c r="R233" s="182"/>
      <c r="S233" s="182"/>
      <c r="T233" s="182"/>
      <c r="U233" s="182"/>
      <c r="V233" s="182"/>
      <c r="W233" s="182"/>
      <c r="X233" s="182"/>
      <c r="Y233" s="182"/>
      <c r="Z233" s="182"/>
      <c r="AA233" s="182"/>
      <c r="AB233" s="182"/>
      <c r="AC233" s="182"/>
      <c r="AD233" s="182"/>
      <c r="AE233" s="182"/>
      <c r="AF233" s="182"/>
      <c r="AG233" s="182"/>
      <c r="AH233" s="182"/>
      <c r="AI233" s="182"/>
      <c r="AJ233" s="167">
        <f t="shared" si="37"/>
        <v>10</v>
      </c>
      <c r="AK233" s="483" t="s">
        <v>115</v>
      </c>
      <c r="AL233" s="341">
        <v>42727</v>
      </c>
      <c r="AM233" s="352"/>
      <c r="AN233" s="352"/>
      <c r="AO233" s="352"/>
      <c r="AP233" s="352"/>
      <c r="AQ233" s="352"/>
      <c r="AR233" s="352"/>
      <c r="AS233" s="352"/>
      <c r="AT233" s="352"/>
      <c r="AU233" s="352"/>
      <c r="AV233" s="352"/>
      <c r="AW233" s="352"/>
      <c r="AX233" s="352"/>
      <c r="AY233" s="352"/>
      <c r="AZ233" s="352"/>
      <c r="BA233" s="352"/>
      <c r="BB233" s="352"/>
      <c r="BC233" s="352"/>
      <c r="BD233" s="352"/>
      <c r="BE233" s="352"/>
      <c r="BF233" s="352"/>
      <c r="BG233" s="352"/>
      <c r="BH233" s="352"/>
      <c r="BI233" s="352"/>
      <c r="BJ233" s="352"/>
      <c r="BK233" s="352"/>
      <c r="BL233" s="470"/>
      <c r="BM233" s="339"/>
      <c r="BN233" s="339"/>
      <c r="BO233" s="182"/>
      <c r="BP233" s="182"/>
      <c r="BQ233" s="182"/>
      <c r="BR233" s="182"/>
      <c r="BS233" s="182"/>
      <c r="BT233" s="182"/>
      <c r="BU233" s="182"/>
      <c r="BV233" s="182"/>
      <c r="BW233" s="182"/>
      <c r="BX233" s="182"/>
      <c r="BY233" s="182"/>
      <c r="BZ233" s="182"/>
      <c r="CA233" s="182"/>
      <c r="CB233" s="182"/>
      <c r="CC233" s="182"/>
      <c r="CD233" s="182"/>
      <c r="CE233" s="182"/>
      <c r="CF233" s="182"/>
      <c r="CG233" s="182"/>
      <c r="CH233" s="182"/>
      <c r="CI233" s="182"/>
      <c r="CJ233" s="182"/>
      <c r="CK233" s="182"/>
      <c r="CL233" s="618"/>
      <c r="CM233" s="619"/>
      <c r="CN233" s="620"/>
    </row>
    <row r="234" spans="1:92" s="344" customFormat="1">
      <c r="A234" s="335" t="s">
        <v>637</v>
      </c>
      <c r="B234" s="182" t="s">
        <v>100</v>
      </c>
      <c r="C234" s="182" t="s">
        <v>100</v>
      </c>
      <c r="D234" s="182" t="s">
        <v>100</v>
      </c>
      <c r="E234" s="182"/>
      <c r="F234" s="182"/>
      <c r="G234" s="182"/>
      <c r="H234" s="302" t="s">
        <v>100</v>
      </c>
      <c r="I234" s="182"/>
      <c r="J234" s="182" t="s">
        <v>100</v>
      </c>
      <c r="K234" s="182"/>
      <c r="L234" s="182" t="s">
        <v>100</v>
      </c>
      <c r="M234" s="182" t="s">
        <v>100</v>
      </c>
      <c r="N234" s="182" t="s">
        <v>100</v>
      </c>
      <c r="O234" s="182" t="s">
        <v>100</v>
      </c>
      <c r="P234" s="182"/>
      <c r="Q234" s="182"/>
      <c r="R234" s="182"/>
      <c r="S234" s="182"/>
      <c r="T234" s="182" t="s">
        <v>100</v>
      </c>
      <c r="U234" s="182"/>
      <c r="V234" s="182"/>
      <c r="W234" s="182"/>
      <c r="X234" s="182"/>
      <c r="Y234" s="182"/>
      <c r="Z234" s="182"/>
      <c r="AA234" s="182"/>
      <c r="AB234" s="182"/>
      <c r="AC234" s="182"/>
      <c r="AD234" s="182"/>
      <c r="AE234" s="182"/>
      <c r="AF234" s="182"/>
      <c r="AG234" s="182"/>
      <c r="AH234" s="182"/>
      <c r="AI234" s="182"/>
      <c r="AJ234" s="167">
        <f t="shared" si="37"/>
        <v>10</v>
      </c>
      <c r="AK234" s="493" t="str">
        <f>HYPERLINK("https://twitter.com/ctrent/status/811639552452558848","Twitter")</f>
        <v>Twitter</v>
      </c>
      <c r="AL234" s="341">
        <v>42725</v>
      </c>
      <c r="AM234" s="352"/>
      <c r="AN234" s="352"/>
      <c r="AO234" s="352"/>
      <c r="AP234" s="352"/>
      <c r="AQ234" s="352"/>
      <c r="AR234" s="352"/>
      <c r="AS234" s="352"/>
      <c r="AT234" s="352"/>
      <c r="AU234" s="352"/>
      <c r="AV234" s="352"/>
      <c r="AW234" s="352"/>
      <c r="AX234" s="352"/>
      <c r="AY234" s="352"/>
      <c r="AZ234" s="352"/>
      <c r="BA234" s="352"/>
      <c r="BB234" s="352"/>
      <c r="BC234" s="352"/>
      <c r="BD234" s="352"/>
      <c r="BE234" s="352"/>
      <c r="BF234" s="352"/>
      <c r="BG234" s="352"/>
      <c r="BH234" s="352"/>
      <c r="BI234" s="352"/>
      <c r="BJ234" s="352"/>
      <c r="BK234" s="352"/>
      <c r="BL234" s="470"/>
      <c r="BM234" s="339"/>
      <c r="BN234" s="339"/>
      <c r="BO234" s="182"/>
      <c r="BP234" s="182"/>
      <c r="BQ234" s="182"/>
      <c r="BR234" s="182"/>
      <c r="BS234" s="182"/>
      <c r="BT234" s="182"/>
      <c r="BU234" s="182"/>
      <c r="BV234" s="182"/>
      <c r="BW234" s="182"/>
      <c r="BX234" s="182"/>
      <c r="BY234" s="182"/>
      <c r="BZ234" s="182"/>
      <c r="CA234" s="182"/>
      <c r="CB234" s="182"/>
      <c r="CC234" s="182"/>
      <c r="CD234" s="182"/>
      <c r="CE234" s="182"/>
      <c r="CF234" s="182"/>
      <c r="CG234" s="182"/>
      <c r="CH234" s="182"/>
      <c r="CI234" s="182"/>
      <c r="CJ234" s="182"/>
      <c r="CK234" s="182"/>
      <c r="CL234" s="680" t="s">
        <v>638</v>
      </c>
      <c r="CM234" s="681"/>
      <c r="CN234" s="682"/>
    </row>
    <row r="235" spans="1:92" s="344" customFormat="1" ht="22.5" customHeight="1">
      <c r="A235" s="335" t="s">
        <v>346</v>
      </c>
      <c r="B235" s="182" t="s">
        <v>100</v>
      </c>
      <c r="C235" s="182" t="s">
        <v>100</v>
      </c>
      <c r="D235" s="182" t="s">
        <v>100</v>
      </c>
      <c r="E235" s="182"/>
      <c r="F235" s="182" t="s">
        <v>100</v>
      </c>
      <c r="G235" s="182"/>
      <c r="H235" s="182" t="s">
        <v>100</v>
      </c>
      <c r="I235" s="182"/>
      <c r="J235" s="182" t="s">
        <v>100</v>
      </c>
      <c r="K235" s="182"/>
      <c r="L235" s="182" t="s">
        <v>100</v>
      </c>
      <c r="M235" s="182"/>
      <c r="N235" s="182" t="s">
        <v>100</v>
      </c>
      <c r="O235" s="182" t="s">
        <v>100</v>
      </c>
      <c r="P235" s="182"/>
      <c r="Q235" s="182"/>
      <c r="R235" s="182"/>
      <c r="S235" s="302" t="s">
        <v>100</v>
      </c>
      <c r="T235" s="182"/>
      <c r="U235" s="182"/>
      <c r="V235" s="182"/>
      <c r="W235" s="182"/>
      <c r="X235" s="182"/>
      <c r="Y235" s="182"/>
      <c r="Z235" s="182"/>
      <c r="AA235" s="182"/>
      <c r="AB235" s="182"/>
      <c r="AC235" s="182"/>
      <c r="AD235" s="182"/>
      <c r="AE235" s="182"/>
      <c r="AF235" s="182"/>
      <c r="AG235" s="182"/>
      <c r="AH235" s="182"/>
      <c r="AI235" s="182"/>
      <c r="AJ235" s="167">
        <f t="shared" si="37"/>
        <v>10</v>
      </c>
      <c r="AK235" s="493" t="str">
        <f>HYPERLINK("http://www.foxsports.com/mlb/story/my-hall-of-fame-ballot-billy-wagner-ivan-rodriguez-vladimir-guerrero-trevor-hoffman-121916","Fox Sports")</f>
        <v>Fox Sports</v>
      </c>
      <c r="AL235" s="341">
        <v>42723</v>
      </c>
      <c r="AM235" s="352"/>
      <c r="AN235" s="352"/>
      <c r="AO235" s="352"/>
      <c r="AP235" s="352"/>
      <c r="AQ235" s="352"/>
      <c r="AR235" s="352"/>
      <c r="AS235" s="352"/>
      <c r="AT235" s="352"/>
      <c r="AU235" s="352"/>
      <c r="AV235" s="352"/>
      <c r="AW235" s="352"/>
      <c r="AX235" s="352"/>
      <c r="AY235" s="352"/>
      <c r="AZ235" s="352"/>
      <c r="BA235" s="352"/>
      <c r="BB235" s="352"/>
      <c r="BC235" s="352"/>
      <c r="BD235" s="352"/>
      <c r="BE235" s="352"/>
      <c r="BF235" s="352"/>
      <c r="BG235" s="352"/>
      <c r="BH235" s="352"/>
      <c r="BI235" s="352"/>
      <c r="BJ235" s="352"/>
      <c r="BK235" s="352"/>
      <c r="BL235" s="470"/>
      <c r="BM235" s="339"/>
      <c r="BN235" s="339"/>
      <c r="BO235" s="182"/>
      <c r="BP235" s="182"/>
      <c r="BQ235" s="182"/>
      <c r="BR235" s="182"/>
      <c r="BS235" s="182"/>
      <c r="BT235" s="182"/>
      <c r="BU235" s="182"/>
      <c r="BV235" s="182"/>
      <c r="BW235" s="182"/>
      <c r="BX235" s="182"/>
      <c r="BY235" s="182"/>
      <c r="BZ235" s="182"/>
      <c r="CA235" s="182"/>
      <c r="CB235" s="182"/>
      <c r="CC235" s="182"/>
      <c r="CD235" s="182"/>
      <c r="CE235" s="182"/>
      <c r="CF235" s="182"/>
      <c r="CG235" s="182"/>
      <c r="CH235" s="182"/>
      <c r="CI235" s="182"/>
      <c r="CJ235" s="182"/>
      <c r="CK235" s="182"/>
      <c r="CL235" s="761" t="str">
        <f>HYPERLINK("http://www.foxsports.com/mlb/story/hall-of-fame-ballot-omissions-larry-walker-fred-mcgriff-jeff-kent-121916","Vlad (+Walker, McGriff, Kent, Sheffield, Smith?)")</f>
        <v>Vlad (+Walker, McGriff, Kent, Sheffield, Smith?)</v>
      </c>
      <c r="CM235" s="681"/>
      <c r="CN235" s="682"/>
    </row>
    <row r="236" spans="1:92" s="344" customFormat="1">
      <c r="A236" s="335" t="s">
        <v>349</v>
      </c>
      <c r="B236" s="182" t="s">
        <v>100</v>
      </c>
      <c r="C236" s="182" t="s">
        <v>100</v>
      </c>
      <c r="D236" s="302" t="s">
        <v>100</v>
      </c>
      <c r="E236" s="182"/>
      <c r="F236" s="182" t="s">
        <v>100</v>
      </c>
      <c r="G236" s="182" t="s">
        <v>100</v>
      </c>
      <c r="H236" s="182"/>
      <c r="I236" s="182"/>
      <c r="J236" s="182" t="s">
        <v>100</v>
      </c>
      <c r="K236" s="182"/>
      <c r="L236" s="182" t="s">
        <v>100</v>
      </c>
      <c r="M236" s="182"/>
      <c r="N236" s="182" t="s">
        <v>100</v>
      </c>
      <c r="O236" s="182" t="s">
        <v>100</v>
      </c>
      <c r="P236" s="182"/>
      <c r="Q236" s="182" t="s">
        <v>100</v>
      </c>
      <c r="R236" s="182"/>
      <c r="S236" s="182"/>
      <c r="T236" s="182"/>
      <c r="U236" s="182"/>
      <c r="V236" s="182"/>
      <c r="W236" s="182"/>
      <c r="X236" s="182"/>
      <c r="Y236" s="182"/>
      <c r="Z236" s="182"/>
      <c r="AA236" s="182"/>
      <c r="AB236" s="182"/>
      <c r="AC236" s="182"/>
      <c r="AD236" s="182"/>
      <c r="AE236" s="182"/>
      <c r="AF236" s="182"/>
      <c r="AG236" s="182"/>
      <c r="AH236" s="182"/>
      <c r="AI236" s="182"/>
      <c r="AJ236" s="167">
        <f t="shared" si="37"/>
        <v>10</v>
      </c>
      <c r="AK236" s="493" t="str">
        <f>HYPERLINK("http://www.dailyherald.com/article/20161217/sports/161219001/","Daily Herald")</f>
        <v>Daily Herald</v>
      </c>
      <c r="AL236" s="341">
        <v>42721</v>
      </c>
      <c r="AM236" s="352"/>
      <c r="AN236" s="352"/>
      <c r="AO236" s="352"/>
      <c r="AP236" s="352"/>
      <c r="AQ236" s="352"/>
      <c r="AR236" s="352"/>
      <c r="AS236" s="352"/>
      <c r="AT236" s="352"/>
      <c r="AU236" s="352"/>
      <c r="AV236" s="352"/>
      <c r="AW236" s="352"/>
      <c r="AX236" s="352"/>
      <c r="AY236" s="352"/>
      <c r="AZ236" s="352"/>
      <c r="BA236" s="352"/>
      <c r="BB236" s="352"/>
      <c r="BC236" s="352"/>
      <c r="BD236" s="352"/>
      <c r="BE236" s="352"/>
      <c r="BF236" s="352"/>
      <c r="BG236" s="352"/>
      <c r="BH236" s="352"/>
      <c r="BI236" s="352"/>
      <c r="BJ236" s="352"/>
      <c r="BK236" s="352"/>
      <c r="BL236" s="470"/>
      <c r="BM236" s="339"/>
      <c r="BN236" s="339"/>
      <c r="BO236" s="182"/>
      <c r="BP236" s="182"/>
      <c r="BQ236" s="182"/>
      <c r="BR236" s="182"/>
      <c r="BS236" s="182"/>
      <c r="BT236" s="182"/>
      <c r="BU236" s="182"/>
      <c r="BV236" s="182"/>
      <c r="BW236" s="182"/>
      <c r="BX236" s="182"/>
      <c r="BY236" s="182"/>
      <c r="BZ236" s="182"/>
      <c r="CA236" s="182"/>
      <c r="CB236" s="182"/>
      <c r="CC236" s="182"/>
      <c r="CD236" s="182"/>
      <c r="CE236" s="182"/>
      <c r="CF236" s="182"/>
      <c r="CG236" s="182"/>
      <c r="CH236" s="182"/>
      <c r="CI236" s="182"/>
      <c r="CJ236" s="182"/>
      <c r="CK236" s="182"/>
      <c r="CL236" s="618"/>
      <c r="CM236" s="619"/>
      <c r="CN236" s="620"/>
    </row>
    <row r="237" spans="1:92">
      <c r="A237" s="181" t="s">
        <v>639</v>
      </c>
      <c r="B237" s="182" t="s">
        <v>100</v>
      </c>
      <c r="C237" s="182" t="s">
        <v>100</v>
      </c>
      <c r="D237" s="182" t="s">
        <v>100</v>
      </c>
      <c r="E237" s="182" t="s">
        <v>100</v>
      </c>
      <c r="F237" s="182" t="s">
        <v>100</v>
      </c>
      <c r="G237" s="182"/>
      <c r="H237" s="302" t="s">
        <v>100</v>
      </c>
      <c r="I237" s="182"/>
      <c r="J237" s="182"/>
      <c r="K237" s="182"/>
      <c r="L237" s="182" t="s">
        <v>100</v>
      </c>
      <c r="M237" s="182" t="s">
        <v>100</v>
      </c>
      <c r="N237" s="182" t="s">
        <v>100</v>
      </c>
      <c r="O237" s="320"/>
      <c r="P237" s="182"/>
      <c r="Q237" s="182" t="s">
        <v>100</v>
      </c>
      <c r="R237" s="182"/>
      <c r="S237" s="182"/>
      <c r="T237" s="182"/>
      <c r="U237" s="182"/>
      <c r="V237" s="182"/>
      <c r="W237" s="182"/>
      <c r="X237" s="182"/>
      <c r="Y237" s="182"/>
      <c r="Z237" s="182"/>
      <c r="AA237" s="182"/>
      <c r="AB237" s="182"/>
      <c r="AC237" s="182"/>
      <c r="AD237" s="182"/>
      <c r="AE237" s="182"/>
      <c r="AF237" s="182"/>
      <c r="AG237" s="182"/>
      <c r="AH237" s="182"/>
      <c r="AI237" s="182"/>
      <c r="AJ237" s="167">
        <f t="shared" si="37"/>
        <v>10</v>
      </c>
      <c r="AK237" s="493" t="str">
        <f>HYPERLINK("https://twitter.com/AdamRubinESPN/status/802216193977237504","Adam Rubin")</f>
        <v>Adam Rubin</v>
      </c>
      <c r="AL237" s="186">
        <v>42699</v>
      </c>
      <c r="AM237" s="187"/>
      <c r="AN237" s="187"/>
      <c r="AO237" s="187"/>
      <c r="AP237" s="187"/>
      <c r="AQ237" s="187"/>
      <c r="AR237" s="187"/>
      <c r="AS237" s="187"/>
      <c r="AT237" s="187"/>
      <c r="AU237" s="187"/>
      <c r="AV237" s="187"/>
      <c r="AW237" s="187"/>
      <c r="AX237" s="187"/>
      <c r="AY237" s="187"/>
      <c r="AZ237" s="187"/>
      <c r="BA237" s="187"/>
      <c r="BB237" s="187"/>
      <c r="BC237" s="187"/>
      <c r="BD237" s="187"/>
      <c r="BE237" s="187"/>
      <c r="BF237" s="187"/>
      <c r="BG237" s="187"/>
      <c r="BH237" s="187"/>
      <c r="BI237" s="187"/>
      <c r="BJ237" s="187"/>
      <c r="BK237" s="187"/>
      <c r="BL237" s="273"/>
      <c r="BM237" s="167"/>
      <c r="BN237" s="167"/>
      <c r="BO237" s="644"/>
      <c r="BP237" s="644"/>
      <c r="BQ237" s="644"/>
      <c r="BR237" s="644"/>
      <c r="BS237" s="644"/>
      <c r="BT237" s="644"/>
      <c r="BU237" s="644"/>
      <c r="BV237" s="644"/>
      <c r="BW237" s="644"/>
      <c r="BX237" s="644"/>
      <c r="BY237" s="644"/>
      <c r="BZ237" s="644"/>
      <c r="CA237" s="644"/>
      <c r="CB237" s="644"/>
      <c r="CC237" s="644"/>
      <c r="CD237" s="644"/>
      <c r="CE237" s="644"/>
      <c r="CF237" s="644"/>
      <c r="CG237" s="644"/>
      <c r="CH237" s="644"/>
      <c r="CI237" s="644"/>
      <c r="CJ237" s="644"/>
      <c r="CK237" s="644"/>
      <c r="CL237" s="680"/>
      <c r="CM237" s="681"/>
      <c r="CN237" s="682"/>
    </row>
    <row r="238" spans="1:92" s="344" customFormat="1">
      <c r="A238" s="335" t="s">
        <v>350</v>
      </c>
      <c r="B238" s="182" t="s">
        <v>100</v>
      </c>
      <c r="C238" s="302" t="s">
        <v>100</v>
      </c>
      <c r="D238" s="302" t="s">
        <v>100</v>
      </c>
      <c r="E238" s="182" t="s">
        <v>100</v>
      </c>
      <c r="F238" s="182" t="s">
        <v>100</v>
      </c>
      <c r="G238" s="182"/>
      <c r="H238" s="182" t="s">
        <v>100</v>
      </c>
      <c r="I238" s="182"/>
      <c r="J238" s="182"/>
      <c r="K238" s="182"/>
      <c r="L238" s="182"/>
      <c r="M238" s="182"/>
      <c r="N238" s="182" t="s">
        <v>100</v>
      </c>
      <c r="O238" s="182" t="s">
        <v>100</v>
      </c>
      <c r="P238" s="182"/>
      <c r="Q238" s="182"/>
      <c r="R238" s="182"/>
      <c r="S238" s="182"/>
      <c r="T238" s="182"/>
      <c r="U238" s="182"/>
      <c r="V238" s="182"/>
      <c r="W238" s="182"/>
      <c r="X238" s="182"/>
      <c r="Y238" s="182"/>
      <c r="Z238" s="182"/>
      <c r="AA238" s="182"/>
      <c r="AB238" s="182"/>
      <c r="AC238" s="182"/>
      <c r="AD238" s="182"/>
      <c r="AE238" s="182"/>
      <c r="AF238" s="182"/>
      <c r="AG238" s="182"/>
      <c r="AH238" s="182"/>
      <c r="AI238" s="182"/>
      <c r="AJ238" s="167">
        <f t="shared" si="37"/>
        <v>8</v>
      </c>
      <c r="AK238" s="493" t="str">
        <f>HYPERLINK("https://twitter.com/RogRubin/status/815253749979578372","Twitter")</f>
        <v>Twitter</v>
      </c>
      <c r="AL238" s="341">
        <v>42735</v>
      </c>
      <c r="AM238" s="352"/>
      <c r="AN238" s="352"/>
      <c r="AO238" s="352"/>
      <c r="AP238" s="352"/>
      <c r="AQ238" s="352"/>
      <c r="AR238" s="352"/>
      <c r="AS238" s="352"/>
      <c r="AT238" s="352"/>
      <c r="AU238" s="352"/>
      <c r="AV238" s="352"/>
      <c r="AW238" s="352"/>
      <c r="AX238" s="352"/>
      <c r="AY238" s="352"/>
      <c r="AZ238" s="352"/>
      <c r="BA238" s="352"/>
      <c r="BB238" s="352"/>
      <c r="BC238" s="352"/>
      <c r="BD238" s="352"/>
      <c r="BE238" s="352"/>
      <c r="BF238" s="352"/>
      <c r="BG238" s="352"/>
      <c r="BH238" s="352"/>
      <c r="BI238" s="352"/>
      <c r="BJ238" s="352"/>
      <c r="BK238" s="352"/>
      <c r="BL238" s="470"/>
      <c r="BM238" s="339"/>
      <c r="BN238" s="339"/>
      <c r="BO238" s="182"/>
      <c r="BP238" s="182"/>
      <c r="BQ238" s="182"/>
      <c r="BR238" s="182"/>
      <c r="BS238" s="182"/>
      <c r="BT238" s="182"/>
      <c r="BU238" s="182"/>
      <c r="BV238" s="182"/>
      <c r="BW238" s="182"/>
      <c r="BX238" s="182"/>
      <c r="BY238" s="182"/>
      <c r="BZ238" s="182"/>
      <c r="CA238" s="182"/>
      <c r="CB238" s="182"/>
      <c r="CC238" s="182"/>
      <c r="CD238" s="182"/>
      <c r="CE238" s="182"/>
      <c r="CF238" s="182"/>
      <c r="CG238" s="182"/>
      <c r="CH238" s="182"/>
      <c r="CI238" s="182"/>
      <c r="CJ238" s="182"/>
      <c r="CK238" s="182"/>
      <c r="CL238" s="618"/>
      <c r="CM238" s="619"/>
      <c r="CN238" s="620"/>
    </row>
    <row r="239" spans="1:92" s="344" customFormat="1">
      <c r="A239" s="335" t="s">
        <v>351</v>
      </c>
      <c r="B239" s="182" t="s">
        <v>100</v>
      </c>
      <c r="C239" s="182" t="s">
        <v>100</v>
      </c>
      <c r="D239" s="182" t="s">
        <v>100</v>
      </c>
      <c r="E239" s="182" t="s">
        <v>100</v>
      </c>
      <c r="F239" s="182" t="s">
        <v>100</v>
      </c>
      <c r="G239" s="182"/>
      <c r="H239" s="182"/>
      <c r="I239" s="182"/>
      <c r="J239" s="182"/>
      <c r="K239" s="182"/>
      <c r="L239" s="182" t="s">
        <v>100</v>
      </c>
      <c r="M239" s="182"/>
      <c r="N239" s="182" t="s">
        <v>100</v>
      </c>
      <c r="O239" s="182"/>
      <c r="P239" s="182"/>
      <c r="Q239" s="182"/>
      <c r="R239" s="182"/>
      <c r="S239" s="182"/>
      <c r="T239" s="182"/>
      <c r="U239" s="182"/>
      <c r="V239" s="182"/>
      <c r="W239" s="182"/>
      <c r="X239" s="182"/>
      <c r="Y239" s="182"/>
      <c r="Z239" s="182"/>
      <c r="AA239" s="182"/>
      <c r="AB239" s="182"/>
      <c r="AC239" s="182"/>
      <c r="AD239" s="182"/>
      <c r="AE239" s="182"/>
      <c r="AF239" s="182"/>
      <c r="AG239" s="182"/>
      <c r="AH239" s="182"/>
      <c r="AI239" s="182"/>
      <c r="AJ239" s="167">
        <f t="shared" si="37"/>
        <v>7</v>
      </c>
      <c r="AK239" s="481" t="str">
        <f>HYPERLINK("https://twitter.com/tribjoerutter/status/821561557708664832","Twitter")</f>
        <v>Twitter</v>
      </c>
      <c r="AL239" s="341">
        <v>42752</v>
      </c>
      <c r="AM239" s="352"/>
      <c r="AN239" s="352"/>
      <c r="AO239" s="352"/>
      <c r="AP239" s="352"/>
      <c r="AQ239" s="352"/>
      <c r="AR239" s="352"/>
      <c r="AS239" s="352"/>
      <c r="AT239" s="352"/>
      <c r="AU239" s="352"/>
      <c r="AV239" s="352"/>
      <c r="AW239" s="352"/>
      <c r="AX239" s="352"/>
      <c r="AY239" s="352"/>
      <c r="AZ239" s="352"/>
      <c r="BA239" s="352"/>
      <c r="BB239" s="352"/>
      <c r="BC239" s="352"/>
      <c r="BD239" s="352"/>
      <c r="BE239" s="352"/>
      <c r="BF239" s="352"/>
      <c r="BG239" s="352"/>
      <c r="BH239" s="352"/>
      <c r="BI239" s="352"/>
      <c r="BJ239" s="352"/>
      <c r="BK239" s="352"/>
      <c r="BL239" s="470"/>
      <c r="BM239" s="339"/>
      <c r="BN239" s="339"/>
      <c r="BO239" s="182"/>
      <c r="BP239" s="182"/>
      <c r="BQ239" s="182"/>
      <c r="BR239" s="182"/>
      <c r="BS239" s="182"/>
      <c r="BT239" s="182"/>
      <c r="BU239" s="182"/>
      <c r="BV239" s="182"/>
      <c r="BW239" s="182"/>
      <c r="BX239" s="182"/>
      <c r="BY239" s="182"/>
      <c r="BZ239" s="182"/>
      <c r="CA239" s="182"/>
      <c r="CB239" s="182"/>
      <c r="CC239" s="182"/>
      <c r="CD239" s="182"/>
      <c r="CE239" s="182"/>
      <c r="CF239" s="182"/>
      <c r="CG239" s="182"/>
      <c r="CH239" s="182"/>
      <c r="CI239" s="182"/>
      <c r="CJ239" s="182"/>
      <c r="CK239" s="182"/>
      <c r="CL239" s="618"/>
      <c r="CM239" s="619"/>
      <c r="CN239" s="620"/>
    </row>
    <row r="240" spans="1:92" s="344" customFormat="1">
      <c r="A240" s="335" t="s">
        <v>352</v>
      </c>
      <c r="B240" s="182" t="s">
        <v>100</v>
      </c>
      <c r="C240" s="182"/>
      <c r="D240" s="182"/>
      <c r="E240" s="182" t="s">
        <v>100</v>
      </c>
      <c r="F240" s="182"/>
      <c r="G240" s="320"/>
      <c r="H240" s="182" t="s">
        <v>100</v>
      </c>
      <c r="I240" s="182"/>
      <c r="J240" s="182" t="s">
        <v>100</v>
      </c>
      <c r="K240" s="182"/>
      <c r="L240" s="182" t="s">
        <v>100</v>
      </c>
      <c r="M240" s="182"/>
      <c r="N240" s="182" t="s">
        <v>100</v>
      </c>
      <c r="O240" s="182" t="s">
        <v>100</v>
      </c>
      <c r="P240" s="182"/>
      <c r="Q240" s="182"/>
      <c r="R240" s="182"/>
      <c r="S240" s="182"/>
      <c r="T240" s="182"/>
      <c r="U240" s="182"/>
      <c r="V240" s="182"/>
      <c r="W240" s="182"/>
      <c r="X240" s="182"/>
      <c r="Y240" s="182"/>
      <c r="Z240" s="182"/>
      <c r="AA240" s="182"/>
      <c r="AB240" s="182"/>
      <c r="AC240" s="182"/>
      <c r="AD240" s="182"/>
      <c r="AE240" s="182"/>
      <c r="AF240" s="182"/>
      <c r="AG240" s="182"/>
      <c r="AH240" s="182"/>
      <c r="AI240" s="182"/>
      <c r="AJ240" s="167">
        <f t="shared" si="37"/>
        <v>7</v>
      </c>
      <c r="AK240" s="493" t="str">
        <f>HYPERLINK("http://apps.bostonglobe.com/sports/graphics/2017/01/baseball-hof/","Boston Globe")</f>
        <v>Boston Globe</v>
      </c>
      <c r="AL240" s="341">
        <v>42740</v>
      </c>
      <c r="AM240" s="352"/>
      <c r="AN240" s="352"/>
      <c r="AO240" s="352"/>
      <c r="AP240" s="352"/>
      <c r="AQ240" s="352"/>
      <c r="AR240" s="352"/>
      <c r="AS240" s="352"/>
      <c r="AT240" s="352"/>
      <c r="AU240" s="352"/>
      <c r="AV240" s="352"/>
      <c r="AW240" s="352"/>
      <c r="AX240" s="352"/>
      <c r="AY240" s="352"/>
      <c r="AZ240" s="352"/>
      <c r="BA240" s="352"/>
      <c r="BB240" s="352"/>
      <c r="BC240" s="352"/>
      <c r="BD240" s="352"/>
      <c r="BE240" s="352"/>
      <c r="BF240" s="352"/>
      <c r="BG240" s="352"/>
      <c r="BH240" s="352"/>
      <c r="BI240" s="352"/>
      <c r="BJ240" s="352"/>
      <c r="BK240" s="352"/>
      <c r="BL240" s="470"/>
      <c r="BM240" s="339"/>
      <c r="BN240" s="339"/>
      <c r="BO240" s="182"/>
      <c r="BP240" s="182"/>
      <c r="BQ240" s="182"/>
      <c r="BR240" s="182"/>
      <c r="BS240" s="182"/>
      <c r="BT240" s="182"/>
      <c r="BU240" s="182"/>
      <c r="BV240" s="182"/>
      <c r="BW240" s="182"/>
      <c r="BX240" s="182"/>
      <c r="BY240" s="182"/>
      <c r="BZ240" s="182"/>
      <c r="CA240" s="182"/>
      <c r="CB240" s="182"/>
      <c r="CC240" s="182"/>
      <c r="CD240" s="182"/>
      <c r="CE240" s="182"/>
      <c r="CF240" s="182"/>
      <c r="CG240" s="182"/>
      <c r="CH240" s="182"/>
      <c r="CI240" s="182"/>
      <c r="CJ240" s="182"/>
      <c r="CK240" s="182"/>
      <c r="CL240" s="618"/>
      <c r="CM240" s="619"/>
      <c r="CN240" s="620"/>
    </row>
    <row r="241" spans="1:92" s="344" customFormat="1">
      <c r="A241" s="335" t="s">
        <v>640</v>
      </c>
      <c r="B241" s="182" t="s">
        <v>100</v>
      </c>
      <c r="C241" s="182" t="s">
        <v>100</v>
      </c>
      <c r="D241" s="182" t="s">
        <v>100</v>
      </c>
      <c r="E241" s="182" t="s">
        <v>100</v>
      </c>
      <c r="F241" s="182"/>
      <c r="G241" s="182" t="s">
        <v>100</v>
      </c>
      <c r="H241" s="302" t="s">
        <v>100</v>
      </c>
      <c r="I241" s="182"/>
      <c r="J241" s="302" t="s">
        <v>100</v>
      </c>
      <c r="K241" s="182"/>
      <c r="L241" s="182" t="s">
        <v>100</v>
      </c>
      <c r="M241" s="182" t="s">
        <v>100</v>
      </c>
      <c r="N241" s="182" t="s">
        <v>100</v>
      </c>
      <c r="O241" s="182"/>
      <c r="P241" s="182"/>
      <c r="Q241" s="182"/>
      <c r="R241" s="182"/>
      <c r="S241" s="182"/>
      <c r="T241" s="182"/>
      <c r="U241" s="182"/>
      <c r="V241" s="182"/>
      <c r="W241" s="182"/>
      <c r="X241" s="182"/>
      <c r="Y241" s="182"/>
      <c r="Z241" s="182"/>
      <c r="AA241" s="182"/>
      <c r="AB241" s="182"/>
      <c r="AC241" s="182"/>
      <c r="AD241" s="182"/>
      <c r="AE241" s="182"/>
      <c r="AF241" s="182"/>
      <c r="AG241" s="182"/>
      <c r="AH241" s="182"/>
      <c r="AI241" s="182"/>
      <c r="AJ241" s="167">
        <f t="shared" si="37"/>
        <v>10</v>
      </c>
      <c r="AK241" s="493" t="str">
        <f>HYPERLINK("https://twitter.com/markasaxon/status/809488734764863489","Twitter")</f>
        <v>Twitter</v>
      </c>
      <c r="AL241" s="341">
        <v>42719</v>
      </c>
      <c r="AM241" s="352"/>
      <c r="AN241" s="352"/>
      <c r="AO241" s="352"/>
      <c r="AP241" s="352"/>
      <c r="AQ241" s="352"/>
      <c r="AR241" s="352"/>
      <c r="AS241" s="352"/>
      <c r="AT241" s="352"/>
      <c r="AU241" s="352"/>
      <c r="AV241" s="352"/>
      <c r="AW241" s="352"/>
      <c r="AX241" s="352"/>
      <c r="AY241" s="352"/>
      <c r="AZ241" s="352"/>
      <c r="BA241" s="352"/>
      <c r="BB241" s="352"/>
      <c r="BC241" s="352"/>
      <c r="BD241" s="352"/>
      <c r="BE241" s="352"/>
      <c r="BF241" s="352"/>
      <c r="BG241" s="352"/>
      <c r="BH241" s="352"/>
      <c r="BI241" s="352"/>
      <c r="BJ241" s="352"/>
      <c r="BK241" s="352"/>
      <c r="BL241" s="470"/>
      <c r="BM241" s="339"/>
      <c r="BN241" s="339"/>
      <c r="BO241" s="182"/>
      <c r="BP241" s="182"/>
      <c r="BQ241" s="182"/>
      <c r="BR241" s="182"/>
      <c r="BS241" s="182"/>
      <c r="BT241" s="182"/>
      <c r="BU241" s="182"/>
      <c r="BV241" s="182"/>
      <c r="BW241" s="182"/>
      <c r="BX241" s="182"/>
      <c r="BY241" s="182"/>
      <c r="BZ241" s="182"/>
      <c r="CA241" s="182"/>
      <c r="CB241" s="182"/>
      <c r="CC241" s="182"/>
      <c r="CD241" s="182"/>
      <c r="CE241" s="182"/>
      <c r="CF241" s="182"/>
      <c r="CG241" s="182"/>
      <c r="CH241" s="182"/>
      <c r="CI241" s="182"/>
      <c r="CJ241" s="182"/>
      <c r="CK241" s="182"/>
      <c r="CL241" s="680"/>
      <c r="CM241" s="681"/>
      <c r="CN241" s="682"/>
    </row>
    <row r="242" spans="1:92" s="344" customFormat="1">
      <c r="A242" s="335" t="s">
        <v>641</v>
      </c>
      <c r="B242" s="182" t="s">
        <v>100</v>
      </c>
      <c r="C242" s="182" t="s">
        <v>100</v>
      </c>
      <c r="D242" s="182" t="s">
        <v>100</v>
      </c>
      <c r="E242" s="182"/>
      <c r="F242" s="182" t="s">
        <v>100</v>
      </c>
      <c r="G242" s="182"/>
      <c r="H242" s="182" t="s">
        <v>100</v>
      </c>
      <c r="I242" s="182"/>
      <c r="J242" s="302" t="s">
        <v>100</v>
      </c>
      <c r="K242" s="182"/>
      <c r="L242" s="182" t="s">
        <v>100</v>
      </c>
      <c r="M242" s="182"/>
      <c r="N242" s="182" t="s">
        <v>100</v>
      </c>
      <c r="O242" s="302" t="s">
        <v>100</v>
      </c>
      <c r="P242" s="302" t="s">
        <v>100</v>
      </c>
      <c r="Q242" s="320"/>
      <c r="R242" s="182"/>
      <c r="S242" s="182"/>
      <c r="T242" s="182"/>
      <c r="U242" s="182"/>
      <c r="V242" s="182"/>
      <c r="W242" s="182"/>
      <c r="X242" s="182"/>
      <c r="Y242" s="182"/>
      <c r="Z242" s="182"/>
      <c r="AA242" s="182"/>
      <c r="AB242" s="182"/>
      <c r="AC242" s="182"/>
      <c r="AD242" s="182"/>
      <c r="AE242" s="182"/>
      <c r="AF242" s="182"/>
      <c r="AG242" s="182"/>
      <c r="AH242" s="182"/>
      <c r="AI242" s="182"/>
      <c r="AJ242" s="167">
        <f t="shared" si="37"/>
        <v>10</v>
      </c>
      <c r="AK242" s="481" t="str">
        <f>HYPERLINK("http://www.sfchronicle.com/giants/article/The-Chronicle-s-Hall-of-Fame-voters-break-down-10861575.php","SF Chronicle")</f>
        <v>SF Chronicle</v>
      </c>
      <c r="AL242" s="341">
        <v>42752</v>
      </c>
      <c r="AM242" s="352"/>
      <c r="AN242" s="352"/>
      <c r="AO242" s="352"/>
      <c r="AP242" s="352"/>
      <c r="AQ242" s="352"/>
      <c r="AR242" s="352"/>
      <c r="AS242" s="352"/>
      <c r="AT242" s="352"/>
      <c r="AU242" s="352"/>
      <c r="AV242" s="352"/>
      <c r="AW242" s="352"/>
      <c r="AX242" s="352"/>
      <c r="AY242" s="352"/>
      <c r="AZ242" s="352"/>
      <c r="BA242" s="352"/>
      <c r="BB242" s="352"/>
      <c r="BC242" s="352"/>
      <c r="BD242" s="352"/>
      <c r="BE242" s="352"/>
      <c r="BF242" s="352"/>
      <c r="BG242" s="352"/>
      <c r="BH242" s="352"/>
      <c r="BI242" s="352"/>
      <c r="BJ242" s="352"/>
      <c r="BK242" s="352"/>
      <c r="BL242" s="470"/>
      <c r="BM242" s="339"/>
      <c r="BN242" s="339"/>
      <c r="BO242" s="182"/>
      <c r="BP242" s="182"/>
      <c r="BQ242" s="182"/>
      <c r="BR242" s="182"/>
      <c r="BS242" s="182"/>
      <c r="BT242" s="182"/>
      <c r="BU242" s="182"/>
      <c r="BV242" s="182"/>
      <c r="BW242" s="182"/>
      <c r="BX242" s="182"/>
      <c r="BY242" s="182"/>
      <c r="BZ242" s="182"/>
      <c r="CA242" s="182"/>
      <c r="CB242" s="182"/>
      <c r="CC242" s="182"/>
      <c r="CD242" s="182"/>
      <c r="CE242" s="182"/>
      <c r="CF242" s="182"/>
      <c r="CG242" s="182"/>
      <c r="CH242" s="182"/>
      <c r="CI242" s="182"/>
      <c r="CJ242" s="182"/>
      <c r="CK242" s="182"/>
      <c r="CL242" s="618"/>
      <c r="CM242" s="619"/>
      <c r="CN242" s="620"/>
    </row>
    <row r="243" spans="1:92" s="344" customFormat="1">
      <c r="A243" s="335" t="s">
        <v>642</v>
      </c>
      <c r="B243" s="302" t="s">
        <v>100</v>
      </c>
      <c r="C243" s="182"/>
      <c r="D243" s="182"/>
      <c r="E243" s="182" t="s">
        <v>100</v>
      </c>
      <c r="F243" s="182" t="s">
        <v>100</v>
      </c>
      <c r="G243" s="182"/>
      <c r="H243" s="302" t="s">
        <v>100</v>
      </c>
      <c r="I243" s="182" t="s">
        <v>100</v>
      </c>
      <c r="J243" s="302" t="s">
        <v>100</v>
      </c>
      <c r="K243" s="182"/>
      <c r="L243" s="182" t="s">
        <v>100</v>
      </c>
      <c r="M243" s="182"/>
      <c r="N243" s="182"/>
      <c r="O243" s="302" t="s">
        <v>100</v>
      </c>
      <c r="P243" s="182"/>
      <c r="Q243" s="182" t="s">
        <v>100</v>
      </c>
      <c r="R243" s="182"/>
      <c r="S243" s="182" t="s">
        <v>100</v>
      </c>
      <c r="T243" s="182"/>
      <c r="U243" s="182"/>
      <c r="V243" s="182"/>
      <c r="W243" s="182"/>
      <c r="X243" s="182"/>
      <c r="Y243" s="182"/>
      <c r="Z243" s="182"/>
      <c r="AA243" s="182"/>
      <c r="AB243" s="182"/>
      <c r="AC243" s="182"/>
      <c r="AD243" s="182"/>
      <c r="AE243" s="182"/>
      <c r="AF243" s="182"/>
      <c r="AG243" s="182"/>
      <c r="AH243" s="182"/>
      <c r="AI243" s="182"/>
      <c r="AJ243" s="167">
        <f t="shared" si="37"/>
        <v>10</v>
      </c>
      <c r="AK243" s="493" t="str">
        <f>HYPERLINK("http://www.myajc.com/sports/baseball/why-this-will-final-baseball-hall-fame-vote/P5MdVexw7AfltFTlEliO5H/","AJC")</f>
        <v>AJC</v>
      </c>
      <c r="AL243" s="341">
        <v>42728</v>
      </c>
      <c r="AM243" s="352"/>
      <c r="AN243" s="352"/>
      <c r="AO243" s="352"/>
      <c r="AP243" s="352"/>
      <c r="AQ243" s="352"/>
      <c r="AR243" s="352"/>
      <c r="AS243" s="352"/>
      <c r="AT243" s="352"/>
      <c r="AU243" s="352"/>
      <c r="AV243" s="352"/>
      <c r="AW243" s="352"/>
      <c r="AX243" s="352"/>
      <c r="AY243" s="352"/>
      <c r="AZ243" s="352"/>
      <c r="BA243" s="352"/>
      <c r="BB243" s="352"/>
      <c r="BC243" s="352"/>
      <c r="BD243" s="352"/>
      <c r="BE243" s="352"/>
      <c r="BF243" s="352"/>
      <c r="BG243" s="352"/>
      <c r="BH243" s="352"/>
      <c r="BI243" s="352"/>
      <c r="BJ243" s="352"/>
      <c r="BK243" s="352"/>
      <c r="BL243" s="470"/>
      <c r="BM243" s="339"/>
      <c r="BN243" s="339"/>
      <c r="BO243" s="182"/>
      <c r="BP243" s="182"/>
      <c r="BQ243" s="182"/>
      <c r="BR243" s="182"/>
      <c r="BS243" s="182"/>
      <c r="BT243" s="182"/>
      <c r="BU243" s="182"/>
      <c r="BV243" s="182"/>
      <c r="BW243" s="182"/>
      <c r="BX243" s="182"/>
      <c r="BY243" s="182"/>
      <c r="BZ243" s="182"/>
      <c r="CA243" s="182"/>
      <c r="CB243" s="182"/>
      <c r="CC243" s="182"/>
      <c r="CD243" s="182"/>
      <c r="CE243" s="182"/>
      <c r="CF243" s="182"/>
      <c r="CG243" s="182"/>
      <c r="CH243" s="182"/>
      <c r="CI243" s="182"/>
      <c r="CJ243" s="182"/>
      <c r="CK243" s="182"/>
      <c r="CL243" s="618"/>
      <c r="CM243" s="619"/>
      <c r="CN243" s="620"/>
    </row>
    <row r="244" spans="1:92" s="344" customFormat="1">
      <c r="A244" s="335" t="s">
        <v>356</v>
      </c>
      <c r="B244" s="182"/>
      <c r="C244" s="182"/>
      <c r="D244" s="182"/>
      <c r="E244" s="182" t="s">
        <v>100</v>
      </c>
      <c r="F244" s="302" t="s">
        <v>100</v>
      </c>
      <c r="G244" s="182" t="s">
        <v>100</v>
      </c>
      <c r="H244" s="182"/>
      <c r="I244" s="182"/>
      <c r="J244" s="302" t="s">
        <v>100</v>
      </c>
      <c r="K244" s="182"/>
      <c r="L244" s="182" t="s">
        <v>100</v>
      </c>
      <c r="M244" s="182"/>
      <c r="N244" s="182"/>
      <c r="O244" s="182"/>
      <c r="P244" s="182"/>
      <c r="Q244" s="182"/>
      <c r="R244" s="182"/>
      <c r="S244" s="182"/>
      <c r="T244" s="182"/>
      <c r="U244" s="182"/>
      <c r="V244" s="182"/>
      <c r="W244" s="182"/>
      <c r="X244" s="182"/>
      <c r="Y244" s="182"/>
      <c r="Z244" s="182"/>
      <c r="AA244" s="182"/>
      <c r="AB244" s="182"/>
      <c r="AC244" s="182"/>
      <c r="AD244" s="182"/>
      <c r="AE244" s="182"/>
      <c r="AF244" s="182"/>
      <c r="AG244" s="182"/>
      <c r="AH244" s="182"/>
      <c r="AI244" s="182"/>
      <c r="AJ244" s="167">
        <f t="shared" si="37"/>
        <v>5</v>
      </c>
      <c r="AK244" s="483" t="s">
        <v>113</v>
      </c>
      <c r="AL244" s="341">
        <v>42744</v>
      </c>
      <c r="AM244" s="352"/>
      <c r="AN244" s="352"/>
      <c r="AO244" s="352"/>
      <c r="AP244" s="352"/>
      <c r="AQ244" s="352"/>
      <c r="AR244" s="352"/>
      <c r="AS244" s="352"/>
      <c r="AT244" s="352"/>
      <c r="AU244" s="352"/>
      <c r="AV244" s="352"/>
      <c r="AW244" s="352"/>
      <c r="AX244" s="352"/>
      <c r="AY244" s="352"/>
      <c r="AZ244" s="352"/>
      <c r="BA244" s="352"/>
      <c r="BB244" s="352"/>
      <c r="BC244" s="352"/>
      <c r="BD244" s="352"/>
      <c r="BE244" s="352"/>
      <c r="BF244" s="352"/>
      <c r="BG244" s="352"/>
      <c r="BH244" s="352"/>
      <c r="BI244" s="352"/>
      <c r="BJ244" s="352"/>
      <c r="BK244" s="352"/>
      <c r="BL244" s="470"/>
      <c r="BM244" s="339"/>
      <c r="BN244" s="339"/>
      <c r="BO244" s="182"/>
      <c r="BP244" s="182"/>
      <c r="BQ244" s="182"/>
      <c r="BR244" s="182"/>
      <c r="BS244" s="182"/>
      <c r="BT244" s="182"/>
      <c r="BU244" s="182"/>
      <c r="BV244" s="182"/>
      <c r="BW244" s="182"/>
      <c r="BX244" s="182"/>
      <c r="BY244" s="182"/>
      <c r="BZ244" s="182"/>
      <c r="CA244" s="182"/>
      <c r="CB244" s="182"/>
      <c r="CC244" s="182"/>
      <c r="CD244" s="182"/>
      <c r="CE244" s="182"/>
      <c r="CF244" s="182"/>
      <c r="CG244" s="182"/>
      <c r="CH244" s="182"/>
      <c r="CI244" s="182"/>
      <c r="CJ244" s="182"/>
      <c r="CK244" s="182"/>
      <c r="CL244" s="618"/>
      <c r="CM244" s="619"/>
      <c r="CN244" s="620"/>
    </row>
    <row r="245" spans="1:92" s="344" customFormat="1">
      <c r="A245" s="335" t="s">
        <v>643</v>
      </c>
      <c r="B245" s="182" t="s">
        <v>100</v>
      </c>
      <c r="C245" s="182" t="s">
        <v>100</v>
      </c>
      <c r="D245" s="182" t="s">
        <v>100</v>
      </c>
      <c r="E245" s="182" t="s">
        <v>100</v>
      </c>
      <c r="F245" s="320"/>
      <c r="G245" s="182"/>
      <c r="H245" s="182" t="s">
        <v>100</v>
      </c>
      <c r="I245" s="182"/>
      <c r="J245" s="302" t="s">
        <v>100</v>
      </c>
      <c r="K245" s="182"/>
      <c r="L245" s="182" t="s">
        <v>100</v>
      </c>
      <c r="M245" s="182"/>
      <c r="N245" s="182" t="s">
        <v>100</v>
      </c>
      <c r="O245" s="320"/>
      <c r="P245" s="182"/>
      <c r="Q245" s="320"/>
      <c r="R245" s="302" t="s">
        <v>100</v>
      </c>
      <c r="S245" s="182"/>
      <c r="T245" s="302" t="s">
        <v>100</v>
      </c>
      <c r="U245" s="182"/>
      <c r="V245" s="182"/>
      <c r="W245" s="182"/>
      <c r="X245" s="182"/>
      <c r="Y245" s="182"/>
      <c r="Z245" s="182"/>
      <c r="AA245" s="182"/>
      <c r="AB245" s="182"/>
      <c r="AC245" s="182"/>
      <c r="AD245" s="182"/>
      <c r="AE245" s="182"/>
      <c r="AF245" s="182"/>
      <c r="AG245" s="182"/>
      <c r="AH245" s="182"/>
      <c r="AI245" s="182"/>
      <c r="AJ245" s="167">
        <f t="shared" si="37"/>
        <v>10</v>
      </c>
      <c r="AK245" s="481" t="str">
        <f>HYPERLINK("https://twitter.com/Mscotshay/status/811238532543053824","Twitter")</f>
        <v>Twitter</v>
      </c>
      <c r="AL245" s="341">
        <v>42724</v>
      </c>
      <c r="AM245" s="352"/>
      <c r="AN245" s="352"/>
      <c r="AO245" s="352"/>
      <c r="AP245" s="352"/>
      <c r="AQ245" s="352"/>
      <c r="AR245" s="352"/>
      <c r="AS245" s="352"/>
      <c r="AT245" s="352"/>
      <c r="AU245" s="352"/>
      <c r="AV245" s="352"/>
      <c r="AW245" s="352"/>
      <c r="AX245" s="352"/>
      <c r="AY245" s="352"/>
      <c r="AZ245" s="352"/>
      <c r="BA245" s="352"/>
      <c r="BB245" s="352"/>
      <c r="BC245" s="352"/>
      <c r="BD245" s="352"/>
      <c r="BE245" s="352"/>
      <c r="BF245" s="352"/>
      <c r="BG245" s="352"/>
      <c r="BH245" s="352"/>
      <c r="BI245" s="352"/>
      <c r="BJ245" s="352"/>
      <c r="BK245" s="352"/>
      <c r="BL245" s="470"/>
      <c r="BM245" s="339"/>
      <c r="BN245" s="339"/>
      <c r="BO245" s="182"/>
      <c r="BP245" s="182"/>
      <c r="BQ245" s="182"/>
      <c r="BR245" s="182"/>
      <c r="BS245" s="182"/>
      <c r="BT245" s="182"/>
      <c r="BU245" s="182"/>
      <c r="BV245" s="182"/>
      <c r="BW245" s="182"/>
      <c r="BX245" s="182"/>
      <c r="BY245" s="182"/>
      <c r="BZ245" s="182"/>
      <c r="CA245" s="182"/>
      <c r="CB245" s="182"/>
      <c r="CC245" s="182"/>
      <c r="CD245" s="182"/>
      <c r="CE245" s="182"/>
      <c r="CF245" s="182"/>
      <c r="CG245" s="182"/>
      <c r="CH245" s="182"/>
      <c r="CI245" s="182"/>
      <c r="CJ245" s="182"/>
      <c r="CK245" s="182"/>
      <c r="CL245" s="618"/>
      <c r="CM245" s="619"/>
      <c r="CN245" s="620"/>
    </row>
    <row r="246" spans="1:92" s="344" customFormat="1">
      <c r="A246" s="335" t="s">
        <v>358</v>
      </c>
      <c r="B246" s="182"/>
      <c r="C246" s="182"/>
      <c r="D246" s="182"/>
      <c r="E246" s="182" t="s">
        <v>100</v>
      </c>
      <c r="F246" s="182"/>
      <c r="G246" s="182"/>
      <c r="H246" s="182"/>
      <c r="I246" s="182"/>
      <c r="J246" s="182"/>
      <c r="K246" s="182"/>
      <c r="L246" s="182" t="s">
        <v>100</v>
      </c>
      <c r="M246" s="182"/>
      <c r="N246" s="182"/>
      <c r="O246" s="320"/>
      <c r="P246" s="182"/>
      <c r="Q246" s="182"/>
      <c r="R246" s="182"/>
      <c r="S246" s="182"/>
      <c r="T246" s="182"/>
      <c r="U246" s="182"/>
      <c r="V246" s="182"/>
      <c r="W246" s="182"/>
      <c r="X246" s="182"/>
      <c r="Y246" s="182"/>
      <c r="Z246" s="182"/>
      <c r="AA246" s="182"/>
      <c r="AB246" s="182"/>
      <c r="AC246" s="182"/>
      <c r="AD246" s="182"/>
      <c r="AE246" s="182"/>
      <c r="AF246" s="182"/>
      <c r="AG246" s="182"/>
      <c r="AH246" s="182"/>
      <c r="AI246" s="182"/>
      <c r="AJ246" s="167">
        <f t="shared" si="37"/>
        <v>2</v>
      </c>
      <c r="AK246" s="493" t="str">
        <f>HYPERLINK("http://apps.bostonglobe.com/sports/graphics/2017/01/baseball-hof/","Boston Globe")</f>
        <v>Boston Globe</v>
      </c>
      <c r="AL246" s="341">
        <v>42740</v>
      </c>
      <c r="AM246" s="352"/>
      <c r="AN246" s="352"/>
      <c r="AO246" s="352"/>
      <c r="AP246" s="352"/>
      <c r="AQ246" s="352"/>
      <c r="AR246" s="352"/>
      <c r="AS246" s="352"/>
      <c r="AT246" s="352"/>
      <c r="AU246" s="352"/>
      <c r="AV246" s="352"/>
      <c r="AW246" s="352"/>
      <c r="AX246" s="352"/>
      <c r="AY246" s="352"/>
      <c r="AZ246" s="352"/>
      <c r="BA246" s="352"/>
      <c r="BB246" s="352"/>
      <c r="BC246" s="352"/>
      <c r="BD246" s="352"/>
      <c r="BE246" s="352"/>
      <c r="BF246" s="352"/>
      <c r="BG246" s="352"/>
      <c r="BH246" s="352"/>
      <c r="BI246" s="352"/>
      <c r="BJ246" s="352"/>
      <c r="BK246" s="352"/>
      <c r="BL246" s="470"/>
      <c r="BM246" s="339"/>
      <c r="BN246" s="339"/>
      <c r="BO246" s="182"/>
      <c r="BP246" s="182"/>
      <c r="BQ246" s="182"/>
      <c r="BR246" s="182"/>
      <c r="BS246" s="182"/>
      <c r="BT246" s="182"/>
      <c r="BU246" s="182"/>
      <c r="BV246" s="182"/>
      <c r="BW246" s="182"/>
      <c r="BX246" s="182"/>
      <c r="BY246" s="182"/>
      <c r="BZ246" s="182"/>
      <c r="CA246" s="182"/>
      <c r="CB246" s="182"/>
      <c r="CC246" s="182"/>
      <c r="CD246" s="182"/>
      <c r="CE246" s="182"/>
      <c r="CF246" s="182"/>
      <c r="CG246" s="182"/>
      <c r="CH246" s="182"/>
      <c r="CI246" s="182"/>
      <c r="CJ246" s="182"/>
      <c r="CK246" s="182"/>
      <c r="CL246" s="618"/>
      <c r="CM246" s="619"/>
      <c r="CN246" s="620"/>
    </row>
    <row r="247" spans="1:92" s="344" customFormat="1">
      <c r="A247" s="335" t="s">
        <v>359</v>
      </c>
      <c r="B247" s="182" t="s">
        <v>100</v>
      </c>
      <c r="C247" s="182" t="s">
        <v>100</v>
      </c>
      <c r="D247" s="182" t="s">
        <v>100</v>
      </c>
      <c r="E247" s="182" t="s">
        <v>100</v>
      </c>
      <c r="F247" s="182" t="s">
        <v>100</v>
      </c>
      <c r="G247" s="182" t="s">
        <v>100</v>
      </c>
      <c r="H247" s="302" t="s">
        <v>100</v>
      </c>
      <c r="I247" s="182"/>
      <c r="J247" s="182"/>
      <c r="K247" s="182"/>
      <c r="L247" s="182" t="s">
        <v>100</v>
      </c>
      <c r="M247" s="182"/>
      <c r="N247" s="182" t="s">
        <v>100</v>
      </c>
      <c r="O247" s="182"/>
      <c r="P247" s="182"/>
      <c r="Q247" s="182" t="s">
        <v>100</v>
      </c>
      <c r="R247" s="182"/>
      <c r="S247" s="182"/>
      <c r="T247" s="182"/>
      <c r="U247" s="182"/>
      <c r="V247" s="182"/>
      <c r="W247" s="182"/>
      <c r="X247" s="182"/>
      <c r="Y247" s="182"/>
      <c r="Z247" s="182"/>
      <c r="AA247" s="182"/>
      <c r="AB247" s="182"/>
      <c r="AC247" s="182"/>
      <c r="AD247" s="182"/>
      <c r="AE247" s="182"/>
      <c r="AF247" s="182"/>
      <c r="AG247" s="182"/>
      <c r="AH247" s="182"/>
      <c r="AI247" s="182"/>
      <c r="AJ247" s="167">
        <f t="shared" si="37"/>
        <v>10</v>
      </c>
      <c r="AK247" s="481" t="str">
        <f>HYPERLINK("http://www.sfchronicle.com/giants/article/The-Chronicle-s-Hall-of-Fame-voters-break-down-10861575.php","SF Chronicle")</f>
        <v>SF Chronicle</v>
      </c>
      <c r="AL247" s="341">
        <v>42752</v>
      </c>
      <c r="AM247" s="352"/>
      <c r="AN247" s="352"/>
      <c r="AO247" s="352"/>
      <c r="AP247" s="352"/>
      <c r="AQ247" s="352"/>
      <c r="AR247" s="352"/>
      <c r="AS247" s="352"/>
      <c r="AT247" s="352"/>
      <c r="AU247" s="352"/>
      <c r="AV247" s="352"/>
      <c r="AW247" s="352"/>
      <c r="AX247" s="352"/>
      <c r="AY247" s="352"/>
      <c r="AZ247" s="352"/>
      <c r="BA247" s="352"/>
      <c r="BB247" s="352"/>
      <c r="BC247" s="352"/>
      <c r="BD247" s="352"/>
      <c r="BE247" s="352"/>
      <c r="BF247" s="352"/>
      <c r="BG247" s="352"/>
      <c r="BH247" s="352"/>
      <c r="BI247" s="352"/>
      <c r="BJ247" s="352"/>
      <c r="BK247" s="352"/>
      <c r="BL247" s="470"/>
      <c r="BM247" s="339"/>
      <c r="BN247" s="339"/>
      <c r="BO247" s="182"/>
      <c r="BP247" s="182"/>
      <c r="BQ247" s="182"/>
      <c r="BR247" s="182"/>
      <c r="BS247" s="182"/>
      <c r="BT247" s="182"/>
      <c r="BU247" s="182"/>
      <c r="BV247" s="182"/>
      <c r="BW247" s="182"/>
      <c r="BX247" s="182"/>
      <c r="BY247" s="182"/>
      <c r="BZ247" s="182"/>
      <c r="CA247" s="182"/>
      <c r="CB247" s="182"/>
      <c r="CC247" s="182"/>
      <c r="CD247" s="182"/>
      <c r="CE247" s="182"/>
      <c r="CF247" s="182"/>
      <c r="CG247" s="182"/>
      <c r="CH247" s="182"/>
      <c r="CI247" s="182"/>
      <c r="CJ247" s="182"/>
      <c r="CK247" s="182"/>
      <c r="CL247" s="618"/>
      <c r="CM247" s="619"/>
      <c r="CN247" s="620"/>
    </row>
    <row r="248" spans="1:92" s="344" customFormat="1">
      <c r="A248" s="335" t="s">
        <v>360</v>
      </c>
      <c r="B248" s="182" t="s">
        <v>100</v>
      </c>
      <c r="C248" s="182" t="s">
        <v>100</v>
      </c>
      <c r="D248" s="182" t="s">
        <v>100</v>
      </c>
      <c r="E248" s="182" t="s">
        <v>100</v>
      </c>
      <c r="F248" s="182"/>
      <c r="G248" s="182"/>
      <c r="H248" s="182" t="s">
        <v>100</v>
      </c>
      <c r="I248" s="182"/>
      <c r="J248" s="182" t="s">
        <v>100</v>
      </c>
      <c r="K248" s="182"/>
      <c r="L248" s="182" t="s">
        <v>100</v>
      </c>
      <c r="M248" s="182"/>
      <c r="N248" s="182" t="s">
        <v>100</v>
      </c>
      <c r="O248" s="182" t="s">
        <v>100</v>
      </c>
      <c r="P248" s="182"/>
      <c r="Q248" s="182"/>
      <c r="R248" s="182"/>
      <c r="S248" s="182"/>
      <c r="T248" s="182"/>
      <c r="U248" s="182"/>
      <c r="V248" s="182"/>
      <c r="W248" s="182"/>
      <c r="X248" s="182"/>
      <c r="Y248" s="182"/>
      <c r="Z248" s="182"/>
      <c r="AA248" s="182"/>
      <c r="AB248" s="182"/>
      <c r="AC248" s="182"/>
      <c r="AD248" s="182"/>
      <c r="AE248" s="182"/>
      <c r="AF248" s="182"/>
      <c r="AG248" s="182"/>
      <c r="AH248" s="182"/>
      <c r="AI248" s="182"/>
      <c r="AJ248" s="167">
        <f t="shared" si="37"/>
        <v>9</v>
      </c>
      <c r="AK248" s="481" t="str">
        <f>HYPERLINK("http://nypost.com/2017/01/18/11-voters-share-their-hall-of-fame-ballots/","NY Post")</f>
        <v>NY Post</v>
      </c>
      <c r="AL248" s="341">
        <v>42753</v>
      </c>
      <c r="AM248" s="352"/>
      <c r="AN248" s="352"/>
      <c r="AO248" s="352"/>
      <c r="AP248" s="352"/>
      <c r="AQ248" s="352"/>
      <c r="AR248" s="352"/>
      <c r="AS248" s="352"/>
      <c r="AT248" s="352"/>
      <c r="AU248" s="352"/>
      <c r="AV248" s="352"/>
      <c r="AW248" s="352"/>
      <c r="AX248" s="352"/>
      <c r="AY248" s="352"/>
      <c r="AZ248" s="352"/>
      <c r="BA248" s="352"/>
      <c r="BB248" s="352"/>
      <c r="BC248" s="352"/>
      <c r="BD248" s="352"/>
      <c r="BE248" s="352"/>
      <c r="BF248" s="352"/>
      <c r="BG248" s="352"/>
      <c r="BH248" s="352"/>
      <c r="BI248" s="352"/>
      <c r="BJ248" s="352"/>
      <c r="BK248" s="352"/>
      <c r="BL248" s="470"/>
      <c r="BM248" s="339"/>
      <c r="BN248" s="339"/>
      <c r="BO248" s="182"/>
      <c r="BP248" s="182"/>
      <c r="BQ248" s="182"/>
      <c r="BR248" s="182"/>
      <c r="BS248" s="182"/>
      <c r="BT248" s="182"/>
      <c r="BU248" s="182"/>
      <c r="BV248" s="182"/>
      <c r="BW248" s="182"/>
      <c r="BX248" s="182"/>
      <c r="BY248" s="182"/>
      <c r="BZ248" s="182"/>
      <c r="CA248" s="182"/>
      <c r="CB248" s="182"/>
      <c r="CC248" s="182"/>
      <c r="CD248" s="182"/>
      <c r="CE248" s="182"/>
      <c r="CF248" s="182"/>
      <c r="CG248" s="182"/>
      <c r="CH248" s="182"/>
      <c r="CI248" s="182"/>
      <c r="CJ248" s="182"/>
      <c r="CK248" s="182"/>
      <c r="CL248" s="618"/>
      <c r="CM248" s="619"/>
      <c r="CN248" s="620"/>
    </row>
    <row r="249" spans="1:92" s="344" customFormat="1">
      <c r="A249" s="335" t="s">
        <v>362</v>
      </c>
      <c r="B249" s="182" t="s">
        <v>100</v>
      </c>
      <c r="C249" s="182" t="s">
        <v>100</v>
      </c>
      <c r="D249" s="182" t="s">
        <v>100</v>
      </c>
      <c r="E249" s="182"/>
      <c r="F249" s="182"/>
      <c r="G249" s="182"/>
      <c r="H249" s="182" t="s">
        <v>100</v>
      </c>
      <c r="I249" s="182"/>
      <c r="J249" s="182" t="s">
        <v>100</v>
      </c>
      <c r="K249" s="182"/>
      <c r="L249" s="182" t="s">
        <v>100</v>
      </c>
      <c r="M249" s="182" t="s">
        <v>100</v>
      </c>
      <c r="N249" s="182" t="s">
        <v>100</v>
      </c>
      <c r="O249" s="182" t="s">
        <v>100</v>
      </c>
      <c r="P249" s="182"/>
      <c r="Q249" s="182"/>
      <c r="R249" s="182"/>
      <c r="S249" s="182"/>
      <c r="T249" s="302" t="s">
        <v>100</v>
      </c>
      <c r="U249" s="182"/>
      <c r="V249" s="182"/>
      <c r="W249" s="182"/>
      <c r="X249" s="182"/>
      <c r="Y249" s="182"/>
      <c r="Z249" s="182"/>
      <c r="AA249" s="182"/>
      <c r="AB249" s="182"/>
      <c r="AC249" s="182"/>
      <c r="AD249" s="182"/>
      <c r="AE249" s="182"/>
      <c r="AF249" s="182"/>
      <c r="AG249" s="182"/>
      <c r="AH249" s="182"/>
      <c r="AI249" s="182"/>
      <c r="AJ249" s="167">
        <f t="shared" si="37"/>
        <v>10</v>
      </c>
      <c r="AK249" s="493" t="str">
        <f>HYPERLINK("http://www.bostonherald.com/sports/red_sox/2016/12/silverman_here_s_my_hall_of_fame_ballot_and_manny_ramirez_name_is_on_it_for","Boston Herald")</f>
        <v>Boston Herald</v>
      </c>
      <c r="AL249" s="341">
        <v>42731</v>
      </c>
      <c r="AM249" s="352"/>
      <c r="AN249" s="352"/>
      <c r="AO249" s="352"/>
      <c r="AP249" s="352"/>
      <c r="AQ249" s="352"/>
      <c r="AR249" s="352"/>
      <c r="AS249" s="352"/>
      <c r="AT249" s="352"/>
      <c r="AU249" s="352"/>
      <c r="AV249" s="352"/>
      <c r="AW249" s="352"/>
      <c r="AX249" s="352"/>
      <c r="AY249" s="352"/>
      <c r="AZ249" s="352"/>
      <c r="BA249" s="352"/>
      <c r="BB249" s="352"/>
      <c r="BC249" s="352"/>
      <c r="BD249" s="352"/>
      <c r="BE249" s="352"/>
      <c r="BF249" s="352"/>
      <c r="BG249" s="352"/>
      <c r="BH249" s="352"/>
      <c r="BI249" s="352"/>
      <c r="BJ249" s="352"/>
      <c r="BK249" s="352"/>
      <c r="BL249" s="470"/>
      <c r="BM249" s="339"/>
      <c r="BN249" s="339"/>
      <c r="BO249" s="182"/>
      <c r="BP249" s="182"/>
      <c r="BQ249" s="182"/>
      <c r="BR249" s="182"/>
      <c r="BS249" s="182"/>
      <c r="BT249" s="182"/>
      <c r="BU249" s="182"/>
      <c r="BV249" s="182"/>
      <c r="BW249" s="182"/>
      <c r="BX249" s="182"/>
      <c r="BY249" s="182"/>
      <c r="BZ249" s="182"/>
      <c r="CA249" s="182"/>
      <c r="CB249" s="182"/>
      <c r="CC249" s="182"/>
      <c r="CD249" s="182"/>
      <c r="CE249" s="182"/>
      <c r="CF249" s="182"/>
      <c r="CG249" s="182"/>
      <c r="CH249" s="182"/>
      <c r="CI249" s="182"/>
      <c r="CJ249" s="182"/>
      <c r="CK249" s="182"/>
      <c r="CL249" s="680" t="s">
        <v>384</v>
      </c>
      <c r="CM249" s="681"/>
      <c r="CN249" s="682"/>
    </row>
    <row r="250" spans="1:92" s="344" customFormat="1">
      <c r="A250" s="335" t="s">
        <v>644</v>
      </c>
      <c r="B250" s="182" t="s">
        <v>100</v>
      </c>
      <c r="C250" s="182"/>
      <c r="D250" s="182"/>
      <c r="E250" s="182" t="s">
        <v>100</v>
      </c>
      <c r="F250" s="182" t="s">
        <v>100</v>
      </c>
      <c r="G250" s="182"/>
      <c r="H250" s="182" t="s">
        <v>100</v>
      </c>
      <c r="I250" s="182"/>
      <c r="J250" s="302" t="s">
        <v>100</v>
      </c>
      <c r="K250" s="182"/>
      <c r="L250" s="182" t="s">
        <v>100</v>
      </c>
      <c r="M250" s="182"/>
      <c r="N250" s="182" t="s">
        <v>100</v>
      </c>
      <c r="O250" s="302" t="s">
        <v>100</v>
      </c>
      <c r="P250" s="320"/>
      <c r="Q250" s="182" t="s">
        <v>100</v>
      </c>
      <c r="R250" s="182"/>
      <c r="S250" s="182"/>
      <c r="T250" s="182" t="s">
        <v>100</v>
      </c>
      <c r="U250" s="182"/>
      <c r="V250" s="182"/>
      <c r="W250" s="182"/>
      <c r="X250" s="182"/>
      <c r="Y250" s="182"/>
      <c r="Z250" s="182"/>
      <c r="AA250" s="182"/>
      <c r="AB250" s="182"/>
      <c r="AC250" s="182"/>
      <c r="AD250" s="182"/>
      <c r="AE250" s="182"/>
      <c r="AF250" s="182"/>
      <c r="AG250" s="182"/>
      <c r="AH250" s="182"/>
      <c r="AI250" s="182"/>
      <c r="AJ250" s="167">
        <f>COUNTIF(B250:AI250,"x")</f>
        <v>10</v>
      </c>
      <c r="AK250" s="493" t="str">
        <f>HYPERLINK("https://twitter.com/simmonssteve/status/809866659506884608","Twitter")</f>
        <v>Twitter</v>
      </c>
      <c r="AL250" s="341">
        <v>42720</v>
      </c>
      <c r="AM250" s="352"/>
      <c r="AN250" s="352"/>
      <c r="AO250" s="352"/>
      <c r="AP250" s="352"/>
      <c r="AQ250" s="352"/>
      <c r="AR250" s="352"/>
      <c r="AS250" s="352"/>
      <c r="AT250" s="352"/>
      <c r="AU250" s="352"/>
      <c r="AV250" s="352"/>
      <c r="AW250" s="352"/>
      <c r="AX250" s="352"/>
      <c r="AY250" s="352"/>
      <c r="AZ250" s="352"/>
      <c r="BA250" s="352"/>
      <c r="BB250" s="352"/>
      <c r="BC250" s="352"/>
      <c r="BD250" s="352"/>
      <c r="BE250" s="352"/>
      <c r="BF250" s="352"/>
      <c r="BG250" s="352"/>
      <c r="BH250" s="352"/>
      <c r="BI250" s="352"/>
      <c r="BJ250" s="352"/>
      <c r="BK250" s="352"/>
      <c r="BL250" s="470"/>
      <c r="BM250" s="339"/>
      <c r="BN250" s="339"/>
      <c r="BO250" s="182"/>
      <c r="BP250" s="182"/>
      <c r="BQ250" s="182"/>
      <c r="BR250" s="182"/>
      <c r="BS250" s="182"/>
      <c r="BT250" s="182"/>
      <c r="BU250" s="182"/>
      <c r="BV250" s="182"/>
      <c r="BW250" s="182"/>
      <c r="BX250" s="182"/>
      <c r="BY250" s="182"/>
      <c r="BZ250" s="182"/>
      <c r="CA250" s="182"/>
      <c r="CB250" s="182"/>
      <c r="CC250" s="182"/>
      <c r="CD250" s="182"/>
      <c r="CE250" s="182"/>
      <c r="CF250" s="182"/>
      <c r="CG250" s="182"/>
      <c r="CH250" s="182"/>
      <c r="CI250" s="182"/>
      <c r="CJ250" s="182"/>
      <c r="CK250" s="182"/>
      <c r="CL250" s="680"/>
      <c r="CM250" s="681"/>
      <c r="CN250" s="682"/>
    </row>
    <row r="251" spans="1:92" s="344" customFormat="1">
      <c r="A251" s="335" t="s">
        <v>365</v>
      </c>
      <c r="B251" s="182" t="s">
        <v>100</v>
      </c>
      <c r="C251" s="302" t="s">
        <v>100</v>
      </c>
      <c r="D251" s="302" t="s">
        <v>100</v>
      </c>
      <c r="E251" s="182" t="s">
        <v>100</v>
      </c>
      <c r="F251" s="182" t="s">
        <v>100</v>
      </c>
      <c r="G251" s="182"/>
      <c r="H251" s="302" t="s">
        <v>100</v>
      </c>
      <c r="I251" s="182"/>
      <c r="J251" s="182" t="s">
        <v>100</v>
      </c>
      <c r="K251" s="182"/>
      <c r="L251" s="182" t="s">
        <v>100</v>
      </c>
      <c r="M251" s="182"/>
      <c r="N251" s="182" t="s">
        <v>100</v>
      </c>
      <c r="O251" s="182" t="s">
        <v>100</v>
      </c>
      <c r="P251" s="182"/>
      <c r="Q251" s="182"/>
      <c r="R251" s="182"/>
      <c r="S251" s="182"/>
      <c r="T251" s="182"/>
      <c r="U251" s="182"/>
      <c r="V251" s="182"/>
      <c r="W251" s="182"/>
      <c r="X251" s="182"/>
      <c r="Y251" s="182"/>
      <c r="Z251" s="182"/>
      <c r="AA251" s="182"/>
      <c r="AB251" s="182"/>
      <c r="AC251" s="182"/>
      <c r="AD251" s="182"/>
      <c r="AE251" s="182"/>
      <c r="AF251" s="182"/>
      <c r="AG251" s="182"/>
      <c r="AH251" s="182"/>
      <c r="AI251" s="182"/>
      <c r="AJ251" s="167">
        <f>COUNTIF(B251:AI251,"x")</f>
        <v>10</v>
      </c>
      <c r="AK251" s="481" t="str">
        <f>HYPERLINK("http://www.sfchronicle.com/giants/article/The-Chronicle-s-Hall-of-Fame-voters-break-down-10861575.php","SF Chronicle")</f>
        <v>SF Chronicle</v>
      </c>
      <c r="AL251" s="341">
        <v>42752</v>
      </c>
      <c r="AM251" s="352"/>
      <c r="AN251" s="352"/>
      <c r="AO251" s="352"/>
      <c r="AP251" s="352"/>
      <c r="AQ251" s="352"/>
      <c r="AR251" s="352"/>
      <c r="AS251" s="352"/>
      <c r="AT251" s="352"/>
      <c r="AU251" s="352"/>
      <c r="AV251" s="352"/>
      <c r="AW251" s="352"/>
      <c r="AX251" s="352"/>
      <c r="AY251" s="352"/>
      <c r="AZ251" s="352"/>
      <c r="BA251" s="352"/>
      <c r="BB251" s="352"/>
      <c r="BC251" s="352"/>
      <c r="BD251" s="352"/>
      <c r="BE251" s="352"/>
      <c r="BF251" s="352"/>
      <c r="BG251" s="352"/>
      <c r="BH251" s="352"/>
      <c r="BI251" s="352"/>
      <c r="BJ251" s="352"/>
      <c r="BK251" s="352"/>
      <c r="BL251" s="470"/>
      <c r="BM251" s="339"/>
      <c r="BN251" s="339"/>
      <c r="BO251" s="182"/>
      <c r="BP251" s="182"/>
      <c r="BQ251" s="182"/>
      <c r="BR251" s="182"/>
      <c r="BS251" s="182"/>
      <c r="BT251" s="182"/>
      <c r="BU251" s="182"/>
      <c r="BV251" s="182"/>
      <c r="BW251" s="182"/>
      <c r="BX251" s="182"/>
      <c r="BY251" s="182"/>
      <c r="BZ251" s="182"/>
      <c r="CA251" s="182"/>
      <c r="CB251" s="182"/>
      <c r="CC251" s="182"/>
      <c r="CD251" s="182"/>
      <c r="CE251" s="182"/>
      <c r="CF251" s="182"/>
      <c r="CG251" s="182"/>
      <c r="CH251" s="182"/>
      <c r="CI251" s="182"/>
      <c r="CJ251" s="182"/>
      <c r="CK251" s="182"/>
      <c r="CL251" s="618"/>
      <c r="CM251" s="619"/>
      <c r="CN251" s="620"/>
    </row>
    <row r="252" spans="1:92" s="344" customFormat="1">
      <c r="A252" s="335" t="s">
        <v>366</v>
      </c>
      <c r="B252" s="302" t="s">
        <v>100</v>
      </c>
      <c r="C252" s="182" t="s">
        <v>100</v>
      </c>
      <c r="D252" s="182" t="s">
        <v>100</v>
      </c>
      <c r="E252" s="182" t="s">
        <v>100</v>
      </c>
      <c r="F252" s="182" t="s">
        <v>100</v>
      </c>
      <c r="G252" s="182"/>
      <c r="H252" s="182" t="s">
        <v>100</v>
      </c>
      <c r="I252" s="182"/>
      <c r="J252" s="182"/>
      <c r="K252" s="182"/>
      <c r="L252" s="302" t="s">
        <v>100</v>
      </c>
      <c r="M252" s="182"/>
      <c r="N252" s="182"/>
      <c r="O252" s="182" t="s">
        <v>100</v>
      </c>
      <c r="P252" s="182"/>
      <c r="Q252" s="182" t="s">
        <v>100</v>
      </c>
      <c r="R252" s="302" t="s">
        <v>100</v>
      </c>
      <c r="S252" s="182"/>
      <c r="T252" s="182"/>
      <c r="U252" s="182"/>
      <c r="V252" s="182"/>
      <c r="W252" s="182"/>
      <c r="X252" s="182"/>
      <c r="Y252" s="182"/>
      <c r="Z252" s="182"/>
      <c r="AA252" s="182"/>
      <c r="AB252" s="182"/>
      <c r="AC252" s="182"/>
      <c r="AD252" s="182"/>
      <c r="AE252" s="182"/>
      <c r="AF252" s="182"/>
      <c r="AG252" s="182"/>
      <c r="AH252" s="182"/>
      <c r="AI252" s="182"/>
      <c r="AJ252" s="167">
        <f>COUNTIF(B252:AI252,"x")</f>
        <v>10</v>
      </c>
      <c r="AK252" s="493" t="str">
        <f>HYPERLINK("http://bit.ly/2hazVzz","Twitter")</f>
        <v>Twitter</v>
      </c>
      <c r="AL252" s="341">
        <v>42724</v>
      </c>
      <c r="AM252" s="352"/>
      <c r="AN252" s="352"/>
      <c r="AO252" s="352"/>
      <c r="AP252" s="352"/>
      <c r="AQ252" s="352"/>
      <c r="AR252" s="352"/>
      <c r="AS252" s="352"/>
      <c r="AT252" s="352"/>
      <c r="AU252" s="352"/>
      <c r="AV252" s="352"/>
      <c r="AW252" s="352"/>
      <c r="AX252" s="352"/>
      <c r="AY252" s="352"/>
      <c r="AZ252" s="352"/>
      <c r="BA252" s="352"/>
      <c r="BB252" s="352"/>
      <c r="BC252" s="352"/>
      <c r="BD252" s="352"/>
      <c r="BE252" s="352"/>
      <c r="BF252" s="352"/>
      <c r="BG252" s="352"/>
      <c r="BH252" s="352"/>
      <c r="BI252" s="352"/>
      <c r="BJ252" s="352"/>
      <c r="BK252" s="352"/>
      <c r="BL252" s="470"/>
      <c r="BM252" s="339"/>
      <c r="BN252" s="339"/>
      <c r="BO252" s="182"/>
      <c r="BP252" s="182"/>
      <c r="BQ252" s="182"/>
      <c r="BR252" s="182"/>
      <c r="BS252" s="182"/>
      <c r="BT252" s="182"/>
      <c r="BU252" s="182"/>
      <c r="BV252" s="182"/>
      <c r="BW252" s="182"/>
      <c r="BX252" s="182"/>
      <c r="BY252" s="182"/>
      <c r="BZ252" s="182"/>
      <c r="CA252" s="182"/>
      <c r="CB252" s="182"/>
      <c r="CC252" s="182"/>
      <c r="CD252" s="182"/>
      <c r="CE252" s="182"/>
      <c r="CF252" s="182"/>
      <c r="CG252" s="182"/>
      <c r="CH252" s="182"/>
      <c r="CI252" s="182"/>
      <c r="CJ252" s="182"/>
      <c r="CK252" s="182"/>
      <c r="CL252" s="618"/>
      <c r="CM252" s="619"/>
      <c r="CN252" s="620"/>
    </row>
    <row r="253" spans="1:92" s="344" customFormat="1">
      <c r="A253" s="335" t="s">
        <v>645</v>
      </c>
      <c r="B253" s="182"/>
      <c r="C253" s="182" t="s">
        <v>100</v>
      </c>
      <c r="D253" s="182" t="s">
        <v>100</v>
      </c>
      <c r="E253" s="182"/>
      <c r="F253" s="182"/>
      <c r="G253" s="182"/>
      <c r="H253" s="182" t="s">
        <v>100</v>
      </c>
      <c r="I253" s="182"/>
      <c r="J253" s="182" t="s">
        <v>100</v>
      </c>
      <c r="K253" s="182"/>
      <c r="L253" s="182" t="s">
        <v>100</v>
      </c>
      <c r="M253" s="182" t="s">
        <v>100</v>
      </c>
      <c r="N253" s="182" t="s">
        <v>100</v>
      </c>
      <c r="O253" s="182"/>
      <c r="P253" s="182"/>
      <c r="Q253" s="182" t="s">
        <v>100</v>
      </c>
      <c r="R253" s="182"/>
      <c r="S253" s="182" t="s">
        <v>100</v>
      </c>
      <c r="T253" s="182"/>
      <c r="U253" s="182"/>
      <c r="V253" s="182"/>
      <c r="W253" s="182"/>
      <c r="X253" s="182"/>
      <c r="Y253" s="182"/>
      <c r="Z253" s="182"/>
      <c r="AA253" s="182"/>
      <c r="AB253" s="182"/>
      <c r="AC253" s="182"/>
      <c r="AD253" s="182"/>
      <c r="AE253" s="182"/>
      <c r="AF253" s="182"/>
      <c r="AG253" s="182"/>
      <c r="AH253" s="182"/>
      <c r="AI253" s="182"/>
      <c r="AJ253" s="167">
        <f>COUNTIF(B253:AI253,"x")</f>
        <v>9</v>
      </c>
      <c r="AK253" s="483" t="s">
        <v>115</v>
      </c>
      <c r="AL253" s="341">
        <v>42737</v>
      </c>
      <c r="AM253" s="352"/>
      <c r="AN253" s="352"/>
      <c r="AO253" s="352"/>
      <c r="AP253" s="352"/>
      <c r="AQ253" s="352"/>
      <c r="AR253" s="352"/>
      <c r="AS253" s="352"/>
      <c r="AT253" s="352"/>
      <c r="AU253" s="352"/>
      <c r="AV253" s="352"/>
      <c r="AW253" s="352"/>
      <c r="AX253" s="352"/>
      <c r="AY253" s="352"/>
      <c r="AZ253" s="352"/>
      <c r="BA253" s="352"/>
      <c r="BB253" s="352"/>
      <c r="BC253" s="352"/>
      <c r="BD253" s="352"/>
      <c r="BE253" s="352"/>
      <c r="BF253" s="352"/>
      <c r="BG253" s="352"/>
      <c r="BH253" s="352"/>
      <c r="BI253" s="352"/>
      <c r="BJ253" s="352"/>
      <c r="BK253" s="352"/>
      <c r="BL253" s="470"/>
      <c r="BM253" s="339"/>
      <c r="BN253" s="339"/>
      <c r="BO253" s="182"/>
      <c r="BP253" s="182"/>
      <c r="BQ253" s="182"/>
      <c r="BR253" s="182"/>
      <c r="BS253" s="182"/>
      <c r="BT253" s="182"/>
      <c r="BU253" s="182"/>
      <c r="BV253" s="182"/>
      <c r="BW253" s="182"/>
      <c r="BX253" s="182"/>
      <c r="BY253" s="182"/>
      <c r="BZ253" s="182"/>
      <c r="CA253" s="182"/>
      <c r="CB253" s="182"/>
      <c r="CC253" s="182"/>
      <c r="CD253" s="182"/>
      <c r="CE253" s="182"/>
      <c r="CF253" s="182"/>
      <c r="CG253" s="182"/>
      <c r="CH253" s="182"/>
      <c r="CI253" s="182"/>
      <c r="CJ253" s="182"/>
      <c r="CK253" s="182"/>
      <c r="CL253" s="618"/>
      <c r="CM253" s="619"/>
      <c r="CN253" s="620"/>
    </row>
    <row r="254" spans="1:92" s="344" customFormat="1">
      <c r="A254" s="335" t="s">
        <v>369</v>
      </c>
      <c r="B254" s="182" t="s">
        <v>100</v>
      </c>
      <c r="C254" s="182" t="s">
        <v>100</v>
      </c>
      <c r="D254" s="182" t="s">
        <v>100</v>
      </c>
      <c r="E254" s="182"/>
      <c r="F254" s="182"/>
      <c r="G254" s="182"/>
      <c r="H254" s="182"/>
      <c r="I254" s="182"/>
      <c r="J254" s="182"/>
      <c r="K254" s="182"/>
      <c r="L254" s="182" t="s">
        <v>100</v>
      </c>
      <c r="M254" s="182" t="s">
        <v>100</v>
      </c>
      <c r="N254" s="182" t="s">
        <v>100</v>
      </c>
      <c r="O254" s="182"/>
      <c r="P254" s="182"/>
      <c r="Q254" s="182"/>
      <c r="R254" s="182"/>
      <c r="S254" s="182"/>
      <c r="T254" s="182"/>
      <c r="U254" s="182"/>
      <c r="V254" s="182"/>
      <c r="W254" s="182"/>
      <c r="X254" s="182"/>
      <c r="Y254" s="182"/>
      <c r="Z254" s="182"/>
      <c r="AA254" s="182"/>
      <c r="AB254" s="182"/>
      <c r="AC254" s="182"/>
      <c r="AD254" s="182"/>
      <c r="AE254" s="182"/>
      <c r="AF254" s="182"/>
      <c r="AG254" s="182"/>
      <c r="AH254" s="182"/>
      <c r="AI254" s="182"/>
      <c r="AJ254" s="167">
        <f>COUNTIF(B254:AI254,"x")</f>
        <v>6</v>
      </c>
      <c r="AK254" s="483" t="s">
        <v>113</v>
      </c>
      <c r="AL254" s="341">
        <v>42727</v>
      </c>
      <c r="AM254" s="352"/>
      <c r="AN254" s="352"/>
      <c r="AO254" s="352"/>
      <c r="AP254" s="352"/>
      <c r="AQ254" s="352"/>
      <c r="AR254" s="352"/>
      <c r="AS254" s="352"/>
      <c r="AT254" s="352"/>
      <c r="AU254" s="352"/>
      <c r="AV254" s="352"/>
      <c r="AW254" s="352"/>
      <c r="AX254" s="352"/>
      <c r="AY254" s="352"/>
      <c r="AZ254" s="352"/>
      <c r="BA254" s="352"/>
      <c r="BB254" s="352"/>
      <c r="BC254" s="352"/>
      <c r="BD254" s="352"/>
      <c r="BE254" s="352"/>
      <c r="BF254" s="352"/>
      <c r="BG254" s="352"/>
      <c r="BH254" s="352"/>
      <c r="BI254" s="352"/>
      <c r="BJ254" s="352"/>
      <c r="BK254" s="352"/>
      <c r="BL254" s="470"/>
      <c r="BM254" s="339"/>
      <c r="BN254" s="339"/>
      <c r="BO254" s="182"/>
      <c r="BP254" s="182"/>
      <c r="BQ254" s="182"/>
      <c r="BR254" s="182"/>
      <c r="BS254" s="182"/>
      <c r="BT254" s="182"/>
      <c r="BU254" s="182"/>
      <c r="BV254" s="182"/>
      <c r="BW254" s="182"/>
      <c r="BX254" s="182"/>
      <c r="BY254" s="182"/>
      <c r="BZ254" s="182"/>
      <c r="CA254" s="182"/>
      <c r="CB254" s="182"/>
      <c r="CC254" s="182"/>
      <c r="CD254" s="182"/>
      <c r="CE254" s="182"/>
      <c r="CF254" s="182"/>
      <c r="CG254" s="182"/>
      <c r="CH254" s="182"/>
      <c r="CI254" s="182"/>
      <c r="CJ254" s="182"/>
      <c r="CK254" s="182"/>
      <c r="CL254" s="618"/>
      <c r="CM254" s="619"/>
      <c r="CN254" s="620"/>
    </row>
    <row r="255" spans="1:92" ht="12.75" customHeight="1">
      <c r="A255" s="469" t="s">
        <v>646</v>
      </c>
      <c r="B255" s="410" t="s">
        <v>100</v>
      </c>
      <c r="C255" s="410"/>
      <c r="D255" s="410"/>
      <c r="E255" s="410" t="s">
        <v>100</v>
      </c>
      <c r="F255" s="410" t="s">
        <v>100</v>
      </c>
      <c r="G255" s="410"/>
      <c r="H255" s="410" t="s">
        <v>100</v>
      </c>
      <c r="I255" s="410"/>
      <c r="J255" s="410" t="s">
        <v>100</v>
      </c>
      <c r="K255" s="410"/>
      <c r="L255" s="410" t="s">
        <v>100</v>
      </c>
      <c r="M255" s="410"/>
      <c r="N255" s="410" t="s">
        <v>100</v>
      </c>
      <c r="O255" s="410" t="s">
        <v>100</v>
      </c>
      <c r="P255" s="410"/>
      <c r="Q255" s="410"/>
      <c r="R255" s="410"/>
      <c r="S255" s="410"/>
      <c r="T255" s="410" t="s">
        <v>100</v>
      </c>
      <c r="U255" s="639"/>
      <c r="V255" s="639"/>
      <c r="W255" s="639"/>
      <c r="X255" s="639"/>
      <c r="Y255" s="639"/>
      <c r="Z255" s="639"/>
      <c r="AA255" s="639"/>
      <c r="AB255" s="639"/>
      <c r="AC255" s="639"/>
      <c r="AD255" s="639"/>
      <c r="AE255" s="639"/>
      <c r="AF255" s="639"/>
      <c r="AG255" s="639"/>
      <c r="AH255" s="639"/>
      <c r="AI255" s="639"/>
      <c r="AJ255" s="167">
        <f t="shared" ref="AJ255:AJ256" si="53">COUNTIF(B255:AI255,"x")</f>
        <v>9</v>
      </c>
      <c r="AK255" s="493" t="str">
        <f>HYPERLINK("https://twitter.com/clarkspencer/status/817386914231808000","Twitter")</f>
        <v>Twitter</v>
      </c>
      <c r="AL255" s="471">
        <v>42741</v>
      </c>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6"/>
      <c r="BO255" s="136"/>
      <c r="BP255" s="136"/>
      <c r="BQ255" s="136"/>
      <c r="BR255" s="136"/>
      <c r="BS255" s="136"/>
      <c r="BT255" s="136"/>
      <c r="BU255" s="136"/>
      <c r="BV255" s="136"/>
      <c r="BW255" s="136"/>
      <c r="BX255" s="136"/>
      <c r="BY255" s="136"/>
      <c r="BZ255" s="136"/>
      <c r="CA255" s="136"/>
      <c r="CB255" s="136"/>
      <c r="CC255" s="136"/>
      <c r="CD255" s="136"/>
      <c r="CE255" s="136"/>
      <c r="CF255" s="136"/>
      <c r="CG255" s="136"/>
      <c r="CH255" s="136"/>
      <c r="CI255" s="136"/>
      <c r="CJ255" s="136"/>
      <c r="CK255" s="136"/>
      <c r="CL255" s="680"/>
      <c r="CM255" s="681"/>
      <c r="CN255" s="682"/>
    </row>
    <row r="256" spans="1:92" s="344" customFormat="1" ht="12.75" customHeight="1">
      <c r="A256" s="496" t="s">
        <v>371</v>
      </c>
      <c r="B256" s="302" t="s">
        <v>100</v>
      </c>
      <c r="C256" s="494"/>
      <c r="D256" s="494"/>
      <c r="E256" s="494"/>
      <c r="F256" s="494" t="s">
        <v>100</v>
      </c>
      <c r="G256" s="494"/>
      <c r="H256" s="302" t="s">
        <v>100</v>
      </c>
      <c r="I256" s="494"/>
      <c r="J256" s="494"/>
      <c r="K256" s="494"/>
      <c r="L256" s="302" t="s">
        <v>100</v>
      </c>
      <c r="M256" s="494"/>
      <c r="N256" s="494"/>
      <c r="O256" s="320"/>
      <c r="P256" s="494"/>
      <c r="Q256" s="494"/>
      <c r="R256" s="494"/>
      <c r="S256" s="494"/>
      <c r="T256" s="494"/>
      <c r="U256" s="380"/>
      <c r="V256" s="380"/>
      <c r="W256" s="380"/>
      <c r="X256" s="380"/>
      <c r="Y256" s="380"/>
      <c r="Z256" s="380"/>
      <c r="AA256" s="380"/>
      <c r="AB256" s="380"/>
      <c r="AC256" s="380"/>
      <c r="AD256" s="380"/>
      <c r="AE256" s="380"/>
      <c r="AF256" s="380"/>
      <c r="AG256" s="380"/>
      <c r="AH256" s="380"/>
      <c r="AI256" s="380"/>
      <c r="AJ256" s="167">
        <f t="shared" si="53"/>
        <v>4</v>
      </c>
      <c r="AK256" s="481" t="str">
        <f>HYPERLINK("http://www.espn.com/mlb/story/_/id/18436379/seven-elected-espn-2017-baseball-hall-fame-ballot","ESPN")</f>
        <v>ESPN</v>
      </c>
      <c r="AL256" s="341">
        <v>42751</v>
      </c>
      <c r="AM256" s="343"/>
      <c r="AN256" s="343"/>
      <c r="AO256" s="343"/>
      <c r="AP256" s="343"/>
      <c r="AQ256" s="343"/>
      <c r="AR256" s="343"/>
      <c r="AS256" s="343"/>
      <c r="AT256" s="343"/>
      <c r="AU256" s="343"/>
      <c r="AV256" s="343"/>
      <c r="AW256" s="343"/>
      <c r="AX256" s="343"/>
      <c r="AY256" s="343"/>
      <c r="AZ256" s="343"/>
      <c r="BA256" s="343"/>
      <c r="BB256" s="343"/>
      <c r="BC256" s="343"/>
      <c r="BD256" s="343"/>
      <c r="BE256" s="343"/>
      <c r="BF256" s="343"/>
      <c r="BG256" s="343"/>
      <c r="BH256" s="343"/>
      <c r="BI256" s="343"/>
      <c r="BJ256" s="343"/>
      <c r="BK256" s="343"/>
      <c r="BL256" s="343"/>
      <c r="BM256" s="343"/>
      <c r="BN256" s="343"/>
      <c r="BO256" s="343"/>
      <c r="BP256" s="343"/>
      <c r="BQ256" s="343"/>
      <c r="BR256" s="343"/>
      <c r="BS256" s="343"/>
      <c r="BT256" s="343"/>
      <c r="BU256" s="343"/>
      <c r="BV256" s="343"/>
      <c r="BW256" s="343"/>
      <c r="BX256" s="343"/>
      <c r="BY256" s="343"/>
      <c r="BZ256" s="343"/>
      <c r="CA256" s="343"/>
      <c r="CB256" s="343"/>
      <c r="CC256" s="343"/>
      <c r="CD256" s="343"/>
      <c r="CE256" s="343"/>
      <c r="CF256" s="343"/>
      <c r="CG256" s="343"/>
      <c r="CH256" s="343"/>
      <c r="CI256" s="343"/>
      <c r="CJ256" s="343"/>
      <c r="CK256" s="343"/>
      <c r="CL256" s="618"/>
      <c r="CM256" s="619"/>
      <c r="CN256" s="620"/>
    </row>
    <row r="257" spans="1:92" s="344" customFormat="1">
      <c r="A257" s="335" t="s">
        <v>372</v>
      </c>
      <c r="B257" s="182" t="s">
        <v>100</v>
      </c>
      <c r="C257" s="182"/>
      <c r="D257" s="182"/>
      <c r="E257" s="182" t="s">
        <v>100</v>
      </c>
      <c r="F257" s="182" t="s">
        <v>100</v>
      </c>
      <c r="G257" s="182"/>
      <c r="H257" s="182" t="s">
        <v>100</v>
      </c>
      <c r="I257" s="182"/>
      <c r="J257" s="182" t="s">
        <v>100</v>
      </c>
      <c r="K257" s="182"/>
      <c r="L257" s="182" t="s">
        <v>100</v>
      </c>
      <c r="M257" s="182"/>
      <c r="N257" s="182" t="s">
        <v>100</v>
      </c>
      <c r="O257" s="182" t="s">
        <v>100</v>
      </c>
      <c r="P257" s="182"/>
      <c r="Q257" s="182" t="s">
        <v>100</v>
      </c>
      <c r="R257" s="182"/>
      <c r="S257" s="182"/>
      <c r="T257" s="182"/>
      <c r="U257" s="182"/>
      <c r="V257" s="182"/>
      <c r="W257" s="182"/>
      <c r="X257" s="182"/>
      <c r="Y257" s="182"/>
      <c r="Z257" s="182"/>
      <c r="AA257" s="182"/>
      <c r="AB257" s="182"/>
      <c r="AC257" s="182"/>
      <c r="AD257" s="182"/>
      <c r="AE257" s="182"/>
      <c r="AF257" s="182"/>
      <c r="AG257" s="182"/>
      <c r="AH257" s="182"/>
      <c r="AI257" s="182"/>
      <c r="AJ257" s="167">
        <f t="shared" si="37"/>
        <v>9</v>
      </c>
      <c r="AK257" s="493" t="str">
        <f>HYPERLINK("https://twitter.com/arniestapleton/status/815012603353305088","Twitter")</f>
        <v>Twitter</v>
      </c>
      <c r="AL257" s="341">
        <v>42734</v>
      </c>
      <c r="AM257" s="352"/>
      <c r="AN257" s="352"/>
      <c r="AO257" s="352"/>
      <c r="AP257" s="352"/>
      <c r="AQ257" s="352"/>
      <c r="AR257" s="352"/>
      <c r="AS257" s="352"/>
      <c r="AT257" s="352"/>
      <c r="AU257" s="352"/>
      <c r="AV257" s="352"/>
      <c r="AW257" s="352"/>
      <c r="AX257" s="352"/>
      <c r="AY257" s="352"/>
      <c r="AZ257" s="352"/>
      <c r="BA257" s="352"/>
      <c r="BB257" s="352"/>
      <c r="BC257" s="352"/>
      <c r="BD257" s="352"/>
      <c r="BE257" s="352"/>
      <c r="BF257" s="352"/>
      <c r="BG257" s="352"/>
      <c r="BH257" s="352"/>
      <c r="BI257" s="352"/>
      <c r="BJ257" s="352"/>
      <c r="BK257" s="352"/>
      <c r="BL257" s="470"/>
      <c r="BM257" s="339"/>
      <c r="BN257" s="339"/>
      <c r="BO257" s="182"/>
      <c r="BP257" s="182"/>
      <c r="BQ257" s="182"/>
      <c r="BR257" s="182"/>
      <c r="BS257" s="182"/>
      <c r="BT257" s="182"/>
      <c r="BU257" s="182"/>
      <c r="BV257" s="182"/>
      <c r="BW257" s="182"/>
      <c r="BX257" s="182"/>
      <c r="BY257" s="182"/>
      <c r="BZ257" s="182"/>
      <c r="CA257" s="182"/>
      <c r="CB257" s="182"/>
      <c r="CC257" s="182"/>
      <c r="CD257" s="182"/>
      <c r="CE257" s="182"/>
      <c r="CF257" s="182"/>
      <c r="CG257" s="182"/>
      <c r="CH257" s="182"/>
      <c r="CI257" s="182"/>
      <c r="CJ257" s="182"/>
      <c r="CK257" s="182"/>
      <c r="CL257" s="618"/>
      <c r="CM257" s="619"/>
      <c r="CN257" s="620"/>
    </row>
    <row r="258" spans="1:92" s="344" customFormat="1">
      <c r="A258" s="335" t="s">
        <v>373</v>
      </c>
      <c r="B258" s="182" t="s">
        <v>100</v>
      </c>
      <c r="C258" s="182" t="s">
        <v>100</v>
      </c>
      <c r="D258" s="182" t="s">
        <v>100</v>
      </c>
      <c r="E258" s="182" t="s">
        <v>100</v>
      </c>
      <c r="F258" s="182" t="s">
        <v>100</v>
      </c>
      <c r="G258" s="182"/>
      <c r="H258" s="182" t="s">
        <v>100</v>
      </c>
      <c r="I258" s="182"/>
      <c r="J258" s="302" t="s">
        <v>100</v>
      </c>
      <c r="K258" s="182"/>
      <c r="L258" s="182" t="s">
        <v>100</v>
      </c>
      <c r="M258" s="182"/>
      <c r="N258" s="182" t="s">
        <v>100</v>
      </c>
      <c r="O258" s="182" t="s">
        <v>100</v>
      </c>
      <c r="P258" s="182"/>
      <c r="Q258" s="182"/>
      <c r="R258" s="182"/>
      <c r="S258" s="320"/>
      <c r="T258" s="182"/>
      <c r="U258" s="182"/>
      <c r="V258" s="182"/>
      <c r="W258" s="182"/>
      <c r="X258" s="182"/>
      <c r="Y258" s="182"/>
      <c r="Z258" s="182"/>
      <c r="AA258" s="182"/>
      <c r="AB258" s="182"/>
      <c r="AC258" s="182"/>
      <c r="AD258" s="182"/>
      <c r="AE258" s="182"/>
      <c r="AF258" s="182"/>
      <c r="AG258" s="182"/>
      <c r="AH258" s="182"/>
      <c r="AI258" s="182"/>
      <c r="AJ258" s="167">
        <f t="shared" si="37"/>
        <v>10</v>
      </c>
      <c r="AK258" s="481" t="str">
        <f>HYPERLINK("http://www.espn.com/mlb/story/_/id/18436379/seven-elected-espn-2017-baseball-hall-fame-ballot","ESPN")</f>
        <v>ESPN</v>
      </c>
      <c r="AL258" s="341">
        <v>42751</v>
      </c>
      <c r="AM258" s="352"/>
      <c r="AN258" s="352"/>
      <c r="AO258" s="352"/>
      <c r="AP258" s="352"/>
      <c r="AQ258" s="352"/>
      <c r="AR258" s="352"/>
      <c r="AS258" s="352"/>
      <c r="AT258" s="352"/>
      <c r="AU258" s="352"/>
      <c r="AV258" s="352"/>
      <c r="AW258" s="352"/>
      <c r="AX258" s="352"/>
      <c r="AY258" s="352"/>
      <c r="AZ258" s="352"/>
      <c r="BA258" s="352"/>
      <c r="BB258" s="352"/>
      <c r="BC258" s="352"/>
      <c r="BD258" s="352"/>
      <c r="BE258" s="352"/>
      <c r="BF258" s="352"/>
      <c r="BG258" s="352"/>
      <c r="BH258" s="352"/>
      <c r="BI258" s="352"/>
      <c r="BJ258" s="352"/>
      <c r="BK258" s="352"/>
      <c r="BL258" s="470"/>
      <c r="BM258" s="339"/>
      <c r="BN258" s="339"/>
      <c r="BO258" s="182"/>
      <c r="BP258" s="182"/>
      <c r="BQ258" s="182"/>
      <c r="BR258" s="182"/>
      <c r="BS258" s="182"/>
      <c r="BT258" s="182"/>
      <c r="BU258" s="182"/>
      <c r="BV258" s="182"/>
      <c r="BW258" s="182"/>
      <c r="BX258" s="182"/>
      <c r="BY258" s="182"/>
      <c r="BZ258" s="182"/>
      <c r="CA258" s="182"/>
      <c r="CB258" s="182"/>
      <c r="CC258" s="182"/>
      <c r="CD258" s="182"/>
      <c r="CE258" s="182"/>
      <c r="CF258" s="182"/>
      <c r="CG258" s="182"/>
      <c r="CH258" s="182"/>
      <c r="CI258" s="182"/>
      <c r="CJ258" s="182"/>
      <c r="CK258" s="182"/>
      <c r="CL258" s="680" t="s">
        <v>647</v>
      </c>
      <c r="CM258" s="681"/>
      <c r="CN258" s="682"/>
    </row>
    <row r="259" spans="1:92" s="344" customFormat="1">
      <c r="A259" s="335" t="s">
        <v>376</v>
      </c>
      <c r="B259" s="182" t="s">
        <v>100</v>
      </c>
      <c r="C259" s="182" t="s">
        <v>100</v>
      </c>
      <c r="D259" s="182" t="s">
        <v>100</v>
      </c>
      <c r="E259" s="182" t="s">
        <v>100</v>
      </c>
      <c r="F259" s="182" t="s">
        <v>100</v>
      </c>
      <c r="G259" s="182"/>
      <c r="H259" s="182"/>
      <c r="I259" s="182"/>
      <c r="J259" s="302" t="s">
        <v>100</v>
      </c>
      <c r="K259" s="182"/>
      <c r="L259" s="182" t="s">
        <v>100</v>
      </c>
      <c r="M259" s="182"/>
      <c r="N259" s="182" t="s">
        <v>100</v>
      </c>
      <c r="O259" s="182" t="s">
        <v>100</v>
      </c>
      <c r="P259" s="182"/>
      <c r="Q259" s="182" t="s">
        <v>100</v>
      </c>
      <c r="R259" s="182"/>
      <c r="S259" s="182"/>
      <c r="T259" s="182"/>
      <c r="U259" s="182"/>
      <c r="V259" s="182"/>
      <c r="W259" s="182"/>
      <c r="X259" s="182"/>
      <c r="Y259" s="182"/>
      <c r="Z259" s="182"/>
      <c r="AA259" s="182"/>
      <c r="AB259" s="182"/>
      <c r="AC259" s="182"/>
      <c r="AD259" s="182"/>
      <c r="AE259" s="182"/>
      <c r="AF259" s="182"/>
      <c r="AG259" s="182"/>
      <c r="AH259" s="182"/>
      <c r="AI259" s="182"/>
      <c r="AJ259" s="167">
        <f t="shared" si="37"/>
        <v>10</v>
      </c>
      <c r="AK259" s="493" t="str">
        <f>HYPERLINK("https://twitter.com/stewardsfolly/status/804405499475042304","Twitter")</f>
        <v>Twitter</v>
      </c>
      <c r="AL259" s="341">
        <v>42705</v>
      </c>
      <c r="AM259" s="352"/>
      <c r="AN259" s="352"/>
      <c r="AO259" s="352"/>
      <c r="AP259" s="352"/>
      <c r="AQ259" s="352"/>
      <c r="AR259" s="352"/>
      <c r="AS259" s="352"/>
      <c r="AT259" s="352"/>
      <c r="AU259" s="352"/>
      <c r="AV259" s="352"/>
      <c r="AW259" s="352"/>
      <c r="AX259" s="352"/>
      <c r="AY259" s="352"/>
      <c r="AZ259" s="352"/>
      <c r="BA259" s="352"/>
      <c r="BB259" s="352"/>
      <c r="BC259" s="352"/>
      <c r="BD259" s="352"/>
      <c r="BE259" s="352"/>
      <c r="BF259" s="352"/>
      <c r="BG259" s="352"/>
      <c r="BH259" s="352"/>
      <c r="BI259" s="352"/>
      <c r="BJ259" s="352"/>
      <c r="BK259" s="352"/>
      <c r="BL259" s="470"/>
      <c r="BM259" s="339"/>
      <c r="BN259" s="339"/>
      <c r="BO259" s="182"/>
      <c r="BP259" s="182"/>
      <c r="BQ259" s="182"/>
      <c r="BR259" s="182"/>
      <c r="BS259" s="182"/>
      <c r="BT259" s="182"/>
      <c r="BU259" s="182"/>
      <c r="BV259" s="182"/>
      <c r="BW259" s="182"/>
      <c r="BX259" s="182"/>
      <c r="BY259" s="182"/>
      <c r="BZ259" s="182"/>
      <c r="CA259" s="182"/>
      <c r="CB259" s="182"/>
      <c r="CC259" s="182"/>
      <c r="CD259" s="182"/>
      <c r="CE259" s="182"/>
      <c r="CF259" s="182"/>
      <c r="CG259" s="182"/>
      <c r="CH259" s="182"/>
      <c r="CI259" s="182"/>
      <c r="CJ259" s="182"/>
      <c r="CK259" s="182"/>
      <c r="CL259" s="680"/>
      <c r="CM259" s="681"/>
      <c r="CN259" s="682"/>
    </row>
    <row r="260" spans="1:92" s="344" customFormat="1">
      <c r="A260" s="331" t="s">
        <v>377</v>
      </c>
      <c r="B260" s="182" t="s">
        <v>100</v>
      </c>
      <c r="C260" s="182" t="s">
        <v>100</v>
      </c>
      <c r="D260" s="182" t="s">
        <v>100</v>
      </c>
      <c r="E260" s="182" t="s">
        <v>100</v>
      </c>
      <c r="F260" s="182" t="s">
        <v>100</v>
      </c>
      <c r="G260" s="182"/>
      <c r="H260" s="182"/>
      <c r="I260" s="182"/>
      <c r="J260" s="182"/>
      <c r="K260" s="182"/>
      <c r="L260" s="182" t="s">
        <v>100</v>
      </c>
      <c r="M260" s="182"/>
      <c r="N260" s="182" t="s">
        <v>100</v>
      </c>
      <c r="O260" s="182" t="s">
        <v>100</v>
      </c>
      <c r="P260" s="182"/>
      <c r="Q260" s="182"/>
      <c r="R260" s="182"/>
      <c r="S260" s="182"/>
      <c r="T260" s="182"/>
      <c r="U260" s="182"/>
      <c r="V260" s="182"/>
      <c r="W260" s="182"/>
      <c r="X260" s="182"/>
      <c r="Y260" s="182"/>
      <c r="Z260" s="182"/>
      <c r="AA260" s="182"/>
      <c r="AB260" s="182"/>
      <c r="AC260" s="182"/>
      <c r="AD260" s="182"/>
      <c r="AE260" s="182"/>
      <c r="AF260" s="182"/>
      <c r="AG260" s="182"/>
      <c r="AH260" s="182"/>
      <c r="AI260" s="182"/>
      <c r="AJ260" s="167">
        <f t="shared" si="37"/>
        <v>8</v>
      </c>
      <c r="AK260" s="493" t="str">
        <f>HYPERLINK("http://www.csnbayarea.com/athletics/stiglich-bonds-clemens-get-my-hall-fame-vote","CSN Bay Area")</f>
        <v>CSN Bay Area</v>
      </c>
      <c r="AL260" s="341">
        <v>42727</v>
      </c>
      <c r="AM260" s="352"/>
      <c r="AN260" s="352"/>
      <c r="AO260" s="352"/>
      <c r="AP260" s="352"/>
      <c r="AQ260" s="352"/>
      <c r="AR260" s="352"/>
      <c r="AS260" s="352"/>
      <c r="AT260" s="352"/>
      <c r="AU260" s="352"/>
      <c r="AV260" s="352"/>
      <c r="AW260" s="352"/>
      <c r="AX260" s="352"/>
      <c r="AY260" s="352"/>
      <c r="AZ260" s="352"/>
      <c r="BA260" s="352"/>
      <c r="BB260" s="352"/>
      <c r="BC260" s="352"/>
      <c r="BD260" s="352"/>
      <c r="BE260" s="352"/>
      <c r="BF260" s="352"/>
      <c r="BG260" s="352"/>
      <c r="BH260" s="352"/>
      <c r="BI260" s="352"/>
      <c r="BJ260" s="352"/>
      <c r="BK260" s="352"/>
      <c r="BL260" s="470"/>
      <c r="BM260" s="339"/>
      <c r="BN260" s="339"/>
      <c r="BO260" s="182"/>
      <c r="BP260" s="182"/>
      <c r="BQ260" s="182"/>
      <c r="BR260" s="182"/>
      <c r="BS260" s="182"/>
      <c r="BT260" s="182"/>
      <c r="BU260" s="182"/>
      <c r="BV260" s="182"/>
      <c r="BW260" s="182"/>
      <c r="BX260" s="182"/>
      <c r="BY260" s="182"/>
      <c r="BZ260" s="182"/>
      <c r="CA260" s="182"/>
      <c r="CB260" s="182"/>
      <c r="CC260" s="182"/>
      <c r="CD260" s="182"/>
      <c r="CE260" s="182"/>
      <c r="CF260" s="182"/>
      <c r="CG260" s="182"/>
      <c r="CH260" s="182"/>
      <c r="CI260" s="182"/>
      <c r="CJ260" s="182"/>
      <c r="CK260" s="182"/>
      <c r="CL260" s="618"/>
      <c r="CM260" s="619"/>
      <c r="CN260" s="620"/>
    </row>
    <row r="261" spans="1:92" s="344" customFormat="1">
      <c r="A261" s="335" t="s">
        <v>648</v>
      </c>
      <c r="B261" s="182" t="s">
        <v>100</v>
      </c>
      <c r="C261" s="182" t="s">
        <v>100</v>
      </c>
      <c r="D261" s="182" t="s">
        <v>100</v>
      </c>
      <c r="E261" s="182" t="s">
        <v>100</v>
      </c>
      <c r="F261" s="302" t="s">
        <v>100</v>
      </c>
      <c r="G261" s="182"/>
      <c r="H261" s="182" t="s">
        <v>100</v>
      </c>
      <c r="I261" s="182"/>
      <c r="J261" s="182" t="s">
        <v>100</v>
      </c>
      <c r="K261" s="182"/>
      <c r="L261" s="182" t="s">
        <v>100</v>
      </c>
      <c r="M261" s="182"/>
      <c r="N261" s="182" t="s">
        <v>100</v>
      </c>
      <c r="O261" s="182" t="s">
        <v>100</v>
      </c>
      <c r="P261" s="182"/>
      <c r="Q261" s="182"/>
      <c r="R261" s="182"/>
      <c r="S261" s="182"/>
      <c r="T261" s="182"/>
      <c r="U261" s="182"/>
      <c r="V261" s="182"/>
      <c r="W261" s="182"/>
      <c r="X261" s="182"/>
      <c r="Y261" s="182"/>
      <c r="Z261" s="182"/>
      <c r="AA261" s="182"/>
      <c r="AB261" s="182"/>
      <c r="AC261" s="182"/>
      <c r="AD261" s="182"/>
      <c r="AE261" s="182"/>
      <c r="AF261" s="182"/>
      <c r="AG261" s="182"/>
      <c r="AH261" s="182"/>
      <c r="AI261" s="182"/>
      <c r="AJ261" s="167">
        <f t="shared" si="37"/>
        <v>10</v>
      </c>
      <c r="AK261" s="493" t="str">
        <f>HYPERLINK("https://twitter.com/StoneLarry/status/810926746736291840","Twitter")</f>
        <v>Twitter</v>
      </c>
      <c r="AL261" s="341">
        <v>42723</v>
      </c>
      <c r="AM261" s="352"/>
      <c r="AN261" s="352"/>
      <c r="AO261" s="352"/>
      <c r="AP261" s="352"/>
      <c r="AQ261" s="352"/>
      <c r="AR261" s="352"/>
      <c r="AS261" s="352"/>
      <c r="AT261" s="352"/>
      <c r="AU261" s="352"/>
      <c r="AV261" s="352"/>
      <c r="AW261" s="352"/>
      <c r="AX261" s="352"/>
      <c r="AY261" s="352"/>
      <c r="AZ261" s="352"/>
      <c r="BA261" s="352"/>
      <c r="BB261" s="352"/>
      <c r="BC261" s="352"/>
      <c r="BD261" s="352"/>
      <c r="BE261" s="352"/>
      <c r="BF261" s="352"/>
      <c r="BG261" s="352"/>
      <c r="BH261" s="352"/>
      <c r="BI261" s="352"/>
      <c r="BJ261" s="352"/>
      <c r="BK261" s="352"/>
      <c r="BL261" s="470"/>
      <c r="BM261" s="339"/>
      <c r="BN261" s="339"/>
      <c r="BO261" s="182"/>
      <c r="BP261" s="182"/>
      <c r="BQ261" s="182"/>
      <c r="BR261" s="182"/>
      <c r="BS261" s="182"/>
      <c r="BT261" s="182"/>
      <c r="BU261" s="182"/>
      <c r="BV261" s="182"/>
      <c r="BW261" s="182"/>
      <c r="BX261" s="182"/>
      <c r="BY261" s="182"/>
      <c r="BZ261" s="182"/>
      <c r="CA261" s="182"/>
      <c r="CB261" s="182"/>
      <c r="CC261" s="182"/>
      <c r="CD261" s="182"/>
      <c r="CE261" s="182"/>
      <c r="CF261" s="182"/>
      <c r="CG261" s="182"/>
      <c r="CH261" s="182"/>
      <c r="CI261" s="182"/>
      <c r="CJ261" s="182"/>
      <c r="CK261" s="182"/>
      <c r="CL261" s="680" t="s">
        <v>260</v>
      </c>
      <c r="CM261" s="681"/>
      <c r="CN261" s="682"/>
    </row>
    <row r="262" spans="1:92" s="344" customFormat="1">
      <c r="A262" s="335" t="s">
        <v>380</v>
      </c>
      <c r="B262" s="182" t="s">
        <v>100</v>
      </c>
      <c r="C262" s="182"/>
      <c r="D262" s="182"/>
      <c r="E262" s="182"/>
      <c r="F262" s="182" t="s">
        <v>100</v>
      </c>
      <c r="G262" s="182"/>
      <c r="H262" s="182" t="s">
        <v>100</v>
      </c>
      <c r="I262" s="182"/>
      <c r="J262" s="182"/>
      <c r="K262" s="182"/>
      <c r="L262" s="182" t="s">
        <v>100</v>
      </c>
      <c r="M262" s="182"/>
      <c r="N262" s="182" t="s">
        <v>100</v>
      </c>
      <c r="O262" s="320"/>
      <c r="P262" s="182"/>
      <c r="Q262" s="182" t="s">
        <v>100</v>
      </c>
      <c r="R262" s="182"/>
      <c r="S262" s="182"/>
      <c r="T262" s="182"/>
      <c r="U262" s="182"/>
      <c r="V262" s="182"/>
      <c r="W262" s="182"/>
      <c r="X262" s="182"/>
      <c r="Y262" s="182"/>
      <c r="Z262" s="182"/>
      <c r="AA262" s="182"/>
      <c r="AB262" s="182"/>
      <c r="AC262" s="182"/>
      <c r="AD262" s="182"/>
      <c r="AE262" s="182"/>
      <c r="AF262" s="182"/>
      <c r="AG262" s="182"/>
      <c r="AH262" s="182"/>
      <c r="AI262" s="182"/>
      <c r="AJ262" s="167">
        <f t="shared" si="37"/>
        <v>6</v>
      </c>
      <c r="AK262" s="493" t="str">
        <f>HYPERLINK("http://www.golferswest.com/all-sports-opinions/edgar-five-others-among-my-hof-picks/","Golfers West")</f>
        <v>Golfers West</v>
      </c>
      <c r="AL262" s="341">
        <v>42744</v>
      </c>
      <c r="AM262" s="352"/>
      <c r="AN262" s="352"/>
      <c r="AO262" s="352"/>
      <c r="AP262" s="352"/>
      <c r="AQ262" s="352"/>
      <c r="AR262" s="352"/>
      <c r="AS262" s="352"/>
      <c r="AT262" s="352"/>
      <c r="AU262" s="352"/>
      <c r="AV262" s="352"/>
      <c r="AW262" s="352"/>
      <c r="AX262" s="352"/>
      <c r="AY262" s="352"/>
      <c r="AZ262" s="352"/>
      <c r="BA262" s="352"/>
      <c r="BB262" s="352"/>
      <c r="BC262" s="352"/>
      <c r="BD262" s="352"/>
      <c r="BE262" s="352"/>
      <c r="BF262" s="352"/>
      <c r="BG262" s="352"/>
      <c r="BH262" s="352"/>
      <c r="BI262" s="352"/>
      <c r="BJ262" s="352"/>
      <c r="BK262" s="352"/>
      <c r="BL262" s="470"/>
      <c r="BM262" s="339"/>
      <c r="BN262" s="339"/>
      <c r="BO262" s="182"/>
      <c r="BP262" s="182"/>
      <c r="BQ262" s="182"/>
      <c r="BR262" s="182"/>
      <c r="BS262" s="182"/>
      <c r="BT262" s="182"/>
      <c r="BU262" s="182"/>
      <c r="BV262" s="182"/>
      <c r="BW262" s="182"/>
      <c r="BX262" s="182"/>
      <c r="BY262" s="182"/>
      <c r="BZ262" s="182"/>
      <c r="CA262" s="182"/>
      <c r="CB262" s="182"/>
      <c r="CC262" s="182"/>
      <c r="CD262" s="182"/>
      <c r="CE262" s="182"/>
      <c r="CF262" s="182"/>
      <c r="CG262" s="182"/>
      <c r="CH262" s="182"/>
      <c r="CI262" s="182"/>
      <c r="CJ262" s="182"/>
      <c r="CK262" s="182"/>
      <c r="CL262" s="618"/>
      <c r="CM262" s="619"/>
      <c r="CN262" s="620"/>
    </row>
    <row r="263" spans="1:92" s="344" customFormat="1">
      <c r="A263" s="335" t="s">
        <v>381</v>
      </c>
      <c r="B263" s="182"/>
      <c r="C263" s="182"/>
      <c r="D263" s="182"/>
      <c r="E263" s="182" t="s">
        <v>100</v>
      </c>
      <c r="F263" s="302" t="s">
        <v>100</v>
      </c>
      <c r="G263" s="182"/>
      <c r="H263" s="182"/>
      <c r="I263" s="182"/>
      <c r="J263" s="182"/>
      <c r="K263" s="182"/>
      <c r="L263" s="182" t="s">
        <v>100</v>
      </c>
      <c r="M263" s="182"/>
      <c r="N263" s="182"/>
      <c r="O263" s="182"/>
      <c r="P263" s="182"/>
      <c r="Q263" s="182" t="s">
        <v>100</v>
      </c>
      <c r="R263" s="182"/>
      <c r="S263" s="182"/>
      <c r="T263" s="182"/>
      <c r="U263" s="182"/>
      <c r="V263" s="182"/>
      <c r="W263" s="182"/>
      <c r="X263" s="182"/>
      <c r="Y263" s="182"/>
      <c r="Z263" s="182"/>
      <c r="AA263" s="182"/>
      <c r="AB263" s="182"/>
      <c r="AC263" s="182"/>
      <c r="AD263" s="182"/>
      <c r="AE263" s="182"/>
      <c r="AF263" s="182"/>
      <c r="AG263" s="182"/>
      <c r="AH263" s="182"/>
      <c r="AI263" s="182"/>
      <c r="AJ263" s="167">
        <f t="shared" si="37"/>
        <v>4</v>
      </c>
      <c r="AK263" s="493" t="str">
        <f>HYPERLINK("http://www.chicagotribune.com/sports/baseball/ct-hall-of-fame-ballot-sullivan-spt-0115-20170114-story.html","Radio/DM + ChiTrib")</f>
        <v>Radio/DM + ChiTrib</v>
      </c>
      <c r="AL263" s="341">
        <v>42743</v>
      </c>
      <c r="AM263" s="352"/>
      <c r="AN263" s="352"/>
      <c r="AO263" s="352"/>
      <c r="AP263" s="352"/>
      <c r="AQ263" s="352"/>
      <c r="AR263" s="352"/>
      <c r="AS263" s="352"/>
      <c r="AT263" s="352"/>
      <c r="AU263" s="352"/>
      <c r="AV263" s="352"/>
      <c r="AW263" s="352"/>
      <c r="AX263" s="352"/>
      <c r="AY263" s="352"/>
      <c r="AZ263" s="352"/>
      <c r="BA263" s="352"/>
      <c r="BB263" s="352"/>
      <c r="BC263" s="352"/>
      <c r="BD263" s="352"/>
      <c r="BE263" s="352"/>
      <c r="BF263" s="352"/>
      <c r="BG263" s="352"/>
      <c r="BH263" s="352"/>
      <c r="BI263" s="352"/>
      <c r="BJ263" s="352"/>
      <c r="BK263" s="352"/>
      <c r="BL263" s="470"/>
      <c r="BM263" s="339"/>
      <c r="BN263" s="339"/>
      <c r="BO263" s="182"/>
      <c r="BP263" s="182"/>
      <c r="BQ263" s="182"/>
      <c r="BR263" s="182"/>
      <c r="BS263" s="182"/>
      <c r="BT263" s="182"/>
      <c r="BU263" s="182"/>
      <c r="BV263" s="182"/>
      <c r="BW263" s="182"/>
      <c r="BX263" s="182"/>
      <c r="BY263" s="182"/>
      <c r="BZ263" s="182"/>
      <c r="CA263" s="182"/>
      <c r="CB263" s="182"/>
      <c r="CC263" s="182"/>
      <c r="CD263" s="182"/>
      <c r="CE263" s="182"/>
      <c r="CF263" s="182"/>
      <c r="CG263" s="182"/>
      <c r="CH263" s="182"/>
      <c r="CI263" s="182"/>
      <c r="CJ263" s="182"/>
      <c r="CK263" s="182"/>
      <c r="CL263" s="618"/>
      <c r="CM263" s="619"/>
      <c r="CN263" s="620"/>
    </row>
    <row r="264" spans="1:92">
      <c r="A264" s="181" t="s">
        <v>649</v>
      </c>
      <c r="B264" s="182" t="s">
        <v>100</v>
      </c>
      <c r="C264" s="182" t="s">
        <v>100</v>
      </c>
      <c r="D264" s="182" t="s">
        <v>100</v>
      </c>
      <c r="E264" s="182" t="s">
        <v>100</v>
      </c>
      <c r="F264" s="302" t="s">
        <v>100</v>
      </c>
      <c r="G264" s="182"/>
      <c r="H264" s="182"/>
      <c r="I264" s="182" t="s">
        <v>100</v>
      </c>
      <c r="J264" s="182" t="s">
        <v>100</v>
      </c>
      <c r="K264" s="182"/>
      <c r="L264" s="182" t="s">
        <v>100</v>
      </c>
      <c r="M264" s="182" t="s">
        <v>100</v>
      </c>
      <c r="N264" s="182" t="s">
        <v>100</v>
      </c>
      <c r="O264" s="182"/>
      <c r="P264" s="320"/>
      <c r="Q264" s="182"/>
      <c r="R264" s="182"/>
      <c r="S264" s="182"/>
      <c r="T264" s="182"/>
      <c r="U264" s="182"/>
      <c r="V264" s="182"/>
      <c r="W264" s="182"/>
      <c r="X264" s="182"/>
      <c r="Y264" s="182"/>
      <c r="Z264" s="182"/>
      <c r="AA264" s="182"/>
      <c r="AB264" s="182"/>
      <c r="AC264" s="182"/>
      <c r="AD264" s="182"/>
      <c r="AE264" s="182"/>
      <c r="AF264" s="182"/>
      <c r="AG264" s="182"/>
      <c r="AH264" s="182"/>
      <c r="AI264" s="182"/>
      <c r="AJ264" s="167">
        <f t="shared" si="37"/>
        <v>10</v>
      </c>
      <c r="AK264" s="493" t="str">
        <f>HYPERLINK("http://bit.ly/2gnfRsa","Comment 34")</f>
        <v>Comment 34</v>
      </c>
      <c r="AL264" s="186">
        <v>42704</v>
      </c>
      <c r="AM264" s="187"/>
      <c r="AN264" s="187"/>
      <c r="AO264" s="187"/>
      <c r="AP264" s="187"/>
      <c r="AQ264" s="187"/>
      <c r="AR264" s="187"/>
      <c r="AS264" s="187"/>
      <c r="AT264" s="187"/>
      <c r="AU264" s="187"/>
      <c r="AV264" s="187"/>
      <c r="AW264" s="187"/>
      <c r="AX264" s="187"/>
      <c r="AY264" s="187"/>
      <c r="AZ264" s="187"/>
      <c r="BA264" s="187"/>
      <c r="BB264" s="187"/>
      <c r="BC264" s="187"/>
      <c r="BD264" s="187"/>
      <c r="BE264" s="187"/>
      <c r="BF264" s="187"/>
      <c r="BG264" s="187"/>
      <c r="BH264" s="187"/>
      <c r="BI264" s="187"/>
      <c r="BJ264" s="187"/>
      <c r="BK264" s="187"/>
      <c r="BL264" s="273"/>
      <c r="BM264" s="167"/>
      <c r="BN264" s="167"/>
      <c r="BO264" s="644"/>
      <c r="BP264" s="644"/>
      <c r="BQ264" s="644"/>
      <c r="BR264" s="644"/>
      <c r="BS264" s="644"/>
      <c r="BT264" s="644"/>
      <c r="BU264" s="644"/>
      <c r="BV264" s="644"/>
      <c r="BW264" s="644"/>
      <c r="BX264" s="644"/>
      <c r="BY264" s="644"/>
      <c r="BZ264" s="644"/>
      <c r="CA264" s="644"/>
      <c r="CB264" s="644"/>
      <c r="CC264" s="644"/>
      <c r="CD264" s="644"/>
      <c r="CE264" s="644"/>
      <c r="CF264" s="644"/>
      <c r="CG264" s="644"/>
      <c r="CH264" s="644"/>
      <c r="CI264" s="644"/>
      <c r="CJ264" s="644"/>
      <c r="CK264" s="644"/>
      <c r="CL264" s="680" t="s">
        <v>650</v>
      </c>
      <c r="CM264" s="681"/>
      <c r="CN264" s="682"/>
    </row>
    <row r="265" spans="1:92" s="344" customFormat="1">
      <c r="A265" s="331" t="s">
        <v>383</v>
      </c>
      <c r="B265" s="182" t="s">
        <v>100</v>
      </c>
      <c r="C265" s="182" t="s">
        <v>100</v>
      </c>
      <c r="D265" s="182" t="s">
        <v>100</v>
      </c>
      <c r="E265" s="182" t="s">
        <v>100</v>
      </c>
      <c r="F265" s="182" t="s">
        <v>100</v>
      </c>
      <c r="G265" s="182"/>
      <c r="H265" s="182" t="s">
        <v>100</v>
      </c>
      <c r="I265" s="182"/>
      <c r="J265" s="182" t="s">
        <v>100</v>
      </c>
      <c r="K265" s="182"/>
      <c r="L265" s="182" t="s">
        <v>100</v>
      </c>
      <c r="M265" s="182"/>
      <c r="N265" s="182" t="s">
        <v>100</v>
      </c>
      <c r="O265" s="182"/>
      <c r="P265" s="182"/>
      <c r="Q265" s="182" t="s">
        <v>100</v>
      </c>
      <c r="R265" s="182"/>
      <c r="S265" s="182"/>
      <c r="T265" s="182"/>
      <c r="U265" s="182"/>
      <c r="V265" s="182"/>
      <c r="W265" s="182"/>
      <c r="X265" s="182"/>
      <c r="Y265" s="182"/>
      <c r="Z265" s="182"/>
      <c r="AA265" s="182"/>
      <c r="AB265" s="182"/>
      <c r="AC265" s="182"/>
      <c r="AD265" s="182"/>
      <c r="AE265" s="182"/>
      <c r="AF265" s="182"/>
      <c r="AG265" s="182"/>
      <c r="AH265" s="182"/>
      <c r="AI265" s="182"/>
      <c r="AJ265" s="167">
        <f t="shared" si="37"/>
        <v>10</v>
      </c>
      <c r="AK265" s="488" t="str">
        <f>HYPERLINK("https://twitter.com/JJT_ESPNDallas/status/812006809796014080","Twitter")</f>
        <v>Twitter</v>
      </c>
      <c r="AL265" s="341">
        <v>42725</v>
      </c>
      <c r="AM265" s="352"/>
      <c r="AN265" s="352"/>
      <c r="AO265" s="352"/>
      <c r="AP265" s="352"/>
      <c r="AQ265" s="352"/>
      <c r="AR265" s="352"/>
      <c r="AS265" s="352"/>
      <c r="AT265" s="352"/>
      <c r="AU265" s="352"/>
      <c r="AV265" s="352"/>
      <c r="AW265" s="352"/>
      <c r="AX265" s="352"/>
      <c r="AY265" s="352"/>
      <c r="AZ265" s="352"/>
      <c r="BA265" s="352"/>
      <c r="BB265" s="352"/>
      <c r="BC265" s="352"/>
      <c r="BD265" s="352"/>
      <c r="BE265" s="352"/>
      <c r="BF265" s="352"/>
      <c r="BG265" s="352"/>
      <c r="BH265" s="352"/>
      <c r="BI265" s="352"/>
      <c r="BJ265" s="352"/>
      <c r="BK265" s="352"/>
      <c r="BL265" s="470"/>
      <c r="BM265" s="339"/>
      <c r="BN265" s="339"/>
      <c r="BO265" s="182"/>
      <c r="BP265" s="182"/>
      <c r="BQ265" s="182"/>
      <c r="BR265" s="182"/>
      <c r="BS265" s="182"/>
      <c r="BT265" s="182"/>
      <c r="BU265" s="182"/>
      <c r="BV265" s="182"/>
      <c r="BW265" s="182"/>
      <c r="BX265" s="182"/>
      <c r="BY265" s="182"/>
      <c r="BZ265" s="182"/>
      <c r="CA265" s="182"/>
      <c r="CB265" s="182"/>
      <c r="CC265" s="182"/>
      <c r="CD265" s="182"/>
      <c r="CE265" s="182"/>
      <c r="CF265" s="182"/>
      <c r="CG265" s="182"/>
      <c r="CH265" s="182"/>
      <c r="CI265" s="182"/>
      <c r="CJ265" s="182"/>
      <c r="CK265" s="182"/>
      <c r="CL265" s="618"/>
      <c r="CM265" s="619"/>
      <c r="CN265" s="620"/>
    </row>
    <row r="266" spans="1:92" s="344" customFormat="1">
      <c r="A266" s="335" t="s">
        <v>651</v>
      </c>
      <c r="B266" s="182" t="s">
        <v>100</v>
      </c>
      <c r="C266" s="182" t="s">
        <v>100</v>
      </c>
      <c r="D266" s="182" t="s">
        <v>100</v>
      </c>
      <c r="E266" s="182" t="s">
        <v>100</v>
      </c>
      <c r="F266" s="182"/>
      <c r="G266" s="182"/>
      <c r="H266" s="182" t="s">
        <v>100</v>
      </c>
      <c r="I266" s="182"/>
      <c r="J266" s="182"/>
      <c r="K266" s="182"/>
      <c r="L266" s="182"/>
      <c r="M266" s="182"/>
      <c r="N266" s="182" t="s">
        <v>100</v>
      </c>
      <c r="O266" s="182" t="s">
        <v>100</v>
      </c>
      <c r="P266" s="182" t="s">
        <v>100</v>
      </c>
      <c r="Q266" s="182"/>
      <c r="R266" s="182"/>
      <c r="S266" s="182"/>
      <c r="T266" s="182"/>
      <c r="U266" s="182"/>
      <c r="V266" s="182"/>
      <c r="W266" s="182"/>
      <c r="X266" s="182"/>
      <c r="Y266" s="182"/>
      <c r="Z266" s="182"/>
      <c r="AA266" s="182"/>
      <c r="AB266" s="182"/>
      <c r="AC266" s="182"/>
      <c r="AD266" s="182"/>
      <c r="AE266" s="182"/>
      <c r="AF266" s="182"/>
      <c r="AG266" s="182"/>
      <c r="AH266" s="182"/>
      <c r="AI266" s="182"/>
      <c r="AJ266" s="167">
        <f t="shared" si="37"/>
        <v>8</v>
      </c>
      <c r="AK266" s="488" t="str">
        <f>HYPERLINK("https://twitter.com/jtomase/status/814319001417433088","Twitter")</f>
        <v>Twitter</v>
      </c>
      <c r="AL266" s="341">
        <v>42732</v>
      </c>
      <c r="AM266" s="352"/>
      <c r="AN266" s="352"/>
      <c r="AO266" s="352"/>
      <c r="AP266" s="352"/>
      <c r="AQ266" s="352"/>
      <c r="AR266" s="352"/>
      <c r="AS266" s="352"/>
      <c r="AT266" s="352"/>
      <c r="AU266" s="352"/>
      <c r="AV266" s="352"/>
      <c r="AW266" s="352"/>
      <c r="AX266" s="352"/>
      <c r="AY266" s="352"/>
      <c r="AZ266" s="352"/>
      <c r="BA266" s="352"/>
      <c r="BB266" s="352"/>
      <c r="BC266" s="352"/>
      <c r="BD266" s="352"/>
      <c r="BE266" s="352"/>
      <c r="BF266" s="352"/>
      <c r="BG266" s="352"/>
      <c r="BH266" s="352"/>
      <c r="BI266" s="352"/>
      <c r="BJ266" s="352"/>
      <c r="BK266" s="352"/>
      <c r="BL266" s="470"/>
      <c r="BM266" s="339"/>
      <c r="BN266" s="339"/>
      <c r="BO266" s="182"/>
      <c r="BP266" s="182"/>
      <c r="BQ266" s="182"/>
      <c r="BR266" s="182"/>
      <c r="BS266" s="182"/>
      <c r="BT266" s="182"/>
      <c r="BU266" s="182"/>
      <c r="BV266" s="182"/>
      <c r="BW266" s="182"/>
      <c r="BX266" s="182"/>
      <c r="BY266" s="182"/>
      <c r="BZ266" s="182"/>
      <c r="CA266" s="182"/>
      <c r="CB266" s="182"/>
      <c r="CC266" s="182"/>
      <c r="CD266" s="182"/>
      <c r="CE266" s="182"/>
      <c r="CF266" s="182"/>
      <c r="CG266" s="182"/>
      <c r="CH266" s="182"/>
      <c r="CI266" s="182"/>
      <c r="CJ266" s="182"/>
      <c r="CK266" s="182"/>
      <c r="CL266" s="618"/>
      <c r="CM266" s="619"/>
      <c r="CN266" s="620"/>
    </row>
    <row r="267" spans="1:92" s="344" customFormat="1">
      <c r="A267" s="335" t="s">
        <v>387</v>
      </c>
      <c r="B267" s="182" t="s">
        <v>100</v>
      </c>
      <c r="C267" s="182" t="s">
        <v>100</v>
      </c>
      <c r="D267" s="182" t="s">
        <v>100</v>
      </c>
      <c r="E267" s="182"/>
      <c r="F267" s="182" t="s">
        <v>100</v>
      </c>
      <c r="G267" s="182"/>
      <c r="H267" s="182"/>
      <c r="I267" s="182" t="s">
        <v>100</v>
      </c>
      <c r="J267" s="182"/>
      <c r="K267" s="182"/>
      <c r="L267" s="302" t="s">
        <v>100</v>
      </c>
      <c r="M267" s="182"/>
      <c r="N267" s="182" t="s">
        <v>100</v>
      </c>
      <c r="O267" s="182"/>
      <c r="P267" s="182" t="s">
        <v>100</v>
      </c>
      <c r="Q267" s="182" t="s">
        <v>100</v>
      </c>
      <c r="R267" s="182"/>
      <c r="S267" s="182"/>
      <c r="T267" s="182"/>
      <c r="U267" s="182"/>
      <c r="V267" s="182"/>
      <c r="W267" s="182"/>
      <c r="X267" s="182"/>
      <c r="Y267" s="182"/>
      <c r="Z267" s="182"/>
      <c r="AA267" s="182"/>
      <c r="AB267" s="182"/>
      <c r="AC267" s="182"/>
      <c r="AD267" s="182"/>
      <c r="AE267" s="182"/>
      <c r="AF267" s="182"/>
      <c r="AG267" s="182"/>
      <c r="AH267" s="182"/>
      <c r="AI267" s="182"/>
      <c r="AJ267" s="167">
        <f t="shared" ref="AJ267" si="54">COUNTIF(B267:AI267,"x")</f>
        <v>9</v>
      </c>
      <c r="AK267" s="488" t="str">
        <f>HYPERLINK("https://twitter.com/TBTimes_Rays/status/810621938397810689/photo/1","Twitter")</f>
        <v>Twitter</v>
      </c>
      <c r="AL267" s="341">
        <v>42722</v>
      </c>
      <c r="AM267" s="352"/>
      <c r="AN267" s="352"/>
      <c r="AO267" s="352"/>
      <c r="AP267" s="352"/>
      <c r="AQ267" s="352"/>
      <c r="AR267" s="352"/>
      <c r="AS267" s="352"/>
      <c r="AT267" s="352"/>
      <c r="AU267" s="352"/>
      <c r="AV267" s="352"/>
      <c r="AW267" s="352"/>
      <c r="AX267" s="352"/>
      <c r="AY267" s="352"/>
      <c r="AZ267" s="352"/>
      <c r="BA267" s="352"/>
      <c r="BB267" s="352"/>
      <c r="BC267" s="352"/>
      <c r="BD267" s="352"/>
      <c r="BE267" s="352"/>
      <c r="BF267" s="352"/>
      <c r="BG267" s="352"/>
      <c r="BH267" s="352"/>
      <c r="BI267" s="352"/>
      <c r="BJ267" s="352"/>
      <c r="BK267" s="352"/>
      <c r="BL267" s="470"/>
      <c r="BM267" s="339"/>
      <c r="BN267" s="339"/>
      <c r="BO267" s="182"/>
      <c r="BP267" s="182"/>
      <c r="BQ267" s="182"/>
      <c r="BR267" s="182"/>
      <c r="BS267" s="182"/>
      <c r="BT267" s="182"/>
      <c r="BU267" s="182"/>
      <c r="BV267" s="182"/>
      <c r="BW267" s="182"/>
      <c r="BX267" s="182"/>
      <c r="BY267" s="182"/>
      <c r="BZ267" s="182"/>
      <c r="CA267" s="182"/>
      <c r="CB267" s="182"/>
      <c r="CC267" s="182"/>
      <c r="CD267" s="182"/>
      <c r="CE267" s="182"/>
      <c r="CF267" s="182"/>
      <c r="CG267" s="182"/>
      <c r="CH267" s="182"/>
      <c r="CI267" s="182"/>
      <c r="CJ267" s="182"/>
      <c r="CK267" s="182"/>
      <c r="CL267" s="618"/>
      <c r="CM267" s="619"/>
      <c r="CN267" s="620"/>
    </row>
    <row r="268" spans="1:92" s="344" customFormat="1">
      <c r="A268" s="335" t="s">
        <v>388</v>
      </c>
      <c r="B268" s="182" t="s">
        <v>100</v>
      </c>
      <c r="C268" s="182" t="s">
        <v>100</v>
      </c>
      <c r="D268" s="182" t="s">
        <v>100</v>
      </c>
      <c r="E268" s="182" t="s">
        <v>100</v>
      </c>
      <c r="F268" s="320"/>
      <c r="G268" s="182"/>
      <c r="H268" s="182" t="s">
        <v>100</v>
      </c>
      <c r="I268" s="182"/>
      <c r="J268" s="182" t="s">
        <v>100</v>
      </c>
      <c r="K268" s="182"/>
      <c r="L268" s="182" t="s">
        <v>100</v>
      </c>
      <c r="M268" s="182" t="s">
        <v>100</v>
      </c>
      <c r="N268" s="182" t="s">
        <v>100</v>
      </c>
      <c r="O268" s="320"/>
      <c r="P268" s="182"/>
      <c r="Q268" s="182"/>
      <c r="R268" s="182"/>
      <c r="S268" s="302" t="s">
        <v>100</v>
      </c>
      <c r="T268" s="182"/>
      <c r="U268" s="182"/>
      <c r="V268" s="182"/>
      <c r="W268" s="182"/>
      <c r="X268" s="182"/>
      <c r="Y268" s="182"/>
      <c r="Z268" s="182"/>
      <c r="AA268" s="182"/>
      <c r="AB268" s="182"/>
      <c r="AC268" s="182"/>
      <c r="AD268" s="182"/>
      <c r="AE268" s="182"/>
      <c r="AF268" s="182"/>
      <c r="AG268" s="182"/>
      <c r="AH268" s="182"/>
      <c r="AI268" s="182"/>
      <c r="AJ268" s="167">
        <f t="shared" si="37"/>
        <v>10</v>
      </c>
      <c r="AK268" s="488" t="str">
        <f>HYPERLINK("https://twitter.com/MikeVacc/status/810914831184392193?lang=en","Twitter")</f>
        <v>Twitter</v>
      </c>
      <c r="AL268" s="341">
        <v>42723</v>
      </c>
      <c r="AM268" s="352"/>
      <c r="AN268" s="352"/>
      <c r="AO268" s="352"/>
      <c r="AP268" s="352"/>
      <c r="AQ268" s="352"/>
      <c r="AR268" s="352"/>
      <c r="AS268" s="352"/>
      <c r="AT268" s="352"/>
      <c r="AU268" s="352"/>
      <c r="AV268" s="352"/>
      <c r="AW268" s="352"/>
      <c r="AX268" s="352"/>
      <c r="AY268" s="352"/>
      <c r="AZ268" s="352"/>
      <c r="BA268" s="352"/>
      <c r="BB268" s="352"/>
      <c r="BC268" s="352"/>
      <c r="BD268" s="352"/>
      <c r="BE268" s="352"/>
      <c r="BF268" s="352"/>
      <c r="BG268" s="352"/>
      <c r="BH268" s="352"/>
      <c r="BI268" s="352"/>
      <c r="BJ268" s="352"/>
      <c r="BK268" s="352"/>
      <c r="BL268" s="470"/>
      <c r="BM268" s="339"/>
      <c r="BN268" s="339"/>
      <c r="BO268" s="182"/>
      <c r="BP268" s="182"/>
      <c r="BQ268" s="182"/>
      <c r="BR268" s="182"/>
      <c r="BS268" s="182"/>
      <c r="BT268" s="182"/>
      <c r="BU268" s="182"/>
      <c r="BV268" s="182"/>
      <c r="BW268" s="182"/>
      <c r="BX268" s="182"/>
      <c r="BY268" s="182"/>
      <c r="BZ268" s="182"/>
      <c r="CA268" s="182"/>
      <c r="CB268" s="182"/>
      <c r="CC268" s="182"/>
      <c r="CD268" s="182"/>
      <c r="CE268" s="182"/>
      <c r="CF268" s="182"/>
      <c r="CG268" s="182"/>
      <c r="CH268" s="182"/>
      <c r="CI268" s="182"/>
      <c r="CJ268" s="182"/>
      <c r="CK268" s="182"/>
      <c r="CL268" s="680" t="s">
        <v>652</v>
      </c>
      <c r="CM268" s="681"/>
      <c r="CN268" s="682"/>
    </row>
    <row r="269" spans="1:92" s="344" customFormat="1">
      <c r="A269" s="335" t="s">
        <v>390</v>
      </c>
      <c r="B269" s="182"/>
      <c r="C269" s="182"/>
      <c r="D269" s="182"/>
      <c r="E269" s="182" t="s">
        <v>100</v>
      </c>
      <c r="F269" s="320"/>
      <c r="G269" s="182"/>
      <c r="H269" s="182"/>
      <c r="I269" s="302" t="s">
        <v>100</v>
      </c>
      <c r="J269" s="182"/>
      <c r="K269" s="182"/>
      <c r="L269" s="302" t="s">
        <v>100</v>
      </c>
      <c r="M269" s="182"/>
      <c r="N269" s="182" t="s">
        <v>100</v>
      </c>
      <c r="O269" s="182"/>
      <c r="P269" s="182"/>
      <c r="Q269" s="182" t="s">
        <v>100</v>
      </c>
      <c r="R269" s="182"/>
      <c r="S269" s="182"/>
      <c r="T269" s="182"/>
      <c r="U269" s="182"/>
      <c r="V269" s="182"/>
      <c r="W269" s="182"/>
      <c r="X269" s="182"/>
      <c r="Y269" s="182"/>
      <c r="Z269" s="182"/>
      <c r="AA269" s="182"/>
      <c r="AB269" s="182"/>
      <c r="AC269" s="182"/>
      <c r="AD269" s="182"/>
      <c r="AE269" s="182"/>
      <c r="AF269" s="182"/>
      <c r="AG269" s="182"/>
      <c r="AH269" s="182"/>
      <c r="AI269" s="182"/>
      <c r="AJ269" s="167">
        <f t="shared" si="37"/>
        <v>5</v>
      </c>
      <c r="AK269" s="483" t="s">
        <v>113</v>
      </c>
      <c r="AL269" s="341">
        <v>42715</v>
      </c>
      <c r="AM269" s="352"/>
      <c r="AN269" s="352"/>
      <c r="AO269" s="352"/>
      <c r="AP269" s="352"/>
      <c r="AQ269" s="352"/>
      <c r="AR269" s="352"/>
      <c r="AS269" s="352"/>
      <c r="AT269" s="352"/>
      <c r="AU269" s="352"/>
      <c r="AV269" s="352"/>
      <c r="AW269" s="352"/>
      <c r="AX269" s="352"/>
      <c r="AY269" s="352"/>
      <c r="AZ269" s="352"/>
      <c r="BA269" s="352"/>
      <c r="BB269" s="352"/>
      <c r="BC269" s="352"/>
      <c r="BD269" s="352"/>
      <c r="BE269" s="352"/>
      <c r="BF269" s="352"/>
      <c r="BG269" s="352"/>
      <c r="BH269" s="352"/>
      <c r="BI269" s="352"/>
      <c r="BJ269" s="352"/>
      <c r="BK269" s="352"/>
      <c r="BL269" s="470"/>
      <c r="BM269" s="339"/>
      <c r="BN269" s="339"/>
      <c r="BO269" s="182"/>
      <c r="BP269" s="182"/>
      <c r="BQ269" s="182"/>
      <c r="BR269" s="182"/>
      <c r="BS269" s="182"/>
      <c r="BT269" s="182"/>
      <c r="BU269" s="182"/>
      <c r="BV269" s="182"/>
      <c r="BW269" s="182"/>
      <c r="BX269" s="182"/>
      <c r="BY269" s="182"/>
      <c r="BZ269" s="182"/>
      <c r="CA269" s="182"/>
      <c r="CB269" s="182"/>
      <c r="CC269" s="182"/>
      <c r="CD269" s="182"/>
      <c r="CE269" s="182"/>
      <c r="CF269" s="182"/>
      <c r="CG269" s="182"/>
      <c r="CH269" s="182"/>
      <c r="CI269" s="182"/>
      <c r="CJ269" s="182"/>
      <c r="CK269" s="182"/>
      <c r="CL269" s="680"/>
      <c r="CM269" s="681"/>
      <c r="CN269" s="682"/>
    </row>
    <row r="270" spans="1:92" s="344" customFormat="1">
      <c r="A270" s="335" t="s">
        <v>391</v>
      </c>
      <c r="B270" s="182" t="s">
        <v>100</v>
      </c>
      <c r="C270" s="182"/>
      <c r="D270" s="182"/>
      <c r="E270" s="182" t="s">
        <v>100</v>
      </c>
      <c r="F270" s="182" t="s">
        <v>100</v>
      </c>
      <c r="G270" s="182" t="s">
        <v>100</v>
      </c>
      <c r="H270" s="302" t="s">
        <v>100</v>
      </c>
      <c r="I270" s="182" t="s">
        <v>100</v>
      </c>
      <c r="J270" s="302" t="s">
        <v>100</v>
      </c>
      <c r="K270" s="182"/>
      <c r="L270" s="182" t="s">
        <v>100</v>
      </c>
      <c r="M270" s="182"/>
      <c r="N270" s="182"/>
      <c r="O270" s="182" t="s">
        <v>100</v>
      </c>
      <c r="P270" s="320"/>
      <c r="Q270" s="182"/>
      <c r="R270" s="182"/>
      <c r="S270" s="182"/>
      <c r="T270" s="182"/>
      <c r="U270" s="182"/>
      <c r="V270" s="182"/>
      <c r="W270" s="182"/>
      <c r="X270" s="182"/>
      <c r="Y270" s="182"/>
      <c r="Z270" s="182"/>
      <c r="AA270" s="182"/>
      <c r="AB270" s="182"/>
      <c r="AC270" s="182"/>
      <c r="AD270" s="182"/>
      <c r="AE270" s="182"/>
      <c r="AF270" s="182"/>
      <c r="AG270" s="182"/>
      <c r="AH270" s="182"/>
      <c r="AI270" s="182"/>
      <c r="AJ270" s="167">
        <f t="shared" si="37"/>
        <v>9</v>
      </c>
      <c r="AK270" s="483" t="s">
        <v>392</v>
      </c>
      <c r="AL270" s="341">
        <v>42747</v>
      </c>
      <c r="AM270" s="352"/>
      <c r="AN270" s="352"/>
      <c r="AO270" s="352"/>
      <c r="AP270" s="352"/>
      <c r="AQ270" s="352"/>
      <c r="AR270" s="352"/>
      <c r="AS270" s="352"/>
      <c r="AT270" s="352"/>
      <c r="AU270" s="352"/>
      <c r="AV270" s="352"/>
      <c r="AW270" s="352"/>
      <c r="AX270" s="352"/>
      <c r="AY270" s="352"/>
      <c r="AZ270" s="352"/>
      <c r="BA270" s="352"/>
      <c r="BB270" s="352"/>
      <c r="BC270" s="352"/>
      <c r="BD270" s="352"/>
      <c r="BE270" s="352"/>
      <c r="BF270" s="352"/>
      <c r="BG270" s="352"/>
      <c r="BH270" s="352"/>
      <c r="BI270" s="352"/>
      <c r="BJ270" s="352"/>
      <c r="BK270" s="352"/>
      <c r="BL270" s="470"/>
      <c r="BM270" s="339"/>
      <c r="BN270" s="339"/>
      <c r="BO270" s="182"/>
      <c r="BP270" s="182"/>
      <c r="BQ270" s="182"/>
      <c r="BR270" s="182"/>
      <c r="BS270" s="182"/>
      <c r="BT270" s="182"/>
      <c r="BU270" s="182"/>
      <c r="BV270" s="182"/>
      <c r="BW270" s="182"/>
      <c r="BX270" s="182"/>
      <c r="BY270" s="182"/>
      <c r="BZ270" s="182"/>
      <c r="CA270" s="182"/>
      <c r="CB270" s="182"/>
      <c r="CC270" s="182"/>
      <c r="CD270" s="182"/>
      <c r="CE270" s="182"/>
      <c r="CF270" s="182"/>
      <c r="CG270" s="182"/>
      <c r="CH270" s="182"/>
      <c r="CI270" s="182"/>
      <c r="CJ270" s="182"/>
      <c r="CK270" s="182"/>
      <c r="CL270" s="618"/>
      <c r="CM270" s="619"/>
      <c r="CN270" s="620"/>
    </row>
    <row r="271" spans="1:92" s="344" customFormat="1">
      <c r="A271" s="335" t="s">
        <v>653</v>
      </c>
      <c r="B271" s="182" t="s">
        <v>100</v>
      </c>
      <c r="C271" s="182"/>
      <c r="D271" s="182"/>
      <c r="E271" s="182" t="s">
        <v>100</v>
      </c>
      <c r="F271" s="182" t="s">
        <v>100</v>
      </c>
      <c r="G271" s="182"/>
      <c r="H271" s="182" t="s">
        <v>100</v>
      </c>
      <c r="I271" s="182"/>
      <c r="J271" s="182"/>
      <c r="K271" s="182"/>
      <c r="L271" s="302" t="s">
        <v>100</v>
      </c>
      <c r="M271" s="182"/>
      <c r="N271" s="182" t="s">
        <v>100</v>
      </c>
      <c r="O271" s="182" t="s">
        <v>100</v>
      </c>
      <c r="P271" s="182"/>
      <c r="Q271" s="182" t="s">
        <v>100</v>
      </c>
      <c r="R271" s="182"/>
      <c r="S271" s="182"/>
      <c r="T271" s="182" t="s">
        <v>100</v>
      </c>
      <c r="U271" s="182"/>
      <c r="V271" s="182"/>
      <c r="W271" s="182"/>
      <c r="X271" s="182"/>
      <c r="Y271" s="182"/>
      <c r="Z271" s="182"/>
      <c r="AA271" s="182"/>
      <c r="AB271" s="182"/>
      <c r="AC271" s="182"/>
      <c r="AD271" s="182"/>
      <c r="AE271" s="182"/>
      <c r="AF271" s="182"/>
      <c r="AG271" s="182"/>
      <c r="AH271" s="182"/>
      <c r="AI271" s="182"/>
      <c r="AJ271" s="167">
        <f t="shared" si="37"/>
        <v>9</v>
      </c>
      <c r="AK271" s="493" t="str">
        <f>HYPERLINK("http://www.theregionalnews.com/index.php/sportsx/35345-jeff-vorva-s-extra-point-baseball-thoughts-during-cold-weather","Regional News")</f>
        <v>Regional News</v>
      </c>
      <c r="AL271" s="341">
        <v>42725</v>
      </c>
      <c r="AM271" s="352"/>
      <c r="AN271" s="352"/>
      <c r="AO271" s="352"/>
      <c r="AP271" s="352"/>
      <c r="AQ271" s="352"/>
      <c r="AR271" s="352"/>
      <c r="AS271" s="352"/>
      <c r="AT271" s="352"/>
      <c r="AU271" s="352"/>
      <c r="AV271" s="352"/>
      <c r="AW271" s="352"/>
      <c r="AX271" s="352"/>
      <c r="AY271" s="352"/>
      <c r="AZ271" s="352"/>
      <c r="BA271" s="352"/>
      <c r="BB271" s="352"/>
      <c r="BC271" s="352"/>
      <c r="BD271" s="352"/>
      <c r="BE271" s="352"/>
      <c r="BF271" s="352"/>
      <c r="BG271" s="352"/>
      <c r="BH271" s="352"/>
      <c r="BI271" s="352"/>
      <c r="BJ271" s="352"/>
      <c r="BK271" s="352"/>
      <c r="BL271" s="470"/>
      <c r="BM271" s="339"/>
      <c r="BN271" s="339"/>
      <c r="BO271" s="182"/>
      <c r="BP271" s="182"/>
      <c r="BQ271" s="182"/>
      <c r="BR271" s="182"/>
      <c r="BS271" s="182"/>
      <c r="BT271" s="182"/>
      <c r="BU271" s="182"/>
      <c r="BV271" s="182"/>
      <c r="BW271" s="182"/>
      <c r="BX271" s="182"/>
      <c r="BY271" s="182"/>
      <c r="BZ271" s="182"/>
      <c r="CA271" s="182"/>
      <c r="CB271" s="182"/>
      <c r="CC271" s="182"/>
      <c r="CD271" s="182"/>
      <c r="CE271" s="182"/>
      <c r="CF271" s="182"/>
      <c r="CG271" s="182"/>
      <c r="CH271" s="182"/>
      <c r="CI271" s="182"/>
      <c r="CJ271" s="182"/>
      <c r="CK271" s="182"/>
      <c r="CL271" s="618"/>
      <c r="CM271" s="619"/>
      <c r="CN271" s="620"/>
    </row>
    <row r="272" spans="1:92" s="344" customFormat="1">
      <c r="A272" s="335" t="s">
        <v>394</v>
      </c>
      <c r="B272" s="182" t="s">
        <v>100</v>
      </c>
      <c r="C272" s="182"/>
      <c r="D272" s="182"/>
      <c r="E272" s="182" t="s">
        <v>100</v>
      </c>
      <c r="F272" s="182" t="s">
        <v>100</v>
      </c>
      <c r="G272" s="182"/>
      <c r="H272" s="302" t="s">
        <v>100</v>
      </c>
      <c r="I272" s="182"/>
      <c r="J272" s="182" t="s">
        <v>100</v>
      </c>
      <c r="K272" s="182"/>
      <c r="L272" s="182" t="s">
        <v>100</v>
      </c>
      <c r="M272" s="182"/>
      <c r="N272" s="182"/>
      <c r="O272" s="182" t="s">
        <v>100</v>
      </c>
      <c r="P272" s="302" t="s">
        <v>100</v>
      </c>
      <c r="Q272" s="182"/>
      <c r="R272" s="182"/>
      <c r="S272" s="182" t="s">
        <v>100</v>
      </c>
      <c r="T272" s="182" t="s">
        <v>100</v>
      </c>
      <c r="U272" s="182"/>
      <c r="V272" s="182"/>
      <c r="W272" s="182"/>
      <c r="X272" s="182"/>
      <c r="Y272" s="182"/>
      <c r="Z272" s="182"/>
      <c r="AA272" s="182"/>
      <c r="AB272" s="182"/>
      <c r="AC272" s="182"/>
      <c r="AD272" s="182"/>
      <c r="AE272" s="182"/>
      <c r="AF272" s="182"/>
      <c r="AG272" s="182"/>
      <c r="AH272" s="182"/>
      <c r="AI272" s="182"/>
      <c r="AJ272" s="167">
        <f t="shared" si="37"/>
        <v>10</v>
      </c>
      <c r="AK272" s="483" t="s">
        <v>113</v>
      </c>
      <c r="AL272" s="341">
        <v>42715</v>
      </c>
      <c r="AM272" s="352"/>
      <c r="AN272" s="352"/>
      <c r="AO272" s="352"/>
      <c r="AP272" s="352"/>
      <c r="AQ272" s="352"/>
      <c r="AR272" s="352"/>
      <c r="AS272" s="352"/>
      <c r="AT272" s="352"/>
      <c r="AU272" s="352"/>
      <c r="AV272" s="352"/>
      <c r="AW272" s="352"/>
      <c r="AX272" s="352"/>
      <c r="AY272" s="352"/>
      <c r="AZ272" s="352"/>
      <c r="BA272" s="352"/>
      <c r="BB272" s="352"/>
      <c r="BC272" s="352"/>
      <c r="BD272" s="352"/>
      <c r="BE272" s="352"/>
      <c r="BF272" s="352"/>
      <c r="BG272" s="352"/>
      <c r="BH272" s="352"/>
      <c r="BI272" s="352"/>
      <c r="BJ272" s="352"/>
      <c r="BK272" s="352"/>
      <c r="BL272" s="470"/>
      <c r="BM272" s="339"/>
      <c r="BN272" s="339"/>
      <c r="BO272" s="182"/>
      <c r="BP272" s="182"/>
      <c r="BQ272" s="182"/>
      <c r="BR272" s="182"/>
      <c r="BS272" s="182"/>
      <c r="BT272" s="182"/>
      <c r="BU272" s="182"/>
      <c r="BV272" s="182"/>
      <c r="BW272" s="182"/>
      <c r="BX272" s="182"/>
      <c r="BY272" s="182"/>
      <c r="BZ272" s="182"/>
      <c r="CA272" s="182"/>
      <c r="CB272" s="182"/>
      <c r="CC272" s="182"/>
      <c r="CD272" s="182"/>
      <c r="CE272" s="182"/>
      <c r="CF272" s="182"/>
      <c r="CG272" s="182"/>
      <c r="CH272" s="182"/>
      <c r="CI272" s="182"/>
      <c r="CJ272" s="182"/>
      <c r="CK272" s="182"/>
      <c r="CL272" s="680"/>
      <c r="CM272" s="681"/>
      <c r="CN272" s="682"/>
    </row>
    <row r="273" spans="1:92">
      <c r="A273" s="181" t="s">
        <v>396</v>
      </c>
      <c r="B273" s="302" t="s">
        <v>100</v>
      </c>
      <c r="C273" s="320"/>
      <c r="D273" s="320"/>
      <c r="E273" s="182" t="s">
        <v>100</v>
      </c>
      <c r="F273" s="320"/>
      <c r="G273" s="182" t="s">
        <v>100</v>
      </c>
      <c r="H273" s="302" t="s">
        <v>100</v>
      </c>
      <c r="I273" s="182" t="s">
        <v>100</v>
      </c>
      <c r="J273" s="302" t="s">
        <v>100</v>
      </c>
      <c r="K273" s="182" t="s">
        <v>100</v>
      </c>
      <c r="L273" s="182" t="s">
        <v>100</v>
      </c>
      <c r="M273" s="182"/>
      <c r="N273" s="182"/>
      <c r="O273" s="320"/>
      <c r="P273" s="182" t="s">
        <v>100</v>
      </c>
      <c r="Q273" s="302" t="s">
        <v>100</v>
      </c>
      <c r="R273" s="182"/>
      <c r="S273" s="182"/>
      <c r="T273" s="182"/>
      <c r="U273" s="182"/>
      <c r="V273" s="182"/>
      <c r="W273" s="182"/>
      <c r="X273" s="182"/>
      <c r="Y273" s="182"/>
      <c r="Z273" s="182"/>
      <c r="AA273" s="182"/>
      <c r="AB273" s="182"/>
      <c r="AC273" s="182"/>
      <c r="AD273" s="182"/>
      <c r="AE273" s="182"/>
      <c r="AF273" s="182"/>
      <c r="AG273" s="182"/>
      <c r="AH273" s="182"/>
      <c r="AI273" s="182"/>
      <c r="AJ273" s="167">
        <f t="shared" ref="AJ273:AJ275" si="55">COUNTIF(B273:AI273,"x")</f>
        <v>10</v>
      </c>
      <c r="AK273" s="493" t="str">
        <f>HYPERLINK("https://www.instagram.com/p/BNWyGu5FLOu/","Instagram")</f>
        <v>Instagram</v>
      </c>
      <c r="AL273" s="186">
        <v>42702</v>
      </c>
      <c r="AM273" s="187"/>
      <c r="AN273" s="187"/>
      <c r="AO273" s="187"/>
      <c r="AP273" s="187"/>
      <c r="AQ273" s="187"/>
      <c r="AR273" s="187"/>
      <c r="AS273" s="187"/>
      <c r="AT273" s="187"/>
      <c r="AU273" s="187"/>
      <c r="AV273" s="187"/>
      <c r="AW273" s="187"/>
      <c r="AX273" s="187"/>
      <c r="AY273" s="187"/>
      <c r="AZ273" s="187"/>
      <c r="BA273" s="187"/>
      <c r="BB273" s="187"/>
      <c r="BC273" s="187"/>
      <c r="BD273" s="187"/>
      <c r="BE273" s="187"/>
      <c r="BF273" s="187"/>
      <c r="BG273" s="187"/>
      <c r="BH273" s="187"/>
      <c r="BI273" s="187"/>
      <c r="BJ273" s="187"/>
      <c r="BK273" s="187"/>
      <c r="BL273" s="273"/>
      <c r="BM273" s="167"/>
      <c r="BN273" s="167"/>
      <c r="BO273" s="644"/>
      <c r="BP273" s="644"/>
      <c r="BQ273" s="644"/>
      <c r="BR273" s="644"/>
      <c r="BS273" s="644"/>
      <c r="BT273" s="644"/>
      <c r="BU273" s="644"/>
      <c r="BV273" s="644"/>
      <c r="BW273" s="644"/>
      <c r="BX273" s="644"/>
      <c r="BY273" s="644"/>
      <c r="BZ273" s="644"/>
      <c r="CA273" s="644"/>
      <c r="CB273" s="644"/>
      <c r="CC273" s="644"/>
      <c r="CD273" s="644"/>
      <c r="CE273" s="644"/>
      <c r="CF273" s="644"/>
      <c r="CG273" s="644"/>
      <c r="CH273" s="644"/>
      <c r="CI273" s="644"/>
      <c r="CJ273" s="644"/>
      <c r="CK273" s="644"/>
      <c r="CL273" s="680"/>
      <c r="CM273" s="681"/>
      <c r="CN273" s="682"/>
    </row>
    <row r="274" spans="1:92" s="344" customFormat="1">
      <c r="A274" s="335" t="s">
        <v>654</v>
      </c>
      <c r="B274" s="182" t="s">
        <v>100</v>
      </c>
      <c r="C274" s="302" t="s">
        <v>100</v>
      </c>
      <c r="D274" s="302" t="s">
        <v>100</v>
      </c>
      <c r="E274" s="182" t="s">
        <v>100</v>
      </c>
      <c r="F274" s="182" t="s">
        <v>100</v>
      </c>
      <c r="G274" s="182"/>
      <c r="H274" s="302" t="s">
        <v>100</v>
      </c>
      <c r="I274" s="320"/>
      <c r="J274" s="320"/>
      <c r="K274" s="182"/>
      <c r="L274" s="182" t="s">
        <v>100</v>
      </c>
      <c r="M274" s="182"/>
      <c r="N274" s="182" t="s">
        <v>100</v>
      </c>
      <c r="O274" s="182"/>
      <c r="P274" s="320"/>
      <c r="Q274" s="182" t="s">
        <v>100</v>
      </c>
      <c r="R274" s="182"/>
      <c r="S274" s="182"/>
      <c r="T274" s="302" t="s">
        <v>100</v>
      </c>
      <c r="U274" s="182"/>
      <c r="V274" s="182"/>
      <c r="W274" s="182"/>
      <c r="X274" s="182"/>
      <c r="Y274" s="182"/>
      <c r="Z274" s="182"/>
      <c r="AA274" s="182"/>
      <c r="AB274" s="182"/>
      <c r="AC274" s="182"/>
      <c r="AD274" s="182"/>
      <c r="AE274" s="182"/>
      <c r="AF274" s="182"/>
      <c r="AG274" s="182"/>
      <c r="AH274" s="182"/>
      <c r="AI274" s="182"/>
      <c r="AJ274" s="167">
        <f t="shared" si="55"/>
        <v>10</v>
      </c>
      <c r="AK274" s="493" t="str">
        <f>HYPERLINK("https://twitter.com/berniewilson/status/812391073481834496","Twitter")</f>
        <v>Twitter</v>
      </c>
      <c r="AL274" s="341">
        <v>42727</v>
      </c>
      <c r="AM274" s="352"/>
      <c r="AN274" s="352"/>
      <c r="AO274" s="352"/>
      <c r="AP274" s="352"/>
      <c r="AQ274" s="352"/>
      <c r="AR274" s="352"/>
      <c r="AS274" s="352"/>
      <c r="AT274" s="352"/>
      <c r="AU274" s="352"/>
      <c r="AV274" s="352"/>
      <c r="AW274" s="352"/>
      <c r="AX274" s="352"/>
      <c r="AY274" s="352"/>
      <c r="AZ274" s="352"/>
      <c r="BA274" s="352"/>
      <c r="BB274" s="352"/>
      <c r="BC274" s="352"/>
      <c r="BD274" s="352"/>
      <c r="BE274" s="352"/>
      <c r="BF274" s="352"/>
      <c r="BG274" s="352"/>
      <c r="BH274" s="352"/>
      <c r="BI274" s="352"/>
      <c r="BJ274" s="352"/>
      <c r="BK274" s="352"/>
      <c r="BL274" s="470"/>
      <c r="BM274" s="339"/>
      <c r="BN274" s="339"/>
      <c r="BO274" s="182"/>
      <c r="BP274" s="182"/>
      <c r="BQ274" s="182"/>
      <c r="BR274" s="182"/>
      <c r="BS274" s="182"/>
      <c r="BT274" s="182"/>
      <c r="BU274" s="182"/>
      <c r="BV274" s="182"/>
      <c r="BW274" s="182"/>
      <c r="BX274" s="182"/>
      <c r="BY274" s="182"/>
      <c r="BZ274" s="182"/>
      <c r="CA274" s="182"/>
      <c r="CB274" s="182"/>
      <c r="CC274" s="182"/>
      <c r="CD274" s="182"/>
      <c r="CE274" s="182"/>
      <c r="CF274" s="182"/>
      <c r="CG274" s="182"/>
      <c r="CH274" s="182"/>
      <c r="CI274" s="182"/>
      <c r="CJ274" s="182"/>
      <c r="CK274" s="182"/>
      <c r="CL274" s="680" t="s">
        <v>655</v>
      </c>
      <c r="CM274" s="681"/>
      <c r="CN274" s="682"/>
    </row>
    <row r="275" spans="1:92" s="344" customFormat="1">
      <c r="A275" s="335" t="s">
        <v>401</v>
      </c>
      <c r="B275" s="302" t="s">
        <v>100</v>
      </c>
      <c r="C275" s="182" t="s">
        <v>100</v>
      </c>
      <c r="D275" s="182" t="s">
        <v>100</v>
      </c>
      <c r="E275" s="182" t="s">
        <v>100</v>
      </c>
      <c r="F275" s="182"/>
      <c r="G275" s="182"/>
      <c r="H275" s="182"/>
      <c r="I275" s="182"/>
      <c r="J275" s="182"/>
      <c r="K275" s="182"/>
      <c r="L275" s="182" t="s">
        <v>100</v>
      </c>
      <c r="M275" s="182" t="s">
        <v>100</v>
      </c>
      <c r="N275" s="182" t="s">
        <v>100</v>
      </c>
      <c r="O275" s="182"/>
      <c r="P275" s="182"/>
      <c r="Q275" s="182"/>
      <c r="R275" s="182" t="s">
        <v>100</v>
      </c>
      <c r="S275" s="182"/>
      <c r="T275" s="182"/>
      <c r="U275" s="182"/>
      <c r="V275" s="182"/>
      <c r="W275" s="182"/>
      <c r="X275" s="182"/>
      <c r="Y275" s="182"/>
      <c r="Z275" s="182"/>
      <c r="AA275" s="182"/>
      <c r="AB275" s="182"/>
      <c r="AC275" s="182"/>
      <c r="AD275" s="182"/>
      <c r="AE275" s="182"/>
      <c r="AF275" s="182"/>
      <c r="AG275" s="182"/>
      <c r="AH275" s="182"/>
      <c r="AI275" s="182"/>
      <c r="AJ275" s="167">
        <f t="shared" si="55"/>
        <v>8</v>
      </c>
      <c r="AK275" s="483" t="s">
        <v>113</v>
      </c>
      <c r="AL275" s="341">
        <v>42734</v>
      </c>
      <c r="AM275" s="352"/>
      <c r="AN275" s="352"/>
      <c r="AO275" s="352"/>
      <c r="AP275" s="352"/>
      <c r="AQ275" s="352"/>
      <c r="AR275" s="352"/>
      <c r="AS275" s="352"/>
      <c r="AT275" s="352"/>
      <c r="AU275" s="352"/>
      <c r="AV275" s="352"/>
      <c r="AW275" s="352"/>
      <c r="AX275" s="352"/>
      <c r="AY275" s="352"/>
      <c r="AZ275" s="352"/>
      <c r="BA275" s="352"/>
      <c r="BB275" s="352"/>
      <c r="BC275" s="352"/>
      <c r="BD275" s="352"/>
      <c r="BE275" s="352"/>
      <c r="BF275" s="352"/>
      <c r="BG275" s="352"/>
      <c r="BH275" s="352"/>
      <c r="BI275" s="352"/>
      <c r="BJ275" s="352"/>
      <c r="BK275" s="352"/>
      <c r="BL275" s="470"/>
      <c r="BM275" s="339"/>
      <c r="BN275" s="339"/>
      <c r="BO275" s="182"/>
      <c r="BP275" s="182"/>
      <c r="BQ275" s="182"/>
      <c r="BR275" s="182"/>
      <c r="BS275" s="182"/>
      <c r="BT275" s="182"/>
      <c r="BU275" s="182"/>
      <c r="BV275" s="182"/>
      <c r="BW275" s="182"/>
      <c r="BX275" s="182"/>
      <c r="BY275" s="182"/>
      <c r="BZ275" s="182"/>
      <c r="CA275" s="182"/>
      <c r="CB275" s="182"/>
      <c r="CC275" s="182"/>
      <c r="CD275" s="182"/>
      <c r="CE275" s="182"/>
      <c r="CF275" s="182"/>
      <c r="CG275" s="182"/>
      <c r="CH275" s="182"/>
      <c r="CI275" s="182"/>
      <c r="CJ275" s="182"/>
      <c r="CK275" s="182"/>
      <c r="CL275" s="618"/>
      <c r="CM275" s="619"/>
      <c r="CN275" s="620"/>
    </row>
    <row r="276" spans="1:92" s="344" customFormat="1">
      <c r="A276" s="335" t="s">
        <v>474</v>
      </c>
      <c r="B276" s="182"/>
      <c r="C276" s="182"/>
      <c r="D276" s="182"/>
      <c r="E276" s="182" t="s">
        <v>100</v>
      </c>
      <c r="F276" s="182"/>
      <c r="G276" s="182"/>
      <c r="H276" s="182" t="s">
        <v>100</v>
      </c>
      <c r="I276" s="182"/>
      <c r="J276" s="182" t="s">
        <v>100</v>
      </c>
      <c r="K276" s="182"/>
      <c r="L276" s="302" t="s">
        <v>100</v>
      </c>
      <c r="M276" s="182"/>
      <c r="N276" s="182"/>
      <c r="O276" s="182" t="s">
        <v>100</v>
      </c>
      <c r="P276" s="182"/>
      <c r="Q276" s="182"/>
      <c r="R276" s="182"/>
      <c r="S276" s="182"/>
      <c r="T276" s="182"/>
      <c r="U276" s="182"/>
      <c r="V276" s="182"/>
      <c r="W276" s="182"/>
      <c r="X276" s="182"/>
      <c r="Y276" s="182"/>
      <c r="Z276" s="182"/>
      <c r="AA276" s="182"/>
      <c r="AB276" s="182"/>
      <c r="AC276" s="182"/>
      <c r="AD276" s="182"/>
      <c r="AE276" s="182"/>
      <c r="AF276" s="182"/>
      <c r="AG276" s="182"/>
      <c r="AH276" s="182"/>
      <c r="AI276" s="182"/>
      <c r="AJ276" s="339">
        <f t="shared" si="37"/>
        <v>5</v>
      </c>
      <c r="AK276" s="493" t="str">
        <f>HYPERLINK("https://twitter.com/GDubCub/status/811608983643549696","Twitter")</f>
        <v>Twitter</v>
      </c>
      <c r="AL276" s="341">
        <v>42725</v>
      </c>
      <c r="AM276" s="352"/>
      <c r="AN276" s="352"/>
      <c r="AO276" s="352"/>
      <c r="AP276" s="352"/>
      <c r="AQ276" s="352"/>
      <c r="AR276" s="352"/>
      <c r="AS276" s="352"/>
      <c r="AT276" s="352"/>
      <c r="AU276" s="352"/>
      <c r="AV276" s="352"/>
      <c r="AW276" s="352"/>
      <c r="AX276" s="352"/>
      <c r="AY276" s="352"/>
      <c r="AZ276" s="352"/>
      <c r="BA276" s="352"/>
      <c r="BB276" s="352"/>
      <c r="BC276" s="352"/>
      <c r="BD276" s="352"/>
      <c r="BE276" s="352"/>
      <c r="BF276" s="352"/>
      <c r="BG276" s="352"/>
      <c r="BH276" s="352"/>
      <c r="BI276" s="352"/>
      <c r="BJ276" s="352"/>
      <c r="BK276" s="352"/>
      <c r="BL276" s="470"/>
      <c r="BM276" s="339"/>
      <c r="BN276" s="339"/>
      <c r="BO276" s="182"/>
      <c r="BP276" s="182"/>
      <c r="BQ276" s="182"/>
      <c r="BR276" s="182"/>
      <c r="BS276" s="182"/>
      <c r="BT276" s="182"/>
      <c r="BU276" s="182"/>
      <c r="BV276" s="182"/>
      <c r="BW276" s="182"/>
      <c r="BX276" s="182"/>
      <c r="BY276" s="182"/>
      <c r="BZ276" s="182"/>
      <c r="CA276" s="182"/>
      <c r="CB276" s="182"/>
      <c r="CC276" s="182"/>
      <c r="CD276" s="182"/>
      <c r="CE276" s="182"/>
      <c r="CF276" s="182"/>
      <c r="CG276" s="182"/>
      <c r="CH276" s="182"/>
      <c r="CI276" s="182"/>
      <c r="CJ276" s="182"/>
      <c r="CK276" s="182"/>
      <c r="CL276" s="680"/>
      <c r="CM276" s="681"/>
      <c r="CN276" s="682"/>
    </row>
    <row r="277" spans="1:92" ht="30" customHeight="1">
      <c r="A277" s="178"/>
      <c r="B277" s="777" t="s">
        <v>402</v>
      </c>
      <c r="C277" s="778"/>
      <c r="D277" s="778"/>
      <c r="E277" s="419">
        <f>COUNTA(A277:A342)</f>
        <v>64</v>
      </c>
      <c r="F277" s="774" t="s">
        <v>404</v>
      </c>
      <c r="G277" s="775"/>
      <c r="H277" s="775"/>
      <c r="I277" s="775"/>
      <c r="J277" s="775"/>
      <c r="K277" s="775"/>
      <c r="L277" s="775"/>
      <c r="M277" s="775"/>
      <c r="N277" s="775"/>
      <c r="O277" s="775"/>
      <c r="P277" s="775"/>
      <c r="Q277" s="775"/>
      <c r="R277" s="775"/>
      <c r="S277" s="775"/>
      <c r="T277" s="775"/>
      <c r="U277" s="775"/>
      <c r="V277" s="775"/>
      <c r="W277" s="775"/>
      <c r="X277" s="775"/>
      <c r="Y277" s="775"/>
      <c r="Z277" s="775"/>
      <c r="AA277" s="775"/>
      <c r="AB277" s="775"/>
      <c r="AC277" s="775"/>
      <c r="AD277" s="775"/>
      <c r="AE277" s="775"/>
      <c r="AF277" s="775"/>
      <c r="AG277" s="775"/>
      <c r="AH277" s="775"/>
      <c r="AI277" s="776"/>
      <c r="AJ277" s="193"/>
      <c r="AK277" s="428"/>
      <c r="AL277" s="194"/>
      <c r="AM277" s="194"/>
      <c r="AN277" s="187">
        <f>IF(B277=1,0,0)</f>
        <v>0</v>
      </c>
      <c r="AO277" s="187">
        <f>IF(D277=1,13,0)</f>
        <v>0</v>
      </c>
      <c r="AP277" s="187">
        <f>IF(E277=1,8,0)</f>
        <v>0</v>
      </c>
      <c r="AQ277" s="187">
        <f>IF(G277=1,8,0)</f>
        <v>0</v>
      </c>
      <c r="AR277" s="187">
        <f t="shared" ref="AR277:AT341" si="56">IF(I277=1,0,0)</f>
        <v>0</v>
      </c>
      <c r="AS277" s="187">
        <f t="shared" si="56"/>
        <v>0</v>
      </c>
      <c r="AT277" s="187">
        <f t="shared" si="56"/>
        <v>0</v>
      </c>
      <c r="AU277" s="187">
        <f>IF(L277=1,19,0)</f>
        <v>0</v>
      </c>
      <c r="AV277" s="187">
        <f>IF(O277=1,13,0)</f>
        <v>0</v>
      </c>
      <c r="AW277" s="187">
        <f>IF(P277=1,0,0)</f>
        <v>0</v>
      </c>
      <c r="AX277" s="187">
        <f>IF(Q277=1,3,0)</f>
        <v>0</v>
      </c>
      <c r="AY277" s="187">
        <f>IF(S277=1,8,0)</f>
        <v>0</v>
      </c>
      <c r="AZ277" s="187">
        <f>IF(T277=1,4,0)</f>
        <v>0</v>
      </c>
      <c r="BA277" s="187">
        <f>IF(U277=1,2,0)</f>
        <v>0</v>
      </c>
      <c r="BB277" s="187">
        <f>IF(W277=1,8,0)</f>
        <v>0</v>
      </c>
      <c r="BC277" s="187">
        <f>IF(X277=1,16,0)</f>
        <v>0</v>
      </c>
      <c r="BD277" s="187">
        <f>IF(Y277=1,13,0)</f>
        <v>0</v>
      </c>
      <c r="BE277" s="187">
        <f>IF(Z277=1,10,0)</f>
        <v>0</v>
      </c>
      <c r="BF277" s="187">
        <f>IF(AA277=1,2,0)</f>
        <v>0</v>
      </c>
      <c r="BG277" s="187">
        <f>IF(AB277=1,6,0)</f>
        <v>0</v>
      </c>
      <c r="BH277" s="187">
        <f>IF(AC277=1,1,0)</f>
        <v>0</v>
      </c>
      <c r="BI277" s="187">
        <f t="shared" ref="BI277:BI341" si="57">IF(AF277=1,8,0)</f>
        <v>0</v>
      </c>
      <c r="BJ277" s="187">
        <f t="shared" ref="BJ277:BJ341" si="58">IF(AH277=1,2,0)</f>
        <v>0</v>
      </c>
      <c r="BK277" s="187">
        <f t="shared" ref="BK277:BK341" si="59">IF(AI277=1,3,0)</f>
        <v>0</v>
      </c>
      <c r="BL277" s="273">
        <f t="shared" ref="BL277:BL341" si="60">LARGE(AN277:BK277,1)+LARGE(AN277:BK277,2)+LARGE(AN277:BK277,3)+LARGE(AN277:BK277,4)+LARGE(AN277:BK277,5)+LARGE(AN277:BK277,6)+LARGE(AN277:BK277,7)+LARGE(AN277:BK277,8)</f>
        <v>0</v>
      </c>
      <c r="BM277" s="641"/>
      <c r="BN277" s="195"/>
      <c r="BO277" s="641"/>
      <c r="BP277" s="641"/>
      <c r="BQ277" s="641"/>
      <c r="BR277" s="641"/>
      <c r="BS277" s="641"/>
      <c r="BT277" s="641"/>
      <c r="BU277" s="641"/>
      <c r="BV277" s="641"/>
      <c r="BW277" s="641"/>
      <c r="BX277" s="641"/>
      <c r="BY277" s="641"/>
      <c r="BZ277" s="641"/>
      <c r="CA277" s="641"/>
      <c r="CB277" s="641"/>
      <c r="CC277" s="641"/>
      <c r="CD277" s="641"/>
      <c r="CE277" s="641"/>
      <c r="CF277" s="641"/>
      <c r="CG277" s="641"/>
      <c r="CH277" s="641"/>
      <c r="CI277" s="641"/>
      <c r="CJ277" s="641"/>
      <c r="CK277" s="641"/>
      <c r="CL277" s="301"/>
      <c r="CM277" s="641"/>
      <c r="CN277" s="639"/>
    </row>
    <row r="278" spans="1:92" s="344" customFormat="1">
      <c r="A278" s="374" t="s">
        <v>405</v>
      </c>
      <c r="B278" s="189" t="s">
        <v>100</v>
      </c>
      <c r="C278" s="189"/>
      <c r="D278" s="189"/>
      <c r="E278" s="189" t="s">
        <v>100</v>
      </c>
      <c r="F278" s="189" t="s">
        <v>100</v>
      </c>
      <c r="G278" s="189"/>
      <c r="H278" s="189"/>
      <c r="I278" s="189"/>
      <c r="J278" s="189" t="s">
        <v>100</v>
      </c>
      <c r="K278" s="189"/>
      <c r="L278" s="189" t="s">
        <v>100</v>
      </c>
      <c r="M278" s="189"/>
      <c r="N278" s="189"/>
      <c r="O278" s="189" t="s">
        <v>100</v>
      </c>
      <c r="P278" s="189"/>
      <c r="Q278" s="189" t="s">
        <v>100</v>
      </c>
      <c r="R278" s="189"/>
      <c r="S278" s="189" t="s">
        <v>100</v>
      </c>
      <c r="T278" s="189"/>
      <c r="U278" s="189"/>
      <c r="V278" s="189"/>
      <c r="W278" s="189"/>
      <c r="X278" s="189"/>
      <c r="Y278" s="189"/>
      <c r="Z278" s="189"/>
      <c r="AA278" s="189"/>
      <c r="AB278" s="189"/>
      <c r="AC278" s="189"/>
      <c r="AD278" s="189"/>
      <c r="AE278" s="189"/>
      <c r="AF278" s="189"/>
      <c r="AG278" s="189"/>
      <c r="AH278" s="189"/>
      <c r="AI278" s="189"/>
      <c r="AJ278" s="339">
        <f t="shared" ref="AJ278:AJ318" si="61">COUNTIF(B278:AI278,"x")</f>
        <v>8</v>
      </c>
      <c r="AK278" s="509" t="str">
        <f>HYPERLINK("https://twitter.com/Toquesdebola/status/821898884620259329","Twitter")</f>
        <v>Twitter</v>
      </c>
      <c r="AL278" s="370">
        <v>42753</v>
      </c>
      <c r="AM278" s="352"/>
      <c r="AN278" s="187">
        <f>IF(B278=1,0,0)</f>
        <v>0</v>
      </c>
      <c r="AO278" s="187">
        <f>IF(D278=1,13,0)</f>
        <v>0</v>
      </c>
      <c r="AP278" s="187">
        <f>IF(E278=1,8,0)</f>
        <v>0</v>
      </c>
      <c r="AQ278" s="187">
        <f>IF(G278=1,8,0)</f>
        <v>0</v>
      </c>
      <c r="AR278" s="187">
        <f t="shared" ref="AR278:AR318" si="62">IF(I278=1,0,0)</f>
        <v>0</v>
      </c>
      <c r="AS278" s="187">
        <f t="shared" ref="AS278:AS318" si="63">IF(J278=1,0,0)</f>
        <v>0</v>
      </c>
      <c r="AT278" s="187">
        <f t="shared" ref="AT278:AT318" si="64">IF(K278=1,0,0)</f>
        <v>0</v>
      </c>
      <c r="AU278" s="187">
        <f>IF(L278=1,19,0)</f>
        <v>0</v>
      </c>
      <c r="AV278" s="187">
        <f>IF(O278=1,13,0)</f>
        <v>0</v>
      </c>
      <c r="AW278" s="187">
        <f>IF(P278=1,0,0)</f>
        <v>0</v>
      </c>
      <c r="AX278" s="187">
        <f>IF(Q278=1,3,0)</f>
        <v>0</v>
      </c>
      <c r="AY278" s="187">
        <f>IF(S278=1,8,0)</f>
        <v>0</v>
      </c>
      <c r="AZ278" s="187">
        <f>IF(T278=1,4,0)</f>
        <v>0</v>
      </c>
      <c r="BA278" s="187">
        <f>IF(U278=1,2,0)</f>
        <v>0</v>
      </c>
      <c r="BB278" s="187">
        <f>IF(W278=1,8,0)</f>
        <v>0</v>
      </c>
      <c r="BC278" s="187">
        <f>IF(X278=1,16,0)</f>
        <v>0</v>
      </c>
      <c r="BD278" s="187">
        <f>IF(Y278=1,13,0)</f>
        <v>0</v>
      </c>
      <c r="BE278" s="187">
        <f>IF(Z278=1,10,0)</f>
        <v>0</v>
      </c>
      <c r="BF278" s="187">
        <f>IF(AA278=1,2,0)</f>
        <v>0</v>
      </c>
      <c r="BG278" s="187">
        <f>IF(AB278=1,6,0)</f>
        <v>0</v>
      </c>
      <c r="BH278" s="187">
        <f>IF(AC278=1,1,0)</f>
        <v>0</v>
      </c>
      <c r="BI278" s="187">
        <f t="shared" ref="BI278:BI318" si="65">IF(AF278=1,8,0)</f>
        <v>0</v>
      </c>
      <c r="BJ278" s="187">
        <f t="shared" ref="BJ278:BJ318" si="66">IF(AH278=1,2,0)</f>
        <v>0</v>
      </c>
      <c r="BK278" s="187">
        <f t="shared" ref="BK278:BK318" si="67">IF(AI278=1,3,0)</f>
        <v>0</v>
      </c>
      <c r="BL278" s="273">
        <f t="shared" ref="BL278:BL318" si="68">LARGE(AN278:BK278,1)+LARGE(AN278:BK278,2)+LARGE(AN278:BK278,3)+LARGE(AN278:BK278,4)+LARGE(AN278:BK278,5)+LARGE(AN278:BK278,6)+LARGE(AN278:BK278,7)+LARGE(AN278:BK278,8)</f>
        <v>0</v>
      </c>
      <c r="BM278" s="339">
        <f t="shared" ref="BM278:BM318" si="69">BL278</f>
        <v>0</v>
      </c>
      <c r="BN278" s="339"/>
      <c r="BO278" s="182"/>
      <c r="BP278" s="182"/>
      <c r="BQ278" s="182"/>
      <c r="BR278" s="182"/>
      <c r="BS278" s="182"/>
      <c r="BT278" s="182"/>
      <c r="BU278" s="182"/>
      <c r="BV278" s="182"/>
      <c r="BW278" s="182"/>
      <c r="BX278" s="182"/>
      <c r="BY278" s="182"/>
      <c r="BZ278" s="182"/>
      <c r="CA278" s="182"/>
      <c r="CB278" s="182"/>
      <c r="CC278" s="182"/>
      <c r="CD278" s="182"/>
      <c r="CE278" s="182"/>
      <c r="CF278" s="182"/>
      <c r="CG278" s="182"/>
      <c r="CH278" s="182"/>
      <c r="CI278" s="182"/>
      <c r="CJ278" s="182"/>
      <c r="CK278" s="182"/>
      <c r="CL278" s="680"/>
      <c r="CM278" s="681"/>
      <c r="CN278" s="682"/>
    </row>
    <row r="279" spans="1:92" s="344" customFormat="1">
      <c r="A279" s="374" t="s">
        <v>656</v>
      </c>
      <c r="B279" s="366" t="s">
        <v>100</v>
      </c>
      <c r="C279" s="189"/>
      <c r="D279" s="366" t="s">
        <v>100</v>
      </c>
      <c r="E279" s="189"/>
      <c r="F279" s="189" t="s">
        <v>100</v>
      </c>
      <c r="G279" s="189"/>
      <c r="H279" s="189" t="s">
        <v>100</v>
      </c>
      <c r="I279" s="189"/>
      <c r="J279" s="366" t="s">
        <v>100</v>
      </c>
      <c r="K279" s="189"/>
      <c r="L279" s="189" t="s">
        <v>100</v>
      </c>
      <c r="M279" s="189" t="s">
        <v>100</v>
      </c>
      <c r="N279" s="189" t="s">
        <v>100</v>
      </c>
      <c r="O279" s="189"/>
      <c r="P279" s="189"/>
      <c r="Q279" s="367"/>
      <c r="R279" s="189"/>
      <c r="S279" s="189"/>
      <c r="T279" s="189"/>
      <c r="U279" s="189"/>
      <c r="V279" s="189"/>
      <c r="W279" s="189"/>
      <c r="X279" s="189"/>
      <c r="Y279" s="189"/>
      <c r="Z279" s="189"/>
      <c r="AA279" s="189"/>
      <c r="AB279" s="189"/>
      <c r="AC279" s="189"/>
      <c r="AD279" s="189"/>
      <c r="AE279" s="189"/>
      <c r="AF279" s="189"/>
      <c r="AG279" s="189"/>
      <c r="AH279" s="189"/>
      <c r="AI279" s="189"/>
      <c r="AJ279" s="339">
        <f t="shared" ref="AJ279:AJ282" si="70">COUNTIF(B279:AI279,"x")</f>
        <v>8</v>
      </c>
      <c r="AK279" s="510" t="s">
        <v>657</v>
      </c>
      <c r="AL279" s="370">
        <v>42754</v>
      </c>
      <c r="AM279" s="352"/>
      <c r="AN279" s="352"/>
      <c r="AO279" s="352"/>
      <c r="AP279" s="352"/>
      <c r="AQ279" s="352"/>
      <c r="AR279" s="352"/>
      <c r="AS279" s="352"/>
      <c r="AT279" s="352"/>
      <c r="AU279" s="352"/>
      <c r="AV279" s="352"/>
      <c r="AW279" s="352"/>
      <c r="AX279" s="352"/>
      <c r="AY279" s="352"/>
      <c r="AZ279" s="352"/>
      <c r="BA279" s="352"/>
      <c r="BB279" s="352"/>
      <c r="BC279" s="352"/>
      <c r="BD279" s="352"/>
      <c r="BE279" s="352"/>
      <c r="BF279" s="352"/>
      <c r="BG279" s="352"/>
      <c r="BH279" s="352"/>
      <c r="BI279" s="352"/>
      <c r="BJ279" s="352"/>
      <c r="BK279" s="352"/>
      <c r="BL279" s="470"/>
      <c r="BM279" s="339"/>
      <c r="BN279" s="339"/>
      <c r="BO279" s="182"/>
      <c r="BP279" s="182"/>
      <c r="BQ279" s="182"/>
      <c r="BR279" s="182"/>
      <c r="BS279" s="182"/>
      <c r="BT279" s="182"/>
      <c r="BU279" s="182"/>
      <c r="BV279" s="182"/>
      <c r="BW279" s="182"/>
      <c r="BX279" s="182"/>
      <c r="BY279" s="182"/>
      <c r="BZ279" s="182"/>
      <c r="CA279" s="182"/>
      <c r="CB279" s="182"/>
      <c r="CC279" s="182"/>
      <c r="CD279" s="182"/>
      <c r="CE279" s="182"/>
      <c r="CF279" s="182"/>
      <c r="CG279" s="182"/>
      <c r="CH279" s="182"/>
      <c r="CI279" s="182"/>
      <c r="CJ279" s="182"/>
      <c r="CK279" s="182"/>
      <c r="CL279" s="680"/>
      <c r="CM279" s="681"/>
      <c r="CN279" s="682"/>
    </row>
    <row r="280" spans="1:92" s="344" customFormat="1">
      <c r="A280" s="374" t="s">
        <v>106</v>
      </c>
      <c r="B280" s="189" t="s">
        <v>100</v>
      </c>
      <c r="C280" s="366" t="s">
        <v>100</v>
      </c>
      <c r="D280" s="366" t="s">
        <v>100</v>
      </c>
      <c r="E280" s="189" t="s">
        <v>100</v>
      </c>
      <c r="F280" s="189" t="s">
        <v>100</v>
      </c>
      <c r="G280" s="367"/>
      <c r="H280" s="189" t="s">
        <v>100</v>
      </c>
      <c r="I280" s="189"/>
      <c r="J280" s="189" t="s">
        <v>100</v>
      </c>
      <c r="K280" s="189"/>
      <c r="L280" s="189" t="s">
        <v>100</v>
      </c>
      <c r="M280" s="189"/>
      <c r="N280" s="189" t="s">
        <v>100</v>
      </c>
      <c r="O280" s="189" t="s">
        <v>100</v>
      </c>
      <c r="P280" s="189"/>
      <c r="Q280" s="189"/>
      <c r="R280" s="189"/>
      <c r="S280" s="189"/>
      <c r="T280" s="189"/>
      <c r="U280" s="189"/>
      <c r="V280" s="189"/>
      <c r="W280" s="189"/>
      <c r="X280" s="189"/>
      <c r="Y280" s="189"/>
      <c r="Z280" s="189"/>
      <c r="AA280" s="189"/>
      <c r="AB280" s="189"/>
      <c r="AC280" s="189"/>
      <c r="AD280" s="189"/>
      <c r="AE280" s="189"/>
      <c r="AF280" s="189"/>
      <c r="AG280" s="189"/>
      <c r="AH280" s="189"/>
      <c r="AI280" s="189"/>
      <c r="AJ280" s="339">
        <f t="shared" si="70"/>
        <v>10</v>
      </c>
      <c r="AK280" s="510" t="s">
        <v>657</v>
      </c>
      <c r="AL280" s="370">
        <v>42754</v>
      </c>
      <c r="AM280" s="352"/>
      <c r="AN280" s="352"/>
      <c r="AO280" s="352"/>
      <c r="AP280" s="352"/>
      <c r="AQ280" s="352"/>
      <c r="AR280" s="352"/>
      <c r="AS280" s="352"/>
      <c r="AT280" s="352"/>
      <c r="AU280" s="352"/>
      <c r="AV280" s="352"/>
      <c r="AW280" s="352"/>
      <c r="AX280" s="352"/>
      <c r="AY280" s="352"/>
      <c r="AZ280" s="352"/>
      <c r="BA280" s="352"/>
      <c r="BB280" s="352"/>
      <c r="BC280" s="352"/>
      <c r="BD280" s="352"/>
      <c r="BE280" s="352"/>
      <c r="BF280" s="352"/>
      <c r="BG280" s="352"/>
      <c r="BH280" s="352"/>
      <c r="BI280" s="352"/>
      <c r="BJ280" s="352"/>
      <c r="BK280" s="352"/>
      <c r="BL280" s="470"/>
      <c r="BM280" s="339"/>
      <c r="BN280" s="339"/>
      <c r="BO280" s="182"/>
      <c r="BP280" s="182"/>
      <c r="BQ280" s="182"/>
      <c r="BR280" s="182"/>
      <c r="BS280" s="182"/>
      <c r="BT280" s="182"/>
      <c r="BU280" s="182"/>
      <c r="BV280" s="182"/>
      <c r="BW280" s="182"/>
      <c r="BX280" s="182"/>
      <c r="BY280" s="182"/>
      <c r="BZ280" s="182"/>
      <c r="CA280" s="182"/>
      <c r="CB280" s="182"/>
      <c r="CC280" s="182"/>
      <c r="CD280" s="182"/>
      <c r="CE280" s="182"/>
      <c r="CF280" s="182"/>
      <c r="CG280" s="182"/>
      <c r="CH280" s="182"/>
      <c r="CI280" s="182"/>
      <c r="CJ280" s="182"/>
      <c r="CK280" s="182"/>
      <c r="CL280" s="680"/>
      <c r="CM280" s="681"/>
      <c r="CN280" s="682"/>
    </row>
    <row r="281" spans="1:92" s="344" customFormat="1">
      <c r="A281" s="374" t="s">
        <v>658</v>
      </c>
      <c r="B281" s="189" t="s">
        <v>100</v>
      </c>
      <c r="C281" s="366" t="s">
        <v>100</v>
      </c>
      <c r="D281" s="189" t="s">
        <v>100</v>
      </c>
      <c r="E281" s="189"/>
      <c r="F281" s="189" t="s">
        <v>100</v>
      </c>
      <c r="G281" s="366" t="s">
        <v>100</v>
      </c>
      <c r="H281" s="189"/>
      <c r="I281" s="189"/>
      <c r="J281" s="189" t="s">
        <v>100</v>
      </c>
      <c r="K281" s="189"/>
      <c r="L281" s="189" t="s">
        <v>100</v>
      </c>
      <c r="M281" s="189"/>
      <c r="N281" s="189" t="s">
        <v>100</v>
      </c>
      <c r="O281" s="367"/>
      <c r="P281" s="189"/>
      <c r="Q281" s="366" t="s">
        <v>100</v>
      </c>
      <c r="R281" s="189"/>
      <c r="S281" s="189" t="s">
        <v>100</v>
      </c>
      <c r="T281" s="189"/>
      <c r="U281" s="189"/>
      <c r="V281" s="189"/>
      <c r="W281" s="189"/>
      <c r="X281" s="189"/>
      <c r="Y281" s="189"/>
      <c r="Z281" s="189"/>
      <c r="AA281" s="189"/>
      <c r="AB281" s="189"/>
      <c r="AC281" s="189"/>
      <c r="AD281" s="189"/>
      <c r="AE281" s="189"/>
      <c r="AF281" s="189"/>
      <c r="AG281" s="189"/>
      <c r="AH281" s="189"/>
      <c r="AI281" s="189"/>
      <c r="AJ281" s="339">
        <f t="shared" si="70"/>
        <v>10</v>
      </c>
      <c r="AK281" s="509" t="str">
        <f>HYPERLINK("https://twitter.com/dfbarron/status/821861030812860417","Twitter")</f>
        <v>Twitter</v>
      </c>
      <c r="AL281" s="370">
        <v>42753</v>
      </c>
      <c r="AM281" s="352"/>
      <c r="AN281" s="187">
        <f>IF(B281=1,0,0)</f>
        <v>0</v>
      </c>
      <c r="AO281" s="187">
        <f>IF(D281=1,13,0)</f>
        <v>0</v>
      </c>
      <c r="AP281" s="187">
        <f>IF(E281=1,8,0)</f>
        <v>0</v>
      </c>
      <c r="AQ281" s="187">
        <f>IF(G281=1,8,0)</f>
        <v>0</v>
      </c>
      <c r="AR281" s="187">
        <f t="shared" ref="AR281" si="71">IF(I281=1,0,0)</f>
        <v>0</v>
      </c>
      <c r="AS281" s="187">
        <f t="shared" ref="AS281" si="72">IF(J281=1,0,0)</f>
        <v>0</v>
      </c>
      <c r="AT281" s="187">
        <f t="shared" ref="AT281" si="73">IF(K281=1,0,0)</f>
        <v>0</v>
      </c>
      <c r="AU281" s="187">
        <f>IF(L281=1,19,0)</f>
        <v>0</v>
      </c>
      <c r="AV281" s="187">
        <f>IF(O281=1,13,0)</f>
        <v>0</v>
      </c>
      <c r="AW281" s="187">
        <f>IF(P281=1,0,0)</f>
        <v>0</v>
      </c>
      <c r="AX281" s="187">
        <f>IF(Q281=1,3,0)</f>
        <v>0</v>
      </c>
      <c r="AY281" s="187">
        <f>IF(S281=1,8,0)</f>
        <v>0</v>
      </c>
      <c r="AZ281" s="187">
        <f>IF(T281=1,4,0)</f>
        <v>0</v>
      </c>
      <c r="BA281" s="187">
        <f>IF(U281=1,2,0)</f>
        <v>0</v>
      </c>
      <c r="BB281" s="187">
        <f>IF(W281=1,8,0)</f>
        <v>0</v>
      </c>
      <c r="BC281" s="187">
        <f>IF(X281=1,16,0)</f>
        <v>0</v>
      </c>
      <c r="BD281" s="187">
        <f>IF(Y281=1,13,0)</f>
        <v>0</v>
      </c>
      <c r="BE281" s="187">
        <f>IF(Z281=1,10,0)</f>
        <v>0</v>
      </c>
      <c r="BF281" s="187">
        <f>IF(AA281=1,2,0)</f>
        <v>0</v>
      </c>
      <c r="BG281" s="187">
        <f>IF(AB281=1,6,0)</f>
        <v>0</v>
      </c>
      <c r="BH281" s="187">
        <f>IF(AC281=1,1,0)</f>
        <v>0</v>
      </c>
      <c r="BI281" s="187">
        <f t="shared" ref="BI281" si="74">IF(AF281=1,8,0)</f>
        <v>0</v>
      </c>
      <c r="BJ281" s="187">
        <f t="shared" ref="BJ281" si="75">IF(AH281=1,2,0)</f>
        <v>0</v>
      </c>
      <c r="BK281" s="187">
        <f t="shared" ref="BK281" si="76">IF(AI281=1,3,0)</f>
        <v>0</v>
      </c>
      <c r="BL281" s="273">
        <f t="shared" ref="BL281" si="77">LARGE(AN281:BK281,1)+LARGE(AN281:BK281,2)+LARGE(AN281:BK281,3)+LARGE(AN281:BK281,4)+LARGE(AN281:BK281,5)+LARGE(AN281:BK281,6)+LARGE(AN281:BK281,7)+LARGE(AN281:BK281,8)</f>
        <v>0</v>
      </c>
      <c r="BM281" s="339">
        <f t="shared" ref="BM281" si="78">BL281</f>
        <v>0</v>
      </c>
      <c r="BN281" s="339"/>
      <c r="BO281" s="182"/>
      <c r="BP281" s="182"/>
      <c r="BQ281" s="182"/>
      <c r="BR281" s="182"/>
      <c r="BS281" s="182"/>
      <c r="BT281" s="182"/>
      <c r="BU281" s="182"/>
      <c r="BV281" s="182"/>
      <c r="BW281" s="182"/>
      <c r="BX281" s="182"/>
      <c r="BY281" s="182"/>
      <c r="BZ281" s="182"/>
      <c r="CA281" s="182"/>
      <c r="CB281" s="182"/>
      <c r="CC281" s="182"/>
      <c r="CD281" s="182"/>
      <c r="CE281" s="182"/>
      <c r="CF281" s="182"/>
      <c r="CG281" s="182"/>
      <c r="CH281" s="182"/>
      <c r="CI281" s="182"/>
      <c r="CJ281" s="182"/>
      <c r="CK281" s="182"/>
      <c r="CL281" s="680"/>
      <c r="CM281" s="681"/>
      <c r="CN281" s="682"/>
    </row>
    <row r="282" spans="1:92" s="344" customFormat="1">
      <c r="A282" s="374" t="s">
        <v>659</v>
      </c>
      <c r="B282" s="366" t="s">
        <v>100</v>
      </c>
      <c r="C282" s="189" t="s">
        <v>100</v>
      </c>
      <c r="D282" s="189" t="s">
        <v>100</v>
      </c>
      <c r="E282" s="189" t="s">
        <v>100</v>
      </c>
      <c r="F282" s="189" t="s">
        <v>100</v>
      </c>
      <c r="G282" s="366" t="s">
        <v>100</v>
      </c>
      <c r="H282" s="189"/>
      <c r="I282" s="189"/>
      <c r="J282" s="189"/>
      <c r="K282" s="189"/>
      <c r="L282" s="366" t="s">
        <v>100</v>
      </c>
      <c r="M282" s="189"/>
      <c r="N282" s="189" t="s">
        <v>100</v>
      </c>
      <c r="O282" s="189"/>
      <c r="P282" s="189"/>
      <c r="Q282" s="189" t="s">
        <v>100</v>
      </c>
      <c r="R282" s="189"/>
      <c r="S282" s="189"/>
      <c r="T282" s="189"/>
      <c r="U282" s="189"/>
      <c r="V282" s="189"/>
      <c r="W282" s="189"/>
      <c r="X282" s="189"/>
      <c r="Y282" s="189"/>
      <c r="Z282" s="189"/>
      <c r="AA282" s="189"/>
      <c r="AB282" s="189"/>
      <c r="AC282" s="189"/>
      <c r="AD282" s="189"/>
      <c r="AE282" s="189"/>
      <c r="AF282" s="189"/>
      <c r="AG282" s="189"/>
      <c r="AH282" s="189"/>
      <c r="AI282" s="189"/>
      <c r="AJ282" s="339">
        <f t="shared" si="70"/>
        <v>9</v>
      </c>
      <c r="AK282" s="481" t="str">
        <f>HYPERLINK("http://bbwaa.com/17-hof-ballots/","BBWAA.com")</f>
        <v>BBWAA.com</v>
      </c>
      <c r="AL282" s="370">
        <v>42786</v>
      </c>
      <c r="AM282" s="498"/>
      <c r="AN282" s="498"/>
      <c r="AO282" s="498"/>
      <c r="AP282" s="498"/>
      <c r="AQ282" s="498"/>
      <c r="AR282" s="498"/>
      <c r="AS282" s="498"/>
      <c r="AT282" s="498"/>
      <c r="AU282" s="498"/>
      <c r="AV282" s="498"/>
      <c r="AW282" s="498"/>
      <c r="AX282" s="498"/>
      <c r="AY282" s="498"/>
      <c r="AZ282" s="498"/>
      <c r="BA282" s="498"/>
      <c r="BB282" s="498"/>
      <c r="BC282" s="498"/>
      <c r="BD282" s="498"/>
      <c r="BE282" s="498"/>
      <c r="BF282" s="498"/>
      <c r="BG282" s="498"/>
      <c r="BH282" s="498"/>
      <c r="BI282" s="498"/>
      <c r="BJ282" s="498"/>
      <c r="BK282" s="498"/>
      <c r="BL282" s="499"/>
      <c r="BM282" s="500"/>
      <c r="BN282" s="500"/>
      <c r="BO282" s="501"/>
      <c r="BP282" s="501"/>
      <c r="BQ282" s="501"/>
      <c r="BR282" s="501"/>
      <c r="BS282" s="501"/>
      <c r="BT282" s="501"/>
      <c r="BU282" s="501"/>
      <c r="BV282" s="501"/>
      <c r="BW282" s="501"/>
      <c r="BX282" s="501"/>
      <c r="BY282" s="501"/>
      <c r="BZ282" s="501"/>
      <c r="CA282" s="501"/>
      <c r="CB282" s="501"/>
      <c r="CC282" s="501"/>
      <c r="CD282" s="501"/>
      <c r="CE282" s="501"/>
      <c r="CF282" s="501"/>
      <c r="CG282" s="501"/>
      <c r="CH282" s="501"/>
      <c r="CI282" s="501"/>
      <c r="CJ282" s="501"/>
      <c r="CK282" s="501"/>
      <c r="CL282" s="618"/>
      <c r="CM282" s="619"/>
      <c r="CN282" s="620"/>
    </row>
    <row r="283" spans="1:92" ht="12.75" customHeight="1">
      <c r="A283" s="639" t="s">
        <v>409</v>
      </c>
      <c r="B283" s="410"/>
      <c r="C283" s="410"/>
      <c r="D283" s="410"/>
      <c r="E283" s="410" t="s">
        <v>100</v>
      </c>
      <c r="F283" s="410" t="s">
        <v>100</v>
      </c>
      <c r="G283" s="410"/>
      <c r="H283" s="410"/>
      <c r="I283" s="410"/>
      <c r="J283" s="410"/>
      <c r="K283" s="410"/>
      <c r="L283" s="410"/>
      <c r="M283" s="410"/>
      <c r="N283" s="410" t="s">
        <v>100</v>
      </c>
      <c r="O283" s="410"/>
      <c r="P283" s="410"/>
      <c r="Q283" s="410"/>
      <c r="R283" s="410"/>
      <c r="S283" s="410"/>
      <c r="T283" s="410"/>
      <c r="U283" s="639"/>
      <c r="V283" s="639"/>
      <c r="W283" s="639"/>
      <c r="X283" s="639"/>
      <c r="Y283" s="639"/>
      <c r="Z283" s="639"/>
      <c r="AA283" s="639"/>
      <c r="AB283" s="639"/>
      <c r="AC283" s="639"/>
      <c r="AD283" s="639"/>
      <c r="AE283" s="639"/>
      <c r="AF283" s="639"/>
      <c r="AG283" s="639"/>
      <c r="AH283" s="639"/>
      <c r="AI283" s="639"/>
      <c r="AJ283" s="339">
        <f t="shared" ref="AJ283:AJ290" si="79">COUNTIF(B283:AI283,"x")</f>
        <v>3</v>
      </c>
      <c r="AK283" s="481" t="str">
        <f>HYPERLINK("http://bbwaa.com/17-hof-ballots/","BBWAA.com")</f>
        <v>BBWAA.com</v>
      </c>
      <c r="AL283" s="370">
        <v>42755</v>
      </c>
      <c r="CL283" s="680"/>
      <c r="CM283" s="681"/>
      <c r="CN283" s="682"/>
    </row>
    <row r="284" spans="1:92" ht="12.75" customHeight="1">
      <c r="A284" s="639" t="s">
        <v>660</v>
      </c>
      <c r="B284" s="410" t="s">
        <v>100</v>
      </c>
      <c r="C284" s="410" t="s">
        <v>100</v>
      </c>
      <c r="D284" s="410" t="s">
        <v>100</v>
      </c>
      <c r="E284" s="410"/>
      <c r="F284" s="410"/>
      <c r="G284" s="410" t="s">
        <v>100</v>
      </c>
      <c r="H284" s="410"/>
      <c r="I284" s="367"/>
      <c r="J284" s="410" t="s">
        <v>100</v>
      </c>
      <c r="K284" s="410"/>
      <c r="L284" s="410" t="s">
        <v>100</v>
      </c>
      <c r="M284" s="410" t="s">
        <v>100</v>
      </c>
      <c r="N284" s="410" t="s">
        <v>100</v>
      </c>
      <c r="O284" s="410"/>
      <c r="P284" s="410" t="s">
        <v>100</v>
      </c>
      <c r="Q284" s="410"/>
      <c r="R284" s="366" t="s">
        <v>100</v>
      </c>
      <c r="S284" s="410"/>
      <c r="T284" s="410"/>
      <c r="U284" s="639"/>
      <c r="V284" s="639"/>
      <c r="W284" s="639"/>
      <c r="X284" s="639"/>
      <c r="Y284" s="639"/>
      <c r="Z284" s="639"/>
      <c r="AA284" s="639"/>
      <c r="AB284" s="639"/>
      <c r="AC284" s="639"/>
      <c r="AD284" s="639"/>
      <c r="AE284" s="639"/>
      <c r="AF284" s="639"/>
      <c r="AG284" s="639"/>
      <c r="AH284" s="639"/>
      <c r="AI284" s="639"/>
      <c r="AJ284" s="339">
        <f t="shared" si="79"/>
        <v>10</v>
      </c>
      <c r="AK284" s="481" t="str">
        <f t="shared" ref="AK284:AK339" si="80">HYPERLINK("http://bbwaa.com/17-hof-ballots/","BBWAA.com")</f>
        <v>BBWAA.com</v>
      </c>
      <c r="AL284" s="370">
        <v>42755</v>
      </c>
      <c r="CL284" s="680"/>
      <c r="CM284" s="681"/>
      <c r="CN284" s="682"/>
    </row>
    <row r="285" spans="1:92" s="344" customFormat="1" ht="12.75" customHeight="1">
      <c r="A285" s="380" t="s">
        <v>411</v>
      </c>
      <c r="B285" s="410" t="s">
        <v>100</v>
      </c>
      <c r="C285" s="494"/>
      <c r="D285" s="410" t="s">
        <v>100</v>
      </c>
      <c r="E285" s="494"/>
      <c r="F285" s="517"/>
      <c r="G285" s="494"/>
      <c r="H285" s="502" t="s">
        <v>100</v>
      </c>
      <c r="I285" s="189"/>
      <c r="J285" s="494"/>
      <c r="K285" s="494"/>
      <c r="L285" s="410" t="s">
        <v>100</v>
      </c>
      <c r="M285" s="494"/>
      <c r="N285" s="410" t="s">
        <v>100</v>
      </c>
      <c r="O285" s="502" t="s">
        <v>100</v>
      </c>
      <c r="P285" s="494"/>
      <c r="Q285" s="517"/>
      <c r="R285" s="189"/>
      <c r="S285" s="494"/>
      <c r="T285" s="494"/>
      <c r="U285" s="380"/>
      <c r="V285" s="380"/>
      <c r="W285" s="380"/>
      <c r="X285" s="380"/>
      <c r="Y285" s="380"/>
      <c r="Z285" s="380"/>
      <c r="AA285" s="380"/>
      <c r="AB285" s="380"/>
      <c r="AC285" s="380"/>
      <c r="AD285" s="380"/>
      <c r="AE285" s="380"/>
      <c r="AF285" s="380"/>
      <c r="AG285" s="380"/>
      <c r="AH285" s="380"/>
      <c r="AI285" s="380"/>
      <c r="AJ285" s="339">
        <f t="shared" ref="AJ285" si="81">COUNTIF(B285:AI285,"x")</f>
        <v>6</v>
      </c>
      <c r="AK285" s="481" t="str">
        <f t="shared" si="80"/>
        <v>BBWAA.com</v>
      </c>
      <c r="AL285" s="370">
        <v>42758</v>
      </c>
      <c r="CL285" s="618"/>
      <c r="CM285" s="619"/>
      <c r="CN285" s="620"/>
    </row>
    <row r="286" spans="1:92" ht="12.75" customHeight="1">
      <c r="A286" s="639" t="s">
        <v>414</v>
      </c>
      <c r="B286" s="410" t="s">
        <v>100</v>
      </c>
      <c r="C286" s="502" t="s">
        <v>100</v>
      </c>
      <c r="D286" s="502" t="s">
        <v>100</v>
      </c>
      <c r="E286" s="410" t="s">
        <v>100</v>
      </c>
      <c r="F286" s="410"/>
      <c r="G286" s="410"/>
      <c r="H286" s="410"/>
      <c r="I286" s="410"/>
      <c r="J286" s="410" t="s">
        <v>100</v>
      </c>
      <c r="K286" s="410"/>
      <c r="L286" s="410" t="s">
        <v>100</v>
      </c>
      <c r="M286" s="410"/>
      <c r="N286" s="410" t="s">
        <v>100</v>
      </c>
      <c r="O286" s="410" t="s">
        <v>100</v>
      </c>
      <c r="P286" s="502" t="s">
        <v>100</v>
      </c>
      <c r="Q286" s="410"/>
      <c r="R286" s="410"/>
      <c r="S286" s="410"/>
      <c r="T286" s="410" t="s">
        <v>100</v>
      </c>
      <c r="U286" s="639"/>
      <c r="V286" s="639"/>
      <c r="W286" s="639"/>
      <c r="X286" s="639"/>
      <c r="Y286" s="639"/>
      <c r="Z286" s="639"/>
      <c r="AA286" s="639"/>
      <c r="AB286" s="639"/>
      <c r="AC286" s="639"/>
      <c r="AD286" s="639"/>
      <c r="AE286" s="639"/>
      <c r="AF286" s="639"/>
      <c r="AG286" s="639"/>
      <c r="AH286" s="639"/>
      <c r="AI286" s="639"/>
      <c r="AJ286" s="339">
        <f t="shared" si="79"/>
        <v>10</v>
      </c>
      <c r="AK286" s="481" t="str">
        <f t="shared" si="80"/>
        <v>BBWAA.com</v>
      </c>
      <c r="AL286" s="370">
        <v>42755</v>
      </c>
      <c r="CL286" s="680"/>
      <c r="CM286" s="681"/>
      <c r="CN286" s="682"/>
    </row>
    <row r="287" spans="1:92" ht="12.75" customHeight="1">
      <c r="A287" s="639" t="s">
        <v>413</v>
      </c>
      <c r="B287" s="410" t="s">
        <v>100</v>
      </c>
      <c r="C287" s="410" t="s">
        <v>100</v>
      </c>
      <c r="D287" s="410" t="s">
        <v>100</v>
      </c>
      <c r="E287" s="410"/>
      <c r="F287" s="410" t="s">
        <v>100</v>
      </c>
      <c r="G287" s="410"/>
      <c r="H287" s="410"/>
      <c r="I287" s="410"/>
      <c r="J287" s="410" t="s">
        <v>100</v>
      </c>
      <c r="K287" s="410"/>
      <c r="L287" s="410" t="s">
        <v>100</v>
      </c>
      <c r="M287" s="410"/>
      <c r="N287" s="410" t="s">
        <v>100</v>
      </c>
      <c r="O287" s="410" t="s">
        <v>100</v>
      </c>
      <c r="P287" s="502" t="s">
        <v>100</v>
      </c>
      <c r="Q287" s="410"/>
      <c r="R287" s="410"/>
      <c r="S287" s="410"/>
      <c r="T287" s="502" t="s">
        <v>100</v>
      </c>
      <c r="U287" s="639"/>
      <c r="V287" s="639"/>
      <c r="W287" s="639"/>
      <c r="X287" s="639"/>
      <c r="Y287" s="639"/>
      <c r="Z287" s="639"/>
      <c r="AA287" s="639"/>
      <c r="AB287" s="639"/>
      <c r="AC287" s="639"/>
      <c r="AD287" s="639"/>
      <c r="AE287" s="639"/>
      <c r="AF287" s="639"/>
      <c r="AG287" s="639"/>
      <c r="AH287" s="639"/>
      <c r="AI287" s="639"/>
      <c r="AJ287" s="339">
        <f t="shared" si="79"/>
        <v>10</v>
      </c>
      <c r="AK287" s="481" t="str">
        <f t="shared" si="80"/>
        <v>BBWAA.com</v>
      </c>
      <c r="AL287" s="370">
        <v>42755</v>
      </c>
      <c r="CL287" s="680"/>
      <c r="CM287" s="681"/>
      <c r="CN287" s="682"/>
    </row>
    <row r="288" spans="1:92" ht="12.75" customHeight="1">
      <c r="A288" s="639" t="s">
        <v>661</v>
      </c>
      <c r="B288" s="502" t="s">
        <v>100</v>
      </c>
      <c r="C288" s="410"/>
      <c r="D288" s="410"/>
      <c r="E288" s="410" t="s">
        <v>100</v>
      </c>
      <c r="F288" s="410"/>
      <c r="G288" s="502" t="s">
        <v>100</v>
      </c>
      <c r="H288" s="502" t="s">
        <v>100</v>
      </c>
      <c r="I288" s="367"/>
      <c r="J288" s="410" t="s">
        <v>100</v>
      </c>
      <c r="K288" s="410"/>
      <c r="L288" s="410" t="s">
        <v>100</v>
      </c>
      <c r="M288" s="410"/>
      <c r="N288" s="410" t="s">
        <v>100</v>
      </c>
      <c r="O288" s="410" t="s">
        <v>100</v>
      </c>
      <c r="P288" s="410" t="s">
        <v>100</v>
      </c>
      <c r="Q288" s="410" t="s">
        <v>100</v>
      </c>
      <c r="R288" s="410"/>
      <c r="S288" s="410"/>
      <c r="T288" s="367"/>
      <c r="U288" s="639"/>
      <c r="V288" s="639"/>
      <c r="W288" s="639"/>
      <c r="X288" s="639"/>
      <c r="Y288" s="639"/>
      <c r="Z288" s="639"/>
      <c r="AA288" s="639"/>
      <c r="AB288" s="639"/>
      <c r="AC288" s="639"/>
      <c r="AD288" s="639"/>
      <c r="AE288" s="639"/>
      <c r="AF288" s="639"/>
      <c r="AG288" s="639"/>
      <c r="AH288" s="639"/>
      <c r="AI288" s="639"/>
      <c r="AJ288" s="339">
        <f t="shared" si="79"/>
        <v>10</v>
      </c>
      <c r="AK288" s="481" t="str">
        <f t="shared" si="80"/>
        <v>BBWAA.com</v>
      </c>
      <c r="AL288" s="370">
        <v>42755</v>
      </c>
      <c r="CL288" s="680"/>
      <c r="CM288" s="681"/>
      <c r="CN288" s="682"/>
    </row>
    <row r="289" spans="1:92" ht="12.75" customHeight="1">
      <c r="A289" s="639" t="s">
        <v>662</v>
      </c>
      <c r="B289" s="502" t="s">
        <v>100</v>
      </c>
      <c r="C289" s="410"/>
      <c r="D289" s="410"/>
      <c r="E289" s="410"/>
      <c r="F289" s="410" t="s">
        <v>100</v>
      </c>
      <c r="G289" s="410"/>
      <c r="H289" s="410"/>
      <c r="I289" s="410"/>
      <c r="J289" s="410" t="s">
        <v>100</v>
      </c>
      <c r="K289" s="410"/>
      <c r="L289" s="410" t="s">
        <v>100</v>
      </c>
      <c r="M289" s="410"/>
      <c r="N289" s="410"/>
      <c r="O289" s="410"/>
      <c r="P289" s="410"/>
      <c r="Q289" s="410"/>
      <c r="R289" s="410"/>
      <c r="S289" s="410"/>
      <c r="T289" s="410"/>
      <c r="U289" s="639"/>
      <c r="V289" s="639"/>
      <c r="W289" s="639"/>
      <c r="X289" s="639"/>
      <c r="Y289" s="639"/>
      <c r="Z289" s="639"/>
      <c r="AA289" s="639"/>
      <c r="AB289" s="639"/>
      <c r="AC289" s="639"/>
      <c r="AD289" s="639"/>
      <c r="AE289" s="639"/>
      <c r="AF289" s="639"/>
      <c r="AG289" s="639"/>
      <c r="AH289" s="639"/>
      <c r="AI289" s="639"/>
      <c r="AJ289" s="339">
        <f t="shared" si="79"/>
        <v>4</v>
      </c>
      <c r="AK289" s="481" t="str">
        <f t="shared" si="80"/>
        <v>BBWAA.com</v>
      </c>
      <c r="AL289" s="370">
        <v>42755</v>
      </c>
      <c r="CL289" s="680"/>
      <c r="CM289" s="681"/>
      <c r="CN289" s="682"/>
    </row>
    <row r="290" spans="1:92" ht="12.75" customHeight="1">
      <c r="A290" s="639" t="s">
        <v>663</v>
      </c>
      <c r="B290" s="410" t="s">
        <v>100</v>
      </c>
      <c r="C290" s="410" t="s">
        <v>100</v>
      </c>
      <c r="D290" s="410" t="s">
        <v>100</v>
      </c>
      <c r="E290" s="410" t="s">
        <v>100</v>
      </c>
      <c r="F290" s="502" t="s">
        <v>100</v>
      </c>
      <c r="G290" s="410"/>
      <c r="H290" s="410"/>
      <c r="I290" s="410"/>
      <c r="J290" s="410" t="s">
        <v>100</v>
      </c>
      <c r="K290" s="410"/>
      <c r="L290" s="410" t="s">
        <v>100</v>
      </c>
      <c r="M290" s="410"/>
      <c r="N290" s="410"/>
      <c r="O290" s="367"/>
      <c r="P290" s="410"/>
      <c r="Q290" s="410"/>
      <c r="R290" s="410"/>
      <c r="S290" s="410"/>
      <c r="T290" s="410"/>
      <c r="U290" s="639"/>
      <c r="V290" s="639"/>
      <c r="W290" s="639"/>
      <c r="X290" s="639"/>
      <c r="Y290" s="639"/>
      <c r="Z290" s="639"/>
      <c r="AA290" s="639"/>
      <c r="AB290" s="639"/>
      <c r="AC290" s="639"/>
      <c r="AD290" s="639"/>
      <c r="AE290" s="639"/>
      <c r="AF290" s="639"/>
      <c r="AG290" s="639"/>
      <c r="AH290" s="639"/>
      <c r="AI290" s="639"/>
      <c r="AJ290" s="339">
        <f t="shared" si="79"/>
        <v>7</v>
      </c>
      <c r="AK290" s="481" t="str">
        <f t="shared" si="80"/>
        <v>BBWAA.com</v>
      </c>
      <c r="AL290" s="370">
        <v>42755</v>
      </c>
      <c r="CL290" s="680"/>
      <c r="CM290" s="681"/>
      <c r="CN290" s="682"/>
    </row>
    <row r="291" spans="1:92" s="344" customFormat="1" ht="12.75" customHeight="1">
      <c r="A291" s="380" t="s">
        <v>664</v>
      </c>
      <c r="B291" s="494"/>
      <c r="C291" s="494"/>
      <c r="D291" s="494"/>
      <c r="E291" s="494" t="s">
        <v>100</v>
      </c>
      <c r="F291" s="494" t="s">
        <v>100</v>
      </c>
      <c r="G291" s="494" t="s">
        <v>100</v>
      </c>
      <c r="H291" s="494" t="s">
        <v>100</v>
      </c>
      <c r="I291" s="502" t="s">
        <v>100</v>
      </c>
      <c r="J291" s="494" t="s">
        <v>100</v>
      </c>
      <c r="K291" s="494"/>
      <c r="L291" s="494" t="s">
        <v>100</v>
      </c>
      <c r="M291" s="494"/>
      <c r="N291" s="494"/>
      <c r="O291" s="189" t="s">
        <v>100</v>
      </c>
      <c r="P291" s="494"/>
      <c r="Q291" s="494" t="s">
        <v>100</v>
      </c>
      <c r="R291" s="494"/>
      <c r="S291" s="494"/>
      <c r="T291" s="494" t="s">
        <v>100</v>
      </c>
      <c r="U291" s="380"/>
      <c r="V291" s="380"/>
      <c r="W291" s="380"/>
      <c r="X291" s="380"/>
      <c r="Y291" s="380"/>
      <c r="Z291" s="380"/>
      <c r="AA291" s="380"/>
      <c r="AB291" s="380"/>
      <c r="AC291" s="380"/>
      <c r="AD291" s="380"/>
      <c r="AE291" s="380"/>
      <c r="AF291" s="380"/>
      <c r="AG291" s="380"/>
      <c r="AH291" s="380"/>
      <c r="AI291" s="380"/>
      <c r="AJ291" s="339">
        <f t="shared" ref="AJ291" si="82">COUNTIF(B291:AI291,"x")</f>
        <v>10</v>
      </c>
      <c r="AK291" s="481" t="str">
        <f t="shared" si="80"/>
        <v>BBWAA.com</v>
      </c>
      <c r="AL291" s="370">
        <v>42755</v>
      </c>
      <c r="CL291" s="680"/>
      <c r="CM291" s="681"/>
      <c r="CN291" s="682"/>
    </row>
    <row r="292" spans="1:92" ht="12.75" customHeight="1">
      <c r="A292" s="639" t="s">
        <v>665</v>
      </c>
      <c r="B292" s="410" t="s">
        <v>100</v>
      </c>
      <c r="C292" s="410"/>
      <c r="D292" s="410"/>
      <c r="E292" s="410"/>
      <c r="F292" s="410" t="s">
        <v>100</v>
      </c>
      <c r="G292" s="410"/>
      <c r="H292" s="410"/>
      <c r="I292" s="410"/>
      <c r="J292" s="410" t="s">
        <v>100</v>
      </c>
      <c r="K292" s="410"/>
      <c r="L292" s="410"/>
      <c r="M292" s="410"/>
      <c r="N292" s="410" t="s">
        <v>100</v>
      </c>
      <c r="O292" s="410" t="s">
        <v>100</v>
      </c>
      <c r="P292" s="410"/>
      <c r="Q292" s="410" t="s">
        <v>100</v>
      </c>
      <c r="R292" s="410"/>
      <c r="S292" s="410"/>
      <c r="T292" s="410"/>
      <c r="U292" s="639"/>
      <c r="V292" s="639"/>
      <c r="W292" s="639"/>
      <c r="X292" s="639"/>
      <c r="Y292" s="639"/>
      <c r="Z292" s="639"/>
      <c r="AA292" s="639"/>
      <c r="AB292" s="639"/>
      <c r="AC292" s="639"/>
      <c r="AD292" s="639"/>
      <c r="AE292" s="639"/>
      <c r="AF292" s="639"/>
      <c r="AG292" s="639"/>
      <c r="AH292" s="639"/>
      <c r="AI292" s="639"/>
      <c r="AJ292" s="339">
        <f>COUNTIF(B292:AI292,"x")</f>
        <v>6</v>
      </c>
      <c r="AK292" s="481" t="str">
        <f t="shared" si="80"/>
        <v>BBWAA.com</v>
      </c>
      <c r="AL292" s="370">
        <v>42755</v>
      </c>
      <c r="CL292" s="680"/>
      <c r="CM292" s="681"/>
      <c r="CN292" s="682"/>
    </row>
    <row r="293" spans="1:92" ht="12.75" customHeight="1">
      <c r="A293" s="639" t="s">
        <v>420</v>
      </c>
      <c r="B293" s="410" t="s">
        <v>100</v>
      </c>
      <c r="C293" s="410" t="s">
        <v>100</v>
      </c>
      <c r="D293" s="410" t="s">
        <v>100</v>
      </c>
      <c r="E293" s="410" t="s">
        <v>100</v>
      </c>
      <c r="F293" s="410" t="s">
        <v>100</v>
      </c>
      <c r="G293" s="410"/>
      <c r="H293" s="410" t="s">
        <v>100</v>
      </c>
      <c r="I293" s="410"/>
      <c r="J293" s="410"/>
      <c r="K293" s="410"/>
      <c r="L293" s="410" t="s">
        <v>100</v>
      </c>
      <c r="M293" s="410"/>
      <c r="N293" s="410" t="s">
        <v>100</v>
      </c>
      <c r="O293" s="410"/>
      <c r="P293" s="410"/>
      <c r="Q293" s="410"/>
      <c r="R293" s="410"/>
      <c r="S293" s="410"/>
      <c r="T293" s="410"/>
      <c r="U293" s="639"/>
      <c r="V293" s="639"/>
      <c r="W293" s="639"/>
      <c r="X293" s="639"/>
      <c r="Y293" s="639"/>
      <c r="Z293" s="639"/>
      <c r="AA293" s="639"/>
      <c r="AB293" s="639"/>
      <c r="AC293" s="639"/>
      <c r="AD293" s="639"/>
      <c r="AE293" s="639"/>
      <c r="AF293" s="639"/>
      <c r="AG293" s="639"/>
      <c r="AH293" s="639"/>
      <c r="AI293" s="639"/>
      <c r="AJ293" s="339">
        <f t="shared" ref="AJ293" si="83">COUNTIF(B293:AI293,"x")</f>
        <v>8</v>
      </c>
      <c r="AK293" s="481" t="str">
        <f t="shared" si="80"/>
        <v>BBWAA.com</v>
      </c>
      <c r="AL293" s="370">
        <v>42755</v>
      </c>
      <c r="CL293" s="680"/>
      <c r="CM293" s="681"/>
      <c r="CN293" s="682"/>
    </row>
    <row r="294" spans="1:92" ht="12.75" customHeight="1">
      <c r="A294" s="639" t="s">
        <v>421</v>
      </c>
      <c r="B294" s="410" t="s">
        <v>100</v>
      </c>
      <c r="C294" s="410" t="s">
        <v>100</v>
      </c>
      <c r="D294" s="410" t="s">
        <v>100</v>
      </c>
      <c r="E294" s="410" t="s">
        <v>100</v>
      </c>
      <c r="F294" s="502" t="s">
        <v>100</v>
      </c>
      <c r="G294" s="410" t="s">
        <v>100</v>
      </c>
      <c r="H294" s="410"/>
      <c r="I294" s="410" t="s">
        <v>100</v>
      </c>
      <c r="J294" s="410"/>
      <c r="K294" s="410"/>
      <c r="L294" s="410" t="s">
        <v>100</v>
      </c>
      <c r="M294" s="410"/>
      <c r="N294" s="410" t="s">
        <v>100</v>
      </c>
      <c r="O294" s="410"/>
      <c r="P294" s="410"/>
      <c r="Q294" s="410"/>
      <c r="R294" s="410"/>
      <c r="S294" s="410"/>
      <c r="T294" s="410" t="s">
        <v>100</v>
      </c>
      <c r="U294" s="639"/>
      <c r="V294" s="639"/>
      <c r="W294" s="639"/>
      <c r="X294" s="639"/>
      <c r="Y294" s="639"/>
      <c r="Z294" s="639"/>
      <c r="AA294" s="639"/>
      <c r="AB294" s="639"/>
      <c r="AC294" s="639"/>
      <c r="AD294" s="639"/>
      <c r="AE294" s="639"/>
      <c r="AF294" s="639"/>
      <c r="AG294" s="639"/>
      <c r="AH294" s="639"/>
      <c r="AI294" s="639"/>
      <c r="AJ294" s="339">
        <f t="shared" ref="AJ294:AJ306" si="84">COUNTIF(B294:AI294,"x")</f>
        <v>10</v>
      </c>
      <c r="AK294" s="481" t="str">
        <f t="shared" si="80"/>
        <v>BBWAA.com</v>
      </c>
      <c r="AL294" s="370">
        <v>42755</v>
      </c>
      <c r="CL294" s="680"/>
      <c r="CM294" s="681"/>
      <c r="CN294" s="682"/>
    </row>
    <row r="295" spans="1:92" ht="12.75" customHeight="1">
      <c r="A295" s="639" t="s">
        <v>666</v>
      </c>
      <c r="B295" s="410" t="s">
        <v>100</v>
      </c>
      <c r="C295" s="410"/>
      <c r="D295" s="367"/>
      <c r="E295" s="410"/>
      <c r="F295" s="410" t="s">
        <v>100</v>
      </c>
      <c r="G295" s="410"/>
      <c r="H295" s="502" t="s">
        <v>100</v>
      </c>
      <c r="I295" s="410" t="s">
        <v>100</v>
      </c>
      <c r="J295" s="410" t="s">
        <v>100</v>
      </c>
      <c r="K295" s="410"/>
      <c r="L295" s="410" t="s">
        <v>100</v>
      </c>
      <c r="M295" s="410"/>
      <c r="N295" s="410" t="s">
        <v>100</v>
      </c>
      <c r="O295" s="367"/>
      <c r="P295" s="502" t="s">
        <v>100</v>
      </c>
      <c r="Q295" s="410" t="s">
        <v>100</v>
      </c>
      <c r="R295" s="410"/>
      <c r="S295" s="410"/>
      <c r="T295" s="410"/>
      <c r="U295" s="639"/>
      <c r="V295" s="639"/>
      <c r="W295" s="639"/>
      <c r="X295" s="639"/>
      <c r="Y295" s="639"/>
      <c r="Z295" s="639"/>
      <c r="AA295" s="639"/>
      <c r="AB295" s="639"/>
      <c r="AC295" s="639"/>
      <c r="AD295" s="639"/>
      <c r="AE295" s="639"/>
      <c r="AF295" s="639"/>
      <c r="AG295" s="639"/>
      <c r="AH295" s="639"/>
      <c r="AI295" s="639"/>
      <c r="AJ295" s="339">
        <f t="shared" si="84"/>
        <v>9</v>
      </c>
      <c r="AK295" s="481" t="str">
        <f t="shared" si="80"/>
        <v>BBWAA.com</v>
      </c>
      <c r="AL295" s="370">
        <v>42755</v>
      </c>
      <c r="CL295" s="680"/>
      <c r="CM295" s="681"/>
      <c r="CN295" s="682"/>
    </row>
    <row r="296" spans="1:92" ht="12.75" customHeight="1">
      <c r="A296" s="639" t="s">
        <v>428</v>
      </c>
      <c r="B296" s="410" t="s">
        <v>100</v>
      </c>
      <c r="C296" s="410" t="s">
        <v>100</v>
      </c>
      <c r="D296" s="410" t="s">
        <v>100</v>
      </c>
      <c r="E296" s="410" t="s">
        <v>100</v>
      </c>
      <c r="F296" s="410" t="s">
        <v>100</v>
      </c>
      <c r="G296" s="410"/>
      <c r="H296" s="410"/>
      <c r="I296" s="410"/>
      <c r="J296" s="410"/>
      <c r="K296" s="410"/>
      <c r="L296" s="410" t="s">
        <v>100</v>
      </c>
      <c r="M296" s="410" t="s">
        <v>100</v>
      </c>
      <c r="N296" s="410" t="s">
        <v>100</v>
      </c>
      <c r="O296" s="410" t="s">
        <v>100</v>
      </c>
      <c r="P296" s="410"/>
      <c r="Q296" s="410" t="s">
        <v>100</v>
      </c>
      <c r="R296" s="410"/>
      <c r="S296" s="410"/>
      <c r="T296" s="410"/>
      <c r="U296" s="639"/>
      <c r="V296" s="639"/>
      <c r="W296" s="639"/>
      <c r="X296" s="639"/>
      <c r="Y296" s="639"/>
      <c r="Z296" s="639"/>
      <c r="AA296" s="639"/>
      <c r="AB296" s="639"/>
      <c r="AC296" s="639"/>
      <c r="AD296" s="639"/>
      <c r="AE296" s="639"/>
      <c r="AF296" s="639"/>
      <c r="AG296" s="639"/>
      <c r="AH296" s="639"/>
      <c r="AI296" s="639"/>
      <c r="AJ296" s="339">
        <f t="shared" si="84"/>
        <v>10</v>
      </c>
      <c r="AK296" s="481" t="str">
        <f t="shared" si="80"/>
        <v>BBWAA.com</v>
      </c>
      <c r="AL296" s="370">
        <v>42755</v>
      </c>
      <c r="CL296" s="680"/>
      <c r="CM296" s="681"/>
      <c r="CN296" s="682"/>
    </row>
    <row r="297" spans="1:92" ht="12.75" customHeight="1">
      <c r="A297" s="639" t="s">
        <v>200</v>
      </c>
      <c r="B297" s="502" t="s">
        <v>100</v>
      </c>
      <c r="C297" s="410" t="s">
        <v>100</v>
      </c>
      <c r="D297" s="410" t="s">
        <v>100</v>
      </c>
      <c r="E297" s="410"/>
      <c r="F297" s="410"/>
      <c r="G297" s="410"/>
      <c r="H297" s="410"/>
      <c r="I297" s="410"/>
      <c r="J297" s="410"/>
      <c r="K297" s="410"/>
      <c r="L297" s="410"/>
      <c r="M297" s="410" t="s">
        <v>100</v>
      </c>
      <c r="N297" s="410" t="s">
        <v>100</v>
      </c>
      <c r="O297" s="410"/>
      <c r="P297" s="410"/>
      <c r="Q297" s="410"/>
      <c r="R297" s="410"/>
      <c r="S297" s="410"/>
      <c r="T297" s="410"/>
      <c r="U297" s="639"/>
      <c r="V297" s="639"/>
      <c r="W297" s="639"/>
      <c r="X297" s="639"/>
      <c r="Y297" s="639"/>
      <c r="Z297" s="639"/>
      <c r="AA297" s="639"/>
      <c r="AB297" s="639"/>
      <c r="AC297" s="639"/>
      <c r="AD297" s="639"/>
      <c r="AE297" s="639"/>
      <c r="AF297" s="639"/>
      <c r="AG297" s="639"/>
      <c r="AH297" s="639"/>
      <c r="AI297" s="639"/>
      <c r="AJ297" s="339">
        <v>5</v>
      </c>
      <c r="AK297" s="481" t="str">
        <f>HYPERLINK("https://www.pressboxonline.com/2017/01/21/glenn-clark-radio-week-in-review-jan-16-20-2017","Glenn Clark Radio")</f>
        <v>Glenn Clark Radio</v>
      </c>
      <c r="AL297" s="370">
        <v>42756</v>
      </c>
      <c r="CL297" s="618"/>
      <c r="CM297" s="619"/>
      <c r="CN297" s="620"/>
    </row>
    <row r="298" spans="1:92" ht="12.75" customHeight="1">
      <c r="A298" s="639" t="s">
        <v>667</v>
      </c>
      <c r="B298" s="410" t="s">
        <v>100</v>
      </c>
      <c r="C298" s="410"/>
      <c r="D298" s="410"/>
      <c r="E298" s="410" t="s">
        <v>100</v>
      </c>
      <c r="F298" s="410" t="s">
        <v>100</v>
      </c>
      <c r="G298" s="410"/>
      <c r="H298" s="410" t="s">
        <v>100</v>
      </c>
      <c r="I298" s="410" t="s">
        <v>100</v>
      </c>
      <c r="J298" s="410"/>
      <c r="K298" s="410"/>
      <c r="L298" s="410" t="s">
        <v>100</v>
      </c>
      <c r="M298" s="410" t="s">
        <v>100</v>
      </c>
      <c r="N298" s="410" t="s">
        <v>100</v>
      </c>
      <c r="O298" s="410" t="s">
        <v>100</v>
      </c>
      <c r="P298" s="410"/>
      <c r="Q298" s="410" t="s">
        <v>100</v>
      </c>
      <c r="R298" s="410"/>
      <c r="S298" s="410"/>
      <c r="T298" s="410"/>
      <c r="U298" s="639"/>
      <c r="V298" s="639"/>
      <c r="W298" s="639"/>
      <c r="X298" s="639"/>
      <c r="Y298" s="639"/>
      <c r="Z298" s="639"/>
      <c r="AA298" s="639"/>
      <c r="AB298" s="639"/>
      <c r="AC298" s="639"/>
      <c r="AD298" s="639"/>
      <c r="AE298" s="639"/>
      <c r="AF298" s="639"/>
      <c r="AG298" s="639"/>
      <c r="AH298" s="639"/>
      <c r="AI298" s="639"/>
      <c r="AJ298" s="339">
        <f t="shared" si="84"/>
        <v>10</v>
      </c>
      <c r="AK298" s="481" t="str">
        <f t="shared" si="80"/>
        <v>BBWAA.com</v>
      </c>
      <c r="AL298" s="370">
        <v>42755</v>
      </c>
      <c r="CL298" s="680"/>
      <c r="CM298" s="681"/>
      <c r="CN298" s="682"/>
    </row>
    <row r="299" spans="1:92" ht="12.75" customHeight="1">
      <c r="A299" s="639" t="s">
        <v>431</v>
      </c>
      <c r="B299" s="366" t="s">
        <v>100</v>
      </c>
      <c r="C299" s="502" t="s">
        <v>100</v>
      </c>
      <c r="D299" s="502" t="s">
        <v>100</v>
      </c>
      <c r="E299" s="410" t="s">
        <v>100</v>
      </c>
      <c r="F299" s="367"/>
      <c r="G299" s="410"/>
      <c r="H299" s="367"/>
      <c r="I299" s="410"/>
      <c r="J299" s="410" t="s">
        <v>100</v>
      </c>
      <c r="K299" s="410"/>
      <c r="L299" s="410" t="s">
        <v>100</v>
      </c>
      <c r="M299" s="410" t="s">
        <v>100</v>
      </c>
      <c r="N299" s="410" t="s">
        <v>100</v>
      </c>
      <c r="O299" s="410" t="s">
        <v>100</v>
      </c>
      <c r="P299" s="502" t="s">
        <v>100</v>
      </c>
      <c r="Q299" s="410"/>
      <c r="R299" s="410"/>
      <c r="S299" s="410"/>
      <c r="T299" s="410"/>
      <c r="U299" s="639"/>
      <c r="V299" s="639"/>
      <c r="W299" s="639"/>
      <c r="X299" s="639"/>
      <c r="Y299" s="639"/>
      <c r="Z299" s="639"/>
      <c r="AA299" s="639"/>
      <c r="AB299" s="639"/>
      <c r="AC299" s="639"/>
      <c r="AD299" s="639"/>
      <c r="AE299" s="639"/>
      <c r="AF299" s="639"/>
      <c r="AG299" s="639"/>
      <c r="AH299" s="639"/>
      <c r="AI299" s="639"/>
      <c r="AJ299" s="339">
        <f t="shared" si="84"/>
        <v>10</v>
      </c>
      <c r="AK299" s="481" t="str">
        <f t="shared" si="80"/>
        <v>BBWAA.com</v>
      </c>
      <c r="AL299" s="370">
        <v>42755</v>
      </c>
      <c r="CL299" s="680"/>
      <c r="CM299" s="681"/>
      <c r="CN299" s="682"/>
    </row>
    <row r="300" spans="1:92" ht="12.75" customHeight="1">
      <c r="A300" s="639" t="s">
        <v>432</v>
      </c>
      <c r="B300" s="410" t="s">
        <v>100</v>
      </c>
      <c r="C300" s="410"/>
      <c r="D300" s="410"/>
      <c r="E300" s="410" t="s">
        <v>100</v>
      </c>
      <c r="F300" s="410" t="s">
        <v>100</v>
      </c>
      <c r="G300" s="410"/>
      <c r="H300" s="410" t="s">
        <v>100</v>
      </c>
      <c r="I300" s="410"/>
      <c r="J300" s="410" t="s">
        <v>100</v>
      </c>
      <c r="K300" s="410"/>
      <c r="L300" s="410" t="s">
        <v>100</v>
      </c>
      <c r="M300" s="410"/>
      <c r="N300" s="410" t="s">
        <v>100</v>
      </c>
      <c r="O300" s="410"/>
      <c r="P300" s="410" t="s">
        <v>100</v>
      </c>
      <c r="Q300" s="410"/>
      <c r="R300" s="410"/>
      <c r="S300" s="410" t="s">
        <v>100</v>
      </c>
      <c r="T300" s="410"/>
      <c r="U300" s="639"/>
      <c r="V300" s="639"/>
      <c r="W300" s="639"/>
      <c r="X300" s="639"/>
      <c r="Y300" s="639"/>
      <c r="Z300" s="639"/>
      <c r="AA300" s="639"/>
      <c r="AB300" s="639"/>
      <c r="AC300" s="639"/>
      <c r="AD300" s="639"/>
      <c r="AE300" s="639"/>
      <c r="AF300" s="639"/>
      <c r="AG300" s="639"/>
      <c r="AH300" s="639"/>
      <c r="AI300" s="639"/>
      <c r="AJ300" s="339">
        <f t="shared" si="84"/>
        <v>9</v>
      </c>
      <c r="AK300" s="481" t="str">
        <f t="shared" si="80"/>
        <v>BBWAA.com</v>
      </c>
      <c r="AL300" s="370">
        <v>42755</v>
      </c>
      <c r="CL300" s="680"/>
      <c r="CM300" s="681"/>
      <c r="CN300" s="682"/>
    </row>
    <row r="301" spans="1:92" ht="12.75" customHeight="1">
      <c r="A301" s="639" t="s">
        <v>668</v>
      </c>
      <c r="B301" s="502" t="s">
        <v>100</v>
      </c>
      <c r="C301" s="410" t="s">
        <v>100</v>
      </c>
      <c r="D301" s="410" t="s">
        <v>100</v>
      </c>
      <c r="E301" s="410"/>
      <c r="F301" s="502" t="s">
        <v>100</v>
      </c>
      <c r="G301" s="410"/>
      <c r="H301" s="367"/>
      <c r="I301" s="502" t="s">
        <v>100</v>
      </c>
      <c r="J301" s="410" t="s">
        <v>100</v>
      </c>
      <c r="K301" s="410"/>
      <c r="L301" s="410" t="s">
        <v>100</v>
      </c>
      <c r="M301" s="410" t="s">
        <v>100</v>
      </c>
      <c r="N301" s="410" t="s">
        <v>100</v>
      </c>
      <c r="O301" s="410"/>
      <c r="P301" s="410"/>
      <c r="Q301" s="410"/>
      <c r="R301" s="410" t="s">
        <v>100</v>
      </c>
      <c r="S301" s="410"/>
      <c r="T301" s="410"/>
      <c r="U301" s="639"/>
      <c r="V301" s="639"/>
      <c r="W301" s="639"/>
      <c r="X301" s="639"/>
      <c r="Y301" s="639"/>
      <c r="Z301" s="639"/>
      <c r="AA301" s="639"/>
      <c r="AB301" s="639"/>
      <c r="AC301" s="639"/>
      <c r="AD301" s="639"/>
      <c r="AE301" s="639"/>
      <c r="AF301" s="639"/>
      <c r="AG301" s="639"/>
      <c r="AH301" s="639"/>
      <c r="AI301" s="639"/>
      <c r="AJ301" s="339">
        <f t="shared" si="84"/>
        <v>10</v>
      </c>
      <c r="AK301" s="481" t="str">
        <f t="shared" si="80"/>
        <v>BBWAA.com</v>
      </c>
      <c r="AL301" s="370">
        <v>42755</v>
      </c>
      <c r="CL301" s="680"/>
      <c r="CM301" s="681"/>
      <c r="CN301" s="682"/>
    </row>
    <row r="302" spans="1:92" ht="12.75" customHeight="1">
      <c r="A302" s="639" t="s">
        <v>436</v>
      </c>
      <c r="B302" s="410" t="s">
        <v>100</v>
      </c>
      <c r="C302" s="410"/>
      <c r="D302" s="410"/>
      <c r="E302" s="410"/>
      <c r="F302" s="410" t="s">
        <v>100</v>
      </c>
      <c r="G302" s="410"/>
      <c r="H302" s="410"/>
      <c r="I302" s="410" t="s">
        <v>100</v>
      </c>
      <c r="J302" s="410" t="s">
        <v>100</v>
      </c>
      <c r="K302" s="410"/>
      <c r="L302" s="410" t="s">
        <v>100</v>
      </c>
      <c r="M302" s="410"/>
      <c r="N302" s="410"/>
      <c r="O302" s="410"/>
      <c r="P302" s="410"/>
      <c r="Q302" s="410"/>
      <c r="R302" s="410"/>
      <c r="S302" s="410"/>
      <c r="T302" s="410"/>
      <c r="U302" s="639"/>
      <c r="V302" s="639"/>
      <c r="W302" s="639"/>
      <c r="X302" s="639"/>
      <c r="Y302" s="639"/>
      <c r="Z302" s="639"/>
      <c r="AA302" s="639"/>
      <c r="AB302" s="639"/>
      <c r="AC302" s="639"/>
      <c r="AD302" s="639"/>
      <c r="AE302" s="639"/>
      <c r="AF302" s="639"/>
      <c r="AG302" s="639"/>
      <c r="AH302" s="639"/>
      <c r="AI302" s="639"/>
      <c r="AJ302" s="339">
        <f t="shared" si="84"/>
        <v>5</v>
      </c>
      <c r="AK302" s="481" t="str">
        <f t="shared" si="80"/>
        <v>BBWAA.com</v>
      </c>
      <c r="AL302" s="370">
        <v>42755</v>
      </c>
      <c r="CL302" s="680"/>
      <c r="CM302" s="681"/>
      <c r="CN302" s="682"/>
    </row>
    <row r="303" spans="1:92" ht="12.75" customHeight="1">
      <c r="A303" s="639" t="s">
        <v>669</v>
      </c>
      <c r="B303" s="410" t="s">
        <v>100</v>
      </c>
      <c r="C303" s="410"/>
      <c r="D303" s="410"/>
      <c r="E303" s="410" t="s">
        <v>100</v>
      </c>
      <c r="F303" s="410" t="s">
        <v>100</v>
      </c>
      <c r="G303" s="410"/>
      <c r="H303" s="410"/>
      <c r="I303" s="410"/>
      <c r="J303" s="410"/>
      <c r="K303" s="410"/>
      <c r="L303" s="410" t="s">
        <v>100</v>
      </c>
      <c r="M303" s="410"/>
      <c r="N303" s="410"/>
      <c r="O303" s="502" t="s">
        <v>100</v>
      </c>
      <c r="P303" s="410"/>
      <c r="Q303" s="502" t="s">
        <v>100</v>
      </c>
      <c r="R303" s="410"/>
      <c r="S303" s="410"/>
      <c r="T303" s="410"/>
      <c r="U303" s="639"/>
      <c r="V303" s="639"/>
      <c r="W303" s="639"/>
      <c r="X303" s="639"/>
      <c r="Y303" s="639"/>
      <c r="Z303" s="639"/>
      <c r="AA303" s="639"/>
      <c r="AB303" s="639"/>
      <c r="AC303" s="639"/>
      <c r="AD303" s="639"/>
      <c r="AE303" s="639"/>
      <c r="AF303" s="639"/>
      <c r="AG303" s="639"/>
      <c r="AH303" s="639"/>
      <c r="AI303" s="639"/>
      <c r="AJ303" s="339">
        <f t="shared" si="84"/>
        <v>6</v>
      </c>
      <c r="AK303" s="481" t="str">
        <f t="shared" si="80"/>
        <v>BBWAA.com</v>
      </c>
      <c r="AL303" s="370">
        <v>42755</v>
      </c>
      <c r="CL303" s="680"/>
      <c r="CM303" s="681"/>
      <c r="CN303" s="682"/>
    </row>
    <row r="304" spans="1:92" ht="12.75" customHeight="1">
      <c r="A304" s="639" t="s">
        <v>437</v>
      </c>
      <c r="B304" s="410" t="s">
        <v>100</v>
      </c>
      <c r="C304" s="410" t="s">
        <v>100</v>
      </c>
      <c r="D304" s="410" t="s">
        <v>100</v>
      </c>
      <c r="E304" s="410" t="s">
        <v>100</v>
      </c>
      <c r="F304" s="410" t="s">
        <v>100</v>
      </c>
      <c r="G304" s="410"/>
      <c r="H304" s="410" t="s">
        <v>100</v>
      </c>
      <c r="I304" s="410"/>
      <c r="J304" s="410"/>
      <c r="K304" s="410"/>
      <c r="L304" s="502" t="s">
        <v>100</v>
      </c>
      <c r="M304" s="410" t="s">
        <v>100</v>
      </c>
      <c r="N304" s="410" t="s">
        <v>100</v>
      </c>
      <c r="O304" s="410" t="s">
        <v>100</v>
      </c>
      <c r="P304" s="367"/>
      <c r="Q304" s="410"/>
      <c r="R304" s="410"/>
      <c r="S304" s="410"/>
      <c r="T304" s="410"/>
      <c r="U304" s="639"/>
      <c r="V304" s="639"/>
      <c r="W304" s="639"/>
      <c r="X304" s="639"/>
      <c r="Y304" s="639"/>
      <c r="Z304" s="639"/>
      <c r="AA304" s="639"/>
      <c r="AB304" s="639"/>
      <c r="AC304" s="639"/>
      <c r="AD304" s="639"/>
      <c r="AE304" s="639"/>
      <c r="AF304" s="639"/>
      <c r="AG304" s="639"/>
      <c r="AH304" s="639"/>
      <c r="AI304" s="639"/>
      <c r="AJ304" s="339">
        <f t="shared" si="84"/>
        <v>10</v>
      </c>
      <c r="AK304" s="481" t="str">
        <f t="shared" si="80"/>
        <v>BBWAA.com</v>
      </c>
      <c r="AL304" s="370">
        <v>42755</v>
      </c>
      <c r="CL304" s="680"/>
      <c r="CM304" s="681"/>
      <c r="CN304" s="682"/>
    </row>
    <row r="305" spans="1:92" ht="12.75" customHeight="1">
      <c r="A305" s="639" t="s">
        <v>438</v>
      </c>
      <c r="B305" s="410" t="s">
        <v>100</v>
      </c>
      <c r="C305" s="410" t="s">
        <v>100</v>
      </c>
      <c r="D305" s="410" t="s">
        <v>100</v>
      </c>
      <c r="E305" s="410" t="s">
        <v>100</v>
      </c>
      <c r="F305" s="502" t="s">
        <v>100</v>
      </c>
      <c r="G305" s="410"/>
      <c r="H305" s="410"/>
      <c r="I305" s="410"/>
      <c r="J305" s="410"/>
      <c r="K305" s="410"/>
      <c r="L305" s="502" t="s">
        <v>100</v>
      </c>
      <c r="M305" s="410"/>
      <c r="N305" s="410" t="s">
        <v>100</v>
      </c>
      <c r="O305" s="410" t="s">
        <v>100</v>
      </c>
      <c r="P305" s="410"/>
      <c r="Q305" s="410" t="s">
        <v>100</v>
      </c>
      <c r="R305" s="410" t="s">
        <v>100</v>
      </c>
      <c r="S305" s="410"/>
      <c r="T305" s="410"/>
      <c r="U305" s="639"/>
      <c r="V305" s="639"/>
      <c r="W305" s="639"/>
      <c r="X305" s="639"/>
      <c r="Y305" s="639"/>
      <c r="Z305" s="639"/>
      <c r="AA305" s="639"/>
      <c r="AB305" s="639"/>
      <c r="AC305" s="639"/>
      <c r="AD305" s="639"/>
      <c r="AE305" s="639"/>
      <c r="AF305" s="639"/>
      <c r="AG305" s="639"/>
      <c r="AH305" s="639"/>
      <c r="AI305" s="639"/>
      <c r="AJ305" s="339">
        <f t="shared" si="84"/>
        <v>10</v>
      </c>
      <c r="AK305" s="481" t="str">
        <f t="shared" si="80"/>
        <v>BBWAA.com</v>
      </c>
      <c r="AL305" s="370">
        <v>42755</v>
      </c>
      <c r="CL305" s="680"/>
      <c r="CM305" s="681"/>
      <c r="CN305" s="682"/>
    </row>
    <row r="306" spans="1:92" ht="12.75" customHeight="1">
      <c r="A306" s="639" t="s">
        <v>670</v>
      </c>
      <c r="B306" s="410"/>
      <c r="C306" s="410"/>
      <c r="D306" s="410"/>
      <c r="E306" s="410"/>
      <c r="F306" s="410" t="s">
        <v>100</v>
      </c>
      <c r="G306" s="410"/>
      <c r="H306" s="410"/>
      <c r="I306" s="410" t="s">
        <v>100</v>
      </c>
      <c r="J306" s="410" t="s">
        <v>100</v>
      </c>
      <c r="K306" s="410"/>
      <c r="L306" s="502" t="s">
        <v>100</v>
      </c>
      <c r="M306" s="410"/>
      <c r="N306" s="410" t="s">
        <v>100</v>
      </c>
      <c r="O306" s="410" t="s">
        <v>100</v>
      </c>
      <c r="P306" s="410"/>
      <c r="Q306" s="410"/>
      <c r="R306" s="410"/>
      <c r="S306" s="410"/>
      <c r="T306" s="410"/>
      <c r="U306" s="639"/>
      <c r="V306" s="639"/>
      <c r="W306" s="639"/>
      <c r="X306" s="639"/>
      <c r="Y306" s="639"/>
      <c r="Z306" s="639"/>
      <c r="AA306" s="639"/>
      <c r="AB306" s="639"/>
      <c r="AC306" s="639"/>
      <c r="AD306" s="639"/>
      <c r="AE306" s="639"/>
      <c r="AF306" s="639"/>
      <c r="AG306" s="639"/>
      <c r="AH306" s="639"/>
      <c r="AI306" s="639"/>
      <c r="AJ306" s="339">
        <f t="shared" si="84"/>
        <v>6</v>
      </c>
      <c r="AK306" s="481" t="str">
        <f t="shared" si="80"/>
        <v>BBWAA.com</v>
      </c>
      <c r="AL306" s="370">
        <v>42755</v>
      </c>
      <c r="CL306" s="680"/>
      <c r="CM306" s="681"/>
      <c r="CN306" s="682"/>
    </row>
    <row r="307" spans="1:92" s="344" customFormat="1">
      <c r="A307" s="374" t="s">
        <v>241</v>
      </c>
      <c r="B307" s="189" t="s">
        <v>100</v>
      </c>
      <c r="C307" s="189" t="s">
        <v>100</v>
      </c>
      <c r="D307" s="189" t="s">
        <v>100</v>
      </c>
      <c r="E307" s="189" t="s">
        <v>100</v>
      </c>
      <c r="F307" s="189" t="s">
        <v>100</v>
      </c>
      <c r="G307" s="189"/>
      <c r="H307" s="189"/>
      <c r="I307" s="189"/>
      <c r="J307" s="189"/>
      <c r="K307" s="189"/>
      <c r="L307" s="189" t="s">
        <v>100</v>
      </c>
      <c r="M307" s="189"/>
      <c r="N307" s="189" t="s">
        <v>100</v>
      </c>
      <c r="O307" s="189" t="s">
        <v>100</v>
      </c>
      <c r="P307" s="189"/>
      <c r="Q307" s="366" t="s">
        <v>100</v>
      </c>
      <c r="R307" s="189" t="s">
        <v>100</v>
      </c>
      <c r="S307" s="189"/>
      <c r="T307" s="189"/>
      <c r="U307" s="189"/>
      <c r="V307" s="189"/>
      <c r="W307" s="189"/>
      <c r="X307" s="189"/>
      <c r="Y307" s="189"/>
      <c r="Z307" s="189"/>
      <c r="AA307" s="189"/>
      <c r="AB307" s="189"/>
      <c r="AC307" s="189"/>
      <c r="AD307" s="189"/>
      <c r="AE307" s="189"/>
      <c r="AF307" s="189"/>
      <c r="AG307" s="189"/>
      <c r="AH307" s="189"/>
      <c r="AI307" s="189"/>
      <c r="AJ307" s="339">
        <f t="shared" si="61"/>
        <v>10</v>
      </c>
      <c r="AK307" s="509" t="str">
        <f>HYPERLINK("http://www.dailyherald.com/article/20170118/sports/170118787/","Daily Herald")</f>
        <v>Daily Herald</v>
      </c>
      <c r="AL307" s="370">
        <v>42753</v>
      </c>
      <c r="AM307" s="352"/>
      <c r="AN307" s="352"/>
      <c r="AO307" s="352"/>
      <c r="AP307" s="352"/>
      <c r="AQ307" s="352"/>
      <c r="AR307" s="352"/>
      <c r="AS307" s="352"/>
      <c r="AT307" s="352"/>
      <c r="AU307" s="352"/>
      <c r="AV307" s="352"/>
      <c r="AW307" s="352"/>
      <c r="AX307" s="352"/>
      <c r="AY307" s="352"/>
      <c r="AZ307" s="352"/>
      <c r="BA307" s="352"/>
      <c r="BB307" s="352"/>
      <c r="BC307" s="352"/>
      <c r="BD307" s="352"/>
      <c r="BE307" s="352"/>
      <c r="BF307" s="352"/>
      <c r="BG307" s="352"/>
      <c r="BH307" s="352"/>
      <c r="BI307" s="352"/>
      <c r="BJ307" s="352"/>
      <c r="BK307" s="352"/>
      <c r="BL307" s="470"/>
      <c r="BM307" s="339"/>
      <c r="BN307" s="339"/>
      <c r="BO307" s="182"/>
      <c r="BP307" s="182"/>
      <c r="BQ307" s="182"/>
      <c r="BR307" s="182"/>
      <c r="BS307" s="182"/>
      <c r="BT307" s="182"/>
      <c r="BU307" s="182"/>
      <c r="BV307" s="182"/>
      <c r="BW307" s="182"/>
      <c r="BX307" s="182"/>
      <c r="BY307" s="182"/>
      <c r="BZ307" s="182"/>
      <c r="CA307" s="182"/>
      <c r="CB307" s="182"/>
      <c r="CC307" s="182"/>
      <c r="CD307" s="182"/>
      <c r="CE307" s="182"/>
      <c r="CF307" s="182"/>
      <c r="CG307" s="182"/>
      <c r="CH307" s="182"/>
      <c r="CI307" s="182"/>
      <c r="CJ307" s="182"/>
      <c r="CK307" s="182"/>
      <c r="CL307" s="680"/>
      <c r="CM307" s="681"/>
      <c r="CN307" s="682"/>
    </row>
    <row r="308" spans="1:92" s="344" customFormat="1">
      <c r="A308" s="374" t="s">
        <v>671</v>
      </c>
      <c r="B308" s="189" t="s">
        <v>100</v>
      </c>
      <c r="C308" s="189"/>
      <c r="D308" s="189"/>
      <c r="E308" s="189" t="s">
        <v>100</v>
      </c>
      <c r="F308" s="189"/>
      <c r="G308" s="189"/>
      <c r="H308" s="189" t="s">
        <v>100</v>
      </c>
      <c r="I308" s="367"/>
      <c r="J308" s="189" t="s">
        <v>100</v>
      </c>
      <c r="K308" s="189"/>
      <c r="L308" s="189" t="s">
        <v>100</v>
      </c>
      <c r="M308" s="189"/>
      <c r="N308" s="189"/>
      <c r="O308" s="189" t="s">
        <v>100</v>
      </c>
      <c r="P308" s="367"/>
      <c r="Q308" s="189"/>
      <c r="R308" s="189"/>
      <c r="S308" s="189"/>
      <c r="T308" s="189"/>
      <c r="U308" s="189"/>
      <c r="V308" s="189"/>
      <c r="W308" s="189"/>
      <c r="X308" s="189"/>
      <c r="Y308" s="189"/>
      <c r="Z308" s="189"/>
      <c r="AA308" s="189"/>
      <c r="AB308" s="189"/>
      <c r="AC308" s="189"/>
      <c r="AD308" s="189"/>
      <c r="AE308" s="189"/>
      <c r="AF308" s="189"/>
      <c r="AG308" s="189"/>
      <c r="AH308" s="189"/>
      <c r="AI308" s="189"/>
      <c r="AJ308" s="339">
        <f t="shared" si="61"/>
        <v>6</v>
      </c>
      <c r="AK308" s="509" t="str">
        <f>HYPERLINK("http://www.chroniclet.com/sports/2017/01/19/Jim-Ingraham-Voting-for-baseball-s-Hall-of-Fame-is-serious-business.html","Chronicle Telegram")</f>
        <v>Chronicle Telegram</v>
      </c>
      <c r="AL308" s="370">
        <v>42754</v>
      </c>
      <c r="AM308" s="352"/>
      <c r="AN308" s="352"/>
      <c r="AO308" s="352"/>
      <c r="AP308" s="352"/>
      <c r="AQ308" s="352"/>
      <c r="AR308" s="352"/>
      <c r="AS308" s="352"/>
      <c r="AT308" s="352"/>
      <c r="AU308" s="352"/>
      <c r="AV308" s="352"/>
      <c r="AW308" s="352"/>
      <c r="AX308" s="352"/>
      <c r="AY308" s="352"/>
      <c r="AZ308" s="352"/>
      <c r="BA308" s="352"/>
      <c r="BB308" s="352"/>
      <c r="BC308" s="352"/>
      <c r="BD308" s="352"/>
      <c r="BE308" s="352"/>
      <c r="BF308" s="352"/>
      <c r="BG308" s="352"/>
      <c r="BH308" s="352"/>
      <c r="BI308" s="352"/>
      <c r="BJ308" s="352"/>
      <c r="BK308" s="352"/>
      <c r="BL308" s="470"/>
      <c r="BM308" s="339"/>
      <c r="BN308" s="339"/>
      <c r="BO308" s="182"/>
      <c r="BP308" s="182"/>
      <c r="BQ308" s="182"/>
      <c r="BR308" s="182"/>
      <c r="BS308" s="182"/>
      <c r="BT308" s="182"/>
      <c r="BU308" s="182"/>
      <c r="BV308" s="182"/>
      <c r="BW308" s="182"/>
      <c r="BX308" s="182"/>
      <c r="BY308" s="182"/>
      <c r="BZ308" s="182"/>
      <c r="CA308" s="182"/>
      <c r="CB308" s="182"/>
      <c r="CC308" s="182"/>
      <c r="CD308" s="182"/>
      <c r="CE308" s="182"/>
      <c r="CF308" s="182"/>
      <c r="CG308" s="182"/>
      <c r="CH308" s="182"/>
      <c r="CI308" s="182"/>
      <c r="CJ308" s="182"/>
      <c r="CK308" s="182"/>
      <c r="CL308" s="680"/>
      <c r="CM308" s="681"/>
      <c r="CN308" s="682"/>
    </row>
    <row r="309" spans="1:92" s="344" customFormat="1">
      <c r="A309" s="374" t="s">
        <v>672</v>
      </c>
      <c r="B309" s="189" t="s">
        <v>100</v>
      </c>
      <c r="C309" s="189" t="s">
        <v>100</v>
      </c>
      <c r="D309" s="189" t="s">
        <v>100</v>
      </c>
      <c r="E309" s="189" t="s">
        <v>100</v>
      </c>
      <c r="F309" s="189" t="s">
        <v>100</v>
      </c>
      <c r="G309" s="189"/>
      <c r="H309" s="189"/>
      <c r="I309" s="189" t="s">
        <v>100</v>
      </c>
      <c r="J309" s="189"/>
      <c r="K309" s="189"/>
      <c r="L309" s="189" t="s">
        <v>100</v>
      </c>
      <c r="M309" s="189" t="s">
        <v>100</v>
      </c>
      <c r="N309" s="189" t="s">
        <v>100</v>
      </c>
      <c r="O309" s="189"/>
      <c r="P309" s="189" t="s">
        <v>100</v>
      </c>
      <c r="Q309" s="189"/>
      <c r="R309" s="189"/>
      <c r="S309" s="189"/>
      <c r="T309" s="367"/>
      <c r="U309" s="189"/>
      <c r="V309" s="189"/>
      <c r="W309" s="189"/>
      <c r="X309" s="189"/>
      <c r="Y309" s="189"/>
      <c r="Z309" s="189"/>
      <c r="AA309" s="189"/>
      <c r="AB309" s="189"/>
      <c r="AC309" s="189"/>
      <c r="AD309" s="189"/>
      <c r="AE309" s="189"/>
      <c r="AF309" s="189"/>
      <c r="AG309" s="189"/>
      <c r="AH309" s="189"/>
      <c r="AI309" s="189"/>
      <c r="AJ309" s="339">
        <f>COUNTIF(B309:AI309,"x")</f>
        <v>10</v>
      </c>
      <c r="AK309" s="481" t="str">
        <f t="shared" si="80"/>
        <v>BBWAA.com</v>
      </c>
      <c r="AL309" s="370">
        <v>42757</v>
      </c>
      <c r="AM309" s="498"/>
      <c r="AN309" s="498"/>
      <c r="AO309" s="498"/>
      <c r="AP309" s="498"/>
      <c r="AQ309" s="498"/>
      <c r="AR309" s="498"/>
      <c r="AS309" s="498"/>
      <c r="AT309" s="498"/>
      <c r="AU309" s="498"/>
      <c r="AV309" s="498"/>
      <c r="AW309" s="498"/>
      <c r="AX309" s="498"/>
      <c r="AY309" s="498"/>
      <c r="AZ309" s="498"/>
      <c r="BA309" s="498"/>
      <c r="BB309" s="498"/>
      <c r="BC309" s="498"/>
      <c r="BD309" s="498"/>
      <c r="BE309" s="498"/>
      <c r="BF309" s="498"/>
      <c r="BG309" s="498"/>
      <c r="BH309" s="498"/>
      <c r="BI309" s="498"/>
      <c r="BJ309" s="498"/>
      <c r="BK309" s="498"/>
      <c r="BL309" s="499"/>
      <c r="BM309" s="500"/>
      <c r="BN309" s="500"/>
      <c r="BO309" s="501"/>
      <c r="BP309" s="501"/>
      <c r="BQ309" s="501"/>
      <c r="BR309" s="501"/>
      <c r="BS309" s="501"/>
      <c r="BT309" s="501"/>
      <c r="BU309" s="501"/>
      <c r="BV309" s="501"/>
      <c r="BW309" s="501"/>
      <c r="BX309" s="501"/>
      <c r="BY309" s="501"/>
      <c r="BZ309" s="501"/>
      <c r="CA309" s="501"/>
      <c r="CB309" s="501"/>
      <c r="CC309" s="501"/>
      <c r="CD309" s="501"/>
      <c r="CE309" s="501"/>
      <c r="CF309" s="501"/>
      <c r="CG309" s="501"/>
      <c r="CH309" s="501"/>
      <c r="CI309" s="501"/>
      <c r="CJ309" s="501"/>
      <c r="CK309" s="501"/>
      <c r="CL309" s="618"/>
      <c r="CM309" s="619"/>
      <c r="CN309" s="620"/>
    </row>
    <row r="310" spans="1:92" s="344" customFormat="1">
      <c r="A310" s="374" t="s">
        <v>255</v>
      </c>
      <c r="B310" s="502" t="s">
        <v>100</v>
      </c>
      <c r="C310" s="189"/>
      <c r="D310" s="189"/>
      <c r="E310" s="410" t="s">
        <v>100</v>
      </c>
      <c r="F310" s="410" t="s">
        <v>100</v>
      </c>
      <c r="G310" s="410" t="s">
        <v>100</v>
      </c>
      <c r="H310" s="410" t="s">
        <v>100</v>
      </c>
      <c r="I310" s="189"/>
      <c r="J310" s="189"/>
      <c r="K310" s="189"/>
      <c r="L310" s="189"/>
      <c r="M310" s="189"/>
      <c r="N310" s="410" t="s">
        <v>100</v>
      </c>
      <c r="O310" s="189"/>
      <c r="P310" s="189"/>
      <c r="Q310" s="410" t="s">
        <v>100</v>
      </c>
      <c r="R310" s="189"/>
      <c r="S310" s="410" t="s">
        <v>100</v>
      </c>
      <c r="T310" s="189"/>
      <c r="U310" s="189"/>
      <c r="V310" s="189"/>
      <c r="W310" s="189"/>
      <c r="X310" s="189"/>
      <c r="Y310" s="189"/>
      <c r="Z310" s="189"/>
      <c r="AA310" s="189"/>
      <c r="AB310" s="189"/>
      <c r="AC310" s="189"/>
      <c r="AD310" s="189"/>
      <c r="AE310" s="189"/>
      <c r="AF310" s="189"/>
      <c r="AG310" s="189"/>
      <c r="AH310" s="189"/>
      <c r="AI310" s="189"/>
      <c r="AJ310" s="339">
        <f t="shared" ref="AJ310" si="85">COUNTIF(B310:AI310,"x")</f>
        <v>8</v>
      </c>
      <c r="AK310" s="510" t="s">
        <v>543</v>
      </c>
      <c r="AL310" s="370">
        <v>42758</v>
      </c>
      <c r="AM310" s="498"/>
      <c r="AN310" s="498"/>
      <c r="AO310" s="498"/>
      <c r="AP310" s="498"/>
      <c r="AQ310" s="498"/>
      <c r="AR310" s="498"/>
      <c r="AS310" s="498"/>
      <c r="AT310" s="498"/>
      <c r="AU310" s="498"/>
      <c r="AV310" s="498"/>
      <c r="AW310" s="498"/>
      <c r="AX310" s="498"/>
      <c r="AY310" s="498"/>
      <c r="AZ310" s="498"/>
      <c r="BA310" s="498"/>
      <c r="BB310" s="498"/>
      <c r="BC310" s="498"/>
      <c r="BD310" s="498"/>
      <c r="BE310" s="498"/>
      <c r="BF310" s="498"/>
      <c r="BG310" s="498"/>
      <c r="BH310" s="498"/>
      <c r="BI310" s="498"/>
      <c r="BJ310" s="498"/>
      <c r="BK310" s="498"/>
      <c r="BL310" s="499"/>
      <c r="BM310" s="500"/>
      <c r="BN310" s="500"/>
      <c r="BO310" s="501"/>
      <c r="BP310" s="501"/>
      <c r="BQ310" s="501"/>
      <c r="BR310" s="501"/>
      <c r="BS310" s="501"/>
      <c r="BT310" s="501"/>
      <c r="BU310" s="501"/>
      <c r="BV310" s="501"/>
      <c r="BW310" s="501"/>
      <c r="BX310" s="501"/>
      <c r="BY310" s="501"/>
      <c r="BZ310" s="501"/>
      <c r="CA310" s="501"/>
      <c r="CB310" s="501"/>
      <c r="CC310" s="501"/>
      <c r="CD310" s="501"/>
      <c r="CE310" s="501"/>
      <c r="CF310" s="501"/>
      <c r="CG310" s="501"/>
      <c r="CH310" s="501"/>
      <c r="CI310" s="501"/>
      <c r="CJ310" s="501"/>
      <c r="CK310" s="501"/>
      <c r="CL310" s="618"/>
      <c r="CM310" s="619"/>
      <c r="CN310" s="620"/>
    </row>
    <row r="311" spans="1:92" ht="12.75" customHeight="1">
      <c r="A311" s="639" t="s">
        <v>673</v>
      </c>
      <c r="B311" s="410" t="s">
        <v>100</v>
      </c>
      <c r="C311" s="410"/>
      <c r="D311" s="410"/>
      <c r="E311" s="410" t="s">
        <v>100</v>
      </c>
      <c r="F311" s="367"/>
      <c r="G311" s="410" t="s">
        <v>100</v>
      </c>
      <c r="H311" s="410" t="s">
        <v>100</v>
      </c>
      <c r="I311" s="410" t="s">
        <v>100</v>
      </c>
      <c r="J311" s="410" t="s">
        <v>100</v>
      </c>
      <c r="K311" s="410"/>
      <c r="L311" s="410" t="s">
        <v>100</v>
      </c>
      <c r="M311" s="410"/>
      <c r="N311" s="410" t="s">
        <v>100</v>
      </c>
      <c r="O311" s="410" t="s">
        <v>100</v>
      </c>
      <c r="P311" s="410"/>
      <c r="Q311" s="410"/>
      <c r="R311" s="410"/>
      <c r="S311" s="410"/>
      <c r="T311" s="502" t="s">
        <v>100</v>
      </c>
      <c r="U311" s="639"/>
      <c r="V311" s="639"/>
      <c r="W311" s="639"/>
      <c r="X311" s="639"/>
      <c r="Y311" s="639"/>
      <c r="Z311" s="639"/>
      <c r="AA311" s="639"/>
      <c r="AB311" s="639"/>
      <c r="AC311" s="639"/>
      <c r="AD311" s="639"/>
      <c r="AE311" s="639"/>
      <c r="AF311" s="639"/>
      <c r="AG311" s="639"/>
      <c r="AH311" s="639"/>
      <c r="AI311" s="639"/>
      <c r="AJ311" s="339">
        <f>COUNTIF(B311:AI311,"x")</f>
        <v>10</v>
      </c>
      <c r="AK311" s="481" t="str">
        <f t="shared" si="80"/>
        <v>BBWAA.com</v>
      </c>
      <c r="AL311" s="370">
        <v>42755</v>
      </c>
      <c r="CL311" s="680"/>
      <c r="CM311" s="681"/>
      <c r="CN311" s="682"/>
    </row>
    <row r="312" spans="1:92" s="344" customFormat="1" ht="12.75" customHeight="1">
      <c r="A312" s="380" t="s">
        <v>674</v>
      </c>
      <c r="B312" s="410" t="s">
        <v>100</v>
      </c>
      <c r="C312" s="410" t="s">
        <v>100</v>
      </c>
      <c r="D312" s="410" t="s">
        <v>100</v>
      </c>
      <c r="E312" s="410" t="s">
        <v>100</v>
      </c>
      <c r="F312" s="410" t="s">
        <v>100</v>
      </c>
      <c r="G312" s="494"/>
      <c r="H312" s="494"/>
      <c r="I312" s="494"/>
      <c r="J312" s="494"/>
      <c r="K312" s="494"/>
      <c r="L312" s="410" t="s">
        <v>100</v>
      </c>
      <c r="M312" s="410" t="s">
        <v>100</v>
      </c>
      <c r="N312" s="410" t="s">
        <v>100</v>
      </c>
      <c r="O312" s="410" t="s">
        <v>100</v>
      </c>
      <c r="P312" s="494"/>
      <c r="Q312" s="410" t="s">
        <v>100</v>
      </c>
      <c r="R312" s="494"/>
      <c r="S312" s="494"/>
      <c r="T312" s="494"/>
      <c r="U312" s="380"/>
      <c r="V312" s="380"/>
      <c r="W312" s="380"/>
      <c r="X312" s="380"/>
      <c r="Y312" s="380"/>
      <c r="Z312" s="380"/>
      <c r="AA312" s="380"/>
      <c r="AB312" s="380"/>
      <c r="AC312" s="380"/>
      <c r="AD312" s="380"/>
      <c r="AE312" s="380"/>
      <c r="AF312" s="380"/>
      <c r="AG312" s="380"/>
      <c r="AH312" s="380"/>
      <c r="AI312" s="380"/>
      <c r="AJ312" s="339">
        <f>COUNTIF(B312:AI312,"x")</f>
        <v>10</v>
      </c>
      <c r="AK312" s="481" t="str">
        <f t="shared" si="80"/>
        <v>BBWAA.com</v>
      </c>
      <c r="AL312" s="370">
        <v>42756</v>
      </c>
      <c r="CL312" s="618"/>
      <c r="CM312" s="619"/>
      <c r="CN312" s="620"/>
    </row>
    <row r="313" spans="1:92" ht="12.75" customHeight="1">
      <c r="A313" s="639" t="s">
        <v>675</v>
      </c>
      <c r="B313" s="410" t="s">
        <v>100</v>
      </c>
      <c r="C313" s="410" t="s">
        <v>100</v>
      </c>
      <c r="D313" s="410" t="s">
        <v>100</v>
      </c>
      <c r="E313" s="410" t="s">
        <v>100</v>
      </c>
      <c r="F313" s="410" t="s">
        <v>100</v>
      </c>
      <c r="G313" s="410"/>
      <c r="H313" s="410"/>
      <c r="I313" s="410"/>
      <c r="J313" s="502" t="s">
        <v>100</v>
      </c>
      <c r="K313" s="410"/>
      <c r="L313" s="410" t="s">
        <v>100</v>
      </c>
      <c r="M313" s="410" t="s">
        <v>100</v>
      </c>
      <c r="N313" s="410" t="s">
        <v>100</v>
      </c>
      <c r="O313" s="410"/>
      <c r="P313" s="410"/>
      <c r="Q313" s="410"/>
      <c r="R313" s="410"/>
      <c r="S313" s="410"/>
      <c r="T313" s="410"/>
      <c r="U313" s="639"/>
      <c r="V313" s="639"/>
      <c r="W313" s="639"/>
      <c r="X313" s="639"/>
      <c r="Y313" s="639"/>
      <c r="Z313" s="639"/>
      <c r="AA313" s="639"/>
      <c r="AB313" s="639"/>
      <c r="AC313" s="639"/>
      <c r="AD313" s="639"/>
      <c r="AE313" s="639"/>
      <c r="AF313" s="639"/>
      <c r="AG313" s="639"/>
      <c r="AH313" s="639"/>
      <c r="AI313" s="639"/>
      <c r="AJ313" s="339">
        <f>COUNTIF(B313:AI313,"x")</f>
        <v>9</v>
      </c>
      <c r="AK313" s="481" t="str">
        <f t="shared" si="80"/>
        <v>BBWAA.com</v>
      </c>
      <c r="AL313" s="370">
        <v>42755</v>
      </c>
      <c r="CL313" s="680"/>
      <c r="CM313" s="681"/>
      <c r="CN313" s="682"/>
    </row>
    <row r="314" spans="1:92" ht="12.75" customHeight="1">
      <c r="A314" s="639" t="s">
        <v>676</v>
      </c>
      <c r="B314" s="410"/>
      <c r="C314" s="410"/>
      <c r="D314" s="410"/>
      <c r="E314" s="410" t="s">
        <v>100</v>
      </c>
      <c r="F314" s="410"/>
      <c r="G314" s="410" t="s">
        <v>100</v>
      </c>
      <c r="H314" s="502" t="s">
        <v>100</v>
      </c>
      <c r="I314" s="410" t="s">
        <v>100</v>
      </c>
      <c r="J314" s="410"/>
      <c r="K314" s="410"/>
      <c r="L314" s="410"/>
      <c r="M314" s="410"/>
      <c r="N314" s="410"/>
      <c r="O314" s="410" t="s">
        <v>100</v>
      </c>
      <c r="P314" s="410"/>
      <c r="Q314" s="410"/>
      <c r="R314" s="410"/>
      <c r="S314" s="410"/>
      <c r="T314" s="410"/>
      <c r="U314" s="639"/>
      <c r="V314" s="639"/>
      <c r="W314" s="639"/>
      <c r="X314" s="639"/>
      <c r="Y314" s="639"/>
      <c r="Z314" s="639"/>
      <c r="AA314" s="639"/>
      <c r="AB314" s="639"/>
      <c r="AC314" s="639"/>
      <c r="AD314" s="639"/>
      <c r="AE314" s="639"/>
      <c r="AF314" s="639"/>
      <c r="AG314" s="639"/>
      <c r="AH314" s="639"/>
      <c r="AI314" s="639"/>
      <c r="AJ314" s="339">
        <f>COUNTIF(B314:AI314,"x")</f>
        <v>5</v>
      </c>
      <c r="AK314" s="481" t="str">
        <f t="shared" si="80"/>
        <v>BBWAA.com</v>
      </c>
      <c r="AL314" s="370">
        <v>42755</v>
      </c>
      <c r="CL314" s="680"/>
      <c r="CM314" s="681"/>
      <c r="CN314" s="682"/>
    </row>
    <row r="315" spans="1:92" s="344" customFormat="1">
      <c r="A315" s="374" t="s">
        <v>677</v>
      </c>
      <c r="B315" s="189" t="s">
        <v>100</v>
      </c>
      <c r="C315" s="189"/>
      <c r="D315" s="189"/>
      <c r="E315" s="189"/>
      <c r="F315" s="189" t="s">
        <v>100</v>
      </c>
      <c r="G315" s="367"/>
      <c r="H315" s="189" t="s">
        <v>100</v>
      </c>
      <c r="I315" s="189"/>
      <c r="J315" s="189"/>
      <c r="K315" s="189"/>
      <c r="L315" s="189" t="s">
        <v>100</v>
      </c>
      <c r="M315" s="189"/>
      <c r="N315" s="189" t="s">
        <v>100</v>
      </c>
      <c r="O315" s="189" t="s">
        <v>100</v>
      </c>
      <c r="P315" s="189"/>
      <c r="Q315" s="189" t="s">
        <v>100</v>
      </c>
      <c r="R315" s="189"/>
      <c r="S315" s="189" t="s">
        <v>100</v>
      </c>
      <c r="T315" s="189"/>
      <c r="U315" s="189"/>
      <c r="V315" s="189"/>
      <c r="W315" s="189"/>
      <c r="X315" s="189"/>
      <c r="Y315" s="189"/>
      <c r="Z315" s="189"/>
      <c r="AA315" s="189"/>
      <c r="AB315" s="189"/>
      <c r="AC315" s="189"/>
      <c r="AD315" s="189"/>
      <c r="AE315" s="189"/>
      <c r="AF315" s="189"/>
      <c r="AG315" s="189"/>
      <c r="AH315" s="189"/>
      <c r="AI315" s="189"/>
      <c r="AJ315" s="339">
        <f t="shared" si="61"/>
        <v>8</v>
      </c>
      <c r="AK315" s="509" t="str">
        <f>HYPERLINK("http://www.bnd.com/sports/mlb/st-louis-cardinals/article127333879.html","BND")</f>
        <v>BND</v>
      </c>
      <c r="AL315" s="370">
        <v>42754</v>
      </c>
      <c r="AM315" s="352"/>
      <c r="AN315" s="352"/>
      <c r="AO315" s="352"/>
      <c r="AP315" s="352"/>
      <c r="AQ315" s="352"/>
      <c r="AR315" s="352"/>
      <c r="AS315" s="352"/>
      <c r="AT315" s="352"/>
      <c r="AU315" s="352"/>
      <c r="AV315" s="352"/>
      <c r="AW315" s="352"/>
      <c r="AX315" s="352"/>
      <c r="AY315" s="352"/>
      <c r="AZ315" s="352"/>
      <c r="BA315" s="352"/>
      <c r="BB315" s="352"/>
      <c r="BC315" s="352"/>
      <c r="BD315" s="352"/>
      <c r="BE315" s="352"/>
      <c r="BF315" s="352"/>
      <c r="BG315" s="352"/>
      <c r="BH315" s="352"/>
      <c r="BI315" s="352"/>
      <c r="BJ315" s="352"/>
      <c r="BK315" s="352"/>
      <c r="BL315" s="470"/>
      <c r="BM315" s="339"/>
      <c r="BN315" s="339"/>
      <c r="BO315" s="182"/>
      <c r="BP315" s="182"/>
      <c r="BQ315" s="182"/>
      <c r="BR315" s="182"/>
      <c r="BS315" s="182"/>
      <c r="BT315" s="182"/>
      <c r="BU315" s="182"/>
      <c r="BV315" s="182"/>
      <c r="BW315" s="182"/>
      <c r="BX315" s="182"/>
      <c r="BY315" s="182"/>
      <c r="BZ315" s="182"/>
      <c r="CA315" s="182"/>
      <c r="CB315" s="182"/>
      <c r="CC315" s="182"/>
      <c r="CD315" s="182"/>
      <c r="CE315" s="182"/>
      <c r="CF315" s="182"/>
      <c r="CG315" s="182"/>
      <c r="CH315" s="182"/>
      <c r="CI315" s="182"/>
      <c r="CJ315" s="182"/>
      <c r="CK315" s="182"/>
      <c r="CL315" s="680"/>
      <c r="CM315" s="681"/>
      <c r="CN315" s="682"/>
    </row>
    <row r="316" spans="1:92" s="344" customFormat="1">
      <c r="A316" s="516" t="s">
        <v>678</v>
      </c>
      <c r="B316" s="189" t="s">
        <v>100</v>
      </c>
      <c r="C316" s="189"/>
      <c r="D316" s="189"/>
      <c r="E316" s="189" t="s">
        <v>100</v>
      </c>
      <c r="F316" s="189"/>
      <c r="G316" s="189"/>
      <c r="H316" s="502" t="s">
        <v>100</v>
      </c>
      <c r="I316" s="189"/>
      <c r="J316" s="189"/>
      <c r="K316" s="189"/>
      <c r="L316" s="189"/>
      <c r="M316" s="189"/>
      <c r="N316" s="189"/>
      <c r="O316" s="189" t="s">
        <v>100</v>
      </c>
      <c r="P316" s="189"/>
      <c r="Q316" s="189"/>
      <c r="R316" s="189"/>
      <c r="S316" s="189"/>
      <c r="T316" s="189"/>
      <c r="U316" s="189"/>
      <c r="V316" s="189"/>
      <c r="W316" s="189"/>
      <c r="X316" s="189"/>
      <c r="Y316" s="189"/>
      <c r="Z316" s="189"/>
      <c r="AA316" s="189"/>
      <c r="AB316" s="189"/>
      <c r="AC316" s="189"/>
      <c r="AD316" s="189"/>
      <c r="AE316" s="189"/>
      <c r="AF316" s="189"/>
      <c r="AG316" s="189"/>
      <c r="AH316" s="189"/>
      <c r="AI316" s="189"/>
      <c r="AJ316" s="339">
        <f>COUNTIF(B316:AI316,"x")</f>
        <v>4</v>
      </c>
      <c r="AK316" s="481" t="str">
        <f t="shared" si="80"/>
        <v>BBWAA.com</v>
      </c>
      <c r="AL316" s="370">
        <v>42762</v>
      </c>
      <c r="AM316" s="352"/>
      <c r="AN316" s="352"/>
      <c r="AO316" s="352"/>
      <c r="AP316" s="352"/>
      <c r="AQ316" s="352"/>
      <c r="AR316" s="352"/>
      <c r="AS316" s="352"/>
      <c r="AT316" s="352"/>
      <c r="AU316" s="352"/>
      <c r="AV316" s="352"/>
      <c r="AW316" s="352"/>
      <c r="AX316" s="352"/>
      <c r="AY316" s="352"/>
      <c r="AZ316" s="352"/>
      <c r="BA316" s="352"/>
      <c r="BB316" s="352"/>
      <c r="BC316" s="352"/>
      <c r="BD316" s="352"/>
      <c r="BE316" s="352"/>
      <c r="BF316" s="352"/>
      <c r="BG316" s="352"/>
      <c r="BH316" s="352"/>
      <c r="BI316" s="352"/>
      <c r="BJ316" s="352"/>
      <c r="BK316" s="352"/>
      <c r="BL316" s="470"/>
      <c r="BM316" s="339"/>
      <c r="BN316" s="339"/>
      <c r="BO316" s="182"/>
      <c r="BP316" s="182"/>
      <c r="BQ316" s="182"/>
      <c r="BR316" s="182"/>
      <c r="BS316" s="182"/>
      <c r="BT316" s="182"/>
      <c r="BU316" s="182"/>
      <c r="BV316" s="182"/>
      <c r="BW316" s="182"/>
      <c r="BX316" s="182"/>
      <c r="BY316" s="182"/>
      <c r="BZ316" s="182"/>
      <c r="CA316" s="182"/>
      <c r="CB316" s="182"/>
      <c r="CC316" s="182"/>
      <c r="CD316" s="182"/>
      <c r="CE316" s="182"/>
      <c r="CF316" s="182"/>
      <c r="CG316" s="182"/>
      <c r="CH316" s="182"/>
      <c r="CI316" s="182"/>
      <c r="CJ316" s="182"/>
      <c r="CK316" s="182"/>
      <c r="CL316" s="618"/>
      <c r="CM316" s="619"/>
      <c r="CN316" s="620"/>
    </row>
    <row r="317" spans="1:92" s="344" customFormat="1">
      <c r="A317" s="374" t="s">
        <v>453</v>
      </c>
      <c r="B317" s="366" t="s">
        <v>100</v>
      </c>
      <c r="C317" s="189"/>
      <c r="D317" s="189"/>
      <c r="E317" s="189" t="s">
        <v>100</v>
      </c>
      <c r="F317" s="189"/>
      <c r="G317" s="189"/>
      <c r="H317" s="189"/>
      <c r="I317" s="189"/>
      <c r="J317" s="189" t="s">
        <v>100</v>
      </c>
      <c r="K317" s="189"/>
      <c r="L317" s="366" t="s">
        <v>100</v>
      </c>
      <c r="M317" s="189"/>
      <c r="N317" s="189" t="s">
        <v>100</v>
      </c>
      <c r="O317" s="189"/>
      <c r="P317" s="189"/>
      <c r="Q317" s="189"/>
      <c r="R317" s="189"/>
      <c r="S317" s="189"/>
      <c r="T317" s="366" t="s">
        <v>100</v>
      </c>
      <c r="U317" s="189"/>
      <c r="V317" s="189"/>
      <c r="W317" s="189"/>
      <c r="X317" s="189"/>
      <c r="Y317" s="189"/>
      <c r="Z317" s="189"/>
      <c r="AA317" s="189"/>
      <c r="AB317" s="189"/>
      <c r="AC317" s="189"/>
      <c r="AD317" s="189"/>
      <c r="AE317" s="189"/>
      <c r="AF317" s="189"/>
      <c r="AG317" s="189"/>
      <c r="AH317" s="189"/>
      <c r="AI317" s="189"/>
      <c r="AJ317" s="339">
        <f>COUNTIF(B317:AI317,"x")</f>
        <v>6</v>
      </c>
      <c r="AK317" s="481" t="str">
        <f t="shared" si="80"/>
        <v>BBWAA.com</v>
      </c>
      <c r="AL317" s="370">
        <v>42759</v>
      </c>
      <c r="AM317" s="352"/>
      <c r="AN317" s="352"/>
      <c r="AO317" s="352"/>
      <c r="AP317" s="352"/>
      <c r="AQ317" s="352"/>
      <c r="AR317" s="352"/>
      <c r="AS317" s="352"/>
      <c r="AT317" s="352"/>
      <c r="AU317" s="352"/>
      <c r="AV317" s="352"/>
      <c r="AW317" s="352"/>
      <c r="AX317" s="352"/>
      <c r="AY317" s="352"/>
      <c r="AZ317" s="352"/>
      <c r="BA317" s="352"/>
      <c r="BB317" s="352"/>
      <c r="BC317" s="352"/>
      <c r="BD317" s="352"/>
      <c r="BE317" s="352"/>
      <c r="BF317" s="352"/>
      <c r="BG317" s="352"/>
      <c r="BH317" s="352"/>
      <c r="BI317" s="352"/>
      <c r="BJ317" s="352"/>
      <c r="BK317" s="352"/>
      <c r="BL317" s="470"/>
      <c r="BM317" s="339"/>
      <c r="BN317" s="339"/>
      <c r="BO317" s="182"/>
      <c r="BP317" s="182"/>
      <c r="BQ317" s="182"/>
      <c r="BR317" s="182"/>
      <c r="BS317" s="182"/>
      <c r="BT317" s="182"/>
      <c r="BU317" s="182"/>
      <c r="BV317" s="182"/>
      <c r="BW317" s="182"/>
      <c r="BX317" s="182"/>
      <c r="BY317" s="182"/>
      <c r="BZ317" s="182"/>
      <c r="CA317" s="182"/>
      <c r="CB317" s="182"/>
      <c r="CC317" s="182"/>
      <c r="CD317" s="182"/>
      <c r="CE317" s="182"/>
      <c r="CF317" s="182"/>
      <c r="CG317" s="182"/>
      <c r="CH317" s="182"/>
      <c r="CI317" s="182"/>
      <c r="CJ317" s="182"/>
      <c r="CK317" s="182"/>
      <c r="CL317" s="618"/>
      <c r="CM317" s="619"/>
      <c r="CN317" s="620"/>
    </row>
    <row r="318" spans="1:92" s="344" customFormat="1">
      <c r="A318" s="374" t="s">
        <v>454</v>
      </c>
      <c r="B318" s="366" t="s">
        <v>100</v>
      </c>
      <c r="C318" s="189"/>
      <c r="D318" s="189"/>
      <c r="E318" s="189"/>
      <c r="F318" s="189" t="s">
        <v>100</v>
      </c>
      <c r="G318" s="189"/>
      <c r="H318" s="189" t="s">
        <v>100</v>
      </c>
      <c r="I318" s="189"/>
      <c r="J318" s="189" t="s">
        <v>100</v>
      </c>
      <c r="K318" s="189"/>
      <c r="L318" s="189" t="s">
        <v>100</v>
      </c>
      <c r="M318" s="189"/>
      <c r="N318" s="189" t="s">
        <v>100</v>
      </c>
      <c r="O318" s="189" t="s">
        <v>100</v>
      </c>
      <c r="P318" s="189"/>
      <c r="Q318" s="189" t="s">
        <v>100</v>
      </c>
      <c r="R318" s="189"/>
      <c r="S318" s="189"/>
      <c r="T318" s="189"/>
      <c r="U318" s="189"/>
      <c r="V318" s="189"/>
      <c r="W318" s="189"/>
      <c r="X318" s="189"/>
      <c r="Y318" s="189"/>
      <c r="Z318" s="189"/>
      <c r="AA318" s="189"/>
      <c r="AB318" s="189"/>
      <c r="AC318" s="189"/>
      <c r="AD318" s="189"/>
      <c r="AE318" s="189"/>
      <c r="AF318" s="189"/>
      <c r="AG318" s="189"/>
      <c r="AH318" s="189"/>
      <c r="AI318" s="189"/>
      <c r="AJ318" s="339">
        <f t="shared" si="61"/>
        <v>8</v>
      </c>
      <c r="AK318" s="483" t="s">
        <v>115</v>
      </c>
      <c r="AL318" s="370">
        <v>42753</v>
      </c>
      <c r="AM318" s="352"/>
      <c r="AN318" s="187">
        <f>IF(B318=1,0,0)</f>
        <v>0</v>
      </c>
      <c r="AO318" s="187">
        <f>IF(D318=1,13,0)</f>
        <v>0</v>
      </c>
      <c r="AP318" s="187">
        <f>IF(E318=1,8,0)</f>
        <v>0</v>
      </c>
      <c r="AQ318" s="187">
        <f>IF(G318=1,8,0)</f>
        <v>0</v>
      </c>
      <c r="AR318" s="187">
        <f t="shared" si="62"/>
        <v>0</v>
      </c>
      <c r="AS318" s="187">
        <f t="shared" si="63"/>
        <v>0</v>
      </c>
      <c r="AT318" s="187">
        <f t="shared" si="64"/>
        <v>0</v>
      </c>
      <c r="AU318" s="187">
        <f>IF(L318=1,19,0)</f>
        <v>0</v>
      </c>
      <c r="AV318" s="187">
        <f>IF(O318=1,13,0)</f>
        <v>0</v>
      </c>
      <c r="AW318" s="187">
        <f>IF(P318=1,0,0)</f>
        <v>0</v>
      </c>
      <c r="AX318" s="187">
        <f>IF(Q318=1,3,0)</f>
        <v>0</v>
      </c>
      <c r="AY318" s="187">
        <f>IF(S318=1,8,0)</f>
        <v>0</v>
      </c>
      <c r="AZ318" s="187">
        <f>IF(T318=1,4,0)</f>
        <v>0</v>
      </c>
      <c r="BA318" s="187">
        <f>IF(U318=1,2,0)</f>
        <v>0</v>
      </c>
      <c r="BB318" s="187">
        <f>IF(W318=1,8,0)</f>
        <v>0</v>
      </c>
      <c r="BC318" s="187">
        <f>IF(X318=1,16,0)</f>
        <v>0</v>
      </c>
      <c r="BD318" s="187">
        <f>IF(Y318=1,13,0)</f>
        <v>0</v>
      </c>
      <c r="BE318" s="187">
        <f>IF(Z318=1,10,0)</f>
        <v>0</v>
      </c>
      <c r="BF318" s="187">
        <f>IF(AA318=1,2,0)</f>
        <v>0</v>
      </c>
      <c r="BG318" s="187">
        <f>IF(AB318=1,6,0)</f>
        <v>0</v>
      </c>
      <c r="BH318" s="187">
        <f>IF(AC318=1,1,0)</f>
        <v>0</v>
      </c>
      <c r="BI318" s="187">
        <f t="shared" si="65"/>
        <v>0</v>
      </c>
      <c r="BJ318" s="187">
        <f t="shared" si="66"/>
        <v>0</v>
      </c>
      <c r="BK318" s="187">
        <f t="shared" si="67"/>
        <v>0</v>
      </c>
      <c r="BL318" s="273">
        <f t="shared" si="68"/>
        <v>0</v>
      </c>
      <c r="BM318" s="339">
        <f t="shared" si="69"/>
        <v>0</v>
      </c>
      <c r="BN318" s="339"/>
      <c r="BO318" s="182"/>
      <c r="BP318" s="182"/>
      <c r="BQ318" s="182"/>
      <c r="BR318" s="182"/>
      <c r="BS318" s="182"/>
      <c r="BT318" s="182"/>
      <c r="BU318" s="182"/>
      <c r="BV318" s="182"/>
      <c r="BW318" s="182"/>
      <c r="BX318" s="182"/>
      <c r="BY318" s="182"/>
      <c r="BZ318" s="182"/>
      <c r="CA318" s="182"/>
      <c r="CB318" s="182"/>
      <c r="CC318" s="182"/>
      <c r="CD318" s="182"/>
      <c r="CE318" s="182"/>
      <c r="CF318" s="182"/>
      <c r="CG318" s="182"/>
      <c r="CH318" s="182"/>
      <c r="CI318" s="182"/>
      <c r="CJ318" s="182"/>
      <c r="CK318" s="182"/>
      <c r="CL318" s="680"/>
      <c r="CM318" s="681"/>
      <c r="CN318" s="682"/>
    </row>
    <row r="319" spans="1:92" s="344" customFormat="1">
      <c r="A319" s="374" t="s">
        <v>679</v>
      </c>
      <c r="B319" s="366" t="s">
        <v>100</v>
      </c>
      <c r="C319" s="189" t="s">
        <v>100</v>
      </c>
      <c r="D319" s="189" t="s">
        <v>100</v>
      </c>
      <c r="E319" s="189" t="s">
        <v>100</v>
      </c>
      <c r="F319" s="189" t="s">
        <v>100</v>
      </c>
      <c r="G319" s="189"/>
      <c r="H319" s="189"/>
      <c r="I319" s="189"/>
      <c r="J319" s="189"/>
      <c r="K319" s="189"/>
      <c r="L319" s="189"/>
      <c r="M319" s="189"/>
      <c r="N319" s="189" t="s">
        <v>100</v>
      </c>
      <c r="O319" s="189"/>
      <c r="P319" s="189"/>
      <c r="Q319" s="189"/>
      <c r="R319" s="189"/>
      <c r="S319" s="189"/>
      <c r="T319" s="189"/>
      <c r="U319" s="189"/>
      <c r="V319" s="189"/>
      <c r="W319" s="189"/>
      <c r="X319" s="189"/>
      <c r="Y319" s="189"/>
      <c r="Z319" s="189"/>
      <c r="AA319" s="189"/>
      <c r="AB319" s="189"/>
      <c r="AC319" s="189"/>
      <c r="AD319" s="189"/>
      <c r="AE319" s="189"/>
      <c r="AF319" s="189"/>
      <c r="AG319" s="189"/>
      <c r="AH319" s="189"/>
      <c r="AI319" s="189"/>
      <c r="AJ319" s="339">
        <f t="shared" si="37"/>
        <v>6</v>
      </c>
      <c r="AK319" s="481" t="str">
        <f>HYPERLINK("http://www.pe.com/articles/guerrero-823495-hall-one.html","Press-Enterprise")</f>
        <v>Press-Enterprise</v>
      </c>
      <c r="AL319" s="370">
        <v>42754</v>
      </c>
      <c r="AM319" s="352"/>
      <c r="AN319" s="352"/>
      <c r="AO319" s="352"/>
      <c r="AP319" s="352"/>
      <c r="AQ319" s="352"/>
      <c r="AR319" s="352"/>
      <c r="AS319" s="352"/>
      <c r="AT319" s="352"/>
      <c r="AU319" s="352"/>
      <c r="AV319" s="352"/>
      <c r="AW319" s="352"/>
      <c r="AX319" s="352"/>
      <c r="AY319" s="352"/>
      <c r="AZ319" s="352"/>
      <c r="BA319" s="352"/>
      <c r="BB319" s="352"/>
      <c r="BC319" s="352"/>
      <c r="BD319" s="352"/>
      <c r="BE319" s="352"/>
      <c r="BF319" s="352"/>
      <c r="BG319" s="352"/>
      <c r="BH319" s="352"/>
      <c r="BI319" s="352"/>
      <c r="BJ319" s="352"/>
      <c r="BK319" s="352"/>
      <c r="BL319" s="470"/>
      <c r="BM319" s="339"/>
      <c r="BN319" s="339"/>
      <c r="BO319" s="182"/>
      <c r="BP319" s="182"/>
      <c r="BQ319" s="182"/>
      <c r="BR319" s="182"/>
      <c r="BS319" s="182"/>
      <c r="BT319" s="182"/>
      <c r="BU319" s="182"/>
      <c r="BV319" s="182"/>
      <c r="BW319" s="182"/>
      <c r="BX319" s="182"/>
      <c r="BY319" s="182"/>
      <c r="BZ319" s="182"/>
      <c r="CA319" s="182"/>
      <c r="CB319" s="182"/>
      <c r="CC319" s="182"/>
      <c r="CD319" s="182"/>
      <c r="CE319" s="182"/>
      <c r="CF319" s="182"/>
      <c r="CG319" s="182"/>
      <c r="CH319" s="182"/>
      <c r="CI319" s="182"/>
      <c r="CJ319" s="182"/>
      <c r="CK319" s="182"/>
      <c r="CL319" s="680"/>
      <c r="CM319" s="681"/>
      <c r="CN319" s="682"/>
    </row>
    <row r="320" spans="1:92" ht="12.75" customHeight="1">
      <c r="A320" s="639" t="s">
        <v>455</v>
      </c>
      <c r="B320" s="410" t="s">
        <v>100</v>
      </c>
      <c r="C320" s="410" t="s">
        <v>100</v>
      </c>
      <c r="D320" s="410" t="s">
        <v>100</v>
      </c>
      <c r="E320" s="410" t="s">
        <v>100</v>
      </c>
      <c r="F320" s="502" t="s">
        <v>100</v>
      </c>
      <c r="G320" s="410"/>
      <c r="H320" s="410" t="s">
        <v>100</v>
      </c>
      <c r="I320" s="410" t="s">
        <v>100</v>
      </c>
      <c r="J320" s="410"/>
      <c r="K320" s="410"/>
      <c r="L320" s="410" t="s">
        <v>100</v>
      </c>
      <c r="M320" s="410"/>
      <c r="N320" s="410" t="s">
        <v>100</v>
      </c>
      <c r="O320" s="410"/>
      <c r="P320" s="410"/>
      <c r="Q320" s="410"/>
      <c r="R320" s="410"/>
      <c r="S320" s="410"/>
      <c r="T320" s="410" t="s">
        <v>100</v>
      </c>
      <c r="U320" s="639"/>
      <c r="V320" s="639"/>
      <c r="W320" s="639"/>
      <c r="X320" s="639"/>
      <c r="Y320" s="639"/>
      <c r="Z320" s="639"/>
      <c r="AA320" s="639"/>
      <c r="AB320" s="639"/>
      <c r="AC320" s="639"/>
      <c r="AD320" s="639"/>
      <c r="AE320" s="639"/>
      <c r="AF320" s="639"/>
      <c r="AG320" s="639"/>
      <c r="AH320" s="639"/>
      <c r="AI320" s="639"/>
      <c r="AJ320" s="339">
        <f>COUNTIF(B320:AI320,"x")</f>
        <v>10</v>
      </c>
      <c r="AK320" s="481" t="str">
        <f t="shared" si="80"/>
        <v>BBWAA.com</v>
      </c>
      <c r="AL320" s="370">
        <v>42755</v>
      </c>
      <c r="CL320" s="680"/>
      <c r="CM320" s="681"/>
      <c r="CN320" s="682"/>
    </row>
    <row r="321" spans="1:92" s="344" customFormat="1">
      <c r="A321" s="374" t="s">
        <v>456</v>
      </c>
      <c r="B321" s="189" t="s">
        <v>100</v>
      </c>
      <c r="C321" s="189"/>
      <c r="D321" s="189"/>
      <c r="E321" s="189" t="s">
        <v>100</v>
      </c>
      <c r="F321" s="189" t="s">
        <v>100</v>
      </c>
      <c r="G321" s="367"/>
      <c r="H321" s="367"/>
      <c r="I321" s="189"/>
      <c r="J321" s="189"/>
      <c r="K321" s="189"/>
      <c r="L321" s="189" t="s">
        <v>100</v>
      </c>
      <c r="M321" s="189"/>
      <c r="N321" s="189" t="s">
        <v>100</v>
      </c>
      <c r="O321" s="189" t="s">
        <v>100</v>
      </c>
      <c r="P321" s="189" t="s">
        <v>100</v>
      </c>
      <c r="Q321" s="189" t="s">
        <v>100</v>
      </c>
      <c r="R321" s="189"/>
      <c r="S321" s="189"/>
      <c r="T321" s="189"/>
      <c r="U321" s="189"/>
      <c r="V321" s="189"/>
      <c r="W321" s="189"/>
      <c r="X321" s="189"/>
      <c r="Y321" s="189"/>
      <c r="Z321" s="189"/>
      <c r="AA321" s="189"/>
      <c r="AB321" s="189"/>
      <c r="AC321" s="189"/>
      <c r="AD321" s="189"/>
      <c r="AE321" s="189"/>
      <c r="AF321" s="189"/>
      <c r="AG321" s="189"/>
      <c r="AH321" s="189"/>
      <c r="AI321" s="189"/>
      <c r="AJ321" s="339">
        <f t="shared" si="37"/>
        <v>8</v>
      </c>
      <c r="AK321" s="483" t="s">
        <v>138</v>
      </c>
      <c r="AL321" s="370">
        <v>42753</v>
      </c>
      <c r="AM321" s="352"/>
      <c r="AN321" s="352"/>
      <c r="AO321" s="352"/>
      <c r="AP321" s="352"/>
      <c r="AQ321" s="352"/>
      <c r="AR321" s="352"/>
      <c r="AS321" s="352"/>
      <c r="AT321" s="352"/>
      <c r="AU321" s="352"/>
      <c r="AV321" s="352"/>
      <c r="AW321" s="352"/>
      <c r="AX321" s="352"/>
      <c r="AY321" s="352"/>
      <c r="AZ321" s="352"/>
      <c r="BA321" s="352"/>
      <c r="BB321" s="352"/>
      <c r="BC321" s="352"/>
      <c r="BD321" s="352"/>
      <c r="BE321" s="352"/>
      <c r="BF321" s="352"/>
      <c r="BG321" s="352"/>
      <c r="BH321" s="352"/>
      <c r="BI321" s="352"/>
      <c r="BJ321" s="352"/>
      <c r="BK321" s="352"/>
      <c r="BL321" s="470"/>
      <c r="BM321" s="339"/>
      <c r="BN321" s="339"/>
      <c r="BO321" s="182"/>
      <c r="BP321" s="182"/>
      <c r="BQ321" s="182"/>
      <c r="BR321" s="182"/>
      <c r="BS321" s="182"/>
      <c r="BT321" s="182"/>
      <c r="BU321" s="182"/>
      <c r="BV321" s="182"/>
      <c r="BW321" s="182"/>
      <c r="BX321" s="182"/>
      <c r="BY321" s="182"/>
      <c r="BZ321" s="182"/>
      <c r="CA321" s="182"/>
      <c r="CB321" s="182"/>
      <c r="CC321" s="182"/>
      <c r="CD321" s="182"/>
      <c r="CE321" s="182"/>
      <c r="CF321" s="182"/>
      <c r="CG321" s="182"/>
      <c r="CH321" s="182"/>
      <c r="CI321" s="182"/>
      <c r="CJ321" s="182"/>
      <c r="CK321" s="182"/>
      <c r="CL321" s="680"/>
      <c r="CM321" s="681"/>
      <c r="CN321" s="682"/>
    </row>
    <row r="322" spans="1:92" ht="12.75" customHeight="1">
      <c r="A322" s="639" t="s">
        <v>680</v>
      </c>
      <c r="B322" s="410" t="s">
        <v>100</v>
      </c>
      <c r="C322" s="410" t="s">
        <v>100</v>
      </c>
      <c r="D322" s="410" t="s">
        <v>100</v>
      </c>
      <c r="E322" s="410" t="s">
        <v>100</v>
      </c>
      <c r="F322" s="410" t="s">
        <v>100</v>
      </c>
      <c r="G322" s="410"/>
      <c r="H322" s="410" t="s">
        <v>100</v>
      </c>
      <c r="I322" s="410"/>
      <c r="J322" s="502" t="s">
        <v>100</v>
      </c>
      <c r="K322" s="410"/>
      <c r="L322" s="410" t="s">
        <v>100</v>
      </c>
      <c r="M322" s="410"/>
      <c r="N322" s="410" t="s">
        <v>100</v>
      </c>
      <c r="O322" s="410"/>
      <c r="P322" s="410"/>
      <c r="Q322" s="410" t="s">
        <v>100</v>
      </c>
      <c r="R322" s="410"/>
      <c r="S322" s="410"/>
      <c r="T322" s="410"/>
      <c r="U322" s="639"/>
      <c r="V322" s="639"/>
      <c r="W322" s="639"/>
      <c r="X322" s="639"/>
      <c r="Y322" s="639"/>
      <c r="Z322" s="639"/>
      <c r="AA322" s="639"/>
      <c r="AB322" s="639"/>
      <c r="AC322" s="639"/>
      <c r="AD322" s="639"/>
      <c r="AE322" s="639"/>
      <c r="AF322" s="639"/>
      <c r="AG322" s="639"/>
      <c r="AH322" s="639"/>
      <c r="AI322" s="639"/>
      <c r="AJ322" s="339">
        <f>COUNTIF(B322:AI322,"x")</f>
        <v>10</v>
      </c>
      <c r="AK322" s="481" t="str">
        <f t="shared" si="80"/>
        <v>BBWAA.com</v>
      </c>
      <c r="AL322" s="370">
        <v>42755</v>
      </c>
      <c r="CL322" s="680"/>
      <c r="CM322" s="681"/>
      <c r="CN322" s="682"/>
    </row>
    <row r="323" spans="1:92" s="344" customFormat="1" ht="12.75" customHeight="1">
      <c r="A323" s="380" t="s">
        <v>681</v>
      </c>
      <c r="B323" s="189" t="s">
        <v>100</v>
      </c>
      <c r="C323" s="366" t="s">
        <v>100</v>
      </c>
      <c r="D323" s="366" t="s">
        <v>100</v>
      </c>
      <c r="E323" s="494"/>
      <c r="F323" s="189" t="s">
        <v>100</v>
      </c>
      <c r="G323" s="494"/>
      <c r="H323" s="189" t="s">
        <v>100</v>
      </c>
      <c r="I323" s="494"/>
      <c r="J323" s="367"/>
      <c r="K323" s="494"/>
      <c r="L323" s="189" t="s">
        <v>100</v>
      </c>
      <c r="M323" s="494"/>
      <c r="N323" s="189" t="s">
        <v>100</v>
      </c>
      <c r="O323" s="189" t="s">
        <v>100</v>
      </c>
      <c r="P323" s="366" t="s">
        <v>100</v>
      </c>
      <c r="Q323" s="189" t="s">
        <v>100</v>
      </c>
      <c r="R323" s="494"/>
      <c r="S323" s="494"/>
      <c r="T323" s="494"/>
      <c r="U323" s="380"/>
      <c r="V323" s="380"/>
      <c r="W323" s="380"/>
      <c r="X323" s="380"/>
      <c r="Y323" s="380"/>
      <c r="Z323" s="380"/>
      <c r="AA323" s="380"/>
      <c r="AB323" s="380"/>
      <c r="AC323" s="380"/>
      <c r="AD323" s="380"/>
      <c r="AE323" s="380"/>
      <c r="AF323" s="380"/>
      <c r="AG323" s="380"/>
      <c r="AH323" s="380"/>
      <c r="AI323" s="380"/>
      <c r="AJ323" s="339">
        <f t="shared" si="37"/>
        <v>10</v>
      </c>
      <c r="AK323" s="481" t="str">
        <f t="shared" si="80"/>
        <v>BBWAA.com</v>
      </c>
      <c r="AL323" s="370">
        <v>42758</v>
      </c>
      <c r="CL323" s="618"/>
      <c r="CM323" s="619"/>
      <c r="CN323" s="620"/>
    </row>
    <row r="324" spans="1:92" s="344" customFormat="1">
      <c r="A324" s="374" t="s">
        <v>682</v>
      </c>
      <c r="B324" s="189" t="s">
        <v>100</v>
      </c>
      <c r="C324" s="189"/>
      <c r="D324" s="189"/>
      <c r="E324" s="189" t="s">
        <v>100</v>
      </c>
      <c r="F324" s="189" t="s">
        <v>100</v>
      </c>
      <c r="G324" s="189"/>
      <c r="H324" s="189" t="s">
        <v>100</v>
      </c>
      <c r="I324" s="366" t="s">
        <v>100</v>
      </c>
      <c r="J324" s="366" t="s">
        <v>100</v>
      </c>
      <c r="K324" s="189"/>
      <c r="L324" s="189" t="s">
        <v>100</v>
      </c>
      <c r="M324" s="189"/>
      <c r="N324" s="189" t="s">
        <v>100</v>
      </c>
      <c r="O324" s="189"/>
      <c r="P324" s="189"/>
      <c r="Q324" s="189" t="s">
        <v>100</v>
      </c>
      <c r="R324" s="189"/>
      <c r="S324" s="189"/>
      <c r="T324" s="189" t="s">
        <v>100</v>
      </c>
      <c r="U324" s="189"/>
      <c r="V324" s="189"/>
      <c r="W324" s="189"/>
      <c r="X324" s="189"/>
      <c r="Y324" s="189"/>
      <c r="Z324" s="189"/>
      <c r="AA324" s="189"/>
      <c r="AB324" s="189"/>
      <c r="AC324" s="189"/>
      <c r="AD324" s="189"/>
      <c r="AE324" s="189"/>
      <c r="AF324" s="189"/>
      <c r="AG324" s="189"/>
      <c r="AH324" s="189"/>
      <c r="AI324" s="189"/>
      <c r="AJ324" s="339">
        <f t="shared" si="37"/>
        <v>10</v>
      </c>
      <c r="AK324" s="509" t="str">
        <f>HYPERLINK("http://www.bnd.com/sports/mlb/st-louis-cardinals/article127333879.html","BND")</f>
        <v>BND</v>
      </c>
      <c r="AL324" s="370">
        <v>42754</v>
      </c>
      <c r="AM324" s="352"/>
      <c r="AN324" s="352"/>
      <c r="AO324" s="352"/>
      <c r="AP324" s="352"/>
      <c r="AQ324" s="352"/>
      <c r="AR324" s="352"/>
      <c r="AS324" s="352"/>
      <c r="AT324" s="352"/>
      <c r="AU324" s="352"/>
      <c r="AV324" s="352"/>
      <c r="AW324" s="352"/>
      <c r="AX324" s="352"/>
      <c r="AY324" s="352"/>
      <c r="AZ324" s="352"/>
      <c r="BA324" s="352"/>
      <c r="BB324" s="352"/>
      <c r="BC324" s="352"/>
      <c r="BD324" s="352"/>
      <c r="BE324" s="352"/>
      <c r="BF324" s="352"/>
      <c r="BG324" s="352"/>
      <c r="BH324" s="352"/>
      <c r="BI324" s="352"/>
      <c r="BJ324" s="352"/>
      <c r="BK324" s="352"/>
      <c r="BL324" s="470"/>
      <c r="BM324" s="339"/>
      <c r="BN324" s="339"/>
      <c r="BO324" s="182"/>
      <c r="BP324" s="182"/>
      <c r="BQ324" s="182"/>
      <c r="BR324" s="182"/>
      <c r="BS324" s="182"/>
      <c r="BT324" s="182"/>
      <c r="BU324" s="182"/>
      <c r="BV324" s="182"/>
      <c r="BW324" s="182"/>
      <c r="BX324" s="182"/>
      <c r="BY324" s="182"/>
      <c r="BZ324" s="182"/>
      <c r="CA324" s="182"/>
      <c r="CB324" s="182"/>
      <c r="CC324" s="182"/>
      <c r="CD324" s="182"/>
      <c r="CE324" s="182"/>
      <c r="CF324" s="182"/>
      <c r="CG324" s="182"/>
      <c r="CH324" s="182"/>
      <c r="CI324" s="182"/>
      <c r="CJ324" s="182"/>
      <c r="CK324" s="182"/>
      <c r="CL324" s="680"/>
      <c r="CM324" s="681"/>
      <c r="CN324" s="682"/>
    </row>
    <row r="325" spans="1:92" s="344" customFormat="1">
      <c r="A325" s="374" t="s">
        <v>462</v>
      </c>
      <c r="B325" s="410" t="s">
        <v>100</v>
      </c>
      <c r="C325" s="189"/>
      <c r="D325" s="189"/>
      <c r="E325" s="189"/>
      <c r="F325" s="410" t="s">
        <v>100</v>
      </c>
      <c r="G325" s="189"/>
      <c r="H325" s="502" t="s">
        <v>100</v>
      </c>
      <c r="I325" s="189"/>
      <c r="J325" s="410" t="s">
        <v>100</v>
      </c>
      <c r="K325" s="189"/>
      <c r="L325" s="502" t="s">
        <v>100</v>
      </c>
      <c r="M325" s="410" t="s">
        <v>100</v>
      </c>
      <c r="N325" s="189"/>
      <c r="O325" s="410" t="s">
        <v>100</v>
      </c>
      <c r="P325" s="410" t="s">
        <v>100</v>
      </c>
      <c r="Q325" s="189"/>
      <c r="R325" s="410" t="s">
        <v>100</v>
      </c>
      <c r="S325" s="189"/>
      <c r="T325" s="189"/>
      <c r="U325" s="189"/>
      <c r="V325" s="189"/>
      <c r="W325" s="189"/>
      <c r="X325" s="189"/>
      <c r="Y325" s="189"/>
      <c r="Z325" s="189"/>
      <c r="AA325" s="189"/>
      <c r="AB325" s="189"/>
      <c r="AC325" s="189"/>
      <c r="AD325" s="189"/>
      <c r="AE325" s="189"/>
      <c r="AF325" s="189"/>
      <c r="AG325" s="189"/>
      <c r="AH325" s="189"/>
      <c r="AI325" s="189"/>
      <c r="AJ325" s="339">
        <f t="shared" ref="AJ325" si="86">COUNTIF(B325:AI325,"x")</f>
        <v>9</v>
      </c>
      <c r="AK325" s="510" t="s">
        <v>543</v>
      </c>
      <c r="AL325" s="370">
        <v>42759</v>
      </c>
      <c r="AM325" s="498"/>
      <c r="AN325" s="498"/>
      <c r="AO325" s="498"/>
      <c r="AP325" s="498"/>
      <c r="AQ325" s="498"/>
      <c r="AR325" s="498"/>
      <c r="AS325" s="498"/>
      <c r="AT325" s="498"/>
      <c r="AU325" s="498"/>
      <c r="AV325" s="498"/>
      <c r="AW325" s="498"/>
      <c r="AX325" s="498"/>
      <c r="AY325" s="498"/>
      <c r="AZ325" s="498"/>
      <c r="BA325" s="498"/>
      <c r="BB325" s="498"/>
      <c r="BC325" s="498"/>
      <c r="BD325" s="498"/>
      <c r="BE325" s="498"/>
      <c r="BF325" s="498"/>
      <c r="BG325" s="498"/>
      <c r="BH325" s="498"/>
      <c r="BI325" s="498"/>
      <c r="BJ325" s="498"/>
      <c r="BK325" s="498"/>
      <c r="BL325" s="499"/>
      <c r="BM325" s="500"/>
      <c r="BN325" s="500"/>
      <c r="BO325" s="501"/>
      <c r="BP325" s="501"/>
      <c r="BQ325" s="501"/>
      <c r="BR325" s="501"/>
      <c r="BS325" s="501"/>
      <c r="BT325" s="501"/>
      <c r="BU325" s="501"/>
      <c r="BV325" s="501"/>
      <c r="BW325" s="501"/>
      <c r="BX325" s="501"/>
      <c r="BY325" s="501"/>
      <c r="BZ325" s="501"/>
      <c r="CA325" s="501"/>
      <c r="CB325" s="501"/>
      <c r="CC325" s="501"/>
      <c r="CD325" s="501"/>
      <c r="CE325" s="501"/>
      <c r="CF325" s="501"/>
      <c r="CG325" s="501"/>
      <c r="CH325" s="501"/>
      <c r="CI325" s="501"/>
      <c r="CJ325" s="501"/>
      <c r="CK325" s="501"/>
      <c r="CL325" s="618"/>
      <c r="CM325" s="619"/>
      <c r="CN325" s="620"/>
    </row>
    <row r="326" spans="1:92" ht="12.75" customHeight="1">
      <c r="A326" s="639" t="s">
        <v>683</v>
      </c>
      <c r="B326" s="410" t="s">
        <v>100</v>
      </c>
      <c r="C326" s="410"/>
      <c r="D326" s="410"/>
      <c r="E326" s="410" t="s">
        <v>100</v>
      </c>
      <c r="F326" s="410" t="s">
        <v>100</v>
      </c>
      <c r="G326" s="410"/>
      <c r="H326" s="502" t="s">
        <v>100</v>
      </c>
      <c r="I326" s="410"/>
      <c r="J326" s="410" t="s">
        <v>100</v>
      </c>
      <c r="K326" s="410"/>
      <c r="L326" s="410" t="s">
        <v>100</v>
      </c>
      <c r="M326" s="410"/>
      <c r="N326" s="410" t="s">
        <v>100</v>
      </c>
      <c r="O326" s="367"/>
      <c r="P326" s="410"/>
      <c r="Q326" s="410"/>
      <c r="R326" s="410"/>
      <c r="S326" s="410"/>
      <c r="T326" s="410"/>
      <c r="U326" s="639"/>
      <c r="V326" s="639"/>
      <c r="W326" s="639"/>
      <c r="X326" s="639"/>
      <c r="Y326" s="639"/>
      <c r="Z326" s="639"/>
      <c r="AA326" s="639"/>
      <c r="AB326" s="639"/>
      <c r="AC326" s="639"/>
      <c r="AD326" s="639"/>
      <c r="AE326" s="639"/>
      <c r="AF326" s="639"/>
      <c r="AG326" s="639"/>
      <c r="AH326" s="639"/>
      <c r="AI326" s="639"/>
      <c r="AJ326" s="339">
        <f>COUNTIF(B326:AI326,"x")</f>
        <v>7</v>
      </c>
      <c r="AK326" s="481" t="str">
        <f t="shared" si="80"/>
        <v>BBWAA.com</v>
      </c>
      <c r="AL326" s="370">
        <v>42755</v>
      </c>
      <c r="CL326" s="680"/>
      <c r="CM326" s="681"/>
      <c r="CN326" s="682"/>
    </row>
    <row r="327" spans="1:92" s="344" customFormat="1">
      <c r="A327" s="374" t="s">
        <v>684</v>
      </c>
      <c r="B327" s="189" t="s">
        <v>100</v>
      </c>
      <c r="C327" s="189"/>
      <c r="D327" s="189"/>
      <c r="E327" s="189" t="s">
        <v>100</v>
      </c>
      <c r="F327" s="189"/>
      <c r="G327" s="189"/>
      <c r="H327" s="189"/>
      <c r="I327" s="189"/>
      <c r="J327" s="189"/>
      <c r="K327" s="189"/>
      <c r="L327" s="189"/>
      <c r="M327" s="189"/>
      <c r="N327" s="189"/>
      <c r="O327" s="189"/>
      <c r="P327" s="189"/>
      <c r="Q327" s="189"/>
      <c r="R327" s="189"/>
      <c r="S327" s="189"/>
      <c r="T327" s="189"/>
      <c r="U327" s="189"/>
      <c r="V327" s="189"/>
      <c r="W327" s="189"/>
      <c r="X327" s="189"/>
      <c r="Y327" s="189"/>
      <c r="Z327" s="189"/>
      <c r="AA327" s="189"/>
      <c r="AB327" s="189"/>
      <c r="AC327" s="189"/>
      <c r="AD327" s="189"/>
      <c r="AE327" s="189"/>
      <c r="AF327" s="189"/>
      <c r="AG327" s="189"/>
      <c r="AH327" s="189"/>
      <c r="AI327" s="189"/>
      <c r="AJ327" s="339">
        <f t="shared" si="37"/>
        <v>2</v>
      </c>
      <c r="AK327" s="481" t="str">
        <f>HYPERLINK("https://twitter.com/TomPowersPP/status/821886021566599168","Twitter")</f>
        <v>Twitter</v>
      </c>
      <c r="AL327" s="370">
        <v>42753</v>
      </c>
      <c r="AM327" s="352"/>
      <c r="AN327" s="352"/>
      <c r="AO327" s="352"/>
      <c r="AP327" s="352"/>
      <c r="AQ327" s="352"/>
      <c r="AR327" s="352"/>
      <c r="AS327" s="352"/>
      <c r="AT327" s="352"/>
      <c r="AU327" s="352"/>
      <c r="AV327" s="352"/>
      <c r="AW327" s="352"/>
      <c r="AX327" s="352"/>
      <c r="AY327" s="352"/>
      <c r="AZ327" s="352"/>
      <c r="BA327" s="352"/>
      <c r="BB327" s="352"/>
      <c r="BC327" s="352"/>
      <c r="BD327" s="352"/>
      <c r="BE327" s="352"/>
      <c r="BF327" s="352"/>
      <c r="BG327" s="352"/>
      <c r="BH327" s="352"/>
      <c r="BI327" s="352"/>
      <c r="BJ327" s="352"/>
      <c r="BK327" s="352"/>
      <c r="BL327" s="470"/>
      <c r="BM327" s="339"/>
      <c r="BN327" s="339"/>
      <c r="BO327" s="182"/>
      <c r="BP327" s="182"/>
      <c r="BQ327" s="182"/>
      <c r="BR327" s="182"/>
      <c r="BS327" s="182"/>
      <c r="BT327" s="182"/>
      <c r="BU327" s="182"/>
      <c r="BV327" s="182"/>
      <c r="BW327" s="182"/>
      <c r="BX327" s="182"/>
      <c r="BY327" s="182"/>
      <c r="BZ327" s="182"/>
      <c r="CA327" s="182"/>
      <c r="CB327" s="182"/>
      <c r="CC327" s="182"/>
      <c r="CD327" s="182"/>
      <c r="CE327" s="182"/>
      <c r="CF327" s="182"/>
      <c r="CG327" s="182"/>
      <c r="CH327" s="182"/>
      <c r="CI327" s="182"/>
      <c r="CJ327" s="182"/>
      <c r="CK327" s="182"/>
      <c r="CL327" s="680"/>
      <c r="CM327" s="681"/>
      <c r="CN327" s="682"/>
    </row>
    <row r="328" spans="1:92" s="344" customFormat="1">
      <c r="A328" s="374" t="s">
        <v>463</v>
      </c>
      <c r="B328" s="189" t="s">
        <v>100</v>
      </c>
      <c r="C328" s="189" t="s">
        <v>100</v>
      </c>
      <c r="D328" s="189" t="s">
        <v>100</v>
      </c>
      <c r="E328" s="189"/>
      <c r="F328" s="366" t="s">
        <v>100</v>
      </c>
      <c r="G328" s="189"/>
      <c r="H328" s="366" t="s">
        <v>100</v>
      </c>
      <c r="I328" s="189"/>
      <c r="J328" s="189" t="s">
        <v>100</v>
      </c>
      <c r="K328" s="189"/>
      <c r="L328" s="189" t="s">
        <v>100</v>
      </c>
      <c r="M328" s="189" t="s">
        <v>100</v>
      </c>
      <c r="N328" s="189" t="s">
        <v>100</v>
      </c>
      <c r="O328" s="367"/>
      <c r="P328" s="189"/>
      <c r="Q328" s="189"/>
      <c r="R328" s="189"/>
      <c r="S328" s="189"/>
      <c r="T328" s="189" t="s">
        <v>100</v>
      </c>
      <c r="U328" s="189"/>
      <c r="V328" s="189"/>
      <c r="W328" s="189"/>
      <c r="X328" s="189"/>
      <c r="Y328" s="189"/>
      <c r="Z328" s="189"/>
      <c r="AA328" s="189"/>
      <c r="AB328" s="189"/>
      <c r="AC328" s="189"/>
      <c r="AD328" s="189"/>
      <c r="AE328" s="189"/>
      <c r="AF328" s="189"/>
      <c r="AG328" s="189"/>
      <c r="AH328" s="189"/>
      <c r="AI328" s="189"/>
      <c r="AJ328" s="339">
        <f>COUNTIF(B328:AI328,"x")</f>
        <v>10</v>
      </c>
      <c r="AK328" s="481" t="str">
        <f t="shared" si="80"/>
        <v>BBWAA.com</v>
      </c>
      <c r="AL328" s="370">
        <v>42755</v>
      </c>
      <c r="AM328" s="137"/>
      <c r="AN328" s="137"/>
      <c r="AO328" s="137"/>
      <c r="AP328" s="137"/>
      <c r="AQ328" s="137"/>
      <c r="AR328" s="137"/>
      <c r="AS328" s="137"/>
      <c r="AT328" s="137"/>
      <c r="AU328" s="137"/>
      <c r="AV328" s="137"/>
      <c r="AW328" s="137"/>
      <c r="AX328" s="137"/>
      <c r="AY328" s="137"/>
      <c r="AZ328" s="137"/>
      <c r="BA328" s="137"/>
      <c r="BB328" s="137"/>
      <c r="BC328" s="137"/>
      <c r="BD328" s="137"/>
      <c r="BE328" s="137"/>
      <c r="BF328" s="137"/>
      <c r="BG328" s="137"/>
      <c r="BH328" s="137"/>
      <c r="BI328" s="137"/>
      <c r="BJ328" s="137"/>
      <c r="BK328" s="137"/>
      <c r="BL328" s="137"/>
      <c r="BM328" s="137"/>
      <c r="BN328" s="137"/>
      <c r="BO328" s="137"/>
      <c r="BP328" s="137"/>
      <c r="BQ328" s="137"/>
      <c r="BR328" s="137"/>
      <c r="BS328" s="137"/>
      <c r="BT328" s="137"/>
      <c r="BU328" s="137"/>
      <c r="BV328" s="137"/>
      <c r="BW328" s="137"/>
      <c r="BX328" s="137"/>
      <c r="BY328" s="137"/>
      <c r="BZ328" s="137"/>
      <c r="CA328" s="137"/>
      <c r="CB328" s="137"/>
      <c r="CC328" s="137"/>
      <c r="CD328" s="137"/>
      <c r="CE328" s="137"/>
      <c r="CF328" s="137"/>
      <c r="CG328" s="137"/>
      <c r="CH328" s="137"/>
      <c r="CI328" s="137"/>
      <c r="CJ328" s="137"/>
      <c r="CK328" s="137"/>
      <c r="CL328" s="680" t="s">
        <v>464</v>
      </c>
      <c r="CM328" s="681"/>
      <c r="CN328" s="682"/>
    </row>
    <row r="329" spans="1:92" ht="12.75" customHeight="1">
      <c r="A329" s="639" t="s">
        <v>685</v>
      </c>
      <c r="B329" s="410" t="s">
        <v>100</v>
      </c>
      <c r="C329" s="410" t="s">
        <v>100</v>
      </c>
      <c r="D329" s="410" t="s">
        <v>100</v>
      </c>
      <c r="E329" s="410"/>
      <c r="F329" s="410"/>
      <c r="G329" s="410" t="s">
        <v>100</v>
      </c>
      <c r="H329" s="410" t="s">
        <v>100</v>
      </c>
      <c r="I329" s="410"/>
      <c r="J329" s="410"/>
      <c r="K329" s="410"/>
      <c r="L329" s="410" t="s">
        <v>100</v>
      </c>
      <c r="M329" s="410"/>
      <c r="N329" s="410" t="s">
        <v>100</v>
      </c>
      <c r="O329" s="410"/>
      <c r="P329" s="410"/>
      <c r="Q329" s="410"/>
      <c r="R329" s="410"/>
      <c r="S329" s="410"/>
      <c r="T329" s="410"/>
      <c r="U329" s="639"/>
      <c r="V329" s="639"/>
      <c r="W329" s="639"/>
      <c r="X329" s="639"/>
      <c r="Y329" s="639"/>
      <c r="Z329" s="639"/>
      <c r="AA329" s="639"/>
      <c r="AB329" s="639"/>
      <c r="AC329" s="639"/>
      <c r="AD329" s="639"/>
      <c r="AE329" s="639"/>
      <c r="AF329" s="639"/>
      <c r="AG329" s="639"/>
      <c r="AH329" s="639"/>
      <c r="AI329" s="639"/>
      <c r="AJ329" s="339">
        <f>COUNTIF(B329:AI329,"x")</f>
        <v>7</v>
      </c>
      <c r="AK329" s="481" t="str">
        <f t="shared" si="80"/>
        <v>BBWAA.com</v>
      </c>
      <c r="AL329" s="370">
        <v>42755</v>
      </c>
      <c r="CL329" s="680"/>
      <c r="CM329" s="681"/>
      <c r="CN329" s="682"/>
    </row>
    <row r="330" spans="1:92" ht="12.75" customHeight="1">
      <c r="A330" s="639" t="s">
        <v>468</v>
      </c>
      <c r="B330" s="502" t="s">
        <v>100</v>
      </c>
      <c r="C330" s="410" t="s">
        <v>100</v>
      </c>
      <c r="D330" s="410" t="s">
        <v>100</v>
      </c>
      <c r="E330" s="410" t="s">
        <v>100</v>
      </c>
      <c r="F330" s="410" t="s">
        <v>100</v>
      </c>
      <c r="G330" s="410" t="s">
        <v>100</v>
      </c>
      <c r="H330" s="410" t="s">
        <v>100</v>
      </c>
      <c r="I330" s="410"/>
      <c r="J330" s="410"/>
      <c r="K330" s="410"/>
      <c r="L330" s="410" t="s">
        <v>100</v>
      </c>
      <c r="M330" s="410"/>
      <c r="N330" s="410" t="s">
        <v>100</v>
      </c>
      <c r="O330" s="367"/>
      <c r="P330" s="410"/>
      <c r="Q330" s="410" t="s">
        <v>100</v>
      </c>
      <c r="R330" s="410"/>
      <c r="S330" s="410"/>
      <c r="T330" s="410"/>
      <c r="U330" s="639"/>
      <c r="V330" s="639"/>
      <c r="W330" s="639"/>
      <c r="X330" s="639"/>
      <c r="Y330" s="639"/>
      <c r="Z330" s="639"/>
      <c r="AA330" s="639"/>
      <c r="AB330" s="639"/>
      <c r="AC330" s="639"/>
      <c r="AD330" s="639"/>
      <c r="AE330" s="639"/>
      <c r="AF330" s="639"/>
      <c r="AG330" s="639"/>
      <c r="AH330" s="639"/>
      <c r="AI330" s="639"/>
      <c r="AJ330" s="339">
        <f>COUNTIF(B330:AI330,"x")</f>
        <v>10</v>
      </c>
      <c r="AK330" s="481" t="str">
        <f t="shared" si="80"/>
        <v>BBWAA.com</v>
      </c>
      <c r="AL330" s="370">
        <v>42755</v>
      </c>
      <c r="CL330" s="680"/>
      <c r="CM330" s="681"/>
      <c r="CN330" s="682"/>
    </row>
    <row r="331" spans="1:92" ht="12.75" customHeight="1">
      <c r="A331" s="639" t="s">
        <v>469</v>
      </c>
      <c r="B331" s="410"/>
      <c r="C331" s="410"/>
      <c r="D331" s="410"/>
      <c r="E331" s="410"/>
      <c r="F331" s="410" t="s">
        <v>100</v>
      </c>
      <c r="G331" s="410"/>
      <c r="H331" s="367"/>
      <c r="I331" s="410" t="s">
        <v>100</v>
      </c>
      <c r="J331" s="410"/>
      <c r="K331" s="410"/>
      <c r="L331" s="410" t="s">
        <v>100</v>
      </c>
      <c r="M331" s="410"/>
      <c r="N331" s="410"/>
      <c r="O331" s="410"/>
      <c r="P331" s="410"/>
      <c r="Q331" s="502" t="s">
        <v>100</v>
      </c>
      <c r="R331" s="410"/>
      <c r="S331" s="410"/>
      <c r="T331" s="410"/>
      <c r="U331" s="639"/>
      <c r="V331" s="639"/>
      <c r="W331" s="639"/>
      <c r="X331" s="639"/>
      <c r="Y331" s="639"/>
      <c r="Z331" s="639"/>
      <c r="AA331" s="639"/>
      <c r="AB331" s="639"/>
      <c r="AC331" s="639"/>
      <c r="AD331" s="639"/>
      <c r="AE331" s="639"/>
      <c r="AF331" s="639"/>
      <c r="AG331" s="639"/>
      <c r="AH331" s="639"/>
      <c r="AI331" s="639"/>
      <c r="AJ331" s="339">
        <f>COUNTIF(B331:AI331,"x")</f>
        <v>4</v>
      </c>
      <c r="AK331" s="481" t="str">
        <f t="shared" si="80"/>
        <v>BBWAA.com</v>
      </c>
      <c r="AL331" s="370">
        <v>42755</v>
      </c>
      <c r="CL331" s="680"/>
      <c r="CM331" s="681"/>
      <c r="CN331" s="682"/>
    </row>
    <row r="332" spans="1:92" s="344" customFormat="1">
      <c r="A332" s="374" t="s">
        <v>686</v>
      </c>
      <c r="B332" s="189" t="s">
        <v>100</v>
      </c>
      <c r="C332" s="189" t="s">
        <v>100</v>
      </c>
      <c r="D332" s="189" t="s">
        <v>100</v>
      </c>
      <c r="E332" s="189" t="s">
        <v>100</v>
      </c>
      <c r="F332" s="189" t="s">
        <v>100</v>
      </c>
      <c r="G332" s="189"/>
      <c r="H332" s="189"/>
      <c r="I332" s="189"/>
      <c r="J332" s="189" t="s">
        <v>100</v>
      </c>
      <c r="K332" s="189"/>
      <c r="L332" s="189" t="s">
        <v>100</v>
      </c>
      <c r="M332" s="189"/>
      <c r="N332" s="189" t="s">
        <v>100</v>
      </c>
      <c r="O332" s="189"/>
      <c r="P332" s="189"/>
      <c r="Q332" s="189" t="s">
        <v>100</v>
      </c>
      <c r="R332" s="189"/>
      <c r="S332" s="189"/>
      <c r="T332" s="189"/>
      <c r="U332" s="189"/>
      <c r="V332" s="189"/>
      <c r="W332" s="189"/>
      <c r="X332" s="189"/>
      <c r="Y332" s="189"/>
      <c r="Z332" s="189"/>
      <c r="AA332" s="189"/>
      <c r="AB332" s="189"/>
      <c r="AC332" s="189"/>
      <c r="AD332" s="189"/>
      <c r="AE332" s="189"/>
      <c r="AF332" s="189"/>
      <c r="AG332" s="189"/>
      <c r="AH332" s="189"/>
      <c r="AI332" s="189"/>
      <c r="AJ332" s="339">
        <f t="shared" si="37"/>
        <v>9</v>
      </c>
      <c r="AK332" s="510" t="s">
        <v>138</v>
      </c>
      <c r="AL332" s="370">
        <v>42754</v>
      </c>
      <c r="AM332" s="352"/>
      <c r="AN332" s="352"/>
      <c r="AO332" s="352"/>
      <c r="AP332" s="352"/>
      <c r="AQ332" s="352"/>
      <c r="AR332" s="352"/>
      <c r="AS332" s="352"/>
      <c r="AT332" s="352"/>
      <c r="AU332" s="352"/>
      <c r="AV332" s="352"/>
      <c r="AW332" s="352"/>
      <c r="AX332" s="352"/>
      <c r="AY332" s="352"/>
      <c r="AZ332" s="352"/>
      <c r="BA332" s="352"/>
      <c r="BB332" s="352"/>
      <c r="BC332" s="352"/>
      <c r="BD332" s="352"/>
      <c r="BE332" s="352"/>
      <c r="BF332" s="352"/>
      <c r="BG332" s="352"/>
      <c r="BH332" s="352"/>
      <c r="BI332" s="352"/>
      <c r="BJ332" s="352"/>
      <c r="BK332" s="352"/>
      <c r="BL332" s="470"/>
      <c r="BM332" s="339"/>
      <c r="BN332" s="339"/>
      <c r="BO332" s="182"/>
      <c r="BP332" s="182"/>
      <c r="BQ332" s="182"/>
      <c r="BR332" s="182"/>
      <c r="BS332" s="182"/>
      <c r="BT332" s="182"/>
      <c r="BU332" s="182"/>
      <c r="BV332" s="182"/>
      <c r="BW332" s="182"/>
      <c r="BX332" s="182"/>
      <c r="BY332" s="182"/>
      <c r="BZ332" s="182"/>
      <c r="CA332" s="182"/>
      <c r="CB332" s="182"/>
      <c r="CC332" s="182"/>
      <c r="CD332" s="182"/>
      <c r="CE332" s="182"/>
      <c r="CF332" s="182"/>
      <c r="CG332" s="182"/>
      <c r="CH332" s="182"/>
      <c r="CI332" s="182"/>
      <c r="CJ332" s="182"/>
      <c r="CK332" s="182"/>
      <c r="CL332" s="680"/>
      <c r="CM332" s="681"/>
      <c r="CN332" s="682"/>
    </row>
    <row r="333" spans="1:92" ht="12.75" customHeight="1">
      <c r="A333" s="639" t="s">
        <v>470</v>
      </c>
      <c r="B333" s="410" t="s">
        <v>100</v>
      </c>
      <c r="C333" s="410" t="s">
        <v>100</v>
      </c>
      <c r="D333" s="410" t="s">
        <v>100</v>
      </c>
      <c r="E333" s="410" t="s">
        <v>100</v>
      </c>
      <c r="F333" s="410" t="s">
        <v>100</v>
      </c>
      <c r="G333" s="502" t="s">
        <v>100</v>
      </c>
      <c r="H333" s="410"/>
      <c r="I333" s="410"/>
      <c r="J333" s="410"/>
      <c r="K333" s="410"/>
      <c r="L333" s="410" t="s">
        <v>100</v>
      </c>
      <c r="M333" s="410"/>
      <c r="N333" s="410" t="s">
        <v>100</v>
      </c>
      <c r="O333" s="410" t="s">
        <v>100</v>
      </c>
      <c r="P333" s="410"/>
      <c r="Q333" s="502" t="s">
        <v>100</v>
      </c>
      <c r="R333" s="410"/>
      <c r="S333" s="410"/>
      <c r="T333" s="410"/>
      <c r="U333" s="639"/>
      <c r="V333" s="639"/>
      <c r="W333" s="639"/>
      <c r="X333" s="639"/>
      <c r="Y333" s="639"/>
      <c r="Z333" s="639"/>
      <c r="AA333" s="639"/>
      <c r="AB333" s="639"/>
      <c r="AC333" s="639"/>
      <c r="AD333" s="639"/>
      <c r="AE333" s="639"/>
      <c r="AF333" s="639"/>
      <c r="AG333" s="639"/>
      <c r="AH333" s="639"/>
      <c r="AI333" s="639"/>
      <c r="AJ333" s="339">
        <f>COUNTIF(B333:AI333,"x")</f>
        <v>10</v>
      </c>
      <c r="AK333" s="481" t="str">
        <f t="shared" si="80"/>
        <v>BBWAA.com</v>
      </c>
      <c r="AL333" s="370">
        <v>42755</v>
      </c>
      <c r="CL333" s="680"/>
      <c r="CM333" s="681"/>
      <c r="CN333" s="682"/>
    </row>
    <row r="334" spans="1:92" s="344" customFormat="1">
      <c r="A334" s="374" t="s">
        <v>687</v>
      </c>
      <c r="B334" s="189" t="s">
        <v>100</v>
      </c>
      <c r="C334" s="189"/>
      <c r="D334" s="189"/>
      <c r="E334" s="189" t="s">
        <v>100</v>
      </c>
      <c r="F334" s="189" t="s">
        <v>100</v>
      </c>
      <c r="G334" s="189"/>
      <c r="H334" s="366" t="s">
        <v>100</v>
      </c>
      <c r="I334" s="189" t="s">
        <v>100</v>
      </c>
      <c r="J334" s="189" t="s">
        <v>100</v>
      </c>
      <c r="K334" s="189"/>
      <c r="L334" s="189" t="s">
        <v>100</v>
      </c>
      <c r="M334" s="189"/>
      <c r="N334" s="189" t="s">
        <v>100</v>
      </c>
      <c r="O334" s="367"/>
      <c r="P334" s="189"/>
      <c r="Q334" s="366" t="s">
        <v>100</v>
      </c>
      <c r="R334" s="189"/>
      <c r="S334" s="189"/>
      <c r="T334" s="189" t="s">
        <v>100</v>
      </c>
      <c r="U334" s="189"/>
      <c r="V334" s="189"/>
      <c r="W334" s="189"/>
      <c r="X334" s="189"/>
      <c r="Y334" s="189"/>
      <c r="Z334" s="189"/>
      <c r="AA334" s="189"/>
      <c r="AB334" s="189"/>
      <c r="AC334" s="189"/>
      <c r="AD334" s="189"/>
      <c r="AE334" s="189"/>
      <c r="AF334" s="189"/>
      <c r="AG334" s="189"/>
      <c r="AH334" s="189"/>
      <c r="AI334" s="189"/>
      <c r="AJ334" s="339">
        <f t="shared" si="37"/>
        <v>10</v>
      </c>
      <c r="AK334" s="481" t="str">
        <f>HYPERLINK("https://twitter.com/LyleMSpencer/status/822160826765185025","Twitter")</f>
        <v>Twitter</v>
      </c>
      <c r="AL334" s="370">
        <v>42754</v>
      </c>
      <c r="AM334" s="352"/>
      <c r="AN334" s="352"/>
      <c r="AO334" s="352"/>
      <c r="AP334" s="352"/>
      <c r="AQ334" s="352"/>
      <c r="AR334" s="352"/>
      <c r="AS334" s="352"/>
      <c r="AT334" s="352"/>
      <c r="AU334" s="352"/>
      <c r="AV334" s="352"/>
      <c r="AW334" s="352"/>
      <c r="AX334" s="352"/>
      <c r="AY334" s="352"/>
      <c r="AZ334" s="352"/>
      <c r="BA334" s="352"/>
      <c r="BB334" s="352"/>
      <c r="BC334" s="352"/>
      <c r="BD334" s="352"/>
      <c r="BE334" s="352"/>
      <c r="BF334" s="352"/>
      <c r="BG334" s="352"/>
      <c r="BH334" s="352"/>
      <c r="BI334" s="352"/>
      <c r="BJ334" s="352"/>
      <c r="BK334" s="352"/>
      <c r="BL334" s="470"/>
      <c r="BM334" s="339"/>
      <c r="BN334" s="339"/>
      <c r="BO334" s="182"/>
      <c r="BP334" s="182"/>
      <c r="BQ334" s="182"/>
      <c r="BR334" s="182"/>
      <c r="BS334" s="182"/>
      <c r="BT334" s="182"/>
      <c r="BU334" s="182"/>
      <c r="BV334" s="182"/>
      <c r="BW334" s="182"/>
      <c r="BX334" s="182"/>
      <c r="BY334" s="182"/>
      <c r="BZ334" s="182"/>
      <c r="CA334" s="182"/>
      <c r="CB334" s="182"/>
      <c r="CC334" s="182"/>
      <c r="CD334" s="182"/>
      <c r="CE334" s="182"/>
      <c r="CF334" s="182"/>
      <c r="CG334" s="182"/>
      <c r="CH334" s="182"/>
      <c r="CI334" s="182"/>
      <c r="CJ334" s="182"/>
      <c r="CK334" s="182"/>
      <c r="CL334" s="680" t="s">
        <v>688</v>
      </c>
      <c r="CM334" s="681"/>
      <c r="CN334" s="682"/>
    </row>
    <row r="335" spans="1:92" ht="12.75" customHeight="1">
      <c r="A335" s="639" t="s">
        <v>689</v>
      </c>
      <c r="B335" s="410"/>
      <c r="C335" s="410"/>
      <c r="D335" s="410"/>
      <c r="E335" s="410" t="s">
        <v>100</v>
      </c>
      <c r="F335" s="410" t="s">
        <v>100</v>
      </c>
      <c r="G335" s="410" t="s">
        <v>100</v>
      </c>
      <c r="H335" s="410"/>
      <c r="I335" s="410"/>
      <c r="J335" s="410"/>
      <c r="K335" s="410"/>
      <c r="L335" s="410"/>
      <c r="M335" s="410"/>
      <c r="N335" s="410" t="s">
        <v>100</v>
      </c>
      <c r="O335" s="410"/>
      <c r="P335" s="410"/>
      <c r="Q335" s="410" t="s">
        <v>100</v>
      </c>
      <c r="R335" s="410"/>
      <c r="S335" s="410"/>
      <c r="T335" s="410"/>
      <c r="U335" s="639"/>
      <c r="V335" s="639"/>
      <c r="W335" s="639"/>
      <c r="X335" s="639"/>
      <c r="Y335" s="639"/>
      <c r="Z335" s="639"/>
      <c r="AA335" s="639"/>
      <c r="AB335" s="639"/>
      <c r="AC335" s="639"/>
      <c r="AD335" s="639"/>
      <c r="AE335" s="639"/>
      <c r="AF335" s="639"/>
      <c r="AG335" s="639"/>
      <c r="AH335" s="639"/>
      <c r="AI335" s="639"/>
      <c r="AJ335" s="339">
        <f>COUNTIF(B335:AI335,"x")</f>
        <v>5</v>
      </c>
      <c r="AK335" s="481" t="str">
        <f t="shared" si="80"/>
        <v>BBWAA.com</v>
      </c>
      <c r="AL335" s="370">
        <v>42755</v>
      </c>
      <c r="CL335" s="680"/>
      <c r="CM335" s="681"/>
      <c r="CN335" s="682"/>
    </row>
    <row r="336" spans="1:92" s="344" customFormat="1" ht="12.75" customHeight="1">
      <c r="A336" s="518" t="s">
        <v>690</v>
      </c>
      <c r="B336" s="189" t="s">
        <v>100</v>
      </c>
      <c r="C336" s="494"/>
      <c r="D336" s="494"/>
      <c r="E336" s="189" t="s">
        <v>100</v>
      </c>
      <c r="F336" s="189" t="s">
        <v>100</v>
      </c>
      <c r="G336" s="494"/>
      <c r="H336" s="189" t="s">
        <v>100</v>
      </c>
      <c r="I336" s="494"/>
      <c r="J336" s="189" t="s">
        <v>100</v>
      </c>
      <c r="K336" s="494"/>
      <c r="L336" s="189" t="s">
        <v>100</v>
      </c>
      <c r="M336" s="494"/>
      <c r="N336" s="494"/>
      <c r="O336" s="189" t="s">
        <v>100</v>
      </c>
      <c r="P336" s="494"/>
      <c r="Q336" s="494"/>
      <c r="R336" s="494"/>
      <c r="S336" s="494"/>
      <c r="T336" s="189" t="s">
        <v>100</v>
      </c>
      <c r="U336" s="380"/>
      <c r="V336" s="380"/>
      <c r="W336" s="380"/>
      <c r="X336" s="380"/>
      <c r="Y336" s="380"/>
      <c r="Z336" s="380"/>
      <c r="AA336" s="380"/>
      <c r="AB336" s="380"/>
      <c r="AC336" s="380"/>
      <c r="AD336" s="380"/>
      <c r="AE336" s="380"/>
      <c r="AF336" s="380"/>
      <c r="AG336" s="380"/>
      <c r="AH336" s="380"/>
      <c r="AI336" s="380"/>
      <c r="AJ336" s="339">
        <f t="shared" si="37"/>
        <v>8</v>
      </c>
      <c r="AK336" s="510" t="s">
        <v>543</v>
      </c>
      <c r="AL336" s="370">
        <v>42758</v>
      </c>
      <c r="CL336" s="618"/>
      <c r="CM336" s="619"/>
      <c r="CN336" s="620"/>
    </row>
    <row r="337" spans="1:92" s="344" customFormat="1">
      <c r="A337" s="374" t="s">
        <v>395</v>
      </c>
      <c r="B337" s="189" t="s">
        <v>100</v>
      </c>
      <c r="C337" s="189"/>
      <c r="D337" s="189"/>
      <c r="E337" s="189" t="s">
        <v>100</v>
      </c>
      <c r="F337" s="189" t="s">
        <v>100</v>
      </c>
      <c r="G337" s="189"/>
      <c r="H337" s="189"/>
      <c r="I337" s="189" t="s">
        <v>100</v>
      </c>
      <c r="J337" s="189" t="s">
        <v>100</v>
      </c>
      <c r="K337" s="189"/>
      <c r="L337" s="189" t="s">
        <v>100</v>
      </c>
      <c r="M337" s="189"/>
      <c r="N337" s="189" t="s">
        <v>100</v>
      </c>
      <c r="O337" s="189"/>
      <c r="P337" s="189"/>
      <c r="Q337" s="189" t="s">
        <v>100</v>
      </c>
      <c r="R337" s="189"/>
      <c r="S337" s="189" t="s">
        <v>100</v>
      </c>
      <c r="T337" s="189"/>
      <c r="U337" s="189"/>
      <c r="V337" s="189"/>
      <c r="W337" s="189"/>
      <c r="X337" s="189"/>
      <c r="Y337" s="189"/>
      <c r="Z337" s="189"/>
      <c r="AA337" s="189"/>
      <c r="AB337" s="189"/>
      <c r="AC337" s="189"/>
      <c r="AD337" s="189"/>
      <c r="AE337" s="189"/>
      <c r="AF337" s="189"/>
      <c r="AG337" s="189"/>
      <c r="AH337" s="189"/>
      <c r="AI337" s="189"/>
      <c r="AJ337" s="339">
        <f t="shared" si="37"/>
        <v>9</v>
      </c>
      <c r="AK337" s="509" t="str">
        <f>HYPERLINK("http://www.bnd.com/sports/mlb/st-louis-cardinals/article127333879.html","BND")</f>
        <v>BND</v>
      </c>
      <c r="AL337" s="370">
        <v>42754</v>
      </c>
      <c r="AM337" s="352"/>
      <c r="AN337" s="352"/>
      <c r="AO337" s="352"/>
      <c r="AP337" s="352"/>
      <c r="AQ337" s="352"/>
      <c r="AR337" s="352"/>
      <c r="AS337" s="352"/>
      <c r="AT337" s="352"/>
      <c r="AU337" s="352"/>
      <c r="AV337" s="352"/>
      <c r="AW337" s="352"/>
      <c r="AX337" s="352"/>
      <c r="AY337" s="352"/>
      <c r="AZ337" s="352"/>
      <c r="BA337" s="352"/>
      <c r="BB337" s="352"/>
      <c r="BC337" s="352"/>
      <c r="BD337" s="352"/>
      <c r="BE337" s="352"/>
      <c r="BF337" s="352"/>
      <c r="BG337" s="352"/>
      <c r="BH337" s="352"/>
      <c r="BI337" s="352"/>
      <c r="BJ337" s="352"/>
      <c r="BK337" s="352"/>
      <c r="BL337" s="470"/>
      <c r="BM337" s="339"/>
      <c r="BN337" s="339"/>
      <c r="BO337" s="182"/>
      <c r="BP337" s="182"/>
      <c r="BQ337" s="182"/>
      <c r="BR337" s="182"/>
      <c r="BS337" s="182"/>
      <c r="BT337" s="182"/>
      <c r="BU337" s="182"/>
      <c r="BV337" s="182"/>
      <c r="BW337" s="182"/>
      <c r="BX337" s="182"/>
      <c r="BY337" s="182"/>
      <c r="BZ337" s="182"/>
      <c r="CA337" s="182"/>
      <c r="CB337" s="182"/>
      <c r="CC337" s="182"/>
      <c r="CD337" s="182"/>
      <c r="CE337" s="182"/>
      <c r="CF337" s="182"/>
      <c r="CG337" s="182"/>
      <c r="CH337" s="182"/>
      <c r="CI337" s="182"/>
      <c r="CJ337" s="182"/>
      <c r="CK337" s="182"/>
      <c r="CL337" s="680"/>
      <c r="CM337" s="681"/>
      <c r="CN337" s="682"/>
    </row>
    <row r="338" spans="1:92" ht="12.75" customHeight="1">
      <c r="A338" s="639" t="s">
        <v>473</v>
      </c>
      <c r="B338" s="502" t="s">
        <v>100</v>
      </c>
      <c r="C338" s="410" t="s">
        <v>100</v>
      </c>
      <c r="D338" s="410" t="s">
        <v>100</v>
      </c>
      <c r="E338" s="410" t="s">
        <v>100</v>
      </c>
      <c r="F338" s="367"/>
      <c r="G338" s="410"/>
      <c r="H338" s="410"/>
      <c r="I338" s="410"/>
      <c r="J338" s="410" t="s">
        <v>100</v>
      </c>
      <c r="K338" s="410"/>
      <c r="L338" s="410" t="s">
        <v>100</v>
      </c>
      <c r="M338" s="410" t="s">
        <v>100</v>
      </c>
      <c r="N338" s="410" t="s">
        <v>100</v>
      </c>
      <c r="O338" s="502" t="s">
        <v>100</v>
      </c>
      <c r="P338" s="410" t="s">
        <v>100</v>
      </c>
      <c r="Q338" s="410"/>
      <c r="R338" s="410"/>
      <c r="S338" s="410"/>
      <c r="T338" s="410"/>
      <c r="U338" s="639"/>
      <c r="V338" s="639"/>
      <c r="W338" s="639"/>
      <c r="X338" s="639"/>
      <c r="Y338" s="639"/>
      <c r="Z338" s="639"/>
      <c r="AA338" s="639"/>
      <c r="AB338" s="639"/>
      <c r="AC338" s="639"/>
      <c r="AD338" s="639"/>
      <c r="AE338" s="639"/>
      <c r="AF338" s="639"/>
      <c r="AG338" s="639"/>
      <c r="AH338" s="639"/>
      <c r="AI338" s="639"/>
      <c r="AJ338" s="339">
        <f t="shared" ref="AJ338:AJ339" si="87">COUNTIF(B338:AI338,"x")</f>
        <v>10</v>
      </c>
      <c r="AK338" s="481" t="str">
        <f t="shared" si="80"/>
        <v>BBWAA.com</v>
      </c>
      <c r="AL338" s="370">
        <v>42755</v>
      </c>
      <c r="CL338" s="680"/>
      <c r="CM338" s="681"/>
      <c r="CN338" s="682"/>
    </row>
    <row r="339" spans="1:92" ht="12.75" customHeight="1">
      <c r="A339" s="639" t="s">
        <v>691</v>
      </c>
      <c r="B339" s="410" t="s">
        <v>100</v>
      </c>
      <c r="C339" s="410"/>
      <c r="D339" s="410"/>
      <c r="E339" s="410" t="s">
        <v>100</v>
      </c>
      <c r="F339" s="410" t="s">
        <v>100</v>
      </c>
      <c r="G339" s="410"/>
      <c r="H339" s="410" t="s">
        <v>100</v>
      </c>
      <c r="I339" s="410"/>
      <c r="J339" s="410"/>
      <c r="K339" s="410"/>
      <c r="L339" s="410" t="s">
        <v>100</v>
      </c>
      <c r="M339" s="410" t="s">
        <v>100</v>
      </c>
      <c r="N339" s="410" t="s">
        <v>100</v>
      </c>
      <c r="O339" s="367"/>
      <c r="P339" s="410"/>
      <c r="Q339" s="367"/>
      <c r="R339" s="410"/>
      <c r="S339" s="367"/>
      <c r="T339" s="410"/>
      <c r="U339" s="639"/>
      <c r="V339" s="639"/>
      <c r="W339" s="639"/>
      <c r="X339" s="639"/>
      <c r="Y339" s="639"/>
      <c r="Z339" s="639"/>
      <c r="AA339" s="639"/>
      <c r="AB339" s="639"/>
      <c r="AC339" s="639"/>
      <c r="AD339" s="639"/>
      <c r="AE339" s="639"/>
      <c r="AF339" s="639"/>
      <c r="AG339" s="639"/>
      <c r="AH339" s="639"/>
      <c r="AI339" s="639"/>
      <c r="AJ339" s="339">
        <f t="shared" si="87"/>
        <v>7</v>
      </c>
      <c r="AK339" s="481" t="str">
        <f t="shared" si="80"/>
        <v>BBWAA.com</v>
      </c>
      <c r="AL339" s="370">
        <v>42755</v>
      </c>
      <c r="CL339" s="680"/>
      <c r="CM339" s="681"/>
      <c r="CN339" s="682"/>
    </row>
    <row r="340" spans="1:92" s="344" customFormat="1">
      <c r="A340" s="374" t="s">
        <v>692</v>
      </c>
      <c r="B340" s="189" t="s">
        <v>100</v>
      </c>
      <c r="C340" s="189"/>
      <c r="D340" s="189"/>
      <c r="E340" s="189" t="s">
        <v>100</v>
      </c>
      <c r="F340" s="189" t="s">
        <v>100</v>
      </c>
      <c r="G340" s="189"/>
      <c r="H340" s="366" t="s">
        <v>100</v>
      </c>
      <c r="I340" s="189"/>
      <c r="J340" s="189" t="s">
        <v>100</v>
      </c>
      <c r="K340" s="189"/>
      <c r="L340" s="366" t="s">
        <v>100</v>
      </c>
      <c r="M340" s="189"/>
      <c r="N340" s="189"/>
      <c r="O340" s="189" t="s">
        <v>100</v>
      </c>
      <c r="P340" s="189"/>
      <c r="Q340" s="189"/>
      <c r="R340" s="189"/>
      <c r="S340" s="189"/>
      <c r="T340" s="189"/>
      <c r="U340" s="189"/>
      <c r="V340" s="189"/>
      <c r="W340" s="189"/>
      <c r="X340" s="189"/>
      <c r="Y340" s="189"/>
      <c r="Z340" s="189"/>
      <c r="AA340" s="189"/>
      <c r="AB340" s="189"/>
      <c r="AC340" s="189"/>
      <c r="AD340" s="189"/>
      <c r="AE340" s="189"/>
      <c r="AF340" s="189"/>
      <c r="AG340" s="189"/>
      <c r="AH340" s="189"/>
      <c r="AI340" s="189"/>
      <c r="AJ340" s="339">
        <f t="shared" si="37"/>
        <v>7</v>
      </c>
      <c r="AK340" s="510" t="s">
        <v>657</v>
      </c>
      <c r="AL340" s="370">
        <v>42754</v>
      </c>
      <c r="AM340" s="352"/>
      <c r="AN340" s="352"/>
      <c r="AO340" s="352"/>
      <c r="AP340" s="352"/>
      <c r="AQ340" s="352"/>
      <c r="AR340" s="352"/>
      <c r="AS340" s="352"/>
      <c r="AT340" s="352"/>
      <c r="AU340" s="352"/>
      <c r="AV340" s="352"/>
      <c r="AW340" s="352"/>
      <c r="AX340" s="352"/>
      <c r="AY340" s="352"/>
      <c r="AZ340" s="352"/>
      <c r="BA340" s="352"/>
      <c r="BB340" s="352"/>
      <c r="BC340" s="352"/>
      <c r="BD340" s="352"/>
      <c r="BE340" s="352"/>
      <c r="BF340" s="352"/>
      <c r="BG340" s="352"/>
      <c r="BH340" s="352"/>
      <c r="BI340" s="352"/>
      <c r="BJ340" s="352"/>
      <c r="BK340" s="352"/>
      <c r="BL340" s="470"/>
      <c r="BM340" s="339"/>
      <c r="BN340" s="339"/>
      <c r="BO340" s="182"/>
      <c r="BP340" s="182"/>
      <c r="BQ340" s="182"/>
      <c r="BR340" s="182"/>
      <c r="BS340" s="182"/>
      <c r="BT340" s="182"/>
      <c r="BU340" s="182"/>
      <c r="BV340" s="182"/>
      <c r="BW340" s="182"/>
      <c r="BX340" s="182"/>
      <c r="BY340" s="182"/>
      <c r="BZ340" s="182"/>
      <c r="CA340" s="182"/>
      <c r="CB340" s="182"/>
      <c r="CC340" s="182"/>
      <c r="CD340" s="182"/>
      <c r="CE340" s="182"/>
      <c r="CF340" s="182"/>
      <c r="CG340" s="182"/>
      <c r="CH340" s="182"/>
      <c r="CI340" s="182"/>
      <c r="CJ340" s="182"/>
      <c r="CK340" s="182"/>
      <c r="CL340" s="680"/>
      <c r="CM340" s="681"/>
      <c r="CN340" s="682"/>
    </row>
    <row r="341" spans="1:92" s="344" customFormat="1">
      <c r="A341" s="374" t="s">
        <v>475</v>
      </c>
      <c r="B341" s="189" t="s">
        <v>100</v>
      </c>
      <c r="C341" s="189"/>
      <c r="D341" s="189"/>
      <c r="E341" s="189" t="s">
        <v>100</v>
      </c>
      <c r="F341" s="189" t="s">
        <v>100</v>
      </c>
      <c r="G341" s="189"/>
      <c r="H341" s="189" t="s">
        <v>100</v>
      </c>
      <c r="I341" s="189"/>
      <c r="J341" s="189"/>
      <c r="K341" s="189"/>
      <c r="L341" s="189" t="s">
        <v>100</v>
      </c>
      <c r="M341" s="189"/>
      <c r="N341" s="189" t="s">
        <v>100</v>
      </c>
      <c r="O341" s="189" t="s">
        <v>100</v>
      </c>
      <c r="P341" s="189"/>
      <c r="Q341" s="189"/>
      <c r="R341" s="189"/>
      <c r="S341" s="189" t="s">
        <v>100</v>
      </c>
      <c r="T341" s="189" t="s">
        <v>100</v>
      </c>
      <c r="U341" s="189"/>
      <c r="V341" s="189"/>
      <c r="W341" s="189"/>
      <c r="X341" s="189"/>
      <c r="Y341" s="189"/>
      <c r="Z341" s="189"/>
      <c r="AA341" s="189"/>
      <c r="AB341" s="189"/>
      <c r="AC341" s="189"/>
      <c r="AD341" s="189"/>
      <c r="AE341" s="189"/>
      <c r="AF341" s="189"/>
      <c r="AG341" s="189"/>
      <c r="AH341" s="189"/>
      <c r="AI341" s="189"/>
      <c r="AJ341" s="339">
        <f t="shared" si="37"/>
        <v>9</v>
      </c>
      <c r="AK341" s="481" t="str">
        <f>HYPERLINK("http://www.masnsports.com/nationals-pastime/2017/01/my-2017-hall-of-fame-ballot.html","MASN")</f>
        <v>MASN</v>
      </c>
      <c r="AL341" s="370">
        <v>42753</v>
      </c>
      <c r="AM341" s="352"/>
      <c r="AN341" s="187">
        <f>IF(B341=1,0,0)</f>
        <v>0</v>
      </c>
      <c r="AO341" s="187">
        <f>IF(D341=1,13,0)</f>
        <v>0</v>
      </c>
      <c r="AP341" s="187">
        <f>IF(E341=1,8,0)</f>
        <v>0</v>
      </c>
      <c r="AQ341" s="187">
        <f>IF(G341=1,8,0)</f>
        <v>0</v>
      </c>
      <c r="AR341" s="187">
        <f t="shared" si="56"/>
        <v>0</v>
      </c>
      <c r="AS341" s="187">
        <f t="shared" si="56"/>
        <v>0</v>
      </c>
      <c r="AT341" s="187">
        <f t="shared" si="56"/>
        <v>0</v>
      </c>
      <c r="AU341" s="187">
        <f>IF(L341=1,19,0)</f>
        <v>0</v>
      </c>
      <c r="AV341" s="187">
        <f>IF(O341=1,13,0)</f>
        <v>0</v>
      </c>
      <c r="AW341" s="187">
        <f>IF(P341=1,0,0)</f>
        <v>0</v>
      </c>
      <c r="AX341" s="187">
        <f>IF(Q341=1,3,0)</f>
        <v>0</v>
      </c>
      <c r="AY341" s="187">
        <f>IF(S341=1,8,0)</f>
        <v>0</v>
      </c>
      <c r="AZ341" s="187">
        <f>IF(T341=1,4,0)</f>
        <v>0</v>
      </c>
      <c r="BA341" s="187">
        <f>IF(U341=1,2,0)</f>
        <v>0</v>
      </c>
      <c r="BB341" s="187">
        <f>IF(W341=1,8,0)</f>
        <v>0</v>
      </c>
      <c r="BC341" s="187">
        <f>IF(X341=1,16,0)</f>
        <v>0</v>
      </c>
      <c r="BD341" s="187">
        <f>IF(Y341=1,13,0)</f>
        <v>0</v>
      </c>
      <c r="BE341" s="187">
        <f>IF(Z341=1,10,0)</f>
        <v>0</v>
      </c>
      <c r="BF341" s="187">
        <f>IF(AA341=1,2,0)</f>
        <v>0</v>
      </c>
      <c r="BG341" s="187">
        <f>IF(AB341=1,6,0)</f>
        <v>0</v>
      </c>
      <c r="BH341" s="187">
        <f>IF(AC341=1,1,0)</f>
        <v>0</v>
      </c>
      <c r="BI341" s="187">
        <f t="shared" si="57"/>
        <v>0</v>
      </c>
      <c r="BJ341" s="187">
        <f t="shared" si="58"/>
        <v>0</v>
      </c>
      <c r="BK341" s="187">
        <f t="shared" si="59"/>
        <v>0</v>
      </c>
      <c r="BL341" s="273">
        <f t="shared" si="60"/>
        <v>0</v>
      </c>
      <c r="BM341" s="339">
        <f t="shared" ref="BM341" si="88">BL341</f>
        <v>0</v>
      </c>
      <c r="BN341" s="339"/>
      <c r="BO341" s="182"/>
      <c r="BP341" s="182"/>
      <c r="BQ341" s="182"/>
      <c r="BR341" s="182"/>
      <c r="BS341" s="182"/>
      <c r="BT341" s="182"/>
      <c r="BU341" s="182"/>
      <c r="BV341" s="182"/>
      <c r="BW341" s="182"/>
      <c r="BX341" s="182"/>
      <c r="BY341" s="182"/>
      <c r="BZ341" s="182"/>
      <c r="CA341" s="182"/>
      <c r="CB341" s="182"/>
      <c r="CC341" s="182"/>
      <c r="CD341" s="182"/>
      <c r="CE341" s="182"/>
      <c r="CF341" s="182"/>
      <c r="CG341" s="182"/>
      <c r="CH341" s="182"/>
      <c r="CI341" s="182"/>
      <c r="CJ341" s="182"/>
      <c r="CK341" s="182"/>
      <c r="CL341" s="680"/>
      <c r="CM341" s="681"/>
      <c r="CN341" s="682"/>
    </row>
    <row r="342" spans="1:92" ht="30" customHeight="1">
      <c r="A342" s="616"/>
      <c r="B342" s="779" t="s">
        <v>477</v>
      </c>
      <c r="C342" s="780"/>
      <c r="D342" s="780"/>
      <c r="E342" s="420">
        <f>COUNTA(A342:A348)</f>
        <v>5</v>
      </c>
      <c r="F342" s="781" t="s">
        <v>479</v>
      </c>
      <c r="G342" s="781"/>
      <c r="H342" s="781"/>
      <c r="I342" s="781"/>
      <c r="J342" s="781"/>
      <c r="K342" s="781"/>
      <c r="L342" s="781"/>
      <c r="M342" s="781"/>
      <c r="N342" s="781"/>
      <c r="O342" s="781"/>
      <c r="P342" s="781"/>
      <c r="Q342" s="781"/>
      <c r="R342" s="781"/>
      <c r="S342" s="781"/>
      <c r="T342" s="781"/>
      <c r="U342" s="781"/>
      <c r="V342" s="781"/>
      <c r="W342" s="781"/>
      <c r="X342" s="781"/>
      <c r="Y342" s="781"/>
      <c r="Z342" s="781"/>
      <c r="AA342" s="781"/>
      <c r="AB342" s="781"/>
      <c r="AC342" s="781"/>
      <c r="AD342" s="781"/>
      <c r="AE342" s="781"/>
      <c r="AF342" s="781"/>
      <c r="AG342" s="781"/>
      <c r="AH342" s="781"/>
      <c r="AI342" s="781"/>
      <c r="AJ342" s="639"/>
      <c r="AK342" s="490"/>
      <c r="AL342" s="639"/>
      <c r="AM342" s="639"/>
      <c r="AN342" s="639"/>
      <c r="AO342" s="639"/>
      <c r="AP342" s="639"/>
      <c r="AQ342" s="639"/>
      <c r="AR342" s="639"/>
      <c r="AS342" s="639"/>
      <c r="AT342" s="639"/>
      <c r="AU342" s="639"/>
      <c r="AV342" s="639"/>
      <c r="AW342" s="639"/>
      <c r="AX342" s="639"/>
      <c r="AY342" s="639"/>
      <c r="AZ342" s="639"/>
      <c r="BA342" s="639"/>
      <c r="BB342" s="639"/>
      <c r="BC342" s="639"/>
      <c r="BD342" s="639"/>
      <c r="BE342" s="639"/>
      <c r="BF342" s="639"/>
      <c r="BG342" s="639"/>
      <c r="BH342" s="639"/>
      <c r="BI342" s="639"/>
      <c r="BJ342" s="639"/>
      <c r="BK342" s="639"/>
      <c r="BL342" s="639"/>
      <c r="BM342" s="639"/>
      <c r="BN342" s="639"/>
      <c r="BO342" s="639"/>
      <c r="BP342" s="639"/>
      <c r="BQ342" s="639"/>
      <c r="BR342" s="639"/>
      <c r="BS342" s="639"/>
      <c r="BT342" s="639"/>
      <c r="BU342" s="639"/>
      <c r="BV342" s="639"/>
      <c r="BW342" s="639"/>
      <c r="BX342" s="639"/>
      <c r="BY342" s="639"/>
      <c r="BZ342" s="639"/>
      <c r="CA342" s="639"/>
      <c r="CB342" s="639"/>
      <c r="CC342" s="639"/>
      <c r="CD342" s="639"/>
      <c r="CE342" s="639"/>
      <c r="CF342" s="639"/>
      <c r="CG342" s="639"/>
      <c r="CH342" s="639"/>
      <c r="CI342" s="639"/>
      <c r="CJ342" s="639"/>
      <c r="CK342" s="643"/>
      <c r="CL342" s="639"/>
      <c r="CM342" s="639"/>
      <c r="CN342" s="639"/>
    </row>
    <row r="343" spans="1:92" ht="12.75" customHeight="1">
      <c r="A343" s="469" t="s">
        <v>480</v>
      </c>
      <c r="B343" s="410" t="s">
        <v>100</v>
      </c>
      <c r="C343" s="410" t="s">
        <v>100</v>
      </c>
      <c r="D343" s="410" t="s">
        <v>100</v>
      </c>
      <c r="E343" s="410" t="s">
        <v>100</v>
      </c>
      <c r="F343" s="410" t="s">
        <v>100</v>
      </c>
      <c r="G343" s="410"/>
      <c r="H343" s="410"/>
      <c r="I343" s="410"/>
      <c r="J343" s="410"/>
      <c r="K343" s="410"/>
      <c r="L343" s="410" t="s">
        <v>100</v>
      </c>
      <c r="M343" s="410"/>
      <c r="N343" s="410"/>
      <c r="O343" s="410"/>
      <c r="P343" s="410"/>
      <c r="Q343" s="410" t="s">
        <v>100</v>
      </c>
      <c r="R343" s="410" t="s">
        <v>100</v>
      </c>
      <c r="S343" s="410"/>
      <c r="T343" s="410"/>
      <c r="U343" s="639"/>
      <c r="V343" s="639"/>
      <c r="W343" s="639"/>
      <c r="X343" s="639"/>
      <c r="Y343" s="639"/>
      <c r="Z343" s="639"/>
      <c r="AA343" s="639"/>
      <c r="AB343" s="639"/>
      <c r="AC343" s="639"/>
      <c r="AD343" s="639"/>
      <c r="AE343" s="639"/>
      <c r="AF343" s="639"/>
      <c r="AG343" s="639"/>
      <c r="AH343" s="639"/>
      <c r="AI343" s="639"/>
      <c r="AJ343" s="167">
        <f t="shared" ref="AJ343:AJ347" si="89">COUNTIF(B343:AI343,"x")</f>
        <v>8</v>
      </c>
      <c r="AK343" s="490"/>
      <c r="AL343" s="471">
        <v>42707</v>
      </c>
      <c r="AM343" s="136"/>
      <c r="AN343" s="136"/>
      <c r="AO343" s="136"/>
      <c r="AP343" s="136"/>
      <c r="AQ343" s="136"/>
      <c r="AR343" s="136"/>
      <c r="AS343" s="136"/>
      <c r="AT343" s="136"/>
      <c r="AU343" s="136"/>
      <c r="AV343" s="136"/>
      <c r="AW343" s="136"/>
      <c r="AX343" s="136"/>
      <c r="AY343" s="136"/>
      <c r="AZ343" s="136"/>
      <c r="BA343" s="136"/>
      <c r="BB343" s="136"/>
      <c r="BC343" s="136"/>
      <c r="BD343" s="136"/>
      <c r="BE343" s="136"/>
      <c r="BF343" s="136"/>
      <c r="BG343" s="136"/>
      <c r="BH343" s="136"/>
      <c r="BI343" s="136"/>
      <c r="BJ343" s="136"/>
      <c r="BK343" s="136"/>
      <c r="BL343" s="136"/>
      <c r="BM343" s="136"/>
      <c r="BN343" s="136"/>
      <c r="BO343" s="136"/>
      <c r="BP343" s="136"/>
      <c r="BQ343" s="136"/>
      <c r="BR343" s="136"/>
      <c r="BS343" s="136"/>
      <c r="BT343" s="136"/>
      <c r="BU343" s="136"/>
      <c r="BV343" s="136"/>
      <c r="BW343" s="136"/>
      <c r="BX343" s="136"/>
      <c r="BY343" s="136"/>
      <c r="BZ343" s="136"/>
      <c r="CA343" s="136"/>
      <c r="CB343" s="136"/>
      <c r="CC343" s="136"/>
      <c r="CD343" s="136"/>
      <c r="CE343" s="136"/>
      <c r="CF343" s="136"/>
      <c r="CG343" s="136"/>
      <c r="CH343" s="136"/>
      <c r="CI343" s="136"/>
      <c r="CJ343" s="136"/>
      <c r="CK343" s="136"/>
      <c r="CL343" s="680"/>
      <c r="CM343" s="681"/>
      <c r="CN343" s="682"/>
    </row>
    <row r="344" spans="1:92" ht="12.75" customHeight="1">
      <c r="A344" s="469" t="s">
        <v>480</v>
      </c>
      <c r="B344" s="410" t="s">
        <v>100</v>
      </c>
      <c r="C344" s="410"/>
      <c r="D344" s="410"/>
      <c r="E344" s="410" t="s">
        <v>100</v>
      </c>
      <c r="F344" s="410" t="s">
        <v>100</v>
      </c>
      <c r="G344" s="410"/>
      <c r="H344" s="410"/>
      <c r="I344" s="410"/>
      <c r="J344" s="410"/>
      <c r="K344" s="410"/>
      <c r="L344" s="410"/>
      <c r="M344" s="410"/>
      <c r="N344" s="410"/>
      <c r="O344" s="410"/>
      <c r="P344" s="410"/>
      <c r="Q344" s="410"/>
      <c r="R344" s="410"/>
      <c r="S344" s="410"/>
      <c r="T344" s="410"/>
      <c r="U344" s="639"/>
      <c r="V344" s="639"/>
      <c r="W344" s="639"/>
      <c r="X344" s="639"/>
      <c r="Y344" s="639"/>
      <c r="Z344" s="639"/>
      <c r="AA344" s="639"/>
      <c r="AB344" s="639"/>
      <c r="AC344" s="639"/>
      <c r="AD344" s="639"/>
      <c r="AE344" s="639"/>
      <c r="AF344" s="639"/>
      <c r="AG344" s="639"/>
      <c r="AH344" s="639"/>
      <c r="AI344" s="639"/>
      <c r="AJ344" s="167">
        <f t="shared" si="89"/>
        <v>3</v>
      </c>
      <c r="AK344" s="490"/>
      <c r="AL344" s="471">
        <v>42730</v>
      </c>
      <c r="AM344" s="136"/>
      <c r="AN344" s="136"/>
      <c r="AO344" s="136"/>
      <c r="AP344" s="136"/>
      <c r="AQ344" s="136"/>
      <c r="AR344" s="136"/>
      <c r="AS344" s="136"/>
      <c r="AT344" s="136"/>
      <c r="AU344" s="136"/>
      <c r="AV344" s="136"/>
      <c r="AW344" s="136"/>
      <c r="AX344" s="136"/>
      <c r="AY344" s="136"/>
      <c r="AZ344" s="136"/>
      <c r="BA344" s="136"/>
      <c r="BB344" s="136"/>
      <c r="BC344" s="136"/>
      <c r="BD344" s="136"/>
      <c r="BE344" s="136"/>
      <c r="BF344" s="136"/>
      <c r="BG344" s="136"/>
      <c r="BH344" s="136"/>
      <c r="BI344" s="136"/>
      <c r="BJ344" s="136"/>
      <c r="BK344" s="136"/>
      <c r="BL344" s="136"/>
      <c r="BM344" s="136"/>
      <c r="BN344" s="136"/>
      <c r="BO344" s="136"/>
      <c r="BP344" s="136"/>
      <c r="BQ344" s="136"/>
      <c r="BR344" s="136"/>
      <c r="BS344" s="136"/>
      <c r="BT344" s="136"/>
      <c r="BU344" s="136"/>
      <c r="BV344" s="136"/>
      <c r="BW344" s="136"/>
      <c r="BX344" s="136"/>
      <c r="BY344" s="136"/>
      <c r="BZ344" s="136"/>
      <c r="CA344" s="136"/>
      <c r="CB344" s="136"/>
      <c r="CC344" s="136"/>
      <c r="CD344" s="136"/>
      <c r="CE344" s="136"/>
      <c r="CF344" s="136"/>
      <c r="CG344" s="136"/>
      <c r="CH344" s="136"/>
      <c r="CI344" s="136"/>
      <c r="CJ344" s="136"/>
      <c r="CK344" s="136"/>
      <c r="CL344" s="680"/>
      <c r="CM344" s="681"/>
      <c r="CN344" s="682"/>
    </row>
    <row r="345" spans="1:92" ht="12.75" customHeight="1">
      <c r="A345" s="469" t="s">
        <v>480</v>
      </c>
      <c r="B345" s="410" t="s">
        <v>100</v>
      </c>
      <c r="C345" s="410" t="s">
        <v>100</v>
      </c>
      <c r="D345" s="410" t="s">
        <v>100</v>
      </c>
      <c r="E345" s="410" t="s">
        <v>100</v>
      </c>
      <c r="F345" s="410"/>
      <c r="G345" s="410" t="s">
        <v>100</v>
      </c>
      <c r="H345" s="410"/>
      <c r="I345" s="410"/>
      <c r="J345" s="410"/>
      <c r="K345" s="410"/>
      <c r="L345" s="410"/>
      <c r="M345" s="410" t="s">
        <v>100</v>
      </c>
      <c r="N345" s="410" t="s">
        <v>100</v>
      </c>
      <c r="O345" s="410"/>
      <c r="P345" s="410"/>
      <c r="Q345" s="410"/>
      <c r="R345" s="410"/>
      <c r="S345" s="410"/>
      <c r="T345" s="410" t="s">
        <v>100</v>
      </c>
      <c r="U345" s="639"/>
      <c r="V345" s="639"/>
      <c r="W345" s="639"/>
      <c r="X345" s="639"/>
      <c r="Y345" s="639"/>
      <c r="Z345" s="639"/>
      <c r="AA345" s="639"/>
      <c r="AB345" s="639"/>
      <c r="AC345" s="639"/>
      <c r="AD345" s="639"/>
      <c r="AE345" s="639"/>
      <c r="AF345" s="639"/>
      <c r="AG345" s="639"/>
      <c r="AH345" s="639"/>
      <c r="AI345" s="639"/>
      <c r="AJ345" s="167">
        <f t="shared" ref="AJ345:AJ346" si="90">COUNTIF(B345:AI345,"x")</f>
        <v>8</v>
      </c>
      <c r="AK345" s="490"/>
      <c r="AL345" s="471">
        <v>42747</v>
      </c>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6"/>
      <c r="BO345" s="136"/>
      <c r="BP345" s="136"/>
      <c r="BQ345" s="136"/>
      <c r="BR345" s="136"/>
      <c r="BS345" s="136"/>
      <c r="BT345" s="136"/>
      <c r="BU345" s="136"/>
      <c r="BV345" s="136"/>
      <c r="BW345" s="136"/>
      <c r="BX345" s="136"/>
      <c r="BY345" s="136"/>
      <c r="BZ345" s="136"/>
      <c r="CA345" s="136"/>
      <c r="CB345" s="136"/>
      <c r="CC345" s="136"/>
      <c r="CD345" s="136"/>
      <c r="CE345" s="136"/>
      <c r="CF345" s="136"/>
      <c r="CG345" s="136"/>
      <c r="CH345" s="136"/>
      <c r="CI345" s="136"/>
      <c r="CJ345" s="136"/>
      <c r="CK345" s="136"/>
      <c r="CL345" s="618"/>
      <c r="CM345" s="619"/>
      <c r="CN345" s="620"/>
    </row>
    <row r="346" spans="1:92" ht="12.75" customHeight="1">
      <c r="A346" s="469" t="s">
        <v>480</v>
      </c>
      <c r="B346" s="410" t="s">
        <v>100</v>
      </c>
      <c r="C346" s="410" t="s">
        <v>100</v>
      </c>
      <c r="D346" s="410" t="s">
        <v>100</v>
      </c>
      <c r="E346" s="410" t="s">
        <v>100</v>
      </c>
      <c r="F346" s="410" t="s">
        <v>100</v>
      </c>
      <c r="G346" s="410"/>
      <c r="H346" s="410" t="s">
        <v>100</v>
      </c>
      <c r="I346" s="410"/>
      <c r="J346" s="410" t="s">
        <v>100</v>
      </c>
      <c r="K346" s="410"/>
      <c r="L346" s="410" t="s">
        <v>100</v>
      </c>
      <c r="M346" s="410" t="s">
        <v>100</v>
      </c>
      <c r="N346" s="410" t="s">
        <v>100</v>
      </c>
      <c r="O346" s="410"/>
      <c r="P346" s="410"/>
      <c r="Q346" s="410"/>
      <c r="R346" s="410"/>
      <c r="S346" s="410"/>
      <c r="T346" s="410"/>
      <c r="U346" s="639"/>
      <c r="V346" s="639"/>
      <c r="W346" s="639"/>
      <c r="X346" s="639"/>
      <c r="Y346" s="639"/>
      <c r="Z346" s="639"/>
      <c r="AA346" s="639"/>
      <c r="AB346" s="639"/>
      <c r="AC346" s="639"/>
      <c r="AD346" s="639"/>
      <c r="AE346" s="639"/>
      <c r="AF346" s="639"/>
      <c r="AG346" s="639"/>
      <c r="AH346" s="639"/>
      <c r="AI346" s="639"/>
      <c r="AJ346" s="167">
        <f t="shared" si="90"/>
        <v>10</v>
      </c>
      <c r="AK346" s="490"/>
      <c r="AL346" s="471">
        <v>42753</v>
      </c>
      <c r="AM346" s="136"/>
      <c r="AN346" s="136"/>
      <c r="AO346" s="136"/>
      <c r="AP346" s="136"/>
      <c r="AQ346" s="136"/>
      <c r="AR346" s="136"/>
      <c r="AS346" s="136"/>
      <c r="AT346" s="136"/>
      <c r="AU346" s="136"/>
      <c r="AV346" s="136"/>
      <c r="AW346" s="136"/>
      <c r="AX346" s="136"/>
      <c r="AY346" s="136"/>
      <c r="AZ346" s="136"/>
      <c r="BA346" s="136"/>
      <c r="BB346" s="136"/>
      <c r="BC346" s="136"/>
      <c r="BD346" s="136"/>
      <c r="BE346" s="136"/>
      <c r="BF346" s="136"/>
      <c r="BG346" s="136"/>
      <c r="BH346" s="136"/>
      <c r="BI346" s="136"/>
      <c r="BJ346" s="136"/>
      <c r="BK346" s="136"/>
      <c r="BL346" s="136"/>
      <c r="BM346" s="136"/>
      <c r="BN346" s="136"/>
      <c r="BO346" s="136"/>
      <c r="BP346" s="136"/>
      <c r="BQ346" s="136"/>
      <c r="BR346" s="136"/>
      <c r="BS346" s="136"/>
      <c r="BT346" s="136"/>
      <c r="BU346" s="136"/>
      <c r="BV346" s="136"/>
      <c r="BW346" s="136"/>
      <c r="BX346" s="136"/>
      <c r="BY346" s="136"/>
      <c r="BZ346" s="136"/>
      <c r="CA346" s="136"/>
      <c r="CB346" s="136"/>
      <c r="CC346" s="136"/>
      <c r="CD346" s="136"/>
      <c r="CE346" s="136"/>
      <c r="CF346" s="136"/>
      <c r="CG346" s="136"/>
      <c r="CH346" s="136"/>
      <c r="CI346" s="136"/>
      <c r="CJ346" s="136"/>
      <c r="CK346" s="136"/>
      <c r="CL346" s="680"/>
      <c r="CM346" s="681"/>
      <c r="CN346" s="682"/>
    </row>
    <row r="347" spans="1:92" ht="12.75" customHeight="1">
      <c r="A347" s="469" t="s">
        <v>480</v>
      </c>
      <c r="B347" s="410" t="s">
        <v>100</v>
      </c>
      <c r="C347" s="410"/>
      <c r="D347" s="410"/>
      <c r="E347" s="410" t="s">
        <v>100</v>
      </c>
      <c r="F347" s="410" t="s">
        <v>100</v>
      </c>
      <c r="G347" s="410"/>
      <c r="H347" s="410"/>
      <c r="I347" s="410"/>
      <c r="J347" s="410"/>
      <c r="K347" s="410"/>
      <c r="L347" s="410" t="s">
        <v>100</v>
      </c>
      <c r="M347" s="410"/>
      <c r="N347" s="410" t="s">
        <v>100</v>
      </c>
      <c r="O347" s="410"/>
      <c r="P347" s="410"/>
      <c r="Q347" s="410"/>
      <c r="R347" s="410"/>
      <c r="S347" s="410"/>
      <c r="T347" s="410"/>
      <c r="U347" s="639"/>
      <c r="V347" s="639"/>
      <c r="W347" s="639"/>
      <c r="X347" s="639"/>
      <c r="Y347" s="639"/>
      <c r="Z347" s="639"/>
      <c r="AA347" s="639"/>
      <c r="AB347" s="639"/>
      <c r="AC347" s="639"/>
      <c r="AD347" s="639"/>
      <c r="AE347" s="639"/>
      <c r="AF347" s="639"/>
      <c r="AG347" s="639"/>
      <c r="AH347" s="639"/>
      <c r="AI347" s="639"/>
      <c r="AJ347" s="167">
        <f t="shared" si="89"/>
        <v>5</v>
      </c>
      <c r="AK347" s="490"/>
      <c r="AL347" s="471">
        <v>42756</v>
      </c>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6"/>
      <c r="BO347" s="136"/>
      <c r="BP347" s="136"/>
      <c r="BQ347" s="136"/>
      <c r="BR347" s="136"/>
      <c r="BS347" s="136"/>
      <c r="BT347" s="136"/>
      <c r="BU347" s="136"/>
      <c r="BV347" s="136"/>
      <c r="BW347" s="136"/>
      <c r="BX347" s="136"/>
      <c r="BY347" s="136"/>
      <c r="BZ347" s="136"/>
      <c r="CA347" s="136"/>
      <c r="CB347" s="136"/>
      <c r="CC347" s="136"/>
      <c r="CD347" s="136"/>
      <c r="CE347" s="136"/>
      <c r="CF347" s="136"/>
      <c r="CG347" s="136"/>
      <c r="CH347" s="136"/>
      <c r="CI347" s="136"/>
      <c r="CJ347" s="136"/>
      <c r="CK347" s="136"/>
      <c r="CL347" s="680"/>
      <c r="CM347" s="681"/>
      <c r="CN347" s="682"/>
    </row>
    <row r="348" spans="1:92" ht="12.75" customHeight="1">
      <c r="A348" s="616"/>
      <c r="B348" s="136"/>
      <c r="C348" s="136"/>
      <c r="D348" s="136"/>
      <c r="E348" s="136"/>
      <c r="F348" s="136"/>
      <c r="G348" s="136"/>
      <c r="H348" s="136"/>
      <c r="I348" s="136"/>
      <c r="J348" s="136"/>
      <c r="K348" s="136"/>
      <c r="L348" s="136"/>
      <c r="M348" s="136"/>
      <c r="N348" s="136"/>
      <c r="O348" s="136"/>
      <c r="P348" s="136"/>
      <c r="Q348" s="136"/>
      <c r="R348" s="136"/>
      <c r="S348" s="136"/>
      <c r="T348" s="136"/>
      <c r="U348" s="136"/>
      <c r="V348" s="136"/>
      <c r="W348" s="136"/>
      <c r="X348" s="136"/>
      <c r="Y348" s="136"/>
      <c r="Z348" s="136"/>
      <c r="AA348" s="136"/>
      <c r="AB348" s="136"/>
      <c r="AC348" s="136"/>
      <c r="AD348" s="136"/>
      <c r="AE348" s="136"/>
      <c r="AF348" s="136"/>
      <c r="AG348" s="136"/>
      <c r="AH348" s="136"/>
      <c r="AI348" s="136"/>
      <c r="AJ348" s="136"/>
      <c r="AK348" s="180"/>
      <c r="AL348" s="136"/>
      <c r="AM348" s="136"/>
      <c r="AN348" s="136"/>
      <c r="AO348" s="136"/>
      <c r="AP348" s="136"/>
      <c r="AQ348" s="136"/>
      <c r="AR348" s="136"/>
      <c r="AS348" s="136"/>
      <c r="AT348" s="136"/>
      <c r="AU348" s="136"/>
      <c r="AV348" s="136"/>
      <c r="AW348" s="136"/>
      <c r="AX348" s="136"/>
      <c r="AY348" s="136"/>
      <c r="AZ348" s="136"/>
      <c r="BA348" s="136"/>
      <c r="BB348" s="136"/>
      <c r="BC348" s="136"/>
      <c r="BD348" s="136"/>
      <c r="BE348" s="136"/>
      <c r="BF348" s="136"/>
      <c r="BG348" s="136"/>
      <c r="BH348" s="136"/>
      <c r="BI348" s="136"/>
      <c r="BJ348" s="136"/>
      <c r="BK348" s="136"/>
      <c r="BL348" s="136"/>
      <c r="BM348" s="136"/>
      <c r="BN348" s="136"/>
      <c r="BO348" s="136"/>
      <c r="BP348" s="136"/>
      <c r="BQ348" s="136"/>
      <c r="BR348" s="136"/>
      <c r="BS348" s="136"/>
      <c r="BT348" s="136"/>
      <c r="BU348" s="136"/>
      <c r="BV348" s="136"/>
      <c r="BW348" s="136"/>
      <c r="BX348" s="136"/>
      <c r="BY348" s="136"/>
      <c r="BZ348" s="136"/>
      <c r="CA348" s="136"/>
      <c r="CB348" s="136"/>
      <c r="CC348" s="136"/>
      <c r="CD348" s="136"/>
      <c r="CE348" s="136"/>
      <c r="CF348" s="136"/>
      <c r="CG348" s="136"/>
      <c r="CH348" s="136"/>
      <c r="CI348" s="136"/>
      <c r="CJ348" s="136"/>
      <c r="CK348" s="136"/>
      <c r="CL348" s="136"/>
      <c r="CM348" s="136"/>
      <c r="CN348" s="136"/>
    </row>
    <row r="349" spans="1:92" ht="12.75" customHeight="1">
      <c r="A349" s="616"/>
      <c r="B349" s="136"/>
      <c r="C349" s="136"/>
      <c r="D349" s="136"/>
      <c r="E349" s="136"/>
      <c r="F349" s="136"/>
      <c r="G349" s="136"/>
      <c r="H349" s="136"/>
      <c r="I349" s="136"/>
      <c r="J349" s="136"/>
      <c r="K349" s="136"/>
      <c r="L349" s="136"/>
      <c r="M349" s="136"/>
      <c r="N349" s="136"/>
      <c r="O349" s="136"/>
      <c r="P349" s="136"/>
      <c r="Q349" s="136"/>
      <c r="R349" s="136"/>
      <c r="S349" s="136"/>
      <c r="T349" s="136"/>
      <c r="U349" s="136"/>
      <c r="V349" s="136"/>
      <c r="W349" s="136"/>
      <c r="X349" s="136"/>
      <c r="Y349" s="136"/>
      <c r="Z349" s="136"/>
      <c r="AA349" s="136"/>
      <c r="AB349" s="136"/>
      <c r="AC349" s="136"/>
      <c r="AD349" s="136"/>
      <c r="AE349" s="136"/>
      <c r="AF349" s="136"/>
      <c r="AG349" s="136"/>
      <c r="AH349" s="136"/>
      <c r="AI349" s="136"/>
      <c r="AJ349" s="136"/>
      <c r="AK349" s="180"/>
      <c r="AL349" s="136"/>
      <c r="AM349" s="136"/>
      <c r="AN349" s="136"/>
      <c r="AO349" s="136"/>
      <c r="AP349" s="136"/>
      <c r="AQ349" s="136"/>
      <c r="AR349" s="136"/>
      <c r="AS349" s="136"/>
      <c r="AT349" s="136"/>
      <c r="AU349" s="136"/>
      <c r="AV349" s="136"/>
      <c r="AW349" s="136"/>
      <c r="AX349" s="136"/>
      <c r="AY349" s="136"/>
      <c r="AZ349" s="136"/>
      <c r="BA349" s="136"/>
      <c r="BB349" s="136"/>
      <c r="BC349" s="136"/>
      <c r="BD349" s="136"/>
      <c r="BE349" s="136"/>
      <c r="BF349" s="136"/>
      <c r="BG349" s="136"/>
      <c r="BH349" s="136"/>
      <c r="BI349" s="136"/>
      <c r="BJ349" s="136"/>
      <c r="BK349" s="136"/>
      <c r="BL349" s="136"/>
      <c r="BM349" s="136"/>
      <c r="BN349" s="136"/>
      <c r="BO349" s="136"/>
      <c r="BP349" s="136"/>
      <c r="BQ349" s="136"/>
      <c r="BR349" s="136"/>
      <c r="BS349" s="136"/>
      <c r="BT349" s="136"/>
      <c r="BU349" s="136"/>
      <c r="BV349" s="136"/>
      <c r="BW349" s="136"/>
      <c r="BX349" s="136"/>
      <c r="BY349" s="136"/>
      <c r="BZ349" s="136"/>
      <c r="CA349" s="136"/>
      <c r="CB349" s="136"/>
      <c r="CC349" s="136"/>
      <c r="CD349" s="136"/>
      <c r="CE349" s="136"/>
      <c r="CF349" s="136"/>
      <c r="CG349" s="136"/>
      <c r="CH349" s="136"/>
      <c r="CI349" s="136"/>
      <c r="CJ349" s="136"/>
      <c r="CK349" s="136"/>
      <c r="CL349" s="136"/>
      <c r="CM349" s="136"/>
      <c r="CN349" s="136"/>
    </row>
    <row r="350" spans="1:92" ht="12.75" customHeight="1">
      <c r="A350" s="136"/>
      <c r="B350" s="136"/>
      <c r="C350" s="136"/>
      <c r="D350" s="772" t="s">
        <v>693</v>
      </c>
      <c r="E350" s="772"/>
      <c r="F350" s="772"/>
      <c r="G350" s="772"/>
      <c r="H350" s="772"/>
      <c r="I350" s="772"/>
      <c r="J350" s="772"/>
      <c r="K350" s="772"/>
      <c r="L350" s="772"/>
      <c r="M350" s="772"/>
      <c r="N350" s="772"/>
      <c r="O350" s="772"/>
      <c r="P350" s="772"/>
      <c r="Q350" s="772"/>
      <c r="R350" s="772"/>
      <c r="S350" s="772"/>
      <c r="T350" s="772"/>
      <c r="U350" s="772"/>
      <c r="V350" s="772"/>
      <c r="W350" s="772"/>
      <c r="X350" s="772"/>
      <c r="Y350" s="772"/>
      <c r="Z350" s="772"/>
      <c r="AA350" s="772"/>
      <c r="AB350" s="772"/>
      <c r="AC350" s="772"/>
      <c r="AD350" s="772"/>
      <c r="AE350" s="772"/>
      <c r="AF350" s="772"/>
      <c r="AG350" s="772"/>
      <c r="AH350" s="772"/>
      <c r="AI350" s="772"/>
      <c r="AJ350" s="136"/>
      <c r="AK350" s="180"/>
      <c r="AL350" s="136"/>
      <c r="AM350" s="136"/>
      <c r="AN350" s="136"/>
      <c r="AO350" s="136"/>
      <c r="AP350" s="136"/>
      <c r="AQ350" s="136"/>
      <c r="AR350" s="136"/>
      <c r="AS350" s="136"/>
      <c r="AT350" s="136"/>
      <c r="AU350" s="136"/>
      <c r="AV350" s="136"/>
      <c r="AW350" s="136"/>
      <c r="AX350" s="136"/>
      <c r="AY350" s="136"/>
      <c r="AZ350" s="136"/>
      <c r="BA350" s="136"/>
      <c r="BB350" s="136"/>
      <c r="BC350" s="136"/>
      <c r="BD350" s="136"/>
      <c r="BE350" s="136"/>
      <c r="BF350" s="136"/>
      <c r="BG350" s="136"/>
      <c r="BH350" s="136"/>
      <c r="BI350" s="136"/>
      <c r="BJ350" s="136"/>
      <c r="BK350" s="136"/>
      <c r="BL350" s="136"/>
      <c r="BM350" s="136"/>
      <c r="BN350" s="136"/>
      <c r="BO350" s="136"/>
      <c r="BP350" s="136"/>
      <c r="BQ350" s="136"/>
      <c r="BR350" s="136"/>
      <c r="BS350" s="136"/>
      <c r="BT350" s="136"/>
      <c r="BU350" s="136"/>
      <c r="BV350" s="136"/>
      <c r="BW350" s="136"/>
      <c r="BX350" s="136"/>
      <c r="BY350" s="136"/>
      <c r="BZ350" s="136"/>
      <c r="CA350" s="136"/>
      <c r="CB350" s="136"/>
      <c r="CC350" s="136"/>
      <c r="CD350" s="136"/>
      <c r="CE350" s="136"/>
      <c r="CF350" s="136"/>
      <c r="CG350" s="136"/>
      <c r="CH350" s="136"/>
      <c r="CI350" s="136"/>
      <c r="CJ350" s="136"/>
      <c r="CK350" s="136"/>
      <c r="CL350" s="136"/>
      <c r="CM350" s="136"/>
      <c r="CN350" s="136"/>
    </row>
    <row r="351" spans="1:92" ht="12.75" customHeight="1">
      <c r="A351" s="136"/>
      <c r="B351" s="136"/>
      <c r="C351" s="136"/>
      <c r="D351" s="772"/>
      <c r="E351" s="772"/>
      <c r="F351" s="772"/>
      <c r="G351" s="772"/>
      <c r="H351" s="772"/>
      <c r="I351" s="772"/>
      <c r="J351" s="772"/>
      <c r="K351" s="772"/>
      <c r="L351" s="772"/>
      <c r="M351" s="772"/>
      <c r="N351" s="772"/>
      <c r="O351" s="772"/>
      <c r="P351" s="772"/>
      <c r="Q351" s="772"/>
      <c r="R351" s="772"/>
      <c r="S351" s="772"/>
      <c r="T351" s="772"/>
      <c r="U351" s="772"/>
      <c r="V351" s="772"/>
      <c r="W351" s="772"/>
      <c r="X351" s="772"/>
      <c r="Y351" s="772"/>
      <c r="Z351" s="772"/>
      <c r="AA351" s="772"/>
      <c r="AB351" s="772"/>
      <c r="AC351" s="772"/>
      <c r="AD351" s="772"/>
      <c r="AE351" s="772"/>
      <c r="AF351" s="772"/>
      <c r="AG351" s="772"/>
      <c r="AH351" s="772"/>
      <c r="AI351" s="772"/>
      <c r="AJ351" s="136"/>
      <c r="AK351" s="180"/>
      <c r="AL351" s="136"/>
      <c r="AM351" s="136"/>
      <c r="AN351" s="136"/>
      <c r="AO351" s="136"/>
      <c r="AP351" s="136"/>
      <c r="AQ351" s="136"/>
      <c r="AR351" s="136"/>
      <c r="AS351" s="136"/>
      <c r="AT351" s="136"/>
      <c r="AU351" s="136"/>
      <c r="AV351" s="136"/>
      <c r="AW351" s="136"/>
      <c r="AX351" s="136"/>
      <c r="AY351" s="136"/>
      <c r="AZ351" s="136"/>
      <c r="BA351" s="136"/>
      <c r="BB351" s="136"/>
      <c r="BC351" s="136"/>
      <c r="BD351" s="136"/>
      <c r="BE351" s="136"/>
      <c r="BF351" s="136"/>
      <c r="BG351" s="136"/>
      <c r="BH351" s="136"/>
      <c r="BI351" s="136"/>
      <c r="BJ351" s="136"/>
      <c r="BK351" s="136"/>
      <c r="BL351" s="136"/>
      <c r="BM351" s="136"/>
      <c r="BN351" s="136"/>
      <c r="BO351" s="136"/>
      <c r="BP351" s="136"/>
      <c r="BQ351" s="136"/>
      <c r="BR351" s="136"/>
      <c r="BS351" s="136"/>
      <c r="BT351" s="136"/>
      <c r="BU351" s="136"/>
      <c r="BV351" s="136"/>
      <c r="BW351" s="136"/>
      <c r="BX351" s="136"/>
      <c r="BY351" s="136"/>
      <c r="BZ351" s="136"/>
      <c r="CA351" s="136"/>
      <c r="CB351" s="136"/>
      <c r="CC351" s="136"/>
      <c r="CD351" s="136"/>
      <c r="CE351" s="136"/>
      <c r="CF351" s="136"/>
      <c r="CG351" s="136"/>
      <c r="CH351" s="136"/>
      <c r="CI351" s="136"/>
      <c r="CJ351" s="136"/>
      <c r="CK351" s="136"/>
      <c r="CL351" s="136"/>
      <c r="CM351" s="136"/>
      <c r="CN351" s="136"/>
    </row>
    <row r="352" spans="1:92" ht="12.75" customHeight="1">
      <c r="D352" s="772"/>
      <c r="E352" s="772"/>
      <c r="F352" s="772"/>
      <c r="G352" s="772"/>
      <c r="H352" s="772"/>
      <c r="I352" s="772"/>
      <c r="J352" s="772"/>
      <c r="K352" s="772"/>
      <c r="L352" s="772"/>
      <c r="M352" s="772"/>
      <c r="N352" s="772"/>
      <c r="O352" s="772"/>
      <c r="P352" s="772"/>
      <c r="Q352" s="772"/>
      <c r="R352" s="772"/>
      <c r="S352" s="772"/>
      <c r="T352" s="772"/>
      <c r="U352" s="772"/>
      <c r="V352" s="772"/>
      <c r="W352" s="772"/>
      <c r="X352" s="772"/>
      <c r="Y352" s="772"/>
      <c r="Z352" s="772"/>
      <c r="AA352" s="772"/>
      <c r="AB352" s="772"/>
      <c r="AC352" s="772"/>
      <c r="AD352" s="772"/>
      <c r="AE352" s="772"/>
      <c r="AF352" s="772"/>
      <c r="AG352" s="772"/>
      <c r="AH352" s="772"/>
      <c r="AI352" s="772"/>
    </row>
    <row r="353" spans="1:35" ht="12.75" customHeight="1">
      <c r="D353" s="772"/>
      <c r="E353" s="772"/>
      <c r="F353" s="772"/>
      <c r="G353" s="772"/>
      <c r="H353" s="772"/>
      <c r="I353" s="772"/>
      <c r="J353" s="772"/>
      <c r="K353" s="772"/>
      <c r="L353" s="772"/>
      <c r="M353" s="772"/>
      <c r="N353" s="772"/>
      <c r="O353" s="772"/>
      <c r="P353" s="772"/>
      <c r="Q353" s="772"/>
      <c r="R353" s="772"/>
      <c r="S353" s="772"/>
      <c r="T353" s="772"/>
      <c r="U353" s="772"/>
      <c r="V353" s="772"/>
      <c r="W353" s="772"/>
      <c r="X353" s="772"/>
      <c r="Y353" s="772"/>
      <c r="Z353" s="772"/>
      <c r="AA353" s="772"/>
      <c r="AB353" s="772"/>
      <c r="AC353" s="772"/>
      <c r="AD353" s="772"/>
      <c r="AE353" s="772"/>
      <c r="AF353" s="772"/>
      <c r="AG353" s="772"/>
      <c r="AH353" s="772"/>
      <c r="AI353" s="772"/>
    </row>
    <row r="354" spans="1:35" ht="12.75" customHeight="1">
      <c r="D354" s="772"/>
      <c r="E354" s="772"/>
      <c r="F354" s="772"/>
      <c r="G354" s="772"/>
      <c r="H354" s="772"/>
      <c r="I354" s="772"/>
      <c r="J354" s="772"/>
      <c r="K354" s="772"/>
      <c r="L354" s="772"/>
      <c r="M354" s="772"/>
      <c r="N354" s="772"/>
      <c r="O354" s="772"/>
      <c r="P354" s="772"/>
      <c r="Q354" s="772"/>
      <c r="R354" s="772"/>
      <c r="S354" s="772"/>
      <c r="T354" s="772"/>
      <c r="U354" s="772"/>
      <c r="V354" s="772"/>
      <c r="W354" s="772"/>
      <c r="X354" s="772"/>
      <c r="Y354" s="772"/>
      <c r="Z354" s="772"/>
      <c r="AA354" s="772"/>
      <c r="AB354" s="772"/>
      <c r="AC354" s="772"/>
      <c r="AD354" s="772"/>
      <c r="AE354" s="772"/>
      <c r="AF354" s="772"/>
      <c r="AG354" s="772"/>
      <c r="AH354" s="772"/>
      <c r="AI354" s="772"/>
    </row>
    <row r="355" spans="1:35" ht="12.75" customHeight="1">
      <c r="D355" s="772"/>
      <c r="E355" s="772"/>
      <c r="F355" s="772"/>
      <c r="G355" s="772"/>
      <c r="H355" s="772"/>
      <c r="I355" s="772"/>
      <c r="J355" s="772"/>
      <c r="K355" s="772"/>
      <c r="L355" s="772"/>
      <c r="M355" s="772"/>
      <c r="N355" s="772"/>
      <c r="O355" s="772"/>
      <c r="P355" s="772"/>
      <c r="Q355" s="772"/>
      <c r="R355" s="772"/>
      <c r="S355" s="772"/>
      <c r="T355" s="772"/>
      <c r="U355" s="772"/>
      <c r="V355" s="772"/>
      <c r="W355" s="772"/>
      <c r="X355" s="772"/>
      <c r="Y355" s="772"/>
      <c r="Z355" s="772"/>
      <c r="AA355" s="772"/>
      <c r="AB355" s="772"/>
      <c r="AC355" s="772"/>
      <c r="AD355" s="772"/>
      <c r="AE355" s="772"/>
      <c r="AF355" s="772"/>
      <c r="AG355" s="772"/>
      <c r="AH355" s="772"/>
      <c r="AI355" s="772"/>
    </row>
    <row r="356" spans="1:35" ht="12.75" customHeight="1">
      <c r="D356" s="772"/>
      <c r="E356" s="772"/>
      <c r="F356" s="772"/>
      <c r="G356" s="772"/>
      <c r="H356" s="772"/>
      <c r="I356" s="772"/>
      <c r="J356" s="772"/>
      <c r="K356" s="772"/>
      <c r="L356" s="772"/>
      <c r="M356" s="772"/>
      <c r="N356" s="772"/>
      <c r="O356" s="772"/>
      <c r="P356" s="772"/>
      <c r="Q356" s="772"/>
      <c r="R356" s="772"/>
      <c r="S356" s="772"/>
      <c r="T356" s="772"/>
      <c r="U356" s="772"/>
      <c r="V356" s="772"/>
      <c r="W356" s="772"/>
      <c r="X356" s="772"/>
      <c r="Y356" s="772"/>
      <c r="Z356" s="772"/>
      <c r="AA356" s="772"/>
      <c r="AB356" s="772"/>
      <c r="AC356" s="772"/>
      <c r="AD356" s="772"/>
      <c r="AE356" s="772"/>
      <c r="AF356" s="772"/>
      <c r="AG356" s="772"/>
      <c r="AH356" s="772"/>
      <c r="AI356" s="772"/>
    </row>
    <row r="357" spans="1:35" ht="12.75" customHeight="1">
      <c r="D357" s="772"/>
      <c r="E357" s="772"/>
      <c r="F357" s="772"/>
      <c r="G357" s="772"/>
      <c r="H357" s="772"/>
      <c r="I357" s="772"/>
      <c r="J357" s="772"/>
      <c r="K357" s="772"/>
      <c r="L357" s="772"/>
      <c r="M357" s="772"/>
      <c r="N357" s="772"/>
      <c r="O357" s="772"/>
      <c r="P357" s="772"/>
      <c r="Q357" s="772"/>
      <c r="R357" s="772"/>
      <c r="S357" s="772"/>
      <c r="T357" s="772"/>
      <c r="U357" s="772"/>
      <c r="V357" s="772"/>
      <c r="W357" s="772"/>
      <c r="X357" s="772"/>
      <c r="Y357" s="772"/>
      <c r="Z357" s="772"/>
      <c r="AA357" s="772"/>
      <c r="AB357" s="772"/>
      <c r="AC357" s="772"/>
      <c r="AD357" s="772"/>
      <c r="AE357" s="772"/>
      <c r="AF357" s="772"/>
      <c r="AG357" s="772"/>
      <c r="AH357" s="772"/>
      <c r="AI357" s="772"/>
    </row>
    <row r="358" spans="1:35" ht="12.75" customHeight="1">
      <c r="D358" s="772"/>
      <c r="E358" s="772"/>
      <c r="F358" s="772"/>
      <c r="G358" s="772"/>
      <c r="H358" s="772"/>
      <c r="I358" s="772"/>
      <c r="J358" s="772"/>
      <c r="K358" s="772"/>
      <c r="L358" s="772"/>
      <c r="M358" s="772"/>
      <c r="N358" s="772"/>
      <c r="O358" s="772"/>
      <c r="P358" s="772"/>
      <c r="Q358" s="772"/>
      <c r="R358" s="772"/>
      <c r="S358" s="772"/>
      <c r="T358" s="772"/>
      <c r="U358" s="772"/>
      <c r="V358" s="772"/>
      <c r="W358" s="772"/>
      <c r="X358" s="772"/>
      <c r="Y358" s="772"/>
      <c r="Z358" s="772"/>
      <c r="AA358" s="772"/>
      <c r="AB358" s="772"/>
      <c r="AC358" s="772"/>
      <c r="AD358" s="772"/>
      <c r="AE358" s="772"/>
      <c r="AF358" s="772"/>
      <c r="AG358" s="772"/>
      <c r="AH358" s="772"/>
      <c r="AI358" s="772"/>
    </row>
    <row r="359" spans="1:35" ht="12.75" customHeight="1">
      <c r="D359" s="772"/>
      <c r="E359" s="772"/>
      <c r="F359" s="772"/>
      <c r="G359" s="772"/>
      <c r="H359" s="772"/>
      <c r="I359" s="772"/>
      <c r="J359" s="772"/>
      <c r="K359" s="772"/>
      <c r="L359" s="772"/>
      <c r="M359" s="772"/>
      <c r="N359" s="772"/>
      <c r="O359" s="772"/>
      <c r="P359" s="772"/>
      <c r="Q359" s="772"/>
      <c r="R359" s="772"/>
      <c r="S359" s="772"/>
      <c r="T359" s="772"/>
      <c r="U359" s="772"/>
      <c r="V359" s="772"/>
      <c r="W359" s="772"/>
      <c r="X359" s="772"/>
      <c r="Y359" s="772"/>
      <c r="Z359" s="772"/>
      <c r="AA359" s="772"/>
      <c r="AB359" s="772"/>
      <c r="AC359" s="772"/>
      <c r="AD359" s="772"/>
      <c r="AE359" s="772"/>
      <c r="AF359" s="772"/>
      <c r="AG359" s="772"/>
      <c r="AH359" s="772"/>
      <c r="AI359" s="772"/>
    </row>
    <row r="360" spans="1:35" ht="12.75" customHeight="1">
      <c r="D360" s="772"/>
      <c r="E360" s="772"/>
      <c r="F360" s="772"/>
      <c r="G360" s="772"/>
      <c r="H360" s="772"/>
      <c r="I360" s="772"/>
      <c r="J360" s="772"/>
      <c r="K360" s="772"/>
      <c r="L360" s="772"/>
      <c r="M360" s="772"/>
      <c r="N360" s="772"/>
      <c r="O360" s="772"/>
      <c r="P360" s="772"/>
      <c r="Q360" s="772"/>
      <c r="R360" s="772"/>
      <c r="S360" s="772"/>
      <c r="T360" s="772"/>
      <c r="U360" s="772"/>
      <c r="V360" s="772"/>
      <c r="W360" s="772"/>
      <c r="X360" s="772"/>
      <c r="Y360" s="772"/>
      <c r="Z360" s="772"/>
      <c r="AA360" s="772"/>
      <c r="AB360" s="772"/>
      <c r="AC360" s="772"/>
      <c r="AD360" s="772"/>
      <c r="AE360" s="772"/>
      <c r="AF360" s="772"/>
      <c r="AG360" s="772"/>
      <c r="AH360" s="772"/>
      <c r="AI360" s="772"/>
    </row>
    <row r="361" spans="1:35" ht="12.75" customHeight="1">
      <c r="D361" s="772"/>
      <c r="E361" s="772"/>
      <c r="F361" s="772"/>
      <c r="G361" s="772"/>
      <c r="H361" s="772"/>
      <c r="I361" s="772"/>
      <c r="J361" s="772"/>
      <c r="K361" s="772"/>
      <c r="L361" s="772"/>
      <c r="M361" s="772"/>
      <c r="N361" s="772"/>
      <c r="O361" s="772"/>
      <c r="P361" s="772"/>
      <c r="Q361" s="772"/>
      <c r="R361" s="772"/>
      <c r="S361" s="772"/>
      <c r="T361" s="772"/>
      <c r="U361" s="772"/>
      <c r="V361" s="772"/>
      <c r="W361" s="772"/>
      <c r="X361" s="772"/>
      <c r="Y361" s="772"/>
      <c r="Z361" s="772"/>
      <c r="AA361" s="772"/>
      <c r="AB361" s="772"/>
      <c r="AC361" s="772"/>
      <c r="AD361" s="772"/>
      <c r="AE361" s="772"/>
      <c r="AF361" s="772"/>
      <c r="AG361" s="772"/>
      <c r="AH361" s="772"/>
      <c r="AI361" s="772"/>
    </row>
    <row r="362" spans="1:35" ht="12.75" customHeight="1">
      <c r="D362" s="772"/>
      <c r="E362" s="772"/>
      <c r="F362" s="772"/>
      <c r="G362" s="772"/>
      <c r="H362" s="772"/>
      <c r="I362" s="772"/>
      <c r="J362" s="772"/>
      <c r="K362" s="772"/>
      <c r="L362" s="772"/>
      <c r="M362" s="772"/>
      <c r="N362" s="772"/>
      <c r="O362" s="772"/>
      <c r="P362" s="772"/>
      <c r="Q362" s="772"/>
      <c r="R362" s="772"/>
      <c r="S362" s="772"/>
      <c r="T362" s="772"/>
      <c r="U362" s="772"/>
      <c r="V362" s="772"/>
      <c r="W362" s="772"/>
      <c r="X362" s="772"/>
      <c r="Y362" s="772"/>
      <c r="Z362" s="772"/>
      <c r="AA362" s="772"/>
      <c r="AB362" s="772"/>
      <c r="AC362" s="772"/>
      <c r="AD362" s="772"/>
      <c r="AE362" s="772"/>
      <c r="AF362" s="772"/>
      <c r="AG362" s="772"/>
      <c r="AH362" s="772"/>
      <c r="AI362" s="772"/>
    </row>
    <row r="363" spans="1:35" ht="12.75" customHeight="1">
      <c r="D363" s="772"/>
      <c r="E363" s="772"/>
      <c r="F363" s="772"/>
      <c r="G363" s="772"/>
      <c r="H363" s="772"/>
      <c r="I363" s="772"/>
      <c r="J363" s="772"/>
      <c r="K363" s="772"/>
      <c r="L363" s="772"/>
      <c r="M363" s="772"/>
      <c r="N363" s="772"/>
      <c r="O363" s="772"/>
      <c r="P363" s="772"/>
      <c r="Q363" s="772"/>
      <c r="R363" s="772"/>
      <c r="S363" s="772"/>
      <c r="T363" s="772"/>
      <c r="U363" s="772"/>
      <c r="V363" s="772"/>
      <c r="W363" s="772"/>
      <c r="X363" s="772"/>
      <c r="Y363" s="772"/>
      <c r="Z363" s="772"/>
      <c r="AA363" s="772"/>
      <c r="AB363" s="772"/>
      <c r="AC363" s="772"/>
      <c r="AD363" s="772"/>
      <c r="AE363" s="772"/>
      <c r="AF363" s="772"/>
      <c r="AG363" s="772"/>
      <c r="AH363" s="772"/>
      <c r="AI363" s="772"/>
    </row>
    <row r="364" spans="1:35" ht="12.75" customHeight="1">
      <c r="D364" s="772"/>
      <c r="E364" s="772"/>
      <c r="F364" s="772"/>
      <c r="G364" s="772"/>
      <c r="H364" s="772"/>
      <c r="I364" s="772"/>
      <c r="J364" s="772"/>
      <c r="K364" s="772"/>
      <c r="L364" s="772"/>
      <c r="M364" s="772"/>
      <c r="N364" s="772"/>
      <c r="O364" s="772"/>
      <c r="P364" s="772"/>
      <c r="Q364" s="772"/>
      <c r="R364" s="772"/>
      <c r="S364" s="772"/>
      <c r="T364" s="772"/>
      <c r="U364" s="772"/>
      <c r="V364" s="772"/>
      <c r="W364" s="772"/>
      <c r="X364" s="772"/>
      <c r="Y364" s="772"/>
      <c r="Z364" s="772"/>
      <c r="AA364" s="772"/>
      <c r="AB364" s="772"/>
      <c r="AC364" s="772"/>
      <c r="AD364" s="772"/>
      <c r="AE364" s="772"/>
      <c r="AF364" s="772"/>
      <c r="AG364" s="772"/>
      <c r="AH364" s="772"/>
      <c r="AI364" s="772"/>
    </row>
    <row r="365" spans="1:35" ht="12.75" customHeight="1">
      <c r="D365" s="772"/>
      <c r="E365" s="772"/>
      <c r="F365" s="772"/>
      <c r="G365" s="772"/>
      <c r="H365" s="772"/>
      <c r="I365" s="772"/>
      <c r="J365" s="772"/>
      <c r="K365" s="772"/>
      <c r="L365" s="772"/>
      <c r="M365" s="772"/>
      <c r="N365" s="772"/>
      <c r="O365" s="772"/>
      <c r="P365" s="772"/>
      <c r="Q365" s="772"/>
      <c r="R365" s="772"/>
      <c r="S365" s="772"/>
      <c r="T365" s="772"/>
      <c r="U365" s="772"/>
      <c r="V365" s="772"/>
      <c r="W365" s="772"/>
      <c r="X365" s="772"/>
      <c r="Y365" s="772"/>
      <c r="Z365" s="772"/>
      <c r="AA365" s="772"/>
      <c r="AB365" s="772"/>
      <c r="AC365" s="772"/>
      <c r="AD365" s="772"/>
      <c r="AE365" s="772"/>
      <c r="AF365" s="772"/>
      <c r="AG365" s="772"/>
      <c r="AH365" s="772"/>
      <c r="AI365" s="772"/>
    </row>
    <row r="366" spans="1:35" ht="12.75" customHeight="1">
      <c r="D366" s="772"/>
      <c r="E366" s="772"/>
      <c r="F366" s="772"/>
      <c r="G366" s="772"/>
      <c r="H366" s="772"/>
      <c r="I366" s="772"/>
      <c r="J366" s="772"/>
      <c r="K366" s="772"/>
      <c r="L366" s="772"/>
      <c r="M366" s="772"/>
      <c r="N366" s="772"/>
      <c r="O366" s="772"/>
      <c r="P366" s="772"/>
      <c r="Q366" s="772"/>
      <c r="R366" s="772"/>
      <c r="S366" s="772"/>
      <c r="T366" s="772"/>
      <c r="U366" s="772"/>
      <c r="V366" s="772"/>
      <c r="W366" s="772"/>
      <c r="X366" s="772"/>
      <c r="Y366" s="772"/>
      <c r="Z366" s="772"/>
      <c r="AA366" s="772"/>
      <c r="AB366" s="772"/>
      <c r="AC366" s="772"/>
      <c r="AD366" s="772"/>
      <c r="AE366" s="772"/>
      <c r="AF366" s="772"/>
      <c r="AG366" s="772"/>
      <c r="AH366" s="772"/>
      <c r="AI366" s="772"/>
    </row>
    <row r="367" spans="1:35" ht="12.75" customHeight="1">
      <c r="A367" s="414"/>
      <c r="D367" s="772"/>
      <c r="E367" s="772"/>
      <c r="F367" s="772"/>
      <c r="G367" s="772"/>
      <c r="H367" s="772"/>
      <c r="I367" s="772"/>
      <c r="J367" s="772"/>
      <c r="K367" s="772"/>
      <c r="L367" s="772"/>
      <c r="M367" s="772"/>
      <c r="N367" s="772"/>
      <c r="O367" s="772"/>
      <c r="P367" s="772"/>
      <c r="Q367" s="772"/>
      <c r="R367" s="772"/>
      <c r="S367" s="772"/>
      <c r="T367" s="772"/>
      <c r="U367" s="772"/>
      <c r="V367" s="772"/>
      <c r="W367" s="772"/>
      <c r="X367" s="772"/>
      <c r="Y367" s="772"/>
      <c r="Z367" s="772"/>
      <c r="AA367" s="772"/>
      <c r="AB367" s="772"/>
      <c r="AC367" s="772"/>
      <c r="AD367" s="772"/>
      <c r="AE367" s="772"/>
      <c r="AF367" s="772"/>
      <c r="AG367" s="772"/>
      <c r="AH367" s="772"/>
      <c r="AI367" s="772"/>
    </row>
    <row r="368" spans="1:35" ht="12.75" customHeight="1">
      <c r="D368" s="772"/>
      <c r="E368" s="772"/>
      <c r="F368" s="772"/>
      <c r="G368" s="772"/>
      <c r="H368" s="772"/>
      <c r="I368" s="772"/>
      <c r="J368" s="772"/>
      <c r="K368" s="772"/>
      <c r="L368" s="772"/>
      <c r="M368" s="772"/>
      <c r="N368" s="772"/>
      <c r="O368" s="772"/>
      <c r="P368" s="772"/>
      <c r="Q368" s="772"/>
      <c r="R368" s="772"/>
      <c r="S368" s="772"/>
      <c r="T368" s="772"/>
      <c r="U368" s="772"/>
      <c r="V368" s="772"/>
      <c r="W368" s="772"/>
      <c r="X368" s="772"/>
      <c r="Y368" s="772"/>
      <c r="Z368" s="772"/>
      <c r="AA368" s="772"/>
      <c r="AB368" s="772"/>
      <c r="AC368" s="772"/>
      <c r="AD368" s="772"/>
      <c r="AE368" s="772"/>
      <c r="AF368" s="772"/>
      <c r="AG368" s="772"/>
      <c r="AH368" s="772"/>
      <c r="AI368" s="772"/>
    </row>
    <row r="369" spans="4:35" ht="12.75" customHeight="1">
      <c r="D369" s="772"/>
      <c r="E369" s="772"/>
      <c r="F369" s="772"/>
      <c r="G369" s="772"/>
      <c r="H369" s="772"/>
      <c r="I369" s="772"/>
      <c r="J369" s="772"/>
      <c r="K369" s="772"/>
      <c r="L369" s="772"/>
      <c r="M369" s="772"/>
      <c r="N369" s="772"/>
      <c r="O369" s="772"/>
      <c r="P369" s="772"/>
      <c r="Q369" s="772"/>
      <c r="R369" s="772"/>
      <c r="S369" s="772"/>
      <c r="T369" s="772"/>
      <c r="U369" s="772"/>
      <c r="V369" s="772"/>
      <c r="W369" s="772"/>
      <c r="X369" s="772"/>
      <c r="Y369" s="772"/>
      <c r="Z369" s="772"/>
      <c r="AA369" s="772"/>
      <c r="AB369" s="772"/>
      <c r="AC369" s="772"/>
      <c r="AD369" s="772"/>
      <c r="AE369" s="772"/>
      <c r="AF369" s="772"/>
      <c r="AG369" s="772"/>
      <c r="AH369" s="772"/>
      <c r="AI369" s="772"/>
    </row>
    <row r="370" spans="4:35" ht="12.75" customHeight="1">
      <c r="D370" s="772"/>
      <c r="E370" s="772"/>
      <c r="F370" s="772"/>
      <c r="G370" s="772"/>
      <c r="H370" s="772"/>
      <c r="I370" s="772"/>
      <c r="J370" s="772"/>
      <c r="K370" s="772"/>
      <c r="L370" s="772"/>
      <c r="M370" s="772"/>
      <c r="N370" s="772"/>
      <c r="O370" s="772"/>
      <c r="P370" s="772"/>
      <c r="Q370" s="772"/>
      <c r="R370" s="772"/>
      <c r="S370" s="772"/>
      <c r="T370" s="772"/>
      <c r="U370" s="772"/>
      <c r="V370" s="772"/>
      <c r="W370" s="772"/>
      <c r="X370" s="772"/>
      <c r="Y370" s="772"/>
      <c r="Z370" s="772"/>
      <c r="AA370" s="772"/>
      <c r="AB370" s="772"/>
      <c r="AC370" s="772"/>
      <c r="AD370" s="772"/>
      <c r="AE370" s="772"/>
      <c r="AF370" s="772"/>
      <c r="AG370" s="772"/>
      <c r="AH370" s="772"/>
      <c r="AI370" s="772"/>
    </row>
    <row r="371" spans="4:35" ht="12.75" customHeight="1">
      <c r="D371" s="772"/>
      <c r="E371" s="772"/>
      <c r="F371" s="772"/>
      <c r="G371" s="772"/>
      <c r="H371" s="772"/>
      <c r="I371" s="772"/>
      <c r="J371" s="772"/>
      <c r="K371" s="772"/>
      <c r="L371" s="772"/>
      <c r="M371" s="772"/>
      <c r="N371" s="772"/>
      <c r="O371" s="772"/>
      <c r="P371" s="772"/>
      <c r="Q371" s="772"/>
      <c r="R371" s="772"/>
      <c r="S371" s="772"/>
      <c r="T371" s="772"/>
      <c r="U371" s="772"/>
      <c r="V371" s="772"/>
      <c r="W371" s="772"/>
      <c r="X371" s="772"/>
      <c r="Y371" s="772"/>
      <c r="Z371" s="772"/>
      <c r="AA371" s="772"/>
      <c r="AB371" s="772"/>
      <c r="AC371" s="772"/>
      <c r="AD371" s="772"/>
      <c r="AE371" s="772"/>
      <c r="AF371" s="772"/>
      <c r="AG371" s="772"/>
      <c r="AH371" s="772"/>
      <c r="AI371" s="772"/>
    </row>
    <row r="372" spans="4:35" ht="12.75" customHeight="1">
      <c r="D372" s="772"/>
      <c r="E372" s="772"/>
      <c r="F372" s="772"/>
      <c r="G372" s="772"/>
      <c r="H372" s="772"/>
      <c r="I372" s="772"/>
      <c r="J372" s="772"/>
      <c r="K372" s="772"/>
      <c r="L372" s="772"/>
      <c r="M372" s="772"/>
      <c r="N372" s="772"/>
      <c r="O372" s="772"/>
      <c r="P372" s="772"/>
      <c r="Q372" s="772"/>
      <c r="R372" s="772"/>
      <c r="S372" s="772"/>
      <c r="T372" s="772"/>
      <c r="U372" s="772"/>
      <c r="V372" s="772"/>
      <c r="W372" s="772"/>
      <c r="X372" s="772"/>
      <c r="Y372" s="772"/>
      <c r="Z372" s="772"/>
      <c r="AA372" s="772"/>
      <c r="AB372" s="772"/>
      <c r="AC372" s="772"/>
      <c r="AD372" s="772"/>
      <c r="AE372" s="772"/>
      <c r="AF372" s="772"/>
      <c r="AG372" s="772"/>
      <c r="AH372" s="772"/>
      <c r="AI372" s="772"/>
    </row>
    <row r="373" spans="4:35" ht="12.75" customHeight="1">
      <c r="D373" s="631"/>
      <c r="E373" s="631"/>
      <c r="F373" s="631"/>
      <c r="G373" s="631"/>
      <c r="H373" s="631"/>
      <c r="I373" s="631"/>
      <c r="J373" s="631"/>
      <c r="K373" s="631"/>
      <c r="L373" s="631"/>
      <c r="M373" s="631"/>
      <c r="N373" s="631"/>
      <c r="O373" s="631"/>
      <c r="P373" s="631"/>
      <c r="Q373" s="631"/>
      <c r="R373" s="631"/>
      <c r="S373" s="631"/>
      <c r="T373" s="631"/>
      <c r="U373" s="631"/>
      <c r="V373" s="631"/>
      <c r="W373" s="631"/>
      <c r="X373" s="631"/>
      <c r="Y373" s="631"/>
      <c r="Z373" s="631"/>
      <c r="AA373" s="631"/>
      <c r="AB373" s="631"/>
      <c r="AC373" s="631"/>
      <c r="AD373" s="631"/>
      <c r="AE373" s="631"/>
      <c r="AF373" s="631"/>
      <c r="AG373" s="631"/>
      <c r="AH373" s="631"/>
      <c r="AI373" s="631"/>
    </row>
    <row r="374" spans="4:35" ht="12.75" customHeight="1">
      <c r="D374" s="773" t="s">
        <v>694</v>
      </c>
      <c r="E374" s="773"/>
      <c r="F374" s="773"/>
      <c r="G374" s="773"/>
      <c r="H374" s="773"/>
      <c r="I374" s="773"/>
      <c r="J374" s="773"/>
      <c r="K374" s="773"/>
      <c r="L374" s="773"/>
      <c r="M374" s="773"/>
      <c r="N374" s="773"/>
      <c r="O374" s="773"/>
      <c r="P374" s="773"/>
      <c r="Q374" s="773"/>
      <c r="R374" s="773"/>
      <c r="S374" s="773"/>
      <c r="T374" s="773"/>
      <c r="U374" s="773"/>
      <c r="V374" s="773"/>
      <c r="W374" s="773"/>
      <c r="X374" s="773"/>
      <c r="Y374" s="773"/>
      <c r="Z374" s="773"/>
      <c r="AA374" s="773"/>
      <c r="AB374" s="773"/>
      <c r="AC374" s="773"/>
      <c r="AD374" s="773"/>
      <c r="AE374" s="773"/>
      <c r="AF374" s="773"/>
      <c r="AG374" s="773"/>
      <c r="AH374" s="773"/>
      <c r="AI374" s="773"/>
    </row>
    <row r="375" spans="4:35" ht="12.75" customHeight="1">
      <c r="D375" s="773"/>
      <c r="E375" s="773"/>
      <c r="F375" s="773"/>
      <c r="G375" s="773"/>
      <c r="H375" s="773"/>
      <c r="I375" s="773"/>
      <c r="J375" s="773"/>
      <c r="K375" s="773"/>
      <c r="L375" s="773"/>
      <c r="M375" s="773"/>
      <c r="N375" s="773"/>
      <c r="O375" s="773"/>
      <c r="P375" s="773"/>
      <c r="Q375" s="773"/>
      <c r="R375" s="773"/>
      <c r="S375" s="773"/>
      <c r="T375" s="773"/>
      <c r="U375" s="773"/>
      <c r="V375" s="773"/>
      <c r="W375" s="773"/>
      <c r="X375" s="773"/>
      <c r="Y375" s="773"/>
      <c r="Z375" s="773"/>
      <c r="AA375" s="773"/>
      <c r="AB375" s="773"/>
      <c r="AC375" s="773"/>
      <c r="AD375" s="773"/>
      <c r="AE375" s="773"/>
      <c r="AF375" s="773"/>
      <c r="AG375" s="773"/>
      <c r="AH375" s="773"/>
      <c r="AI375" s="773"/>
    </row>
    <row r="376" spans="4:35" ht="12.75" customHeight="1">
      <c r="D376" s="773"/>
      <c r="E376" s="773"/>
      <c r="F376" s="773"/>
      <c r="G376" s="773"/>
      <c r="H376" s="773"/>
      <c r="I376" s="773"/>
      <c r="J376" s="773"/>
      <c r="K376" s="773"/>
      <c r="L376" s="773"/>
      <c r="M376" s="773"/>
      <c r="N376" s="773"/>
      <c r="O376" s="773"/>
      <c r="P376" s="773"/>
      <c r="Q376" s="773"/>
      <c r="R376" s="773"/>
      <c r="S376" s="773"/>
      <c r="T376" s="773"/>
      <c r="U376" s="773"/>
      <c r="V376" s="773"/>
      <c r="W376" s="773"/>
      <c r="X376" s="773"/>
      <c r="Y376" s="773"/>
      <c r="Z376" s="773"/>
      <c r="AA376" s="773"/>
      <c r="AB376" s="773"/>
      <c r="AC376" s="773"/>
      <c r="AD376" s="773"/>
      <c r="AE376" s="773"/>
      <c r="AF376" s="773"/>
      <c r="AG376" s="773"/>
      <c r="AH376" s="773"/>
      <c r="AI376" s="773"/>
    </row>
    <row r="377" spans="4:35" ht="12.75" customHeight="1">
      <c r="D377" s="773"/>
      <c r="E377" s="773"/>
      <c r="F377" s="773"/>
      <c r="G377" s="773"/>
      <c r="H377" s="773"/>
      <c r="I377" s="773"/>
      <c r="J377" s="773"/>
      <c r="K377" s="773"/>
      <c r="L377" s="773"/>
      <c r="M377" s="773"/>
      <c r="N377" s="773"/>
      <c r="O377" s="773"/>
      <c r="P377" s="773"/>
      <c r="Q377" s="773"/>
      <c r="R377" s="773"/>
      <c r="S377" s="773"/>
      <c r="T377" s="773"/>
      <c r="U377" s="773"/>
      <c r="V377" s="773"/>
      <c r="W377" s="773"/>
      <c r="X377" s="773"/>
      <c r="Y377" s="773"/>
      <c r="Z377" s="773"/>
      <c r="AA377" s="773"/>
      <c r="AB377" s="773"/>
      <c r="AC377" s="773"/>
      <c r="AD377" s="773"/>
      <c r="AE377" s="773"/>
      <c r="AF377" s="773"/>
      <c r="AG377" s="773"/>
      <c r="AH377" s="773"/>
      <c r="AI377" s="773"/>
    </row>
    <row r="378" spans="4:35" ht="12.75" customHeight="1">
      <c r="D378" s="773"/>
      <c r="E378" s="773"/>
      <c r="F378" s="773"/>
      <c r="G378" s="773"/>
      <c r="H378" s="773"/>
      <c r="I378" s="773"/>
      <c r="J378" s="773"/>
      <c r="K378" s="773"/>
      <c r="L378" s="773"/>
      <c r="M378" s="773"/>
      <c r="N378" s="773"/>
      <c r="O378" s="773"/>
      <c r="P378" s="773"/>
      <c r="Q378" s="773"/>
      <c r="R378" s="773"/>
      <c r="S378" s="773"/>
      <c r="T378" s="773"/>
      <c r="U378" s="773"/>
      <c r="V378" s="773"/>
      <c r="W378" s="773"/>
      <c r="X378" s="773"/>
      <c r="Y378" s="773"/>
      <c r="Z378" s="773"/>
      <c r="AA378" s="773"/>
      <c r="AB378" s="773"/>
      <c r="AC378" s="773"/>
      <c r="AD378" s="773"/>
      <c r="AE378" s="773"/>
      <c r="AF378" s="773"/>
      <c r="AG378" s="773"/>
      <c r="AH378" s="773"/>
      <c r="AI378" s="773"/>
    </row>
    <row r="379" spans="4:35" ht="12.75" customHeight="1">
      <c r="D379" s="773"/>
      <c r="E379" s="773"/>
      <c r="F379" s="773"/>
      <c r="G379" s="773"/>
      <c r="H379" s="773"/>
      <c r="I379" s="773"/>
      <c r="J379" s="773"/>
      <c r="K379" s="773"/>
      <c r="L379" s="773"/>
      <c r="M379" s="773"/>
      <c r="N379" s="773"/>
      <c r="O379" s="773"/>
      <c r="P379" s="773"/>
      <c r="Q379" s="773"/>
      <c r="R379" s="773"/>
      <c r="S379" s="773"/>
      <c r="T379" s="773"/>
      <c r="U379" s="773"/>
      <c r="V379" s="773"/>
      <c r="W379" s="773"/>
      <c r="X379" s="773"/>
      <c r="Y379" s="773"/>
      <c r="Z379" s="773"/>
      <c r="AA379" s="773"/>
      <c r="AB379" s="773"/>
      <c r="AC379" s="773"/>
      <c r="AD379" s="773"/>
      <c r="AE379" s="773"/>
      <c r="AF379" s="773"/>
      <c r="AG379" s="773"/>
      <c r="AH379" s="773"/>
      <c r="AI379" s="773"/>
    </row>
    <row r="380" spans="4:35" ht="12.75" customHeight="1">
      <c r="D380" s="773"/>
      <c r="E380" s="773"/>
      <c r="F380" s="773"/>
      <c r="G380" s="773"/>
      <c r="H380" s="773"/>
      <c r="I380" s="773"/>
      <c r="J380" s="773"/>
      <c r="K380" s="773"/>
      <c r="L380" s="773"/>
      <c r="M380" s="773"/>
      <c r="N380" s="773"/>
      <c r="O380" s="773"/>
      <c r="P380" s="773"/>
      <c r="Q380" s="773"/>
      <c r="R380" s="773"/>
      <c r="S380" s="773"/>
      <c r="T380" s="773"/>
      <c r="U380" s="773"/>
      <c r="V380" s="773"/>
      <c r="W380" s="773"/>
      <c r="X380" s="773"/>
      <c r="Y380" s="773"/>
      <c r="Z380" s="773"/>
      <c r="AA380" s="773"/>
      <c r="AB380" s="773"/>
      <c r="AC380" s="773"/>
      <c r="AD380" s="773"/>
      <c r="AE380" s="773"/>
      <c r="AF380" s="773"/>
      <c r="AG380" s="773"/>
      <c r="AH380" s="773"/>
      <c r="AI380" s="773"/>
    </row>
    <row r="381" spans="4:35" ht="12.75" customHeight="1">
      <c r="D381" s="773"/>
      <c r="E381" s="773"/>
      <c r="F381" s="773"/>
      <c r="G381" s="773"/>
      <c r="H381" s="773"/>
      <c r="I381" s="773"/>
      <c r="J381" s="773"/>
      <c r="K381" s="773"/>
      <c r="L381" s="773"/>
      <c r="M381" s="773"/>
      <c r="N381" s="773"/>
      <c r="O381" s="773"/>
      <c r="P381" s="773"/>
      <c r="Q381" s="773"/>
      <c r="R381" s="773"/>
      <c r="S381" s="773"/>
      <c r="T381" s="773"/>
      <c r="U381" s="773"/>
      <c r="V381" s="773"/>
      <c r="W381" s="773"/>
      <c r="X381" s="773"/>
      <c r="Y381" s="773"/>
      <c r="Z381" s="773"/>
      <c r="AA381" s="773"/>
      <c r="AB381" s="773"/>
      <c r="AC381" s="773"/>
      <c r="AD381" s="773"/>
      <c r="AE381" s="773"/>
      <c r="AF381" s="773"/>
      <c r="AG381" s="773"/>
      <c r="AH381" s="773"/>
      <c r="AI381" s="773"/>
    </row>
    <row r="382" spans="4:35" ht="12.75" customHeight="1">
      <c r="D382" s="773"/>
      <c r="E382" s="773"/>
      <c r="F382" s="773"/>
      <c r="G382" s="773"/>
      <c r="H382" s="773"/>
      <c r="I382" s="773"/>
      <c r="J382" s="773"/>
      <c r="K382" s="773"/>
      <c r="L382" s="773"/>
      <c r="M382" s="773"/>
      <c r="N382" s="773"/>
      <c r="O382" s="773"/>
      <c r="P382" s="773"/>
      <c r="Q382" s="773"/>
      <c r="R382" s="773"/>
      <c r="S382" s="773"/>
      <c r="T382" s="773"/>
      <c r="U382" s="773"/>
      <c r="V382" s="773"/>
      <c r="W382" s="773"/>
      <c r="X382" s="773"/>
      <c r="Y382" s="773"/>
      <c r="Z382" s="773"/>
      <c r="AA382" s="773"/>
      <c r="AB382" s="773"/>
      <c r="AC382" s="773"/>
      <c r="AD382" s="773"/>
      <c r="AE382" s="773"/>
      <c r="AF382" s="773"/>
      <c r="AG382" s="773"/>
      <c r="AH382" s="773"/>
      <c r="AI382" s="773"/>
    </row>
    <row r="383" spans="4:35" ht="12.75" customHeight="1">
      <c r="D383" s="773"/>
      <c r="E383" s="773"/>
      <c r="F383" s="773"/>
      <c r="G383" s="773"/>
      <c r="H383" s="773"/>
      <c r="I383" s="773"/>
      <c r="J383" s="773"/>
      <c r="K383" s="773"/>
      <c r="L383" s="773"/>
      <c r="M383" s="773"/>
      <c r="N383" s="773"/>
      <c r="O383" s="773"/>
      <c r="P383" s="773"/>
      <c r="Q383" s="773"/>
      <c r="R383" s="773"/>
      <c r="S383" s="773"/>
      <c r="T383" s="773"/>
      <c r="U383" s="773"/>
      <c r="V383" s="773"/>
      <c r="W383" s="773"/>
      <c r="X383" s="773"/>
      <c r="Y383" s="773"/>
      <c r="Z383" s="773"/>
      <c r="AA383" s="773"/>
      <c r="AB383" s="773"/>
      <c r="AC383" s="773"/>
      <c r="AD383" s="773"/>
      <c r="AE383" s="773"/>
      <c r="AF383" s="773"/>
      <c r="AG383" s="773"/>
      <c r="AH383" s="773"/>
      <c r="AI383" s="773"/>
    </row>
    <row r="384" spans="4:35" ht="12.75" customHeight="1">
      <c r="D384" s="773"/>
      <c r="E384" s="773"/>
      <c r="F384" s="773"/>
      <c r="G384" s="773"/>
      <c r="H384" s="773"/>
      <c r="I384" s="773"/>
      <c r="J384" s="773"/>
      <c r="K384" s="773"/>
      <c r="L384" s="773"/>
      <c r="M384" s="773"/>
      <c r="N384" s="773"/>
      <c r="O384" s="773"/>
      <c r="P384" s="773"/>
      <c r="Q384" s="773"/>
      <c r="R384" s="773"/>
      <c r="S384" s="773"/>
      <c r="T384" s="773"/>
      <c r="U384" s="773"/>
      <c r="V384" s="773"/>
      <c r="W384" s="773"/>
      <c r="X384" s="773"/>
      <c r="Y384" s="773"/>
      <c r="Z384" s="773"/>
      <c r="AA384" s="773"/>
      <c r="AB384" s="773"/>
      <c r="AC384" s="773"/>
      <c r="AD384" s="773"/>
      <c r="AE384" s="773"/>
      <c r="AF384" s="773"/>
      <c r="AG384" s="773"/>
      <c r="AH384" s="773"/>
      <c r="AI384" s="773"/>
    </row>
    <row r="385" spans="4:35" ht="12.75" customHeight="1">
      <c r="D385" s="773"/>
      <c r="E385" s="773"/>
      <c r="F385" s="773"/>
      <c r="G385" s="773"/>
      <c r="H385" s="773"/>
      <c r="I385" s="773"/>
      <c r="J385" s="773"/>
      <c r="K385" s="773"/>
      <c r="L385" s="773"/>
      <c r="M385" s="773"/>
      <c r="N385" s="773"/>
      <c r="O385" s="773"/>
      <c r="P385" s="773"/>
      <c r="Q385" s="773"/>
      <c r="R385" s="773"/>
      <c r="S385" s="773"/>
      <c r="T385" s="773"/>
      <c r="U385" s="773"/>
      <c r="V385" s="773"/>
      <c r="W385" s="773"/>
      <c r="X385" s="773"/>
      <c r="Y385" s="773"/>
      <c r="Z385" s="773"/>
      <c r="AA385" s="773"/>
      <c r="AB385" s="773"/>
      <c r="AC385" s="773"/>
      <c r="AD385" s="773"/>
      <c r="AE385" s="773"/>
      <c r="AF385" s="773"/>
      <c r="AG385" s="773"/>
      <c r="AH385" s="773"/>
      <c r="AI385" s="773"/>
    </row>
    <row r="386" spans="4:35" ht="12.75" customHeight="1">
      <c r="D386" s="773"/>
      <c r="E386" s="773"/>
      <c r="F386" s="773"/>
      <c r="G386" s="773"/>
      <c r="H386" s="773"/>
      <c r="I386" s="773"/>
      <c r="J386" s="773"/>
      <c r="K386" s="773"/>
      <c r="L386" s="773"/>
      <c r="M386" s="773"/>
      <c r="N386" s="773"/>
      <c r="O386" s="773"/>
      <c r="P386" s="773"/>
      <c r="Q386" s="773"/>
      <c r="R386" s="773"/>
      <c r="S386" s="773"/>
      <c r="T386" s="773"/>
      <c r="U386" s="773"/>
      <c r="V386" s="773"/>
      <c r="W386" s="773"/>
      <c r="X386" s="773"/>
      <c r="Y386" s="773"/>
      <c r="Z386" s="773"/>
      <c r="AA386" s="773"/>
      <c r="AB386" s="773"/>
      <c r="AC386" s="773"/>
      <c r="AD386" s="773"/>
      <c r="AE386" s="773"/>
      <c r="AF386" s="773"/>
      <c r="AG386" s="773"/>
      <c r="AH386" s="773"/>
      <c r="AI386" s="773"/>
    </row>
    <row r="387" spans="4:35" ht="12.75" customHeight="1">
      <c r="D387" s="773"/>
      <c r="E387" s="773"/>
      <c r="F387" s="773"/>
      <c r="G387" s="773"/>
      <c r="H387" s="773"/>
      <c r="I387" s="773"/>
      <c r="J387" s="773"/>
      <c r="K387" s="773"/>
      <c r="L387" s="773"/>
      <c r="M387" s="773"/>
      <c r="N387" s="773"/>
      <c r="O387" s="773"/>
      <c r="P387" s="773"/>
      <c r="Q387" s="773"/>
      <c r="R387" s="773"/>
      <c r="S387" s="773"/>
      <c r="T387" s="773"/>
      <c r="U387" s="773"/>
      <c r="V387" s="773"/>
      <c r="W387" s="773"/>
      <c r="X387" s="773"/>
      <c r="Y387" s="773"/>
      <c r="Z387" s="773"/>
      <c r="AA387" s="773"/>
      <c r="AB387" s="773"/>
      <c r="AC387" s="773"/>
      <c r="AD387" s="773"/>
      <c r="AE387" s="773"/>
      <c r="AF387" s="773"/>
      <c r="AG387" s="773"/>
      <c r="AH387" s="773"/>
      <c r="AI387" s="773"/>
    </row>
    <row r="388" spans="4:35" ht="12.75" customHeight="1">
      <c r="D388" s="773"/>
      <c r="E388" s="773"/>
      <c r="F388" s="773"/>
      <c r="G388" s="773"/>
      <c r="H388" s="773"/>
      <c r="I388" s="773"/>
      <c r="J388" s="773"/>
      <c r="K388" s="773"/>
      <c r="L388" s="773"/>
      <c r="M388" s="773"/>
      <c r="N388" s="773"/>
      <c r="O388" s="773"/>
      <c r="P388" s="773"/>
      <c r="Q388" s="773"/>
      <c r="R388" s="773"/>
      <c r="S388" s="773"/>
      <c r="T388" s="773"/>
      <c r="U388" s="773"/>
      <c r="V388" s="773"/>
      <c r="W388" s="773"/>
      <c r="X388" s="773"/>
      <c r="Y388" s="773"/>
      <c r="Z388" s="773"/>
      <c r="AA388" s="773"/>
      <c r="AB388" s="773"/>
      <c r="AC388" s="773"/>
      <c r="AD388" s="773"/>
      <c r="AE388" s="773"/>
      <c r="AF388" s="773"/>
      <c r="AG388" s="773"/>
      <c r="AH388" s="773"/>
      <c r="AI388" s="773"/>
    </row>
    <row r="389" spans="4:35" ht="12.75" customHeight="1">
      <c r="D389" s="773"/>
      <c r="E389" s="773"/>
      <c r="F389" s="773"/>
      <c r="G389" s="773"/>
      <c r="H389" s="773"/>
      <c r="I389" s="773"/>
      <c r="J389" s="773"/>
      <c r="K389" s="773"/>
      <c r="L389" s="773"/>
      <c r="M389" s="773"/>
      <c r="N389" s="773"/>
      <c r="O389" s="773"/>
      <c r="P389" s="773"/>
      <c r="Q389" s="773"/>
      <c r="R389" s="773"/>
      <c r="S389" s="773"/>
      <c r="T389" s="773"/>
      <c r="U389" s="773"/>
      <c r="V389" s="773"/>
      <c r="W389" s="773"/>
      <c r="X389" s="773"/>
      <c r="Y389" s="773"/>
      <c r="Z389" s="773"/>
      <c r="AA389" s="773"/>
      <c r="AB389" s="773"/>
      <c r="AC389" s="773"/>
      <c r="AD389" s="773"/>
      <c r="AE389" s="773"/>
      <c r="AF389" s="773"/>
      <c r="AG389" s="773"/>
      <c r="AH389" s="773"/>
      <c r="AI389" s="773"/>
    </row>
    <row r="390" spans="4:35" ht="12.75" customHeight="1">
      <c r="D390" s="773"/>
      <c r="E390" s="773"/>
      <c r="F390" s="773"/>
      <c r="G390" s="773"/>
      <c r="H390" s="773"/>
      <c r="I390" s="773"/>
      <c r="J390" s="773"/>
      <c r="K390" s="773"/>
      <c r="L390" s="773"/>
      <c r="M390" s="773"/>
      <c r="N390" s="773"/>
      <c r="O390" s="773"/>
      <c r="P390" s="773"/>
      <c r="Q390" s="773"/>
      <c r="R390" s="773"/>
      <c r="S390" s="773"/>
      <c r="T390" s="773"/>
      <c r="U390" s="773"/>
      <c r="V390" s="773"/>
      <c r="W390" s="773"/>
      <c r="X390" s="773"/>
      <c r="Y390" s="773"/>
      <c r="Z390" s="773"/>
      <c r="AA390" s="773"/>
      <c r="AB390" s="773"/>
      <c r="AC390" s="773"/>
      <c r="AD390" s="773"/>
      <c r="AE390" s="773"/>
      <c r="AF390" s="773"/>
      <c r="AG390" s="773"/>
      <c r="AH390" s="773"/>
      <c r="AI390" s="773"/>
    </row>
    <row r="391" spans="4:35" ht="12.75" customHeight="1">
      <c r="D391" s="773"/>
      <c r="E391" s="773"/>
      <c r="F391" s="773"/>
      <c r="G391" s="773"/>
      <c r="H391" s="773"/>
      <c r="I391" s="773"/>
      <c r="J391" s="773"/>
      <c r="K391" s="773"/>
      <c r="L391" s="773"/>
      <c r="M391" s="773"/>
      <c r="N391" s="773"/>
      <c r="O391" s="773"/>
      <c r="P391" s="773"/>
      <c r="Q391" s="773"/>
      <c r="R391" s="773"/>
      <c r="S391" s="773"/>
      <c r="T391" s="773"/>
      <c r="U391" s="773"/>
      <c r="V391" s="773"/>
      <c r="W391" s="773"/>
      <c r="X391" s="773"/>
      <c r="Y391" s="773"/>
      <c r="Z391" s="773"/>
      <c r="AA391" s="773"/>
      <c r="AB391" s="773"/>
      <c r="AC391" s="773"/>
      <c r="AD391" s="773"/>
      <c r="AE391" s="773"/>
      <c r="AF391" s="773"/>
      <c r="AG391" s="773"/>
      <c r="AH391" s="773"/>
      <c r="AI391" s="773"/>
    </row>
    <row r="392" spans="4:35" ht="12.75" customHeight="1">
      <c r="D392" s="773"/>
      <c r="E392" s="773"/>
      <c r="F392" s="773"/>
      <c r="G392" s="773"/>
      <c r="H392" s="773"/>
      <c r="I392" s="773"/>
      <c r="J392" s="773"/>
      <c r="K392" s="773"/>
      <c r="L392" s="773"/>
      <c r="M392" s="773"/>
      <c r="N392" s="773"/>
      <c r="O392" s="773"/>
      <c r="P392" s="773"/>
      <c r="Q392" s="773"/>
      <c r="R392" s="773"/>
      <c r="S392" s="773"/>
      <c r="T392" s="773"/>
      <c r="U392" s="773"/>
      <c r="V392" s="773"/>
      <c r="W392" s="773"/>
      <c r="X392" s="773"/>
      <c r="Y392" s="773"/>
      <c r="Z392" s="773"/>
      <c r="AA392" s="773"/>
      <c r="AB392" s="773"/>
      <c r="AC392" s="773"/>
      <c r="AD392" s="773"/>
      <c r="AE392" s="773"/>
      <c r="AF392" s="773"/>
      <c r="AG392" s="773"/>
      <c r="AH392" s="773"/>
      <c r="AI392" s="773"/>
    </row>
    <row r="393" spans="4:35" ht="12.75" customHeight="1">
      <c r="D393" s="773"/>
      <c r="E393" s="773"/>
      <c r="F393" s="773"/>
      <c r="G393" s="773"/>
      <c r="H393" s="773"/>
      <c r="I393" s="773"/>
      <c r="J393" s="773"/>
      <c r="K393" s="773"/>
      <c r="L393" s="773"/>
      <c r="M393" s="773"/>
      <c r="N393" s="773"/>
      <c r="O393" s="773"/>
      <c r="P393" s="773"/>
      <c r="Q393" s="773"/>
      <c r="R393" s="773"/>
      <c r="S393" s="773"/>
      <c r="T393" s="773"/>
      <c r="U393" s="773"/>
      <c r="V393" s="773"/>
      <c r="W393" s="773"/>
      <c r="X393" s="773"/>
      <c r="Y393" s="773"/>
      <c r="Z393" s="773"/>
      <c r="AA393" s="773"/>
      <c r="AB393" s="773"/>
      <c r="AC393" s="773"/>
      <c r="AD393" s="773"/>
      <c r="AE393" s="773"/>
      <c r="AF393" s="773"/>
      <c r="AG393" s="773"/>
      <c r="AH393" s="773"/>
      <c r="AI393" s="773"/>
    </row>
    <row r="394" spans="4:35" ht="12.75" customHeight="1">
      <c r="D394" s="773"/>
      <c r="E394" s="773"/>
      <c r="F394" s="773"/>
      <c r="G394" s="773"/>
      <c r="H394" s="773"/>
      <c r="I394" s="773"/>
      <c r="J394" s="773"/>
      <c r="K394" s="773"/>
      <c r="L394" s="773"/>
      <c r="M394" s="773"/>
      <c r="N394" s="773"/>
      <c r="O394" s="773"/>
      <c r="P394" s="773"/>
      <c r="Q394" s="773"/>
      <c r="R394" s="773"/>
      <c r="S394" s="773"/>
      <c r="T394" s="773"/>
      <c r="U394" s="773"/>
      <c r="V394" s="773"/>
      <c r="W394" s="773"/>
      <c r="X394" s="773"/>
      <c r="Y394" s="773"/>
      <c r="Z394" s="773"/>
      <c r="AA394" s="773"/>
      <c r="AB394" s="773"/>
      <c r="AC394" s="773"/>
      <c r="AD394" s="773"/>
      <c r="AE394" s="773"/>
      <c r="AF394" s="773"/>
      <c r="AG394" s="773"/>
      <c r="AH394" s="773"/>
      <c r="AI394" s="773"/>
    </row>
    <row r="395" spans="4:35" ht="12.75" customHeight="1">
      <c r="D395" s="773"/>
      <c r="E395" s="773"/>
      <c r="F395" s="773"/>
      <c r="G395" s="773"/>
      <c r="H395" s="773"/>
      <c r="I395" s="773"/>
      <c r="J395" s="773"/>
      <c r="K395" s="773"/>
      <c r="L395" s="773"/>
      <c r="M395" s="773"/>
      <c r="N395" s="773"/>
      <c r="O395" s="773"/>
      <c r="P395" s="773"/>
      <c r="Q395" s="773"/>
      <c r="R395" s="773"/>
      <c r="S395" s="773"/>
      <c r="T395" s="773"/>
      <c r="U395" s="773"/>
      <c r="V395" s="773"/>
      <c r="W395" s="773"/>
      <c r="X395" s="773"/>
      <c r="Y395" s="773"/>
      <c r="Z395" s="773"/>
      <c r="AA395" s="773"/>
      <c r="AB395" s="773"/>
      <c r="AC395" s="773"/>
      <c r="AD395" s="773"/>
      <c r="AE395" s="773"/>
      <c r="AF395" s="773"/>
      <c r="AG395" s="773"/>
      <c r="AH395" s="773"/>
      <c r="AI395" s="773"/>
    </row>
    <row r="396" spans="4:35" ht="12.75" customHeight="1">
      <c r="D396" s="773"/>
      <c r="E396" s="773"/>
      <c r="F396" s="773"/>
      <c r="G396" s="773"/>
      <c r="H396" s="773"/>
      <c r="I396" s="773"/>
      <c r="J396" s="773"/>
      <c r="K396" s="773"/>
      <c r="L396" s="773"/>
      <c r="M396" s="773"/>
      <c r="N396" s="773"/>
      <c r="O396" s="773"/>
      <c r="P396" s="773"/>
      <c r="Q396" s="773"/>
      <c r="R396" s="773"/>
      <c r="S396" s="773"/>
      <c r="T396" s="773"/>
      <c r="U396" s="773"/>
      <c r="V396" s="773"/>
      <c r="W396" s="773"/>
      <c r="X396" s="773"/>
      <c r="Y396" s="773"/>
      <c r="Z396" s="773"/>
      <c r="AA396" s="773"/>
      <c r="AB396" s="773"/>
      <c r="AC396" s="773"/>
      <c r="AD396" s="773"/>
      <c r="AE396" s="773"/>
      <c r="AF396" s="773"/>
      <c r="AG396" s="773"/>
      <c r="AH396" s="773"/>
      <c r="AI396" s="773"/>
    </row>
    <row r="397" spans="4:35" ht="12.75" customHeight="1">
      <c r="D397" s="773"/>
      <c r="E397" s="773"/>
      <c r="F397" s="773"/>
      <c r="G397" s="773"/>
      <c r="H397" s="773"/>
      <c r="I397" s="773"/>
      <c r="J397" s="773"/>
      <c r="K397" s="773"/>
      <c r="L397" s="773"/>
      <c r="M397" s="773"/>
      <c r="N397" s="773"/>
      <c r="O397" s="773"/>
      <c r="P397" s="773"/>
      <c r="Q397" s="773"/>
      <c r="R397" s="773"/>
      <c r="S397" s="773"/>
      <c r="T397" s="773"/>
      <c r="U397" s="773"/>
      <c r="V397" s="773"/>
      <c r="W397" s="773"/>
      <c r="X397" s="773"/>
      <c r="Y397" s="773"/>
      <c r="Z397" s="773"/>
      <c r="AA397" s="773"/>
      <c r="AB397" s="773"/>
      <c r="AC397" s="773"/>
      <c r="AD397" s="773"/>
      <c r="AE397" s="773"/>
      <c r="AF397" s="773"/>
      <c r="AG397" s="773"/>
      <c r="AH397" s="773"/>
      <c r="AI397" s="773"/>
    </row>
    <row r="399" spans="4:35" ht="12.75" customHeight="1">
      <c r="D399" s="636"/>
      <c r="E399" s="636"/>
      <c r="F399" s="636"/>
      <c r="G399" s="636"/>
      <c r="H399" s="636"/>
    </row>
    <row r="400" spans="4:35" ht="12.75" customHeight="1">
      <c r="D400" s="636"/>
      <c r="E400" s="636"/>
      <c r="F400" s="636"/>
      <c r="G400" s="636"/>
      <c r="H400" s="636"/>
    </row>
    <row r="401" spans="4:8" ht="12.75" customHeight="1">
      <c r="D401" s="636"/>
      <c r="E401" s="636"/>
      <c r="F401" s="636"/>
      <c r="G401" s="636"/>
      <c r="H401" s="636"/>
    </row>
    <row r="402" spans="4:8" ht="12.75" customHeight="1">
      <c r="D402" s="636"/>
      <c r="E402" s="636"/>
      <c r="F402" s="636"/>
      <c r="G402" s="636"/>
      <c r="H402" s="636"/>
    </row>
    <row r="403" spans="4:8" ht="12.75" customHeight="1">
      <c r="D403" s="636"/>
      <c r="E403" s="636"/>
      <c r="F403" s="636"/>
      <c r="G403" s="636"/>
      <c r="H403" s="636"/>
    </row>
    <row r="404" spans="4:8" ht="12.75" customHeight="1">
      <c r="D404" s="636"/>
      <c r="E404" s="636"/>
      <c r="F404" s="636"/>
      <c r="G404" s="636"/>
      <c r="H404" s="636"/>
    </row>
    <row r="405" spans="4:8" ht="12.75" customHeight="1">
      <c r="D405" s="636"/>
      <c r="E405" s="636"/>
      <c r="F405" s="636"/>
      <c r="G405" s="636"/>
      <c r="H405" s="636"/>
    </row>
    <row r="406" spans="4:8" ht="12.75" customHeight="1">
      <c r="D406" s="636"/>
      <c r="E406" s="636"/>
      <c r="F406" s="636"/>
      <c r="G406" s="636"/>
      <c r="H406" s="636"/>
    </row>
    <row r="407" spans="4:8" ht="12.75" customHeight="1">
      <c r="D407" s="636"/>
      <c r="E407" s="636"/>
      <c r="F407" s="636"/>
      <c r="G407" s="636"/>
      <c r="H407" s="636"/>
    </row>
    <row r="408" spans="4:8" ht="12.75" customHeight="1">
      <c r="D408" s="636"/>
      <c r="E408" s="636"/>
      <c r="F408" s="636"/>
      <c r="G408" s="636"/>
      <c r="H408" s="636"/>
    </row>
    <row r="409" spans="4:8" ht="12.75" customHeight="1">
      <c r="D409" s="636"/>
      <c r="E409" s="636"/>
      <c r="F409" s="636"/>
      <c r="G409" s="636"/>
      <c r="H409" s="636"/>
    </row>
    <row r="410" spans="4:8" ht="12.75" customHeight="1">
      <c r="D410" s="636"/>
      <c r="E410" s="636"/>
      <c r="F410" s="636"/>
      <c r="G410" s="636"/>
      <c r="H410" s="636"/>
    </row>
    <row r="684" spans="2:20" ht="12.75" customHeight="1">
      <c r="B684" s="511"/>
      <c r="C684" s="511"/>
      <c r="D684" s="511"/>
      <c r="E684" s="511"/>
      <c r="F684" s="511"/>
      <c r="G684" s="511"/>
      <c r="H684" s="511"/>
      <c r="I684" s="511"/>
      <c r="J684" s="511"/>
      <c r="K684" s="511"/>
      <c r="L684" s="511"/>
      <c r="M684" s="511"/>
      <c r="N684" s="511"/>
      <c r="O684" s="511"/>
      <c r="P684" s="511"/>
      <c r="Q684" s="511"/>
      <c r="R684" s="511"/>
      <c r="S684" s="511"/>
      <c r="T684" s="511"/>
    </row>
    <row r="685" spans="2:20" ht="12.75" customHeight="1">
      <c r="B685" s="511"/>
      <c r="C685" s="511"/>
      <c r="D685" s="511"/>
      <c r="E685" s="511"/>
      <c r="F685" s="511"/>
      <c r="G685" s="511"/>
      <c r="H685" s="511"/>
      <c r="I685" s="511"/>
      <c r="J685" s="511"/>
      <c r="K685" s="511"/>
      <c r="L685" s="511"/>
      <c r="M685" s="511"/>
      <c r="N685" s="511"/>
      <c r="O685" s="511"/>
      <c r="P685" s="511"/>
      <c r="Q685" s="511"/>
      <c r="R685" s="511"/>
      <c r="S685" s="511"/>
      <c r="T685" s="511"/>
    </row>
    <row r="686" spans="2:20" ht="12.75" customHeight="1">
      <c r="B686" s="511"/>
      <c r="C686" s="511"/>
      <c r="D686" s="511"/>
      <c r="E686" s="511"/>
      <c r="F686" s="511"/>
      <c r="G686" s="511"/>
      <c r="H686" s="511"/>
      <c r="I686" s="511"/>
      <c r="J686" s="511"/>
      <c r="K686" s="511"/>
      <c r="L686" s="511"/>
      <c r="M686" s="511"/>
      <c r="N686" s="511"/>
      <c r="O686" s="511"/>
      <c r="P686" s="511"/>
      <c r="Q686" s="511"/>
      <c r="R686" s="511"/>
      <c r="S686" s="511"/>
      <c r="T686" s="511"/>
    </row>
    <row r="687" spans="2:20" ht="12.75" customHeight="1">
      <c r="B687" s="511"/>
      <c r="C687" s="511"/>
      <c r="D687" s="511"/>
      <c r="E687" s="511"/>
      <c r="F687" s="511"/>
      <c r="G687" s="511"/>
      <c r="H687" s="511"/>
      <c r="I687" s="511"/>
      <c r="J687" s="511"/>
      <c r="K687" s="511"/>
      <c r="L687" s="511"/>
      <c r="M687" s="511"/>
      <c r="N687" s="511"/>
      <c r="O687" s="511"/>
      <c r="P687" s="511"/>
      <c r="Q687" s="511"/>
      <c r="R687" s="511"/>
      <c r="S687" s="511"/>
      <c r="T687" s="511"/>
    </row>
    <row r="688" spans="2:20" ht="12.75" customHeight="1">
      <c r="B688" s="511"/>
      <c r="C688" s="511"/>
      <c r="D688" s="511"/>
      <c r="E688" s="511"/>
      <c r="F688" s="511"/>
      <c r="G688" s="511"/>
      <c r="H688" s="511"/>
      <c r="I688" s="511"/>
      <c r="J688" s="511"/>
      <c r="K688" s="511"/>
      <c r="L688" s="511"/>
      <c r="M688" s="511"/>
      <c r="N688" s="511"/>
      <c r="O688" s="511"/>
      <c r="P688" s="511"/>
      <c r="Q688" s="511"/>
      <c r="R688" s="511"/>
      <c r="S688" s="511"/>
      <c r="T688" s="511"/>
    </row>
    <row r="689" spans="2:20" ht="12.75" customHeight="1">
      <c r="B689" s="511"/>
      <c r="C689" s="511"/>
      <c r="D689" s="511"/>
      <c r="E689" s="511"/>
      <c r="F689" s="511"/>
      <c r="G689" s="511"/>
      <c r="H689" s="511"/>
      <c r="I689" s="511"/>
      <c r="J689" s="511"/>
      <c r="K689" s="511"/>
      <c r="L689" s="511"/>
      <c r="M689" s="511"/>
      <c r="N689" s="511"/>
      <c r="O689" s="511"/>
      <c r="P689" s="511"/>
      <c r="Q689" s="511"/>
      <c r="R689" s="511"/>
      <c r="S689" s="511"/>
      <c r="T689" s="511"/>
    </row>
    <row r="690" spans="2:20" ht="12.75" customHeight="1">
      <c r="B690" s="511"/>
      <c r="C690" s="511"/>
      <c r="D690" s="511"/>
      <c r="E690" s="511"/>
      <c r="F690" s="511"/>
      <c r="G690" s="511"/>
      <c r="H690" s="511"/>
      <c r="I690" s="511"/>
      <c r="J690" s="511"/>
      <c r="K690" s="511"/>
      <c r="L690" s="511"/>
      <c r="M690" s="511"/>
      <c r="N690" s="511"/>
      <c r="O690" s="511"/>
      <c r="P690" s="511"/>
      <c r="Q690" s="511"/>
      <c r="R690" s="511"/>
      <c r="S690" s="511"/>
      <c r="T690" s="511"/>
    </row>
    <row r="691" spans="2:20" ht="12.75" customHeight="1">
      <c r="B691" s="511"/>
      <c r="C691" s="511"/>
      <c r="D691" s="511"/>
      <c r="E691" s="511"/>
      <c r="F691" s="511"/>
      <c r="G691" s="511"/>
      <c r="H691" s="511"/>
      <c r="I691" s="511"/>
      <c r="J691" s="511"/>
      <c r="K691" s="511"/>
      <c r="L691" s="511"/>
      <c r="M691" s="511"/>
      <c r="N691" s="511"/>
      <c r="O691" s="511"/>
      <c r="P691" s="511"/>
      <c r="Q691" s="511"/>
      <c r="R691" s="511"/>
      <c r="S691" s="511"/>
      <c r="T691" s="511"/>
    </row>
    <row r="692" spans="2:20" ht="12.75" customHeight="1">
      <c r="B692" s="511"/>
      <c r="C692" s="511"/>
      <c r="D692" s="511"/>
      <c r="E692" s="511"/>
      <c r="F692" s="511"/>
      <c r="G692" s="511"/>
      <c r="H692" s="511"/>
      <c r="I692" s="511"/>
      <c r="J692" s="511"/>
      <c r="K692" s="511"/>
      <c r="L692" s="511"/>
      <c r="M692" s="511"/>
      <c r="N692" s="511"/>
      <c r="O692" s="511"/>
      <c r="P692" s="511"/>
      <c r="Q692" s="511"/>
      <c r="R692" s="511"/>
      <c r="S692" s="511"/>
      <c r="T692" s="511"/>
    </row>
    <row r="693" spans="2:20" ht="12.75" customHeight="1">
      <c r="B693" s="511"/>
      <c r="C693" s="511"/>
      <c r="D693" s="511"/>
      <c r="E693" s="511"/>
      <c r="F693" s="511"/>
      <c r="G693" s="511"/>
      <c r="H693" s="511"/>
      <c r="I693" s="511"/>
      <c r="J693" s="511"/>
      <c r="K693" s="511"/>
      <c r="L693" s="511"/>
      <c r="M693" s="511"/>
      <c r="N693" s="511"/>
      <c r="O693" s="511"/>
      <c r="P693" s="511"/>
      <c r="Q693" s="511"/>
      <c r="R693" s="511"/>
      <c r="S693" s="511"/>
      <c r="T693" s="511"/>
    </row>
    <row r="694" spans="2:20" ht="12.75" customHeight="1">
      <c r="B694" s="511"/>
      <c r="C694" s="511"/>
      <c r="D694" s="511"/>
      <c r="E694" s="511"/>
      <c r="F694" s="511"/>
      <c r="G694" s="511"/>
      <c r="H694" s="511"/>
      <c r="I694" s="511"/>
      <c r="J694" s="511"/>
      <c r="K694" s="511"/>
      <c r="L694" s="511"/>
      <c r="M694" s="511"/>
      <c r="N694" s="511"/>
      <c r="O694" s="511"/>
      <c r="P694" s="511"/>
      <c r="Q694" s="511"/>
      <c r="R694" s="511"/>
      <c r="S694" s="511"/>
      <c r="T694" s="511"/>
    </row>
    <row r="695" spans="2:20" ht="12.75" customHeight="1">
      <c r="B695" s="511"/>
      <c r="C695" s="511"/>
      <c r="D695" s="511"/>
      <c r="E695" s="511"/>
      <c r="F695" s="511"/>
      <c r="G695" s="511"/>
      <c r="H695" s="511"/>
      <c r="I695" s="511"/>
      <c r="J695" s="511"/>
      <c r="K695" s="511"/>
      <c r="L695" s="511"/>
      <c r="M695" s="511"/>
      <c r="N695" s="511"/>
      <c r="O695" s="511"/>
      <c r="P695" s="511"/>
      <c r="Q695" s="511"/>
      <c r="R695" s="511"/>
      <c r="S695" s="511"/>
      <c r="T695" s="511"/>
    </row>
    <row r="696" spans="2:20" ht="12.75" customHeight="1">
      <c r="B696" s="511"/>
      <c r="C696" s="511"/>
      <c r="D696" s="511"/>
      <c r="E696" s="511"/>
      <c r="F696" s="511"/>
      <c r="G696" s="511"/>
      <c r="H696" s="511"/>
      <c r="I696" s="511"/>
      <c r="J696" s="511"/>
      <c r="K696" s="511"/>
      <c r="L696" s="511"/>
      <c r="M696" s="511"/>
      <c r="N696" s="511"/>
      <c r="O696" s="511"/>
      <c r="P696" s="511"/>
      <c r="Q696" s="511"/>
      <c r="R696" s="511"/>
      <c r="S696" s="511"/>
      <c r="T696" s="511"/>
    </row>
    <row r="697" spans="2:20" ht="12.75" customHeight="1">
      <c r="B697" s="511"/>
      <c r="C697" s="511"/>
      <c r="D697" s="511"/>
      <c r="E697" s="511"/>
      <c r="F697" s="511"/>
      <c r="G697" s="511"/>
      <c r="H697" s="511"/>
      <c r="I697" s="511"/>
      <c r="J697" s="511"/>
      <c r="K697" s="511"/>
      <c r="L697" s="511"/>
      <c r="M697" s="511"/>
      <c r="N697" s="511"/>
      <c r="O697" s="511"/>
      <c r="P697" s="511"/>
      <c r="Q697" s="511"/>
      <c r="R697" s="511"/>
      <c r="S697" s="511"/>
      <c r="T697" s="511"/>
    </row>
    <row r="698" spans="2:20" ht="12.75" customHeight="1">
      <c r="B698" s="511"/>
      <c r="C698" s="511"/>
      <c r="D698" s="511"/>
      <c r="E698" s="511"/>
      <c r="F698" s="511"/>
      <c r="G698" s="511"/>
      <c r="H698" s="511"/>
      <c r="I698" s="511"/>
      <c r="J698" s="511"/>
      <c r="K698" s="511"/>
      <c r="L698" s="511"/>
      <c r="M698" s="511"/>
      <c r="N698" s="511"/>
      <c r="O698" s="511"/>
      <c r="P698" s="511"/>
      <c r="Q698" s="511"/>
      <c r="R698" s="511"/>
      <c r="S698" s="511"/>
      <c r="T698" s="511"/>
    </row>
    <row r="699" spans="2:20" ht="12.75" customHeight="1">
      <c r="B699" s="511"/>
      <c r="C699" s="511"/>
      <c r="D699" s="511"/>
      <c r="E699" s="511"/>
      <c r="F699" s="511"/>
      <c r="G699" s="511"/>
      <c r="H699" s="511"/>
      <c r="I699" s="511"/>
      <c r="J699" s="511"/>
      <c r="K699" s="511"/>
      <c r="L699" s="511"/>
      <c r="M699" s="511"/>
      <c r="N699" s="511"/>
      <c r="O699" s="511"/>
      <c r="P699" s="511"/>
      <c r="Q699" s="511"/>
      <c r="R699" s="511"/>
      <c r="S699" s="511"/>
      <c r="T699" s="511"/>
    </row>
    <row r="700" spans="2:20" ht="12.75" customHeight="1">
      <c r="B700" s="511"/>
      <c r="C700" s="511"/>
      <c r="D700" s="511"/>
      <c r="E700" s="511"/>
      <c r="F700" s="511"/>
      <c r="G700" s="511"/>
      <c r="H700" s="511"/>
      <c r="I700" s="511"/>
      <c r="J700" s="511"/>
      <c r="K700" s="511"/>
      <c r="L700" s="511"/>
      <c r="M700" s="511"/>
      <c r="N700" s="511"/>
      <c r="O700" s="511"/>
      <c r="P700" s="511"/>
      <c r="Q700" s="511"/>
      <c r="R700" s="511"/>
      <c r="S700" s="511"/>
      <c r="T700" s="511"/>
    </row>
    <row r="701" spans="2:20" ht="12.75" customHeight="1">
      <c r="B701" s="511"/>
      <c r="C701" s="511"/>
      <c r="D701" s="511"/>
      <c r="E701" s="511"/>
      <c r="F701" s="511"/>
      <c r="G701" s="511"/>
      <c r="H701" s="511"/>
      <c r="I701" s="511"/>
      <c r="J701" s="511"/>
      <c r="K701" s="511"/>
      <c r="L701" s="511"/>
      <c r="M701" s="511"/>
      <c r="N701" s="511"/>
      <c r="O701" s="511"/>
      <c r="P701" s="511"/>
      <c r="Q701" s="511"/>
      <c r="R701" s="511"/>
      <c r="S701" s="511"/>
      <c r="T701" s="511"/>
    </row>
    <row r="702" spans="2:20" ht="12.75" customHeight="1">
      <c r="B702" s="511"/>
      <c r="C702" s="511"/>
      <c r="D702" s="511"/>
      <c r="E702" s="511"/>
      <c r="F702" s="511"/>
      <c r="G702" s="511"/>
      <c r="H702" s="511"/>
      <c r="I702" s="511"/>
      <c r="J702" s="511"/>
      <c r="K702" s="511"/>
      <c r="L702" s="511"/>
      <c r="M702" s="511"/>
      <c r="N702" s="511"/>
      <c r="O702" s="511"/>
      <c r="P702" s="511"/>
      <c r="Q702" s="511"/>
      <c r="R702" s="511"/>
      <c r="S702" s="511"/>
      <c r="T702" s="511"/>
    </row>
    <row r="703" spans="2:20" ht="12.75" customHeight="1">
      <c r="B703" s="511"/>
      <c r="C703" s="511"/>
      <c r="D703" s="511"/>
      <c r="E703" s="511"/>
      <c r="F703" s="511"/>
      <c r="G703" s="511"/>
      <c r="H703" s="511"/>
      <c r="I703" s="511"/>
      <c r="J703" s="511"/>
      <c r="K703" s="511"/>
      <c r="L703" s="511"/>
      <c r="M703" s="511"/>
      <c r="N703" s="511"/>
      <c r="O703" s="511"/>
      <c r="P703" s="511"/>
      <c r="Q703" s="511"/>
      <c r="R703" s="511"/>
      <c r="S703" s="511"/>
      <c r="T703" s="511"/>
    </row>
    <row r="704" spans="2:20" ht="12.75" customHeight="1">
      <c r="B704" s="511"/>
      <c r="C704" s="511"/>
      <c r="D704" s="511"/>
      <c r="E704" s="511"/>
      <c r="F704" s="511"/>
      <c r="G704" s="511"/>
      <c r="H704" s="511"/>
      <c r="I704" s="511"/>
      <c r="J704" s="511"/>
      <c r="K704" s="511"/>
      <c r="L704" s="511"/>
      <c r="M704" s="511"/>
      <c r="N704" s="511"/>
      <c r="O704" s="511"/>
      <c r="P704" s="511"/>
      <c r="Q704" s="511"/>
      <c r="R704" s="511"/>
      <c r="S704" s="511"/>
      <c r="T704" s="511"/>
    </row>
    <row r="705" spans="2:20" ht="12.75" customHeight="1">
      <c r="B705" s="511"/>
      <c r="C705" s="511"/>
      <c r="D705" s="511"/>
      <c r="E705" s="511"/>
      <c r="F705" s="511"/>
      <c r="G705" s="511"/>
      <c r="H705" s="511"/>
      <c r="I705" s="511"/>
      <c r="J705" s="511"/>
      <c r="K705" s="511"/>
      <c r="L705" s="511"/>
      <c r="M705" s="511"/>
      <c r="N705" s="511"/>
      <c r="O705" s="511"/>
      <c r="P705" s="511"/>
      <c r="Q705" s="511"/>
      <c r="R705" s="511"/>
      <c r="S705" s="511"/>
      <c r="T705" s="511"/>
    </row>
    <row r="706" spans="2:20" ht="12.75" customHeight="1">
      <c r="B706" s="511"/>
      <c r="C706" s="511"/>
      <c r="D706" s="511"/>
      <c r="E706" s="511"/>
      <c r="F706" s="511"/>
      <c r="G706" s="511"/>
      <c r="H706" s="511"/>
      <c r="I706" s="511"/>
      <c r="J706" s="511"/>
      <c r="K706" s="511"/>
      <c r="L706" s="511"/>
      <c r="M706" s="511"/>
      <c r="N706" s="511"/>
      <c r="O706" s="511"/>
      <c r="P706" s="511"/>
      <c r="Q706" s="511"/>
      <c r="R706" s="511"/>
      <c r="S706" s="511"/>
      <c r="T706" s="511"/>
    </row>
    <row r="707" spans="2:20" ht="12.75" customHeight="1">
      <c r="B707" s="511"/>
      <c r="C707" s="511"/>
      <c r="D707" s="511"/>
      <c r="E707" s="511"/>
      <c r="F707" s="511"/>
      <c r="G707" s="511"/>
      <c r="H707" s="511"/>
      <c r="I707" s="511"/>
      <c r="J707" s="511"/>
      <c r="K707" s="511"/>
      <c r="L707" s="511"/>
      <c r="M707" s="511"/>
      <c r="N707" s="511"/>
      <c r="O707" s="511"/>
      <c r="P707" s="511"/>
      <c r="Q707" s="511"/>
      <c r="R707" s="511"/>
      <c r="S707" s="511"/>
      <c r="T707" s="511"/>
    </row>
    <row r="708" spans="2:20" ht="12.75" customHeight="1">
      <c r="B708" s="511"/>
      <c r="C708" s="511"/>
      <c r="D708" s="511"/>
      <c r="E708" s="511"/>
      <c r="F708" s="511"/>
      <c r="G708" s="511"/>
      <c r="H708" s="511"/>
      <c r="I708" s="511"/>
      <c r="J708" s="511"/>
      <c r="K708" s="511"/>
      <c r="L708" s="511"/>
      <c r="M708" s="511"/>
      <c r="N708" s="511"/>
      <c r="O708" s="511"/>
      <c r="P708" s="511"/>
      <c r="Q708" s="511"/>
      <c r="R708" s="511"/>
      <c r="S708" s="511"/>
      <c r="T708" s="511"/>
    </row>
    <row r="709" spans="2:20" ht="12.75" customHeight="1">
      <c r="B709" s="511"/>
      <c r="C709" s="511"/>
      <c r="D709" s="511"/>
      <c r="E709" s="511"/>
      <c r="F709" s="511"/>
      <c r="G709" s="511"/>
      <c r="H709" s="511"/>
      <c r="I709" s="511"/>
      <c r="J709" s="511"/>
      <c r="K709" s="511"/>
      <c r="L709" s="511"/>
      <c r="M709" s="511"/>
      <c r="N709" s="511"/>
      <c r="O709" s="511"/>
      <c r="P709" s="511"/>
      <c r="Q709" s="511"/>
      <c r="R709" s="511"/>
      <c r="S709" s="511"/>
      <c r="T709" s="511"/>
    </row>
    <row r="710" spans="2:20" ht="12.75" customHeight="1">
      <c r="B710" s="511"/>
      <c r="C710" s="511"/>
      <c r="D710" s="511"/>
      <c r="E710" s="511"/>
      <c r="F710" s="511"/>
      <c r="G710" s="511"/>
      <c r="H710" s="511"/>
      <c r="I710" s="511"/>
      <c r="J710" s="511"/>
      <c r="K710" s="511"/>
      <c r="L710" s="511"/>
      <c r="M710" s="511"/>
      <c r="N710" s="511"/>
      <c r="O710" s="511"/>
      <c r="P710" s="511"/>
      <c r="Q710" s="511"/>
      <c r="R710" s="511"/>
      <c r="S710" s="511"/>
      <c r="T710" s="511"/>
    </row>
    <row r="711" spans="2:20" ht="12.75" customHeight="1">
      <c r="B711" s="511"/>
      <c r="C711" s="511"/>
      <c r="D711" s="511"/>
      <c r="E711" s="511"/>
      <c r="F711" s="511"/>
      <c r="G711" s="511"/>
      <c r="H711" s="511"/>
      <c r="I711" s="511"/>
      <c r="J711" s="511"/>
      <c r="K711" s="511"/>
      <c r="L711" s="511"/>
      <c r="M711" s="511"/>
      <c r="N711" s="511"/>
      <c r="O711" s="511"/>
      <c r="P711" s="511"/>
      <c r="Q711" s="511"/>
      <c r="R711" s="511"/>
      <c r="S711" s="511"/>
      <c r="T711" s="511"/>
    </row>
    <row r="712" spans="2:20" ht="12.75" customHeight="1">
      <c r="B712" s="511"/>
      <c r="C712" s="511"/>
      <c r="D712" s="511"/>
      <c r="E712" s="511"/>
      <c r="F712" s="511"/>
      <c r="G712" s="511"/>
      <c r="H712" s="511"/>
      <c r="I712" s="511"/>
      <c r="J712" s="511"/>
      <c r="K712" s="511"/>
      <c r="L712" s="511"/>
      <c r="M712" s="511"/>
      <c r="N712" s="511"/>
      <c r="O712" s="511"/>
      <c r="P712" s="511"/>
      <c r="Q712" s="511"/>
      <c r="R712" s="511"/>
      <c r="S712" s="511"/>
      <c r="T712" s="511"/>
    </row>
    <row r="713" spans="2:20" ht="12.75" customHeight="1">
      <c r="B713" s="511"/>
      <c r="C713" s="511"/>
      <c r="D713" s="511"/>
      <c r="E713" s="511"/>
      <c r="F713" s="511"/>
      <c r="G713" s="511"/>
      <c r="H713" s="511"/>
      <c r="I713" s="511"/>
      <c r="J713" s="511"/>
      <c r="K713" s="511"/>
      <c r="L713" s="511"/>
      <c r="M713" s="511"/>
      <c r="N713" s="511"/>
      <c r="O713" s="511"/>
      <c r="P713" s="511"/>
      <c r="Q713" s="511"/>
      <c r="R713" s="511"/>
      <c r="S713" s="511"/>
      <c r="T713" s="511"/>
    </row>
    <row r="714" spans="2:20" ht="12.75" customHeight="1">
      <c r="B714" s="511"/>
      <c r="C714" s="511"/>
      <c r="D714" s="511"/>
      <c r="E714" s="511"/>
      <c r="F714" s="511"/>
      <c r="G714" s="511"/>
      <c r="H714" s="511"/>
      <c r="I714" s="511"/>
      <c r="J714" s="511"/>
      <c r="K714" s="511"/>
      <c r="L714" s="511"/>
      <c r="M714" s="511"/>
      <c r="N714" s="511"/>
      <c r="O714" s="511"/>
      <c r="P714" s="511"/>
      <c r="Q714" s="511"/>
      <c r="R714" s="511"/>
      <c r="S714" s="511"/>
      <c r="T714" s="511"/>
    </row>
    <row r="715" spans="2:20" ht="12.75" customHeight="1">
      <c r="B715" s="511"/>
      <c r="C715" s="511"/>
      <c r="D715" s="511"/>
      <c r="E715" s="511"/>
      <c r="F715" s="511"/>
      <c r="G715" s="511"/>
      <c r="H715" s="511"/>
      <c r="I715" s="511"/>
      <c r="J715" s="511"/>
      <c r="K715" s="511"/>
      <c r="L715" s="511"/>
      <c r="M715" s="511"/>
      <c r="N715" s="511"/>
      <c r="O715" s="511"/>
      <c r="P715" s="511"/>
      <c r="Q715" s="511"/>
      <c r="R715" s="511"/>
      <c r="S715" s="511"/>
      <c r="T715" s="511"/>
    </row>
    <row r="716" spans="2:20" ht="12.75" customHeight="1">
      <c r="B716" s="511"/>
      <c r="C716" s="511"/>
      <c r="D716" s="511"/>
      <c r="E716" s="511"/>
      <c r="F716" s="511"/>
      <c r="G716" s="511"/>
      <c r="H716" s="511"/>
      <c r="I716" s="511"/>
      <c r="J716" s="511"/>
      <c r="K716" s="511"/>
      <c r="L716" s="511"/>
      <c r="M716" s="511"/>
      <c r="N716" s="511"/>
      <c r="O716" s="511"/>
      <c r="P716" s="511"/>
      <c r="Q716" s="511"/>
      <c r="R716" s="511"/>
      <c r="S716" s="511"/>
      <c r="T716" s="511"/>
    </row>
    <row r="717" spans="2:20" ht="12.75" customHeight="1">
      <c r="B717" s="511"/>
      <c r="C717" s="511"/>
      <c r="D717" s="511"/>
      <c r="E717" s="511"/>
      <c r="F717" s="511"/>
      <c r="G717" s="511"/>
      <c r="H717" s="511"/>
      <c r="I717" s="511"/>
      <c r="J717" s="511"/>
      <c r="K717" s="511"/>
      <c r="L717" s="511"/>
      <c r="M717" s="511"/>
      <c r="N717" s="511"/>
      <c r="O717" s="511"/>
      <c r="P717" s="511"/>
      <c r="Q717" s="511"/>
      <c r="R717" s="511"/>
      <c r="S717" s="511"/>
      <c r="T717" s="511"/>
    </row>
    <row r="718" spans="2:20" ht="12.75" customHeight="1">
      <c r="B718" s="511"/>
      <c r="C718" s="511"/>
      <c r="D718" s="511"/>
      <c r="E718" s="511"/>
      <c r="F718" s="511"/>
      <c r="G718" s="511"/>
      <c r="H718" s="511"/>
      <c r="I718" s="511"/>
      <c r="J718" s="511"/>
      <c r="K718" s="511"/>
      <c r="L718" s="511"/>
      <c r="M718" s="511"/>
      <c r="N718" s="511"/>
      <c r="O718" s="511"/>
      <c r="P718" s="511"/>
      <c r="Q718" s="511"/>
      <c r="R718" s="511"/>
      <c r="S718" s="511"/>
      <c r="T718" s="511"/>
    </row>
    <row r="719" spans="2:20" ht="12.75" customHeight="1">
      <c r="B719" s="511"/>
      <c r="C719" s="511"/>
      <c r="D719" s="511"/>
      <c r="E719" s="511"/>
      <c r="F719" s="511"/>
      <c r="G719" s="511"/>
      <c r="H719" s="511"/>
      <c r="I719" s="511"/>
      <c r="J719" s="511"/>
      <c r="K719" s="511"/>
      <c r="L719" s="511"/>
      <c r="M719" s="511"/>
      <c r="N719" s="511"/>
      <c r="O719" s="511"/>
      <c r="P719" s="511"/>
      <c r="Q719" s="511"/>
      <c r="R719" s="511"/>
      <c r="S719" s="511"/>
      <c r="T719" s="511"/>
    </row>
    <row r="720" spans="2:20" ht="12.75" customHeight="1">
      <c r="B720" s="511"/>
      <c r="C720" s="511"/>
      <c r="D720" s="511"/>
      <c r="E720" s="511"/>
      <c r="F720" s="511"/>
      <c r="G720" s="511"/>
      <c r="H720" s="511"/>
      <c r="I720" s="511"/>
      <c r="J720" s="511"/>
      <c r="K720" s="511"/>
      <c r="L720" s="511"/>
      <c r="M720" s="511"/>
      <c r="N720" s="511"/>
      <c r="O720" s="511"/>
      <c r="P720" s="511"/>
      <c r="Q720" s="511"/>
      <c r="R720" s="511"/>
      <c r="S720" s="511"/>
      <c r="T720" s="511"/>
    </row>
    <row r="721" spans="2:20" ht="12.75" customHeight="1">
      <c r="B721" s="511"/>
      <c r="C721" s="511"/>
      <c r="D721" s="511"/>
      <c r="E721" s="511"/>
      <c r="F721" s="511"/>
      <c r="G721" s="511"/>
      <c r="H721" s="511"/>
      <c r="I721" s="511"/>
      <c r="J721" s="511"/>
      <c r="K721" s="511"/>
      <c r="L721" s="511"/>
      <c r="M721" s="511"/>
      <c r="N721" s="511"/>
      <c r="O721" s="511"/>
      <c r="P721" s="511"/>
      <c r="Q721" s="511"/>
      <c r="R721" s="511"/>
      <c r="S721" s="511"/>
      <c r="T721" s="511"/>
    </row>
    <row r="722" spans="2:20" ht="12.75" customHeight="1">
      <c r="B722" s="511"/>
      <c r="C722" s="511"/>
      <c r="D722" s="511"/>
      <c r="E722" s="511"/>
      <c r="F722" s="511"/>
      <c r="G722" s="511"/>
      <c r="H722" s="511"/>
      <c r="I722" s="511"/>
      <c r="J722" s="511"/>
      <c r="K722" s="511"/>
      <c r="L722" s="511"/>
      <c r="M722" s="511"/>
      <c r="N722" s="511"/>
      <c r="O722" s="511"/>
      <c r="P722" s="511"/>
      <c r="Q722" s="511"/>
      <c r="R722" s="511"/>
      <c r="S722" s="511"/>
      <c r="T722" s="511"/>
    </row>
    <row r="723" spans="2:20" ht="12.75" customHeight="1">
      <c r="B723" s="511"/>
      <c r="C723" s="511"/>
      <c r="D723" s="511"/>
      <c r="E723" s="511"/>
      <c r="F723" s="511"/>
      <c r="G723" s="511"/>
      <c r="H723" s="511"/>
      <c r="I723" s="511"/>
      <c r="J723" s="511"/>
      <c r="K723" s="511"/>
      <c r="L723" s="511"/>
      <c r="M723" s="511"/>
      <c r="N723" s="511"/>
      <c r="O723" s="511"/>
      <c r="P723" s="511"/>
      <c r="Q723" s="511"/>
      <c r="R723" s="511"/>
      <c r="S723" s="511"/>
      <c r="T723" s="511"/>
    </row>
    <row r="724" spans="2:20" ht="12.75" customHeight="1">
      <c r="B724" s="511"/>
      <c r="C724" s="511"/>
      <c r="D724" s="511"/>
      <c r="E724" s="511"/>
      <c r="F724" s="511"/>
      <c r="G724" s="511"/>
      <c r="H724" s="511"/>
      <c r="I724" s="511"/>
      <c r="J724" s="511"/>
      <c r="K724" s="511"/>
      <c r="L724" s="511"/>
      <c r="M724" s="511"/>
      <c r="N724" s="511"/>
      <c r="O724" s="511"/>
      <c r="P724" s="511"/>
      <c r="Q724" s="511"/>
      <c r="R724" s="511"/>
      <c r="S724" s="511"/>
      <c r="T724" s="511"/>
    </row>
    <row r="725" spans="2:20" ht="12.75" customHeight="1">
      <c r="B725" s="511"/>
      <c r="C725" s="511"/>
      <c r="D725" s="511"/>
      <c r="E725" s="511"/>
      <c r="F725" s="511"/>
      <c r="G725" s="511"/>
      <c r="H725" s="511"/>
      <c r="I725" s="511"/>
      <c r="J725" s="511"/>
      <c r="K725" s="511"/>
      <c r="L725" s="511"/>
      <c r="M725" s="511"/>
      <c r="N725" s="511"/>
      <c r="O725" s="511"/>
      <c r="P725" s="511"/>
      <c r="Q725" s="511"/>
      <c r="R725" s="511"/>
      <c r="S725" s="511"/>
      <c r="T725" s="511"/>
    </row>
    <row r="726" spans="2:20" ht="12.75" customHeight="1">
      <c r="B726" s="511"/>
      <c r="C726" s="511"/>
      <c r="D726" s="511"/>
      <c r="E726" s="511"/>
      <c r="F726" s="511"/>
      <c r="G726" s="511"/>
      <c r="H726" s="511"/>
      <c r="I726" s="511"/>
      <c r="J726" s="511"/>
      <c r="K726" s="511"/>
      <c r="L726" s="511"/>
      <c r="M726" s="511"/>
      <c r="N726" s="511"/>
      <c r="O726" s="511"/>
      <c r="P726" s="511"/>
      <c r="Q726" s="511"/>
      <c r="R726" s="511"/>
      <c r="S726" s="511"/>
      <c r="T726" s="511"/>
    </row>
    <row r="727" spans="2:20" ht="12.75" customHeight="1">
      <c r="B727" s="511"/>
      <c r="C727" s="511"/>
      <c r="D727" s="511"/>
      <c r="E727" s="511"/>
      <c r="F727" s="511"/>
      <c r="G727" s="511"/>
      <c r="H727" s="511"/>
      <c r="I727" s="511"/>
      <c r="J727" s="511"/>
      <c r="K727" s="511"/>
      <c r="L727" s="511"/>
      <c r="M727" s="511"/>
      <c r="N727" s="511"/>
      <c r="O727" s="511"/>
      <c r="P727" s="511"/>
      <c r="Q727" s="511"/>
      <c r="R727" s="511"/>
      <c r="S727" s="511"/>
      <c r="T727" s="511"/>
    </row>
    <row r="728" spans="2:20" ht="12.75" customHeight="1">
      <c r="B728" s="511"/>
      <c r="C728" s="511"/>
      <c r="D728" s="511"/>
      <c r="E728" s="511"/>
      <c r="F728" s="511"/>
      <c r="G728" s="511"/>
      <c r="H728" s="511"/>
      <c r="I728" s="511"/>
      <c r="J728" s="511"/>
      <c r="K728" s="511"/>
      <c r="L728" s="511"/>
      <c r="M728" s="511"/>
      <c r="N728" s="511"/>
      <c r="O728" s="511"/>
      <c r="P728" s="511"/>
      <c r="Q728" s="511"/>
      <c r="R728" s="511"/>
      <c r="S728" s="511"/>
      <c r="T728" s="511"/>
    </row>
    <row r="729" spans="2:20" ht="12.75" customHeight="1">
      <c r="B729" s="511"/>
      <c r="C729" s="511"/>
      <c r="D729" s="511"/>
      <c r="E729" s="511"/>
      <c r="F729" s="511"/>
      <c r="G729" s="511"/>
      <c r="H729" s="511"/>
      <c r="I729" s="511"/>
      <c r="J729" s="511"/>
      <c r="K729" s="511"/>
      <c r="L729" s="511"/>
      <c r="M729" s="511"/>
      <c r="N729" s="511"/>
      <c r="O729" s="511"/>
      <c r="P729" s="511"/>
      <c r="Q729" s="511"/>
      <c r="R729" s="511"/>
      <c r="S729" s="511"/>
      <c r="T729" s="511"/>
    </row>
    <row r="730" spans="2:20" ht="12.75" customHeight="1">
      <c r="B730" s="511"/>
      <c r="C730" s="511"/>
      <c r="D730" s="511"/>
      <c r="E730" s="511"/>
      <c r="F730" s="511"/>
      <c r="G730" s="511"/>
      <c r="H730" s="511"/>
      <c r="I730" s="511"/>
      <c r="J730" s="511"/>
      <c r="K730" s="511"/>
      <c r="L730" s="511"/>
      <c r="M730" s="511"/>
      <c r="N730" s="511"/>
      <c r="O730" s="511"/>
      <c r="P730" s="511"/>
      <c r="Q730" s="511"/>
      <c r="R730" s="511"/>
      <c r="S730" s="511"/>
      <c r="T730" s="511"/>
    </row>
    <row r="731" spans="2:20" ht="12.75" customHeight="1">
      <c r="B731" s="511"/>
      <c r="C731" s="511"/>
      <c r="D731" s="511"/>
      <c r="E731" s="511"/>
      <c r="F731" s="511"/>
      <c r="G731" s="511"/>
      <c r="H731" s="511"/>
      <c r="I731" s="511"/>
      <c r="J731" s="511"/>
      <c r="K731" s="511"/>
      <c r="L731" s="511"/>
      <c r="M731" s="511"/>
      <c r="N731" s="511"/>
      <c r="O731" s="511"/>
      <c r="P731" s="511"/>
      <c r="Q731" s="511"/>
      <c r="R731" s="511"/>
      <c r="S731" s="511"/>
      <c r="T731" s="511"/>
    </row>
    <row r="732" spans="2:20" ht="12.75" customHeight="1">
      <c r="B732" s="511"/>
      <c r="C732" s="511"/>
      <c r="D732" s="511"/>
      <c r="E732" s="511"/>
      <c r="F732" s="511"/>
      <c r="G732" s="511"/>
      <c r="H732" s="511"/>
      <c r="I732" s="511"/>
      <c r="J732" s="511"/>
      <c r="K732" s="511"/>
      <c r="L732" s="511"/>
      <c r="M732" s="511"/>
      <c r="N732" s="511"/>
      <c r="O732" s="511"/>
      <c r="P732" s="511"/>
      <c r="Q732" s="511"/>
      <c r="R732" s="511"/>
      <c r="S732" s="511"/>
      <c r="T732" s="511"/>
    </row>
    <row r="733" spans="2:20" ht="12.75" customHeight="1">
      <c r="B733" s="511"/>
      <c r="C733" s="511"/>
      <c r="D733" s="511"/>
      <c r="E733" s="511"/>
      <c r="F733" s="511"/>
      <c r="G733" s="511"/>
      <c r="H733" s="511"/>
      <c r="I733" s="511"/>
      <c r="J733" s="511"/>
      <c r="K733" s="511"/>
      <c r="L733" s="511"/>
      <c r="M733" s="511"/>
      <c r="N733" s="511"/>
      <c r="O733" s="511"/>
      <c r="P733" s="511"/>
      <c r="Q733" s="511"/>
      <c r="R733" s="511"/>
      <c r="S733" s="511"/>
      <c r="T733" s="511"/>
    </row>
    <row r="734" spans="2:20" ht="12.75" customHeight="1">
      <c r="B734" s="511"/>
      <c r="C734" s="511"/>
      <c r="D734" s="511"/>
      <c r="E734" s="511"/>
      <c r="F734" s="511"/>
      <c r="G734" s="511"/>
      <c r="H734" s="511"/>
      <c r="I734" s="511"/>
      <c r="J734" s="511"/>
      <c r="K734" s="511"/>
      <c r="L734" s="511"/>
      <c r="M734" s="511"/>
      <c r="N734" s="511"/>
      <c r="O734" s="511"/>
      <c r="P734" s="511"/>
      <c r="Q734" s="511"/>
      <c r="R734" s="511"/>
      <c r="S734" s="511"/>
      <c r="T734" s="511"/>
    </row>
    <row r="735" spans="2:20" ht="12.75" customHeight="1">
      <c r="B735" s="511"/>
      <c r="C735" s="511"/>
      <c r="D735" s="511"/>
      <c r="E735" s="511"/>
      <c r="F735" s="511"/>
      <c r="G735" s="511"/>
      <c r="H735" s="511"/>
      <c r="I735" s="511"/>
      <c r="J735" s="511"/>
      <c r="K735" s="511"/>
      <c r="L735" s="511"/>
      <c r="M735" s="511"/>
      <c r="N735" s="511"/>
      <c r="O735" s="511"/>
      <c r="P735" s="511"/>
      <c r="Q735" s="511"/>
      <c r="R735" s="511"/>
      <c r="S735" s="511"/>
      <c r="T735" s="511"/>
    </row>
    <row r="736" spans="2:20" ht="12.75" customHeight="1">
      <c r="B736" s="511"/>
      <c r="C736" s="511"/>
      <c r="D736" s="511"/>
      <c r="E736" s="511"/>
      <c r="F736" s="511"/>
      <c r="G736" s="511"/>
      <c r="H736" s="511"/>
      <c r="I736" s="511"/>
      <c r="J736" s="511"/>
      <c r="K736" s="511"/>
      <c r="L736" s="511"/>
      <c r="M736" s="511"/>
      <c r="N736" s="511"/>
      <c r="O736" s="511"/>
      <c r="P736" s="511"/>
      <c r="Q736" s="511"/>
      <c r="R736" s="511"/>
      <c r="S736" s="511"/>
      <c r="T736" s="511"/>
    </row>
    <row r="737" spans="2:20" ht="12.75" customHeight="1">
      <c r="B737" s="511"/>
      <c r="C737" s="511"/>
      <c r="D737" s="511"/>
      <c r="E737" s="511"/>
      <c r="F737" s="511"/>
      <c r="G737" s="511"/>
      <c r="H737" s="511"/>
      <c r="I737" s="511"/>
      <c r="J737" s="511"/>
      <c r="K737" s="511"/>
      <c r="L737" s="511"/>
      <c r="M737" s="511"/>
      <c r="N737" s="511"/>
      <c r="O737" s="511"/>
      <c r="P737" s="511"/>
      <c r="Q737" s="511"/>
      <c r="R737" s="511"/>
      <c r="S737" s="511"/>
      <c r="T737" s="511"/>
    </row>
    <row r="738" spans="2:20" ht="12.75" customHeight="1">
      <c r="B738" s="511"/>
      <c r="C738" s="511"/>
      <c r="D738" s="511"/>
      <c r="E738" s="511"/>
      <c r="F738" s="511"/>
      <c r="G738" s="511"/>
      <c r="H738" s="511"/>
      <c r="I738" s="511"/>
      <c r="J738" s="511"/>
      <c r="K738" s="511"/>
      <c r="L738" s="511"/>
      <c r="M738" s="511"/>
      <c r="N738" s="511"/>
      <c r="O738" s="511"/>
      <c r="P738" s="511"/>
      <c r="Q738" s="511"/>
      <c r="R738" s="511"/>
      <c r="S738" s="511"/>
      <c r="T738" s="511"/>
    </row>
    <row r="739" spans="2:20" ht="12.75" customHeight="1">
      <c r="B739" s="511"/>
      <c r="C739" s="511"/>
      <c r="D739" s="511"/>
      <c r="E739" s="511"/>
      <c r="F739" s="511"/>
      <c r="G739" s="511"/>
      <c r="H739" s="511"/>
      <c r="I739" s="511"/>
      <c r="J739" s="511"/>
      <c r="K739" s="511"/>
      <c r="L739" s="511"/>
      <c r="M739" s="511"/>
      <c r="N739" s="511"/>
      <c r="O739" s="511"/>
      <c r="P739" s="511"/>
      <c r="Q739" s="511"/>
      <c r="R739" s="511"/>
      <c r="S739" s="511"/>
      <c r="T739" s="511"/>
    </row>
    <row r="740" spans="2:20" ht="12.75" customHeight="1">
      <c r="B740" s="511"/>
      <c r="C740" s="511"/>
      <c r="D740" s="511"/>
      <c r="E740" s="511"/>
      <c r="F740" s="511"/>
      <c r="G740" s="511"/>
      <c r="H740" s="511"/>
      <c r="I740" s="511"/>
      <c r="J740" s="511"/>
      <c r="K740" s="511"/>
      <c r="L740" s="511"/>
      <c r="M740" s="511"/>
      <c r="N740" s="511"/>
      <c r="O740" s="511"/>
      <c r="P740" s="511"/>
      <c r="Q740" s="511"/>
      <c r="R740" s="511"/>
      <c r="S740" s="511"/>
      <c r="T740" s="511"/>
    </row>
    <row r="741" spans="2:20" ht="12.75" customHeight="1">
      <c r="B741" s="511"/>
      <c r="C741" s="511"/>
      <c r="D741" s="511"/>
      <c r="E741" s="511"/>
      <c r="F741" s="511"/>
      <c r="G741" s="511"/>
      <c r="H741" s="511"/>
      <c r="I741" s="511"/>
      <c r="J741" s="511"/>
      <c r="K741" s="511"/>
      <c r="L741" s="511"/>
      <c r="M741" s="511"/>
      <c r="N741" s="511"/>
      <c r="O741" s="511"/>
      <c r="P741" s="511"/>
      <c r="Q741" s="511"/>
      <c r="R741" s="511"/>
      <c r="S741" s="511"/>
      <c r="T741" s="511"/>
    </row>
    <row r="742" spans="2:20" ht="12.75" customHeight="1">
      <c r="B742" s="511"/>
      <c r="C742" s="511"/>
      <c r="D742" s="511"/>
      <c r="E742" s="511"/>
      <c r="F742" s="511"/>
      <c r="G742" s="511"/>
      <c r="H742" s="511"/>
      <c r="I742" s="511"/>
      <c r="J742" s="511"/>
      <c r="K742" s="511"/>
      <c r="L742" s="511"/>
      <c r="M742" s="511"/>
      <c r="N742" s="511"/>
      <c r="O742" s="511"/>
      <c r="P742" s="511"/>
      <c r="Q742" s="511"/>
      <c r="R742" s="511"/>
      <c r="S742" s="511"/>
      <c r="T742" s="511"/>
    </row>
    <row r="743" spans="2:20" ht="12.75" customHeight="1">
      <c r="B743" s="511"/>
      <c r="C743" s="511"/>
      <c r="D743" s="511"/>
      <c r="E743" s="511"/>
      <c r="F743" s="511"/>
      <c r="G743" s="511"/>
      <c r="H743" s="511"/>
      <c r="I743" s="511"/>
      <c r="J743" s="511"/>
      <c r="K743" s="511"/>
      <c r="L743" s="511"/>
      <c r="M743" s="511"/>
      <c r="N743" s="511"/>
      <c r="O743" s="511"/>
      <c r="P743" s="511"/>
      <c r="Q743" s="511"/>
      <c r="R743" s="511"/>
      <c r="S743" s="511"/>
      <c r="T743" s="511"/>
    </row>
    <row r="744" spans="2:20" ht="12.75" customHeight="1">
      <c r="B744" s="511"/>
      <c r="C744" s="511"/>
      <c r="D744" s="511"/>
      <c r="E744" s="511"/>
      <c r="F744" s="511"/>
      <c r="G744" s="511"/>
      <c r="H744" s="511"/>
      <c r="I744" s="511"/>
      <c r="J744" s="511"/>
      <c r="K744" s="511"/>
      <c r="L744" s="511"/>
      <c r="M744" s="511"/>
      <c r="N744" s="511"/>
      <c r="O744" s="511"/>
      <c r="P744" s="511"/>
      <c r="Q744" s="511"/>
      <c r="R744" s="511"/>
      <c r="S744" s="511"/>
      <c r="T744" s="511"/>
    </row>
    <row r="745" spans="2:20" ht="12.75" customHeight="1">
      <c r="B745" s="511"/>
      <c r="C745" s="511"/>
      <c r="D745" s="511"/>
      <c r="E745" s="511"/>
      <c r="F745" s="511"/>
      <c r="G745" s="511"/>
      <c r="H745" s="511"/>
      <c r="I745" s="511"/>
      <c r="J745" s="511"/>
      <c r="K745" s="511"/>
      <c r="L745" s="511"/>
      <c r="M745" s="511"/>
      <c r="N745" s="511"/>
      <c r="O745" s="511"/>
      <c r="P745" s="511"/>
      <c r="Q745" s="511"/>
      <c r="R745" s="511"/>
      <c r="S745" s="511"/>
      <c r="T745" s="511"/>
    </row>
    <row r="746" spans="2:20" ht="12.75" customHeight="1">
      <c r="B746" s="511"/>
      <c r="C746" s="511"/>
      <c r="D746" s="511"/>
      <c r="E746" s="511"/>
      <c r="F746" s="511"/>
      <c r="G746" s="511"/>
      <c r="H746" s="511"/>
      <c r="I746" s="511"/>
      <c r="J746" s="511"/>
      <c r="K746" s="511"/>
      <c r="L746" s="511"/>
      <c r="M746" s="511"/>
      <c r="N746" s="511"/>
      <c r="O746" s="511"/>
      <c r="P746" s="511"/>
      <c r="Q746" s="511"/>
      <c r="R746" s="511"/>
      <c r="S746" s="511"/>
      <c r="T746" s="511"/>
    </row>
    <row r="747" spans="2:20" ht="12.75" customHeight="1">
      <c r="B747" s="511"/>
      <c r="C747" s="511"/>
      <c r="D747" s="511"/>
      <c r="E747" s="511"/>
      <c r="F747" s="511"/>
      <c r="G747" s="511"/>
      <c r="H747" s="511"/>
      <c r="I747" s="511"/>
      <c r="J747" s="511"/>
      <c r="K747" s="511"/>
      <c r="L747" s="511"/>
      <c r="M747" s="511"/>
      <c r="N747" s="511"/>
      <c r="O747" s="511"/>
      <c r="P747" s="511"/>
      <c r="Q747" s="511"/>
      <c r="R747" s="511"/>
      <c r="S747" s="511"/>
      <c r="T747" s="511"/>
    </row>
    <row r="748" spans="2:20" ht="12.75" customHeight="1">
      <c r="B748" s="511"/>
      <c r="C748" s="511"/>
      <c r="D748" s="511"/>
      <c r="E748" s="511"/>
      <c r="F748" s="511"/>
      <c r="G748" s="511"/>
      <c r="H748" s="511"/>
      <c r="I748" s="511"/>
      <c r="J748" s="511"/>
      <c r="K748" s="511"/>
      <c r="L748" s="511"/>
      <c r="M748" s="511"/>
      <c r="N748" s="511"/>
      <c r="O748" s="511"/>
      <c r="P748" s="511"/>
      <c r="Q748" s="511"/>
      <c r="R748" s="511"/>
      <c r="S748" s="511"/>
      <c r="T748" s="511"/>
    </row>
    <row r="749" spans="2:20" ht="12.75" customHeight="1">
      <c r="B749" s="511"/>
      <c r="C749" s="511"/>
      <c r="D749" s="511"/>
      <c r="E749" s="511"/>
      <c r="F749" s="511"/>
      <c r="G749" s="511"/>
      <c r="H749" s="511"/>
      <c r="I749" s="511"/>
      <c r="J749" s="511"/>
      <c r="K749" s="511"/>
      <c r="L749" s="511"/>
      <c r="M749" s="511"/>
      <c r="N749" s="511"/>
      <c r="O749" s="511"/>
      <c r="P749" s="511"/>
      <c r="Q749" s="511"/>
      <c r="R749" s="511"/>
      <c r="S749" s="511"/>
      <c r="T749" s="511"/>
    </row>
    <row r="750" spans="2:20" ht="12.75" customHeight="1">
      <c r="B750" s="511"/>
      <c r="C750" s="511"/>
      <c r="D750" s="511"/>
      <c r="E750" s="511"/>
      <c r="F750" s="511"/>
      <c r="G750" s="511"/>
      <c r="H750" s="511"/>
      <c r="I750" s="511"/>
      <c r="J750" s="511"/>
      <c r="K750" s="511"/>
      <c r="L750" s="511"/>
      <c r="M750" s="511"/>
      <c r="N750" s="511"/>
      <c r="O750" s="511"/>
      <c r="P750" s="511"/>
      <c r="Q750" s="511"/>
      <c r="R750" s="511"/>
      <c r="S750" s="511"/>
      <c r="T750" s="511"/>
    </row>
    <row r="751" spans="2:20" ht="12.75" customHeight="1">
      <c r="B751" s="511"/>
      <c r="C751" s="511"/>
      <c r="D751" s="511"/>
      <c r="E751" s="511"/>
      <c r="F751" s="511"/>
      <c r="G751" s="511"/>
      <c r="H751" s="511"/>
      <c r="I751" s="511"/>
      <c r="J751" s="511"/>
      <c r="K751" s="511"/>
      <c r="L751" s="511"/>
      <c r="M751" s="511"/>
      <c r="N751" s="511"/>
      <c r="O751" s="511"/>
      <c r="P751" s="511"/>
      <c r="Q751" s="511"/>
      <c r="R751" s="511"/>
      <c r="S751" s="511"/>
      <c r="T751" s="511"/>
    </row>
    <row r="752" spans="2:20" ht="12.75" customHeight="1">
      <c r="B752" s="511"/>
      <c r="C752" s="511"/>
      <c r="D752" s="511"/>
      <c r="E752" s="511"/>
      <c r="F752" s="511"/>
      <c r="G752" s="511"/>
      <c r="H752" s="511"/>
      <c r="I752" s="511"/>
      <c r="J752" s="511"/>
      <c r="K752" s="511"/>
      <c r="L752" s="511"/>
      <c r="M752" s="511"/>
      <c r="N752" s="511"/>
      <c r="O752" s="511"/>
      <c r="P752" s="511"/>
      <c r="Q752" s="511"/>
      <c r="R752" s="511"/>
      <c r="S752" s="511"/>
      <c r="T752" s="511"/>
    </row>
    <row r="753" spans="2:20" ht="12.75" customHeight="1">
      <c r="B753" s="511"/>
      <c r="C753" s="511"/>
      <c r="D753" s="511"/>
      <c r="E753" s="511"/>
      <c r="F753" s="511"/>
      <c r="G753" s="511"/>
      <c r="H753" s="511"/>
      <c r="I753" s="511"/>
      <c r="J753" s="511"/>
      <c r="K753" s="511"/>
      <c r="L753" s="511"/>
      <c r="M753" s="511"/>
      <c r="N753" s="511"/>
      <c r="O753" s="511"/>
      <c r="P753" s="511"/>
      <c r="Q753" s="511"/>
      <c r="R753" s="511"/>
      <c r="S753" s="511"/>
      <c r="T753" s="511"/>
    </row>
    <row r="754" spans="2:20" ht="12.75" customHeight="1">
      <c r="B754" s="511"/>
      <c r="C754" s="511"/>
      <c r="D754" s="511"/>
      <c r="E754" s="511"/>
      <c r="F754" s="511"/>
      <c r="G754" s="511"/>
      <c r="H754" s="511"/>
      <c r="I754" s="511"/>
      <c r="J754" s="511"/>
      <c r="K754" s="511"/>
      <c r="L754" s="511"/>
      <c r="M754" s="511"/>
      <c r="N754" s="511"/>
      <c r="O754" s="511"/>
      <c r="P754" s="511"/>
      <c r="Q754" s="511"/>
      <c r="R754" s="511"/>
      <c r="S754" s="511"/>
      <c r="T754" s="511"/>
    </row>
    <row r="755" spans="2:20" ht="12.75" customHeight="1">
      <c r="B755" s="511"/>
      <c r="C755" s="511"/>
      <c r="D755" s="511"/>
      <c r="E755" s="511"/>
      <c r="F755" s="511"/>
      <c r="G755" s="511"/>
      <c r="H755" s="511"/>
      <c r="I755" s="511"/>
      <c r="J755" s="511"/>
      <c r="K755" s="511"/>
      <c r="L755" s="511"/>
      <c r="M755" s="511"/>
      <c r="N755" s="511"/>
      <c r="O755" s="511"/>
      <c r="P755" s="511"/>
      <c r="Q755" s="511"/>
      <c r="R755" s="511"/>
      <c r="S755" s="511"/>
      <c r="T755" s="511"/>
    </row>
    <row r="756" spans="2:20" ht="12.75" customHeight="1">
      <c r="B756" s="511"/>
      <c r="C756" s="511"/>
      <c r="D756" s="511"/>
      <c r="E756" s="511"/>
      <c r="F756" s="511"/>
      <c r="G756" s="511"/>
      <c r="H756" s="511"/>
      <c r="I756" s="511"/>
      <c r="J756" s="511"/>
      <c r="K756" s="511"/>
      <c r="L756" s="511"/>
      <c r="M756" s="511"/>
      <c r="N756" s="511"/>
      <c r="O756" s="511"/>
      <c r="P756" s="511"/>
      <c r="Q756" s="511"/>
      <c r="R756" s="511"/>
      <c r="S756" s="511"/>
      <c r="T756" s="511"/>
    </row>
    <row r="757" spans="2:20" ht="12.75" customHeight="1">
      <c r="B757" s="511"/>
      <c r="C757" s="511"/>
      <c r="D757" s="511"/>
      <c r="E757" s="511"/>
      <c r="F757" s="511"/>
      <c r="G757" s="511"/>
      <c r="H757" s="511"/>
      <c r="I757" s="511"/>
      <c r="J757" s="511"/>
      <c r="K757" s="511"/>
      <c r="L757" s="511"/>
      <c r="M757" s="511"/>
      <c r="N757" s="511"/>
      <c r="O757" s="511"/>
      <c r="P757" s="511"/>
      <c r="Q757" s="511"/>
      <c r="R757" s="511"/>
      <c r="S757" s="511"/>
      <c r="T757" s="511"/>
    </row>
    <row r="758" spans="2:20" ht="12.75" customHeight="1">
      <c r="B758" s="511"/>
      <c r="C758" s="511"/>
      <c r="D758" s="511"/>
      <c r="E758" s="511"/>
      <c r="F758" s="511"/>
      <c r="G758" s="511"/>
      <c r="H758" s="511"/>
      <c r="I758" s="511"/>
      <c r="J758" s="511"/>
      <c r="K758" s="511"/>
      <c r="L758" s="511"/>
      <c r="M758" s="511"/>
      <c r="N758" s="511"/>
      <c r="O758" s="511"/>
      <c r="P758" s="511"/>
      <c r="Q758" s="511"/>
      <c r="R758" s="511"/>
      <c r="S758" s="511"/>
      <c r="T758" s="511"/>
    </row>
    <row r="759" spans="2:20" ht="12.75" customHeight="1">
      <c r="B759" s="511"/>
      <c r="C759" s="511"/>
      <c r="D759" s="511"/>
      <c r="E759" s="511"/>
      <c r="F759" s="511"/>
      <c r="G759" s="511"/>
      <c r="H759" s="511"/>
      <c r="I759" s="511"/>
      <c r="J759" s="511"/>
      <c r="K759" s="511"/>
      <c r="L759" s="511"/>
      <c r="M759" s="511"/>
      <c r="N759" s="511"/>
      <c r="O759" s="511"/>
      <c r="P759" s="511"/>
      <c r="Q759" s="511"/>
      <c r="R759" s="511"/>
      <c r="S759" s="511"/>
      <c r="T759" s="511"/>
    </row>
    <row r="760" spans="2:20" ht="12.75" customHeight="1">
      <c r="B760" s="511"/>
      <c r="C760" s="511"/>
      <c r="D760" s="511"/>
      <c r="E760" s="511"/>
      <c r="F760" s="511"/>
      <c r="G760" s="511"/>
      <c r="H760" s="511"/>
      <c r="I760" s="511"/>
      <c r="J760" s="511"/>
      <c r="K760" s="511"/>
      <c r="L760" s="511"/>
      <c r="M760" s="511"/>
      <c r="N760" s="511"/>
      <c r="O760" s="511"/>
      <c r="P760" s="511"/>
      <c r="Q760" s="511"/>
      <c r="R760" s="511"/>
      <c r="S760" s="511"/>
      <c r="T760" s="511"/>
    </row>
    <row r="761" spans="2:20" ht="12.75" customHeight="1">
      <c r="B761" s="511"/>
      <c r="C761" s="511"/>
      <c r="D761" s="511"/>
      <c r="E761" s="511"/>
      <c r="F761" s="511"/>
      <c r="G761" s="511"/>
      <c r="H761" s="511"/>
      <c r="I761" s="511"/>
      <c r="J761" s="511"/>
      <c r="K761" s="511"/>
      <c r="L761" s="511"/>
      <c r="M761" s="511"/>
      <c r="N761" s="511"/>
      <c r="O761" s="511"/>
      <c r="P761" s="511"/>
      <c r="Q761" s="511"/>
      <c r="R761" s="511"/>
      <c r="S761" s="511"/>
      <c r="T761" s="511"/>
    </row>
    <row r="762" spans="2:20" ht="12.75" customHeight="1">
      <c r="B762" s="511"/>
      <c r="C762" s="511"/>
      <c r="D762" s="511"/>
      <c r="E762" s="511"/>
      <c r="F762" s="511"/>
      <c r="G762" s="511"/>
      <c r="H762" s="511"/>
      <c r="I762" s="511"/>
      <c r="J762" s="511"/>
      <c r="K762" s="511"/>
      <c r="L762" s="511"/>
      <c r="M762" s="511"/>
      <c r="N762" s="511"/>
      <c r="O762" s="511"/>
      <c r="P762" s="511"/>
      <c r="Q762" s="511"/>
      <c r="R762" s="511"/>
      <c r="S762" s="511"/>
      <c r="T762" s="511"/>
    </row>
    <row r="763" spans="2:20" ht="12.75" customHeight="1">
      <c r="B763" s="511"/>
      <c r="C763" s="511"/>
      <c r="D763" s="511"/>
      <c r="E763" s="511"/>
      <c r="F763" s="511"/>
      <c r="G763" s="511"/>
      <c r="H763" s="511"/>
      <c r="I763" s="511"/>
      <c r="J763" s="511"/>
      <c r="K763" s="511"/>
      <c r="L763" s="511"/>
      <c r="M763" s="511"/>
      <c r="N763" s="511"/>
      <c r="O763" s="511"/>
      <c r="P763" s="511"/>
      <c r="Q763" s="511"/>
      <c r="R763" s="511"/>
      <c r="S763" s="511"/>
      <c r="T763" s="511"/>
    </row>
    <row r="764" spans="2:20" ht="12.75" customHeight="1">
      <c r="B764" s="511"/>
      <c r="C764" s="511"/>
      <c r="D764" s="511"/>
      <c r="E764" s="511"/>
      <c r="F764" s="511"/>
      <c r="G764" s="511"/>
      <c r="H764" s="511"/>
      <c r="I764" s="511"/>
      <c r="J764" s="511"/>
      <c r="K764" s="511"/>
      <c r="L764" s="511"/>
      <c r="M764" s="511"/>
      <c r="N764" s="511"/>
      <c r="O764" s="511"/>
      <c r="P764" s="511"/>
      <c r="Q764" s="511"/>
      <c r="R764" s="511"/>
      <c r="S764" s="511"/>
      <c r="T764" s="511"/>
    </row>
    <row r="765" spans="2:20" ht="12.75" customHeight="1">
      <c r="B765" s="511"/>
      <c r="C765" s="511"/>
      <c r="D765" s="511"/>
      <c r="E765" s="511"/>
      <c r="F765" s="511"/>
      <c r="G765" s="511"/>
      <c r="H765" s="511"/>
      <c r="I765" s="511"/>
      <c r="J765" s="511"/>
      <c r="K765" s="511"/>
      <c r="L765" s="511"/>
      <c r="M765" s="511"/>
      <c r="N765" s="511"/>
      <c r="O765" s="511"/>
      <c r="P765" s="511"/>
      <c r="Q765" s="511"/>
      <c r="R765" s="511"/>
      <c r="S765" s="511"/>
      <c r="T765" s="511"/>
    </row>
    <row r="766" spans="2:20" ht="12.75" customHeight="1">
      <c r="B766" s="511"/>
      <c r="C766" s="511"/>
      <c r="D766" s="511"/>
      <c r="E766" s="511"/>
      <c r="F766" s="511"/>
      <c r="G766" s="511"/>
      <c r="H766" s="511"/>
      <c r="I766" s="511"/>
      <c r="J766" s="511"/>
      <c r="K766" s="511"/>
      <c r="L766" s="511"/>
      <c r="M766" s="511"/>
      <c r="N766" s="511"/>
      <c r="O766" s="511"/>
      <c r="P766" s="511"/>
      <c r="Q766" s="511"/>
      <c r="R766" s="511"/>
      <c r="S766" s="511"/>
      <c r="T766" s="511"/>
    </row>
    <row r="767" spans="2:20" ht="12.75" customHeight="1">
      <c r="B767" s="511"/>
      <c r="C767" s="511"/>
      <c r="D767" s="511"/>
      <c r="E767" s="511"/>
      <c r="F767" s="511"/>
      <c r="G767" s="511"/>
      <c r="H767" s="511"/>
      <c r="I767" s="511"/>
      <c r="J767" s="511"/>
      <c r="K767" s="511"/>
      <c r="L767" s="511"/>
      <c r="M767" s="511"/>
      <c r="N767" s="511"/>
      <c r="O767" s="511"/>
      <c r="P767" s="511"/>
      <c r="Q767" s="511"/>
      <c r="R767" s="511"/>
      <c r="S767" s="511"/>
      <c r="T767" s="511"/>
    </row>
    <row r="768" spans="2:20" ht="12.75" customHeight="1">
      <c r="B768" s="511"/>
      <c r="C768" s="511"/>
      <c r="D768" s="511"/>
      <c r="E768" s="511"/>
      <c r="F768" s="511"/>
      <c r="G768" s="511"/>
      <c r="H768" s="511"/>
      <c r="I768" s="511"/>
      <c r="J768" s="511"/>
      <c r="K768" s="511"/>
      <c r="L768" s="511"/>
      <c r="M768" s="511"/>
      <c r="N768" s="511"/>
      <c r="O768" s="511"/>
      <c r="P768" s="511"/>
      <c r="Q768" s="511"/>
      <c r="R768" s="511"/>
      <c r="S768" s="511"/>
      <c r="T768" s="511"/>
    </row>
    <row r="769" spans="2:20" ht="12.75" customHeight="1">
      <c r="B769" s="511"/>
      <c r="C769" s="511"/>
      <c r="D769" s="511"/>
      <c r="E769" s="511"/>
      <c r="F769" s="511"/>
      <c r="G769" s="511"/>
      <c r="H769" s="511"/>
      <c r="I769" s="511"/>
      <c r="J769" s="511"/>
      <c r="K769" s="511"/>
      <c r="L769" s="511"/>
      <c r="M769" s="511"/>
      <c r="N769" s="511"/>
      <c r="O769" s="511"/>
      <c r="P769" s="511"/>
      <c r="Q769" s="511"/>
      <c r="R769" s="511"/>
      <c r="S769" s="511"/>
      <c r="T769" s="511"/>
    </row>
    <row r="770" spans="2:20" ht="12.75" customHeight="1">
      <c r="B770" s="511"/>
      <c r="C770" s="511"/>
      <c r="D770" s="511"/>
      <c r="E770" s="511"/>
      <c r="F770" s="511"/>
      <c r="G770" s="511"/>
      <c r="H770" s="511"/>
      <c r="I770" s="511"/>
      <c r="J770" s="511"/>
      <c r="K770" s="511"/>
      <c r="L770" s="511"/>
      <c r="M770" s="511"/>
      <c r="N770" s="511"/>
      <c r="O770" s="511"/>
      <c r="P770" s="511"/>
      <c r="Q770" s="511"/>
      <c r="R770" s="511"/>
      <c r="S770" s="511"/>
      <c r="T770" s="511"/>
    </row>
    <row r="771" spans="2:20" ht="12.75" customHeight="1">
      <c r="B771" s="511"/>
      <c r="C771" s="511"/>
      <c r="D771" s="511"/>
      <c r="E771" s="511"/>
      <c r="F771" s="511"/>
      <c r="G771" s="511"/>
      <c r="H771" s="511"/>
      <c r="I771" s="511"/>
      <c r="J771" s="511"/>
      <c r="K771" s="511"/>
      <c r="L771" s="511"/>
      <c r="M771" s="511"/>
      <c r="N771" s="511"/>
      <c r="O771" s="511"/>
      <c r="P771" s="511"/>
      <c r="Q771" s="511"/>
      <c r="R771" s="511"/>
      <c r="S771" s="511"/>
      <c r="T771" s="511"/>
    </row>
    <row r="772" spans="2:20" ht="12.75" customHeight="1">
      <c r="B772" s="511"/>
      <c r="C772" s="511"/>
      <c r="D772" s="511"/>
      <c r="E772" s="511"/>
      <c r="F772" s="511"/>
      <c r="G772" s="511"/>
      <c r="H772" s="511"/>
      <c r="I772" s="511"/>
      <c r="J772" s="511"/>
      <c r="K772" s="511"/>
      <c r="L772" s="511"/>
      <c r="M772" s="511"/>
      <c r="N772" s="511"/>
      <c r="O772" s="511"/>
      <c r="P772" s="511"/>
      <c r="Q772" s="511"/>
      <c r="R772" s="511"/>
      <c r="S772" s="511"/>
      <c r="T772" s="511"/>
    </row>
    <row r="773" spans="2:20" ht="12.75" customHeight="1">
      <c r="B773" s="511"/>
      <c r="C773" s="511"/>
      <c r="D773" s="511"/>
      <c r="E773" s="511"/>
      <c r="F773" s="511"/>
      <c r="G773" s="511"/>
      <c r="H773" s="511"/>
      <c r="I773" s="511"/>
      <c r="J773" s="511"/>
      <c r="K773" s="511"/>
      <c r="L773" s="511"/>
      <c r="M773" s="511"/>
      <c r="N773" s="511"/>
      <c r="O773" s="511"/>
      <c r="P773" s="511"/>
      <c r="Q773" s="511"/>
      <c r="R773" s="511"/>
      <c r="S773" s="511"/>
      <c r="T773" s="511"/>
    </row>
    <row r="774" spans="2:20" ht="12.75" customHeight="1">
      <c r="B774" s="511"/>
      <c r="C774" s="511"/>
      <c r="D774" s="511"/>
      <c r="E774" s="511"/>
      <c r="F774" s="511"/>
      <c r="G774" s="511"/>
      <c r="H774" s="511"/>
      <c r="I774" s="511"/>
      <c r="J774" s="511"/>
      <c r="K774" s="511"/>
      <c r="L774" s="511"/>
      <c r="M774" s="511"/>
      <c r="N774" s="511"/>
      <c r="O774" s="511"/>
      <c r="P774" s="511"/>
      <c r="Q774" s="511"/>
      <c r="R774" s="511"/>
      <c r="S774" s="511"/>
      <c r="T774" s="511"/>
    </row>
    <row r="775" spans="2:20" ht="12.75" customHeight="1">
      <c r="B775" s="511"/>
      <c r="C775" s="511"/>
      <c r="D775" s="511"/>
      <c r="E775" s="511"/>
      <c r="F775" s="511"/>
      <c r="G775" s="511"/>
      <c r="H775" s="511"/>
      <c r="I775" s="511"/>
      <c r="J775" s="511"/>
      <c r="K775" s="511"/>
      <c r="L775" s="511"/>
      <c r="M775" s="511"/>
      <c r="N775" s="511"/>
      <c r="O775" s="511"/>
      <c r="P775" s="511"/>
      <c r="Q775" s="511"/>
      <c r="R775" s="511"/>
      <c r="S775" s="511"/>
      <c r="T775" s="511"/>
    </row>
    <row r="776" spans="2:20" ht="12.75" customHeight="1">
      <c r="B776" s="511"/>
      <c r="C776" s="511"/>
      <c r="D776" s="511"/>
      <c r="E776" s="511"/>
      <c r="F776" s="511"/>
      <c r="G776" s="511"/>
      <c r="H776" s="511"/>
      <c r="I776" s="511"/>
      <c r="J776" s="511"/>
      <c r="K776" s="511"/>
      <c r="L776" s="511"/>
      <c r="M776" s="511"/>
      <c r="N776" s="511"/>
      <c r="O776" s="511"/>
      <c r="P776" s="511"/>
      <c r="Q776" s="511"/>
      <c r="R776" s="511"/>
      <c r="S776" s="511"/>
      <c r="T776" s="511"/>
    </row>
    <row r="777" spans="2:20" ht="12.75" customHeight="1">
      <c r="B777" s="511"/>
      <c r="C777" s="511"/>
      <c r="D777" s="511"/>
      <c r="E777" s="511"/>
      <c r="F777" s="511"/>
      <c r="G777" s="511"/>
      <c r="H777" s="511"/>
      <c r="I777" s="511"/>
      <c r="J777" s="511"/>
      <c r="K777" s="511"/>
      <c r="L777" s="511"/>
      <c r="M777" s="511"/>
      <c r="N777" s="511"/>
      <c r="O777" s="511"/>
      <c r="P777" s="511"/>
      <c r="Q777" s="511"/>
      <c r="R777" s="511"/>
      <c r="S777" s="511"/>
      <c r="T777" s="511"/>
    </row>
    <row r="778" spans="2:20" ht="12.75" customHeight="1">
      <c r="B778" s="511"/>
      <c r="C778" s="511"/>
      <c r="D778" s="511"/>
      <c r="E778" s="511"/>
      <c r="F778" s="511"/>
      <c r="G778" s="511"/>
      <c r="H778" s="511"/>
      <c r="I778" s="511"/>
      <c r="J778" s="511"/>
      <c r="K778" s="511"/>
      <c r="L778" s="511"/>
      <c r="M778" s="511"/>
      <c r="N778" s="511"/>
      <c r="O778" s="511"/>
      <c r="P778" s="511"/>
      <c r="Q778" s="511"/>
      <c r="R778" s="511"/>
      <c r="S778" s="511"/>
      <c r="T778" s="511"/>
    </row>
    <row r="779" spans="2:20" ht="12.75" customHeight="1">
      <c r="B779" s="511"/>
      <c r="C779" s="511"/>
      <c r="D779" s="511"/>
      <c r="E779" s="511"/>
      <c r="F779" s="511"/>
      <c r="G779" s="511"/>
      <c r="H779" s="511"/>
      <c r="I779" s="511"/>
      <c r="J779" s="511"/>
      <c r="K779" s="511"/>
      <c r="L779" s="511"/>
      <c r="M779" s="511"/>
      <c r="N779" s="511"/>
      <c r="O779" s="511"/>
      <c r="P779" s="511"/>
      <c r="Q779" s="511"/>
      <c r="R779" s="511"/>
      <c r="S779" s="511"/>
      <c r="T779" s="511"/>
    </row>
    <row r="780" spans="2:20" ht="12.75" customHeight="1">
      <c r="B780" s="511"/>
      <c r="C780" s="511"/>
      <c r="D780" s="511"/>
      <c r="E780" s="511"/>
      <c r="F780" s="511"/>
      <c r="G780" s="511"/>
      <c r="H780" s="511"/>
      <c r="I780" s="511"/>
      <c r="J780" s="511"/>
      <c r="K780" s="511"/>
      <c r="L780" s="511"/>
      <c r="M780" s="511"/>
      <c r="N780" s="511"/>
      <c r="O780" s="511"/>
      <c r="P780" s="511"/>
      <c r="Q780" s="511"/>
      <c r="R780" s="511"/>
      <c r="S780" s="511"/>
      <c r="T780" s="511"/>
    </row>
    <row r="781" spans="2:20" ht="12.75" customHeight="1">
      <c r="B781" s="511"/>
      <c r="C781" s="511"/>
      <c r="D781" s="511"/>
      <c r="E781" s="511"/>
      <c r="F781" s="511"/>
      <c r="G781" s="511"/>
      <c r="H781" s="511"/>
      <c r="I781" s="511"/>
      <c r="J781" s="511"/>
      <c r="K781" s="511"/>
      <c r="L781" s="511"/>
      <c r="M781" s="511"/>
      <c r="N781" s="511"/>
      <c r="O781" s="511"/>
      <c r="P781" s="511"/>
      <c r="Q781" s="511"/>
      <c r="R781" s="511"/>
      <c r="S781" s="511"/>
      <c r="T781" s="511"/>
    </row>
    <row r="782" spans="2:20" ht="12.75" customHeight="1">
      <c r="B782" s="511"/>
      <c r="C782" s="511"/>
      <c r="D782" s="511"/>
      <c r="E782" s="511"/>
      <c r="F782" s="511"/>
      <c r="G782" s="511"/>
      <c r="H782" s="511"/>
      <c r="I782" s="511"/>
      <c r="J782" s="511"/>
      <c r="K782" s="511"/>
      <c r="L782" s="511"/>
      <c r="M782" s="511"/>
      <c r="N782" s="511"/>
      <c r="O782" s="511"/>
      <c r="P782" s="511"/>
      <c r="Q782" s="511"/>
      <c r="R782" s="511"/>
      <c r="S782" s="511"/>
      <c r="T782" s="511"/>
    </row>
    <row r="783" spans="2:20" ht="12.75" customHeight="1">
      <c r="B783" s="511"/>
      <c r="C783" s="511"/>
      <c r="D783" s="511"/>
      <c r="E783" s="511"/>
      <c r="F783" s="511"/>
      <c r="G783" s="511"/>
      <c r="H783" s="511"/>
      <c r="I783" s="511"/>
      <c r="J783" s="511"/>
      <c r="K783" s="511"/>
      <c r="L783" s="511"/>
      <c r="M783" s="511"/>
      <c r="N783" s="511"/>
      <c r="O783" s="511"/>
      <c r="P783" s="511"/>
      <c r="Q783" s="511"/>
      <c r="R783" s="511"/>
      <c r="S783" s="511"/>
      <c r="T783" s="511"/>
    </row>
    <row r="784" spans="2:20" ht="12.75" customHeight="1">
      <c r="B784" s="511"/>
      <c r="C784" s="511"/>
      <c r="D784" s="511"/>
      <c r="E784" s="511"/>
      <c r="F784" s="511"/>
      <c r="G784" s="511"/>
      <c r="H784" s="511"/>
      <c r="I784" s="511"/>
      <c r="J784" s="511"/>
      <c r="K784" s="511"/>
      <c r="L784" s="511"/>
      <c r="M784" s="511"/>
      <c r="N784" s="511"/>
      <c r="O784" s="511"/>
      <c r="P784" s="511"/>
      <c r="Q784" s="511"/>
      <c r="R784" s="511"/>
      <c r="S784" s="511"/>
      <c r="T784" s="511"/>
    </row>
    <row r="785" spans="2:20" ht="12.75" customHeight="1">
      <c r="B785" s="511"/>
      <c r="C785" s="511"/>
      <c r="D785" s="511"/>
      <c r="E785" s="511"/>
      <c r="F785" s="511"/>
      <c r="G785" s="511"/>
      <c r="H785" s="511"/>
      <c r="I785" s="511"/>
      <c r="J785" s="511"/>
      <c r="K785" s="511"/>
      <c r="L785" s="511"/>
      <c r="M785" s="511"/>
      <c r="N785" s="511"/>
      <c r="O785" s="511"/>
      <c r="P785" s="511"/>
      <c r="Q785" s="511"/>
      <c r="R785" s="511"/>
      <c r="S785" s="511"/>
      <c r="T785" s="511"/>
    </row>
    <row r="786" spans="2:20" ht="12.75" customHeight="1">
      <c r="B786" s="511"/>
      <c r="C786" s="511"/>
      <c r="D786" s="511"/>
      <c r="E786" s="511"/>
      <c r="F786" s="511"/>
      <c r="G786" s="511"/>
      <c r="H786" s="511"/>
      <c r="I786" s="511"/>
      <c r="J786" s="511"/>
      <c r="K786" s="511"/>
      <c r="L786" s="511"/>
      <c r="M786" s="511"/>
      <c r="N786" s="511"/>
      <c r="O786" s="511"/>
      <c r="P786" s="511"/>
      <c r="Q786" s="511"/>
      <c r="R786" s="511"/>
      <c r="S786" s="511"/>
      <c r="T786" s="511"/>
    </row>
    <row r="787" spans="2:20" ht="12.75" customHeight="1">
      <c r="B787" s="511"/>
      <c r="C787" s="511"/>
      <c r="D787" s="511"/>
      <c r="E787" s="511"/>
      <c r="F787" s="511"/>
      <c r="G787" s="511"/>
      <c r="H787" s="511"/>
      <c r="I787" s="511"/>
      <c r="J787" s="511"/>
      <c r="K787" s="511"/>
      <c r="L787" s="511"/>
      <c r="M787" s="511"/>
      <c r="N787" s="511"/>
      <c r="O787" s="511"/>
      <c r="P787" s="511"/>
      <c r="Q787" s="511"/>
      <c r="R787" s="511"/>
      <c r="S787" s="511"/>
      <c r="T787" s="511"/>
    </row>
    <row r="788" spans="2:20" ht="12.75" customHeight="1">
      <c r="B788" s="511"/>
      <c r="C788" s="511"/>
      <c r="D788" s="511"/>
      <c r="E788" s="511"/>
      <c r="F788" s="511"/>
      <c r="G788" s="511"/>
      <c r="H788" s="511"/>
      <c r="I788" s="511"/>
      <c r="J788" s="511"/>
      <c r="K788" s="511"/>
      <c r="L788" s="511"/>
      <c r="M788" s="511"/>
      <c r="N788" s="511"/>
      <c r="O788" s="511"/>
      <c r="P788" s="511"/>
      <c r="Q788" s="511"/>
      <c r="R788" s="511"/>
      <c r="S788" s="511"/>
      <c r="T788" s="511"/>
    </row>
    <row r="789" spans="2:20" ht="12.75" customHeight="1">
      <c r="B789" s="511"/>
      <c r="C789" s="511"/>
      <c r="D789" s="511"/>
      <c r="E789" s="511"/>
      <c r="F789" s="511"/>
      <c r="G789" s="511"/>
      <c r="H789" s="511"/>
      <c r="I789" s="511"/>
      <c r="J789" s="511"/>
      <c r="K789" s="511"/>
      <c r="L789" s="511"/>
      <c r="M789" s="511"/>
      <c r="N789" s="511"/>
      <c r="O789" s="511"/>
      <c r="P789" s="511"/>
      <c r="Q789" s="511"/>
      <c r="R789" s="511"/>
      <c r="S789" s="511"/>
      <c r="T789" s="511"/>
    </row>
    <row r="790" spans="2:20" ht="12.75" customHeight="1">
      <c r="B790" s="511"/>
      <c r="C790" s="511"/>
      <c r="D790" s="511"/>
      <c r="E790" s="511"/>
      <c r="F790" s="511"/>
      <c r="G790" s="511"/>
      <c r="H790" s="511"/>
      <c r="I790" s="511"/>
      <c r="J790" s="511"/>
      <c r="K790" s="511"/>
      <c r="L790" s="511"/>
      <c r="M790" s="511"/>
      <c r="N790" s="511"/>
      <c r="O790" s="511"/>
      <c r="P790" s="511"/>
      <c r="Q790" s="511"/>
      <c r="R790" s="511"/>
      <c r="S790" s="511"/>
      <c r="T790" s="511"/>
    </row>
    <row r="791" spans="2:20" ht="12.75" customHeight="1">
      <c r="B791" s="511"/>
      <c r="C791" s="511"/>
      <c r="D791" s="511"/>
      <c r="E791" s="511"/>
      <c r="F791" s="511"/>
      <c r="G791" s="511"/>
      <c r="H791" s="511"/>
      <c r="I791" s="511"/>
      <c r="J791" s="511"/>
      <c r="K791" s="511"/>
      <c r="L791" s="511"/>
      <c r="M791" s="511"/>
      <c r="N791" s="511"/>
      <c r="O791" s="511"/>
      <c r="P791" s="511"/>
      <c r="Q791" s="511"/>
      <c r="R791" s="511"/>
      <c r="S791" s="511"/>
      <c r="T791" s="511"/>
    </row>
    <row r="792" spans="2:20" ht="12.75" customHeight="1">
      <c r="B792" s="511"/>
      <c r="C792" s="511"/>
      <c r="D792" s="511"/>
      <c r="E792" s="511"/>
      <c r="F792" s="511"/>
      <c r="G792" s="511"/>
      <c r="H792" s="511"/>
      <c r="I792" s="511"/>
      <c r="J792" s="511"/>
      <c r="K792" s="511"/>
      <c r="L792" s="511"/>
      <c r="M792" s="511"/>
      <c r="N792" s="511"/>
      <c r="O792" s="511"/>
      <c r="P792" s="511"/>
      <c r="Q792" s="511"/>
      <c r="R792" s="511"/>
      <c r="S792" s="511"/>
      <c r="T792" s="511"/>
    </row>
    <row r="793" spans="2:20" ht="12.75" customHeight="1">
      <c r="B793" s="511"/>
      <c r="C793" s="511"/>
      <c r="D793" s="511"/>
      <c r="E793" s="511"/>
      <c r="F793" s="511"/>
      <c r="G793" s="511"/>
      <c r="H793" s="511"/>
      <c r="I793" s="511"/>
      <c r="J793" s="511"/>
      <c r="K793" s="511"/>
      <c r="L793" s="511"/>
      <c r="M793" s="511"/>
      <c r="N793" s="511"/>
      <c r="O793" s="511"/>
      <c r="P793" s="511"/>
      <c r="Q793" s="511"/>
      <c r="R793" s="511"/>
      <c r="S793" s="511"/>
      <c r="T793" s="511"/>
    </row>
    <row r="794" spans="2:20" ht="12.75" customHeight="1">
      <c r="B794" s="511"/>
      <c r="C794" s="511"/>
      <c r="D794" s="511"/>
      <c r="E794" s="511"/>
      <c r="F794" s="511"/>
      <c r="G794" s="511"/>
      <c r="H794" s="511"/>
      <c r="I794" s="511"/>
      <c r="J794" s="511"/>
      <c r="K794" s="511"/>
      <c r="L794" s="511"/>
      <c r="M794" s="511"/>
      <c r="N794" s="511"/>
      <c r="O794" s="511"/>
      <c r="P794" s="511"/>
      <c r="Q794" s="511"/>
      <c r="R794" s="511"/>
      <c r="S794" s="511"/>
      <c r="T794" s="511"/>
    </row>
    <row r="795" spans="2:20" ht="12.75" customHeight="1">
      <c r="B795" s="511"/>
      <c r="C795" s="511"/>
      <c r="D795" s="511"/>
      <c r="E795" s="511"/>
      <c r="F795" s="511"/>
      <c r="G795" s="511"/>
      <c r="H795" s="511"/>
      <c r="I795" s="511"/>
      <c r="J795" s="511"/>
      <c r="K795" s="511"/>
      <c r="L795" s="511"/>
      <c r="M795" s="511"/>
      <c r="N795" s="511"/>
      <c r="O795" s="511"/>
      <c r="P795" s="511"/>
      <c r="Q795" s="511"/>
      <c r="R795" s="511"/>
      <c r="S795" s="511"/>
      <c r="T795" s="511"/>
    </row>
    <row r="796" spans="2:20" ht="12.75" customHeight="1">
      <c r="B796" s="511"/>
      <c r="C796" s="511"/>
      <c r="D796" s="511"/>
      <c r="E796" s="511"/>
      <c r="F796" s="511"/>
      <c r="G796" s="511"/>
      <c r="H796" s="511"/>
      <c r="I796" s="511"/>
      <c r="J796" s="511"/>
      <c r="K796" s="511"/>
      <c r="L796" s="511"/>
      <c r="M796" s="511"/>
      <c r="N796" s="511"/>
      <c r="O796" s="511"/>
      <c r="P796" s="511"/>
      <c r="Q796" s="511"/>
      <c r="R796" s="511"/>
      <c r="S796" s="511"/>
      <c r="T796" s="511"/>
    </row>
    <row r="797" spans="2:20" ht="12.75" customHeight="1">
      <c r="B797" s="511"/>
      <c r="C797" s="511"/>
      <c r="D797" s="511"/>
      <c r="E797" s="511"/>
      <c r="F797" s="511"/>
      <c r="G797" s="511"/>
      <c r="H797" s="511"/>
      <c r="I797" s="511"/>
      <c r="J797" s="511"/>
      <c r="K797" s="511"/>
      <c r="L797" s="511"/>
      <c r="M797" s="511"/>
      <c r="N797" s="511"/>
      <c r="O797" s="511"/>
      <c r="P797" s="511"/>
      <c r="Q797" s="511"/>
      <c r="R797" s="511"/>
      <c r="S797" s="511"/>
      <c r="T797" s="511"/>
    </row>
    <row r="798" spans="2:20" ht="12.75" customHeight="1">
      <c r="B798" s="511"/>
      <c r="C798" s="511"/>
      <c r="D798" s="511"/>
      <c r="E798" s="511"/>
      <c r="F798" s="511"/>
      <c r="G798" s="511"/>
      <c r="H798" s="511"/>
      <c r="I798" s="511"/>
      <c r="J798" s="511"/>
      <c r="K798" s="511"/>
      <c r="L798" s="511"/>
      <c r="M798" s="511"/>
      <c r="N798" s="511"/>
      <c r="O798" s="511"/>
      <c r="P798" s="511"/>
      <c r="Q798" s="511"/>
      <c r="R798" s="511"/>
      <c r="S798" s="511"/>
      <c r="T798" s="511"/>
    </row>
    <row r="799" spans="2:20" ht="12.75" customHeight="1">
      <c r="B799" s="511"/>
      <c r="C799" s="511"/>
      <c r="D799" s="511"/>
      <c r="E799" s="511"/>
      <c r="F799" s="511"/>
      <c r="G799" s="511"/>
      <c r="H799" s="511"/>
      <c r="I799" s="511"/>
      <c r="J799" s="511"/>
      <c r="K799" s="511"/>
      <c r="L799" s="511"/>
      <c r="M799" s="511"/>
      <c r="N799" s="511"/>
      <c r="O799" s="511"/>
      <c r="P799" s="511"/>
      <c r="Q799" s="511"/>
      <c r="R799" s="511"/>
      <c r="S799" s="511"/>
      <c r="T799" s="511"/>
    </row>
    <row r="800" spans="2:20" ht="12.75" customHeight="1">
      <c r="B800" s="511"/>
      <c r="C800" s="511"/>
      <c r="D800" s="511"/>
      <c r="E800" s="511"/>
      <c r="F800" s="511"/>
      <c r="G800" s="511"/>
      <c r="H800" s="511"/>
      <c r="I800" s="511"/>
      <c r="J800" s="511"/>
      <c r="K800" s="511"/>
      <c r="L800" s="511"/>
      <c r="M800" s="511"/>
      <c r="N800" s="511"/>
      <c r="O800" s="511"/>
      <c r="P800" s="511"/>
      <c r="Q800" s="511"/>
      <c r="R800" s="511"/>
      <c r="S800" s="511"/>
      <c r="T800" s="511"/>
    </row>
    <row r="801" spans="2:20" ht="12.75" customHeight="1">
      <c r="B801" s="511"/>
      <c r="C801" s="511"/>
      <c r="D801" s="511"/>
      <c r="E801" s="511"/>
      <c r="F801" s="511"/>
      <c r="G801" s="511"/>
      <c r="H801" s="511"/>
      <c r="I801" s="511"/>
      <c r="J801" s="511"/>
      <c r="K801" s="511"/>
      <c r="L801" s="511"/>
      <c r="M801" s="511"/>
      <c r="N801" s="511"/>
      <c r="O801" s="511"/>
      <c r="P801" s="511"/>
      <c r="Q801" s="511"/>
      <c r="R801" s="511"/>
      <c r="S801" s="511"/>
      <c r="T801" s="511"/>
    </row>
  </sheetData>
  <mergeCells count="188">
    <mergeCell ref="CL330:CN330"/>
    <mergeCell ref="CL346:CN346"/>
    <mergeCell ref="CL328:CN328"/>
    <mergeCell ref="CL333:CN333"/>
    <mergeCell ref="CL304:CN304"/>
    <mergeCell ref="CL321:CN321"/>
    <mergeCell ref="CL324:CN324"/>
    <mergeCell ref="CL327:CN327"/>
    <mergeCell ref="CL340:CN340"/>
    <mergeCell ref="CL341:CN341"/>
    <mergeCell ref="CL308:CN308"/>
    <mergeCell ref="CL315:CN315"/>
    <mergeCell ref="CL318:CN318"/>
    <mergeCell ref="CL319:CN319"/>
    <mergeCell ref="CL334:CN334"/>
    <mergeCell ref="CL337:CN337"/>
    <mergeCell ref="CL305:CN305"/>
    <mergeCell ref="CL306:CN306"/>
    <mergeCell ref="CL311:CN311"/>
    <mergeCell ref="CL313:CN313"/>
    <mergeCell ref="CL320:CN320"/>
    <mergeCell ref="CL314:CN314"/>
    <mergeCell ref="CL322:CN322"/>
    <mergeCell ref="CL326:CN326"/>
    <mergeCell ref="CL294:CN294"/>
    <mergeCell ref="CL295:CN295"/>
    <mergeCell ref="CL307:CN307"/>
    <mergeCell ref="CL283:CN283"/>
    <mergeCell ref="CL284:CN284"/>
    <mergeCell ref="CL286:CN286"/>
    <mergeCell ref="CL287:CN287"/>
    <mergeCell ref="CL288:CN288"/>
    <mergeCell ref="CL289:CN289"/>
    <mergeCell ref="CL290:CN290"/>
    <mergeCell ref="CL291:CN291"/>
    <mergeCell ref="CL296:CN296"/>
    <mergeCell ref="CL298:CN298"/>
    <mergeCell ref="CL299:CN299"/>
    <mergeCell ref="CL300:CN300"/>
    <mergeCell ref="CL301:CN301"/>
    <mergeCell ref="CL302:CN302"/>
    <mergeCell ref="D350:AI372"/>
    <mergeCell ref="D374:AI397"/>
    <mergeCell ref="AK4:AL4"/>
    <mergeCell ref="AK5:AL5"/>
    <mergeCell ref="F277:AI277"/>
    <mergeCell ref="B277:D277"/>
    <mergeCell ref="B342:D342"/>
    <mergeCell ref="F342:AI342"/>
    <mergeCell ref="B31:D31"/>
    <mergeCell ref="F31:AI31"/>
    <mergeCell ref="AK6:AL6"/>
    <mergeCell ref="AK3:AL3"/>
    <mergeCell ref="AK1:CN1"/>
    <mergeCell ref="CL31:CN31"/>
    <mergeCell ref="CL32:CN32"/>
    <mergeCell ref="CL37:CN37"/>
    <mergeCell ref="CL42:CN42"/>
    <mergeCell ref="CL50:CN50"/>
    <mergeCell ref="AM2:CN2"/>
    <mergeCell ref="CL90:CN90"/>
    <mergeCell ref="CL74:CN74"/>
    <mergeCell ref="CL68:CN68"/>
    <mergeCell ref="CL33:CN33"/>
    <mergeCell ref="CL61:CN61"/>
    <mergeCell ref="CL66:CN66"/>
    <mergeCell ref="CL70:CN70"/>
    <mergeCell ref="CL72:CN72"/>
    <mergeCell ref="CL75:CN75"/>
    <mergeCell ref="AM3:CN3"/>
    <mergeCell ref="AM4:CN5"/>
    <mergeCell ref="BN14:BN31"/>
    <mergeCell ref="CL35:CN35"/>
    <mergeCell ref="CL51:CN51"/>
    <mergeCell ref="CL53:CN53"/>
    <mergeCell ref="CL54:CN54"/>
    <mergeCell ref="A1:A2"/>
    <mergeCell ref="C1:D2"/>
    <mergeCell ref="E1:F2"/>
    <mergeCell ref="H2:I2"/>
    <mergeCell ref="AK2:AL2"/>
    <mergeCell ref="K1:L1"/>
    <mergeCell ref="K2:N2"/>
    <mergeCell ref="M1:N1"/>
    <mergeCell ref="P1:R1"/>
    <mergeCell ref="P2:R2"/>
    <mergeCell ref="AJ1:AJ2"/>
    <mergeCell ref="CL108:CN108"/>
    <mergeCell ref="CL102:CN102"/>
    <mergeCell ref="CL101:CN101"/>
    <mergeCell ref="CL100:CN100"/>
    <mergeCell ref="CL98:CN98"/>
    <mergeCell ref="CL94:CN94"/>
    <mergeCell ref="CL135:CN135"/>
    <mergeCell ref="CL111:CN111"/>
    <mergeCell ref="CL95:CN95"/>
    <mergeCell ref="CL130:CN130"/>
    <mergeCell ref="CL131:CN131"/>
    <mergeCell ref="CL175:CN175"/>
    <mergeCell ref="CL177:CN177"/>
    <mergeCell ref="CL170:CN170"/>
    <mergeCell ref="CL152:CN152"/>
    <mergeCell ref="CL183:CN183"/>
    <mergeCell ref="CL59:CN59"/>
    <mergeCell ref="CL60:CN60"/>
    <mergeCell ref="CL179:CN179"/>
    <mergeCell ref="CL129:CN129"/>
    <mergeCell ref="CL126:CN126"/>
    <mergeCell ref="CL113:CN113"/>
    <mergeCell ref="CL104:CN104"/>
    <mergeCell ref="CL178:CN178"/>
    <mergeCell ref="CL180:CN180"/>
    <mergeCell ref="CL106:CN106"/>
    <mergeCell ref="CL143:CN143"/>
    <mergeCell ref="CL81:CN81"/>
    <mergeCell ref="CL88:CN88"/>
    <mergeCell ref="CL92:CN92"/>
    <mergeCell ref="CL93:CN93"/>
    <mergeCell ref="CL124:CN124"/>
    <mergeCell ref="CL120:CN120"/>
    <mergeCell ref="CL117:CN117"/>
    <mergeCell ref="CL114:CN114"/>
    <mergeCell ref="CL153:CN153"/>
    <mergeCell ref="CL134:CN134"/>
    <mergeCell ref="CL161:CN161"/>
    <mergeCell ref="CL167:CN167"/>
    <mergeCell ref="CL174:CN174"/>
    <mergeCell ref="CL157:CN157"/>
    <mergeCell ref="CL166:CN166"/>
    <mergeCell ref="CL151:CN151"/>
    <mergeCell ref="CL155:CN155"/>
    <mergeCell ref="CL162:CN162"/>
    <mergeCell ref="CL163:CN163"/>
    <mergeCell ref="CL140:CN140"/>
    <mergeCell ref="CL141:CN141"/>
    <mergeCell ref="CL142:CN142"/>
    <mergeCell ref="CL139:CN139"/>
    <mergeCell ref="CL138:CN138"/>
    <mergeCell ref="CL137:CN137"/>
    <mergeCell ref="CL136:CN136"/>
    <mergeCell ref="CL190:CN190"/>
    <mergeCell ref="CL347:CN347"/>
    <mergeCell ref="CL259:CN259"/>
    <mergeCell ref="CL264:CN264"/>
    <mergeCell ref="CL269:CN269"/>
    <mergeCell ref="CL272:CN272"/>
    <mergeCell ref="CL276:CN276"/>
    <mergeCell ref="CL261:CN261"/>
    <mergeCell ref="CL268:CN268"/>
    <mergeCell ref="CL273:CN273"/>
    <mergeCell ref="CL274:CN274"/>
    <mergeCell ref="CL344:CN344"/>
    <mergeCell ref="CL258:CN258"/>
    <mergeCell ref="CL194:CN194"/>
    <mergeCell ref="CL235:CN235"/>
    <mergeCell ref="CL237:CN237"/>
    <mergeCell ref="CL241:CN241"/>
    <mergeCell ref="CL250:CN250"/>
    <mergeCell ref="CL343:CN343"/>
    <mergeCell ref="CL331:CN331"/>
    <mergeCell ref="CL332:CN332"/>
    <mergeCell ref="CL329:CN329"/>
    <mergeCell ref="CL292:CN292"/>
    <mergeCell ref="CL293:CN293"/>
    <mergeCell ref="CL189:CN189"/>
    <mergeCell ref="CL335:CN335"/>
    <mergeCell ref="CL339:CN339"/>
    <mergeCell ref="CL338:CN338"/>
    <mergeCell ref="CL249:CN249"/>
    <mergeCell ref="CL192:CN192"/>
    <mergeCell ref="CL255:CN255"/>
    <mergeCell ref="CL198:CN198"/>
    <mergeCell ref="CL204:CN204"/>
    <mergeCell ref="CL205:CN205"/>
    <mergeCell ref="CL209:CN209"/>
    <mergeCell ref="CL217:CN217"/>
    <mergeCell ref="CL196:CN196"/>
    <mergeCell ref="CL226:CN226"/>
    <mergeCell ref="CL230:CN230"/>
    <mergeCell ref="CL234:CN234"/>
    <mergeCell ref="CL201:CN201"/>
    <mergeCell ref="CL220:CN220"/>
    <mergeCell ref="CL193:CN193"/>
    <mergeCell ref="CL303:CN303"/>
    <mergeCell ref="CL278:CN278"/>
    <mergeCell ref="CL279:CN279"/>
    <mergeCell ref="CL280:CN280"/>
    <mergeCell ref="CL281:CN281"/>
  </mergeCells>
  <conditionalFormatting sqref="BN277 BN51:BN71 BN134 BN139:BN151 BN153:BN254 BN91:BN105">
    <cfRule type="cellIs" dxfId="316" priority="311" operator="lessThan">
      <formula>26</formula>
    </cfRule>
  </conditionalFormatting>
  <conditionalFormatting sqref="BN32 BN276 BN36:BN49 BN257:BN272">
    <cfRule type="cellIs" dxfId="315" priority="310" operator="lessThan">
      <formula>26</formula>
    </cfRule>
  </conditionalFormatting>
  <conditionalFormatting sqref="BN341">
    <cfRule type="cellIs" dxfId="314" priority="117" operator="lessThan">
      <formula>26</formula>
    </cfRule>
  </conditionalFormatting>
  <conditionalFormatting sqref="BN72:BN73 BN130:BN131 BN75:BN89 BN107:BN128">
    <cfRule type="cellIs" dxfId="313" priority="11" operator="lessThan">
      <formula>26</formula>
    </cfRule>
  </conditionalFormatting>
  <conditionalFormatting sqref="BN50">
    <cfRule type="cellIs" dxfId="312" priority="10" operator="lessThan">
      <formula>26</formula>
    </cfRule>
  </conditionalFormatting>
  <conditionalFormatting sqref="BN273:BN275">
    <cfRule type="cellIs" dxfId="311" priority="9" operator="lessThan">
      <formula>26</formula>
    </cfRule>
  </conditionalFormatting>
  <conditionalFormatting sqref="BN132:BN133">
    <cfRule type="cellIs" dxfId="310" priority="8" operator="lessThan">
      <formula>26</formula>
    </cfRule>
  </conditionalFormatting>
  <conditionalFormatting sqref="BN35">
    <cfRule type="cellIs" dxfId="309" priority="7" operator="lessThan">
      <formula>26</formula>
    </cfRule>
  </conditionalFormatting>
  <conditionalFormatting sqref="BN33:BN34">
    <cfRule type="cellIs" dxfId="308" priority="6" operator="lessThan">
      <formula>26</formula>
    </cfRule>
  </conditionalFormatting>
  <conditionalFormatting sqref="BN152">
    <cfRule type="cellIs" dxfId="307" priority="5" operator="lessThan">
      <formula>26</formula>
    </cfRule>
  </conditionalFormatting>
  <conditionalFormatting sqref="BN278:BN280">
    <cfRule type="cellIs" dxfId="306" priority="4" operator="lessThan">
      <formula>26</formula>
    </cfRule>
  </conditionalFormatting>
  <conditionalFormatting sqref="BN318:BN319 BN321 BN324:BN325 BN327 BN332 BN334 BN337 BN340">
    <cfRule type="cellIs" dxfId="305" priority="3" operator="lessThan">
      <formula>26</formula>
    </cfRule>
  </conditionalFormatting>
  <conditionalFormatting sqref="BN281:BN282 BN307:BN310 BN315:BN317">
    <cfRule type="cellIs" dxfId="304" priority="2" operator="lessThan">
      <formula>26</formula>
    </cfRule>
  </conditionalFormatting>
  <conditionalFormatting sqref="BN106">
    <cfRule type="cellIs" dxfId="303" priority="1" operator="lessThan">
      <formula>26</formula>
    </cfRule>
  </conditionalFormatting>
  <hyperlinks>
    <hyperlink ref="BN14" r:id="rId1" location="7" display="http://tangotiger.com/index.php/site/comments/scoring-system-for-hof-ballots-2015 - 7" xr:uid="{00000000-0004-0000-0000-000000000000}"/>
    <hyperlink ref="AK204" r:id="rId2" display="http://bit.ly/2fAuQya" xr:uid="{00000000-0004-0000-0000-000001000000}"/>
    <hyperlink ref="AK178" r:id="rId3" display="http://bit.ly/2gGMY8D" xr:uid="{00000000-0004-0000-0000-000002000000}"/>
  </hyperlinks>
  <pageMargins left="0.7" right="0.7" top="0.75" bottom="0.75" header="0.3" footer="0.3"/>
  <pageSetup orientation="portrait" r:id="rId4"/>
  <ignoredErrors>
    <ignoredError sqref="B26:J26 S26:T26 G27 K27" evalError="1"/>
  </ignoredErrors>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L400"/>
  <sheetViews>
    <sheetView workbookViewId="0" xr3:uid="{958C4451-9541-5A59-BF78-D2F731DF1C81}">
      <pane xSplit="1" ySplit="9" topLeftCell="B238" activePane="bottomRight" state="frozen"/>
      <selection pane="bottomRight" activeCell="A3" sqref="A3"/>
      <selection pane="bottomLeft" activeCell="A9" sqref="A9"/>
      <selection pane="topRight" activeCell="B1" sqref="B1"/>
    </sheetView>
  </sheetViews>
  <sheetFormatPr defaultColWidth="14.42578125" defaultRowHeight="12.75" customHeight="1"/>
  <cols>
    <col min="1" max="1" width="28" style="137" customWidth="1"/>
    <col min="2" max="2" width="6.7109375" style="137" customWidth="1"/>
    <col min="3" max="3" width="6" style="137" hidden="1" customWidth="1"/>
    <col min="4" max="5" width="6.7109375" style="137" customWidth="1"/>
    <col min="6" max="6" width="6.7109375" style="137" hidden="1" customWidth="1"/>
    <col min="7" max="10" width="6.7109375" style="137" customWidth="1"/>
    <col min="11" max="11" width="6.7109375" style="137" hidden="1" customWidth="1"/>
    <col min="12" max="12" width="6.7109375" style="137" customWidth="1"/>
    <col min="13" max="14" width="6.7109375" style="137" hidden="1" customWidth="1"/>
    <col min="15" max="17" width="6.7109375" style="137" customWidth="1"/>
    <col min="18" max="18" width="6.7109375" style="137" hidden="1" customWidth="1"/>
    <col min="19" max="32" width="6.7109375" style="137" customWidth="1"/>
    <col min="33" max="33" width="6.7109375" style="137" hidden="1" customWidth="1"/>
    <col min="34" max="34" width="6.7109375" style="137" customWidth="1"/>
    <col min="35" max="35" width="20" style="137" customWidth="1"/>
    <col min="36" max="36" width="11.42578125" style="137" customWidth="1"/>
    <col min="37" max="37" width="1.42578125" style="137" customWidth="1"/>
    <col min="38" max="38" width="2.42578125" style="137" hidden="1" customWidth="1"/>
    <col min="39" max="62" width="3" style="137" hidden="1" customWidth="1"/>
    <col min="63" max="63" width="8" style="137" customWidth="1"/>
    <col min="64" max="64" width="8" style="137" hidden="1" customWidth="1"/>
    <col min="65" max="87" width="3.7109375" style="137" hidden="1" customWidth="1"/>
    <col min="88" max="88" width="15.28515625" style="137" customWidth="1"/>
    <col min="89" max="89" width="2.28515625" style="137" customWidth="1"/>
    <col min="90" max="16384" width="14.42578125" style="137"/>
  </cols>
  <sheetData>
    <row r="1" spans="1:90" ht="39.950000000000003" customHeight="1" thickTop="1" thickBot="1">
      <c r="A1" s="785" t="str">
        <f>HYPERLINK(CJ18, "Follow 
@NotMrTibbs")</f>
        <v>Follow 
@NotMrTibbs</v>
      </c>
      <c r="B1" s="130"/>
      <c r="C1" s="131"/>
      <c r="D1" s="131"/>
      <c r="E1" s="766" t="s">
        <v>0</v>
      </c>
      <c r="F1" s="695"/>
      <c r="G1" s="695"/>
      <c r="H1" s="696"/>
      <c r="I1" s="795">
        <f>(COUNTA($A23:$A655)-4)</f>
        <v>307</v>
      </c>
      <c r="J1" s="796"/>
      <c r="K1" s="197"/>
      <c r="L1" s="384" t="s">
        <v>1</v>
      </c>
      <c r="M1" s="381"/>
      <c r="N1" s="381"/>
      <c r="O1" s="383">
        <v>4</v>
      </c>
      <c r="P1" s="139"/>
      <c r="Q1" s="380"/>
      <c r="R1" s="380"/>
      <c r="S1" s="690" t="s">
        <v>2</v>
      </c>
      <c r="T1" s="691"/>
      <c r="U1" s="790">
        <f>(I1+4)/440</f>
        <v>0.70681818181818179</v>
      </c>
      <c r="V1" s="791"/>
      <c r="W1" s="639"/>
      <c r="X1" s="639"/>
      <c r="Y1" s="380"/>
      <c r="Z1" s="719" t="s">
        <v>695</v>
      </c>
      <c r="AA1" s="720"/>
      <c r="AB1" s="720"/>
      <c r="AC1" s="720"/>
      <c r="AD1" s="789"/>
      <c r="AE1" s="132">
        <f>AVERAGE(AH23:AH334)</f>
        <v>8.22508038585209</v>
      </c>
      <c r="AF1" s="133">
        <f>AE1*(I1+O1)</f>
        <v>2558</v>
      </c>
      <c r="AG1" s="134"/>
      <c r="AH1" s="135"/>
      <c r="AI1" s="704" t="s">
        <v>5</v>
      </c>
      <c r="AJ1" s="705"/>
      <c r="AK1" s="705"/>
      <c r="AL1" s="705"/>
      <c r="AM1" s="705"/>
      <c r="AN1" s="705"/>
      <c r="AO1" s="705"/>
      <c r="AP1" s="705"/>
      <c r="AQ1" s="705"/>
      <c r="AR1" s="705"/>
      <c r="AS1" s="705"/>
      <c r="AT1" s="705"/>
      <c r="AU1" s="705"/>
      <c r="AV1" s="705"/>
      <c r="AW1" s="705"/>
      <c r="AX1" s="705"/>
      <c r="AY1" s="705"/>
      <c r="AZ1" s="705"/>
      <c r="BA1" s="705"/>
      <c r="BB1" s="705"/>
      <c r="BC1" s="705"/>
      <c r="BD1" s="705"/>
      <c r="BE1" s="705"/>
      <c r="BF1" s="705"/>
      <c r="BG1" s="705"/>
      <c r="BH1" s="705"/>
      <c r="BI1" s="705"/>
      <c r="BJ1" s="705"/>
      <c r="BK1" s="705"/>
      <c r="BL1" s="705"/>
      <c r="BM1" s="705"/>
      <c r="BN1" s="705"/>
      <c r="BO1" s="705"/>
      <c r="BP1" s="705"/>
      <c r="BQ1" s="705"/>
      <c r="BR1" s="705"/>
      <c r="BS1" s="705"/>
      <c r="BT1" s="705"/>
      <c r="BU1" s="705"/>
      <c r="BV1" s="705"/>
      <c r="BW1" s="705"/>
      <c r="BX1" s="705"/>
      <c r="BY1" s="705"/>
      <c r="BZ1" s="705"/>
      <c r="CA1" s="705"/>
      <c r="CB1" s="705"/>
      <c r="CC1" s="705"/>
      <c r="CD1" s="705"/>
      <c r="CE1" s="705"/>
      <c r="CF1" s="705"/>
      <c r="CG1" s="705"/>
      <c r="CH1" s="705"/>
      <c r="CI1" s="705"/>
      <c r="CJ1" s="706"/>
      <c r="CK1" s="136"/>
      <c r="CL1" s="136"/>
    </row>
    <row r="2" spans="1:90" ht="39.950000000000003" customHeight="1" thickTop="1">
      <c r="A2" s="786"/>
      <c r="B2" s="131"/>
      <c r="C2" s="131"/>
      <c r="D2" s="131"/>
      <c r="E2" s="792"/>
      <c r="F2" s="793"/>
      <c r="G2" s="793"/>
      <c r="H2" s="794"/>
      <c r="I2" s="797"/>
      <c r="J2" s="798"/>
      <c r="K2" s="198"/>
      <c r="L2" s="802" t="s">
        <v>6</v>
      </c>
      <c r="M2" s="803"/>
      <c r="N2" s="803"/>
      <c r="O2" s="804"/>
      <c r="P2" s="139"/>
      <c r="Q2" s="380"/>
      <c r="R2" s="380"/>
      <c r="S2" s="799" t="s">
        <v>696</v>
      </c>
      <c r="T2" s="800"/>
      <c r="U2" s="800"/>
      <c r="V2" s="801"/>
      <c r="W2" s="639"/>
      <c r="X2" s="639"/>
      <c r="Y2" s="380"/>
      <c r="Z2" s="719" t="s">
        <v>8</v>
      </c>
      <c r="AA2" s="720"/>
      <c r="AB2" s="720"/>
      <c r="AC2" s="720"/>
      <c r="AD2" s="789"/>
      <c r="AE2" s="140">
        <f>AF2</f>
        <v>7.2713178294573639</v>
      </c>
      <c r="AF2" s="141">
        <f>(AH4-AF1)/AH5</f>
        <v>7.2713178294573639</v>
      </c>
      <c r="AG2" s="134"/>
      <c r="AH2" s="142"/>
      <c r="AI2" s="714" t="s">
        <v>9</v>
      </c>
      <c r="AJ2" s="715"/>
      <c r="AK2" s="805" t="s">
        <v>10</v>
      </c>
      <c r="AL2" s="806"/>
      <c r="AM2" s="806"/>
      <c r="AN2" s="806"/>
      <c r="AO2" s="806"/>
      <c r="AP2" s="806"/>
      <c r="AQ2" s="806"/>
      <c r="AR2" s="806"/>
      <c r="AS2" s="806"/>
      <c r="AT2" s="806"/>
      <c r="AU2" s="806"/>
      <c r="AV2" s="806"/>
      <c r="AW2" s="806"/>
      <c r="AX2" s="806"/>
      <c r="AY2" s="806"/>
      <c r="AZ2" s="806"/>
      <c r="BA2" s="806"/>
      <c r="BB2" s="806"/>
      <c r="BC2" s="806"/>
      <c r="BD2" s="806"/>
      <c r="BE2" s="806"/>
      <c r="BF2" s="806"/>
      <c r="BG2" s="806"/>
      <c r="BH2" s="806"/>
      <c r="BI2" s="806"/>
      <c r="BJ2" s="806"/>
      <c r="BK2" s="806"/>
      <c r="BL2" s="806"/>
      <c r="BM2" s="806"/>
      <c r="BN2" s="806"/>
      <c r="BO2" s="806"/>
      <c r="BP2" s="806"/>
      <c r="BQ2" s="806"/>
      <c r="BR2" s="806"/>
      <c r="BS2" s="806"/>
      <c r="BT2" s="806"/>
      <c r="BU2" s="806"/>
      <c r="BV2" s="806"/>
      <c r="BW2" s="806"/>
      <c r="BX2" s="806"/>
      <c r="BY2" s="806"/>
      <c r="BZ2" s="806"/>
      <c r="CA2" s="806"/>
      <c r="CB2" s="806"/>
      <c r="CC2" s="806"/>
      <c r="CD2" s="806"/>
      <c r="CE2" s="806"/>
      <c r="CF2" s="806"/>
      <c r="CG2" s="806"/>
      <c r="CH2" s="806"/>
      <c r="CI2" s="806"/>
      <c r="CJ2" s="807"/>
      <c r="CK2" s="136"/>
      <c r="CL2" s="136"/>
    </row>
    <row r="3" spans="1:90" ht="43.5" customHeight="1" thickBot="1">
      <c r="A3" s="485" t="s">
        <v>697</v>
      </c>
      <c r="B3" s="316" t="s">
        <v>698</v>
      </c>
      <c r="C3" s="129" t="s">
        <v>699</v>
      </c>
      <c r="D3" s="126" t="s">
        <v>700</v>
      </c>
      <c r="E3" s="126" t="s">
        <v>701</v>
      </c>
      <c r="F3" s="127" t="s">
        <v>702</v>
      </c>
      <c r="G3" s="126" t="s">
        <v>703</v>
      </c>
      <c r="H3" s="127" t="s">
        <v>704</v>
      </c>
      <c r="I3" s="127" t="s">
        <v>705</v>
      </c>
      <c r="J3" s="126" t="s">
        <v>706</v>
      </c>
      <c r="K3" s="127" t="s">
        <v>707</v>
      </c>
      <c r="L3" s="127" t="s">
        <v>708</v>
      </c>
      <c r="M3" s="127" t="s">
        <v>709</v>
      </c>
      <c r="N3" s="127" t="s">
        <v>710</v>
      </c>
      <c r="O3" s="127" t="s">
        <v>711</v>
      </c>
      <c r="P3" s="127" t="s">
        <v>712</v>
      </c>
      <c r="Q3" s="126" t="s">
        <v>713</v>
      </c>
      <c r="R3" s="127" t="s">
        <v>714</v>
      </c>
      <c r="S3" s="126" t="s">
        <v>715</v>
      </c>
      <c r="T3" s="312" t="s">
        <v>716</v>
      </c>
      <c r="U3" s="128" t="s">
        <v>717</v>
      </c>
      <c r="V3" s="126" t="s">
        <v>718</v>
      </c>
      <c r="W3" s="126" t="s">
        <v>719</v>
      </c>
      <c r="X3" s="126" t="s">
        <v>720</v>
      </c>
      <c r="Y3" s="126" t="s">
        <v>721</v>
      </c>
      <c r="Z3" s="126" t="s">
        <v>722</v>
      </c>
      <c r="AA3" s="126" t="s">
        <v>723</v>
      </c>
      <c r="AB3" s="126" t="s">
        <v>724</v>
      </c>
      <c r="AC3" s="127" t="s">
        <v>725</v>
      </c>
      <c r="AD3" s="128" t="s">
        <v>726</v>
      </c>
      <c r="AE3" s="127" t="s">
        <v>727</v>
      </c>
      <c r="AF3" s="126" t="s">
        <v>728</v>
      </c>
      <c r="AG3" s="129" t="s">
        <v>729</v>
      </c>
      <c r="AH3" s="143" t="s">
        <v>730</v>
      </c>
      <c r="AI3" s="721" t="s">
        <v>45</v>
      </c>
      <c r="AJ3" s="722"/>
      <c r="AK3" s="809" t="s">
        <v>46</v>
      </c>
      <c r="AL3" s="810"/>
      <c r="AM3" s="810"/>
      <c r="AN3" s="810"/>
      <c r="AO3" s="810"/>
      <c r="AP3" s="810"/>
      <c r="AQ3" s="810"/>
      <c r="AR3" s="810"/>
      <c r="AS3" s="810"/>
      <c r="AT3" s="810"/>
      <c r="AU3" s="810"/>
      <c r="AV3" s="810"/>
      <c r="AW3" s="810"/>
      <c r="AX3" s="810"/>
      <c r="AY3" s="810"/>
      <c r="AZ3" s="810"/>
      <c r="BA3" s="810"/>
      <c r="BB3" s="810"/>
      <c r="BC3" s="810"/>
      <c r="BD3" s="810"/>
      <c r="BE3" s="810"/>
      <c r="BF3" s="810"/>
      <c r="BG3" s="810"/>
      <c r="BH3" s="810"/>
      <c r="BI3" s="810"/>
      <c r="BJ3" s="810"/>
      <c r="BK3" s="810"/>
      <c r="BL3" s="810"/>
      <c r="BM3" s="810"/>
      <c r="BN3" s="810"/>
      <c r="BO3" s="810"/>
      <c r="BP3" s="810"/>
      <c r="BQ3" s="810"/>
      <c r="BR3" s="810"/>
      <c r="BS3" s="810"/>
      <c r="BT3" s="810"/>
      <c r="BU3" s="810"/>
      <c r="BV3" s="810"/>
      <c r="BW3" s="810"/>
      <c r="BX3" s="810"/>
      <c r="BY3" s="810"/>
      <c r="BZ3" s="810"/>
      <c r="CA3" s="810"/>
      <c r="CB3" s="810"/>
      <c r="CC3" s="810"/>
      <c r="CD3" s="810"/>
      <c r="CE3" s="810"/>
      <c r="CF3" s="810"/>
      <c r="CG3" s="810"/>
      <c r="CH3" s="810"/>
      <c r="CI3" s="810"/>
      <c r="CJ3" s="811"/>
      <c r="CK3" s="136"/>
      <c r="CL3" s="136"/>
    </row>
    <row r="4" spans="1:90" ht="17.25" customHeight="1" thickTop="1">
      <c r="A4" s="144" t="s">
        <v>47</v>
      </c>
      <c r="B4" s="299">
        <f>COUNTIF(B23:B340,"1")/($I$1+$O$1)</f>
        <v>3.2154340836012861E-3</v>
      </c>
      <c r="C4" s="145">
        <f>COUNTIF(C149:C235,"1")/$I$1</f>
        <v>0</v>
      </c>
      <c r="D4" s="299">
        <f t="shared" ref="D4:AF4" si="0">COUNTIF(D23:D340,"1")/($I$1+$O$1)</f>
        <v>0.7588424437299035</v>
      </c>
      <c r="E4" s="299">
        <f t="shared" si="0"/>
        <v>0.45337620578778137</v>
      </c>
      <c r="F4" s="299">
        <f t="shared" si="0"/>
        <v>0</v>
      </c>
      <c r="G4" s="299">
        <f t="shared" si="0"/>
        <v>0.45980707395498394</v>
      </c>
      <c r="H4" s="299">
        <f t="shared" si="0"/>
        <v>3.2154340836012861E-3</v>
      </c>
      <c r="I4" s="299">
        <f t="shared" si="0"/>
        <v>2.5723472668810289E-2</v>
      </c>
      <c r="J4" s="299">
        <f t="shared" si="0"/>
        <v>1.2861736334405145E-2</v>
      </c>
      <c r="K4" s="299">
        <f t="shared" si="0"/>
        <v>0</v>
      </c>
      <c r="L4" s="299">
        <f t="shared" si="0"/>
        <v>1</v>
      </c>
      <c r="M4" s="299">
        <f t="shared" si="0"/>
        <v>0</v>
      </c>
      <c r="N4" s="299">
        <f t="shared" si="0"/>
        <v>0</v>
      </c>
      <c r="O4" s="299">
        <f t="shared" si="0"/>
        <v>0.66559485530546625</v>
      </c>
      <c r="P4" s="299">
        <f t="shared" si="0"/>
        <v>0</v>
      </c>
      <c r="Q4" s="299">
        <f t="shared" si="0"/>
        <v>0.18327974276527331</v>
      </c>
      <c r="R4" s="299">
        <f t="shared" si="0"/>
        <v>0</v>
      </c>
      <c r="S4" s="299">
        <f t="shared" si="0"/>
        <v>0.46945337620578781</v>
      </c>
      <c r="T4" s="299">
        <f t="shared" si="0"/>
        <v>0.19614147909967847</v>
      </c>
      <c r="U4" s="299">
        <f t="shared" si="0"/>
        <v>0.12861736334405144</v>
      </c>
      <c r="V4" s="299">
        <f t="shared" si="0"/>
        <v>0.48231511254019294</v>
      </c>
      <c r="W4" s="299">
        <f t="shared" si="0"/>
        <v>0.84565916398713825</v>
      </c>
      <c r="X4" s="299">
        <f t="shared" si="0"/>
        <v>0.73954983922829587</v>
      </c>
      <c r="Y4" s="299">
        <f t="shared" si="0"/>
        <v>0.58520900321543412</v>
      </c>
      <c r="Z4" s="299">
        <f t="shared" si="0"/>
        <v>0.12861736334405144</v>
      </c>
      <c r="AA4" s="299">
        <f t="shared" si="0"/>
        <v>0.31832797427652731</v>
      </c>
      <c r="AB4" s="299">
        <f t="shared" si="0"/>
        <v>7.0739549839228297E-2</v>
      </c>
      <c r="AC4" s="299">
        <f t="shared" si="0"/>
        <v>3.2154340836012861E-3</v>
      </c>
      <c r="AD4" s="299">
        <f t="shared" si="0"/>
        <v>0.4437299035369775</v>
      </c>
      <c r="AE4" s="299">
        <f t="shared" si="0"/>
        <v>9.9678456591639875E-2</v>
      </c>
      <c r="AF4" s="299">
        <f t="shared" si="0"/>
        <v>0.15434083601286175</v>
      </c>
      <c r="AG4" s="146">
        <f>COUNTIF(AG149:AG235,"1")/$I$1</f>
        <v>0</v>
      </c>
      <c r="AH4" s="147">
        <v>3496</v>
      </c>
      <c r="AI4" s="726" t="s">
        <v>48</v>
      </c>
      <c r="AJ4" s="727"/>
      <c r="AK4" s="812" t="s">
        <v>49</v>
      </c>
      <c r="AL4" s="812"/>
      <c r="AM4" s="812"/>
      <c r="AN4" s="812"/>
      <c r="AO4" s="812"/>
      <c r="AP4" s="812"/>
      <c r="AQ4" s="812"/>
      <c r="AR4" s="812"/>
      <c r="AS4" s="812"/>
      <c r="AT4" s="812"/>
      <c r="AU4" s="812"/>
      <c r="AV4" s="812"/>
      <c r="AW4" s="812"/>
      <c r="AX4" s="812"/>
      <c r="AY4" s="812"/>
      <c r="AZ4" s="812"/>
      <c r="BA4" s="812"/>
      <c r="BB4" s="812"/>
      <c r="BC4" s="812"/>
      <c r="BD4" s="812"/>
      <c r="BE4" s="812"/>
      <c r="BF4" s="812"/>
      <c r="BG4" s="812"/>
      <c r="BH4" s="812"/>
      <c r="BI4" s="812"/>
      <c r="BJ4" s="812"/>
      <c r="BK4" s="812"/>
      <c r="BL4" s="812"/>
      <c r="BM4" s="812"/>
      <c r="BN4" s="812"/>
      <c r="BO4" s="812"/>
      <c r="BP4" s="812"/>
      <c r="BQ4" s="812"/>
      <c r="BR4" s="812"/>
      <c r="BS4" s="812"/>
      <c r="BT4" s="812"/>
      <c r="BU4" s="812"/>
      <c r="BV4" s="812"/>
      <c r="BW4" s="812"/>
      <c r="BX4" s="812"/>
      <c r="BY4" s="812"/>
      <c r="BZ4" s="812"/>
      <c r="CA4" s="812"/>
      <c r="CB4" s="812"/>
      <c r="CC4" s="812"/>
      <c r="CD4" s="812"/>
      <c r="CE4" s="812"/>
      <c r="CF4" s="812"/>
      <c r="CG4" s="812"/>
      <c r="CH4" s="812"/>
      <c r="CI4" s="812"/>
      <c r="CJ4" s="813"/>
      <c r="CK4" s="136"/>
      <c r="CL4" s="136"/>
    </row>
    <row r="5" spans="1:90" ht="17.25" customHeight="1" thickBot="1">
      <c r="A5" s="148" t="s">
        <v>50</v>
      </c>
      <c r="B5" s="298">
        <f>SUM(B23:B$340)</f>
        <v>1</v>
      </c>
      <c r="C5" s="149">
        <f>SUM(C149:C$235)</f>
        <v>0</v>
      </c>
      <c r="D5" s="298">
        <f>SUM(D23:D$340)</f>
        <v>236</v>
      </c>
      <c r="E5" s="298">
        <f>SUM(E23:E$340)</f>
        <v>141</v>
      </c>
      <c r="F5" s="298">
        <f>SUM(F23:F$340)</f>
        <v>0</v>
      </c>
      <c r="G5" s="298">
        <f>SUM(G23:G$340)</f>
        <v>143</v>
      </c>
      <c r="H5" s="298">
        <f>SUM(H23:H$340)</f>
        <v>1</v>
      </c>
      <c r="I5" s="298">
        <f>SUM(I23:I$340)</f>
        <v>8</v>
      </c>
      <c r="J5" s="298">
        <f>SUM(J23:J$340)</f>
        <v>4</v>
      </c>
      <c r="K5" s="298">
        <f>SUM(K23:K$340)</f>
        <v>0</v>
      </c>
      <c r="L5" s="298">
        <f>SUM(L23:L$340)</f>
        <v>311</v>
      </c>
      <c r="M5" s="298">
        <f>SUM(M23:M$340)</f>
        <v>0</v>
      </c>
      <c r="N5" s="298">
        <f>SUM(N23:N$340)</f>
        <v>0</v>
      </c>
      <c r="O5" s="298">
        <f>SUM(O23:O$340)</f>
        <v>207</v>
      </c>
      <c r="P5" s="298">
        <f>SUM(P23:P$340)</f>
        <v>0</v>
      </c>
      <c r="Q5" s="298">
        <f>SUM(Q23:Q$340)</f>
        <v>57</v>
      </c>
      <c r="R5" s="298">
        <f>SUM(R23:R$340)</f>
        <v>0</v>
      </c>
      <c r="S5" s="298">
        <f>SUM(S23:S$340)</f>
        <v>146</v>
      </c>
      <c r="T5" s="298">
        <f>SUM(T23:T$340)</f>
        <v>61</v>
      </c>
      <c r="U5" s="298">
        <f>SUM(U23:U$340)</f>
        <v>40</v>
      </c>
      <c r="V5" s="298">
        <f>SUM(V23:V$340)</f>
        <v>150</v>
      </c>
      <c r="W5" s="298">
        <f>SUM(W23:W$340)</f>
        <v>263</v>
      </c>
      <c r="X5" s="298">
        <f>SUM(X23:X$340)</f>
        <v>230</v>
      </c>
      <c r="Y5" s="298">
        <f>SUM(Y23:Y$340)</f>
        <v>182</v>
      </c>
      <c r="Z5" s="298">
        <f>SUM(Z23:Z$340)</f>
        <v>40</v>
      </c>
      <c r="AA5" s="298">
        <f>SUM(AA23:AA$340)</f>
        <v>99</v>
      </c>
      <c r="AB5" s="298">
        <f>SUM(AB23:AB$340)</f>
        <v>22</v>
      </c>
      <c r="AC5" s="298">
        <f>SUM(AC23:AC$340)</f>
        <v>1</v>
      </c>
      <c r="AD5" s="298">
        <f>SUM(AD23:AD$340)</f>
        <v>138</v>
      </c>
      <c r="AE5" s="298">
        <f>SUM(AE23:AE$340)</f>
        <v>31</v>
      </c>
      <c r="AF5" s="298">
        <f>SUM(AF23:AF$340)</f>
        <v>48</v>
      </c>
      <c r="AG5" s="150">
        <f>SUM(AG149:AG$235)</f>
        <v>0</v>
      </c>
      <c r="AH5" s="385">
        <f>440-I1-O1</f>
        <v>129</v>
      </c>
      <c r="AI5" s="734" t="s">
        <v>51</v>
      </c>
      <c r="AJ5" s="735"/>
      <c r="AK5" s="732"/>
      <c r="AL5" s="732"/>
      <c r="AM5" s="732"/>
      <c r="AN5" s="732"/>
      <c r="AO5" s="732"/>
      <c r="AP5" s="732"/>
      <c r="AQ5" s="732"/>
      <c r="AR5" s="732"/>
      <c r="AS5" s="732"/>
      <c r="AT5" s="732"/>
      <c r="AU5" s="732"/>
      <c r="AV5" s="732"/>
      <c r="AW5" s="732"/>
      <c r="AX5" s="732"/>
      <c r="AY5" s="732"/>
      <c r="AZ5" s="732"/>
      <c r="BA5" s="732"/>
      <c r="BB5" s="732"/>
      <c r="BC5" s="732"/>
      <c r="BD5" s="732"/>
      <c r="BE5" s="732"/>
      <c r="BF5" s="732"/>
      <c r="BG5" s="732"/>
      <c r="BH5" s="732"/>
      <c r="BI5" s="732"/>
      <c r="BJ5" s="732"/>
      <c r="BK5" s="732"/>
      <c r="BL5" s="732"/>
      <c r="BM5" s="732"/>
      <c r="BN5" s="732"/>
      <c r="BO5" s="732"/>
      <c r="BP5" s="732"/>
      <c r="BQ5" s="732"/>
      <c r="BR5" s="732"/>
      <c r="BS5" s="732"/>
      <c r="BT5" s="732"/>
      <c r="BU5" s="732"/>
      <c r="BV5" s="732"/>
      <c r="BW5" s="732"/>
      <c r="BX5" s="732"/>
      <c r="BY5" s="732"/>
      <c r="BZ5" s="732"/>
      <c r="CA5" s="732"/>
      <c r="CB5" s="732"/>
      <c r="CC5" s="732"/>
      <c r="CD5" s="732"/>
      <c r="CE5" s="732"/>
      <c r="CF5" s="732"/>
      <c r="CG5" s="732"/>
      <c r="CH5" s="732"/>
      <c r="CI5" s="732"/>
      <c r="CJ5" s="733"/>
      <c r="CK5" s="136"/>
      <c r="CL5" s="136"/>
    </row>
    <row r="6" spans="1:90" ht="17.25" hidden="1" customHeight="1">
      <c r="A6" s="346" t="s">
        <v>52</v>
      </c>
      <c r="B6" s="347" t="s">
        <v>731</v>
      </c>
      <c r="C6" s="348"/>
      <c r="D6" s="347">
        <f>(338-D5)/(450-$I1)</f>
        <v>0.71328671328671334</v>
      </c>
      <c r="E6" s="347">
        <f>(338-E5)/(450-$I1)</f>
        <v>1.3776223776223777</v>
      </c>
      <c r="F6" s="349"/>
      <c r="G6" s="347">
        <f>(338-G5)/(450-$I1)</f>
        <v>1.3636363636363635</v>
      </c>
      <c r="H6" s="349"/>
      <c r="I6" s="347" t="s">
        <v>731</v>
      </c>
      <c r="J6" s="347" t="s">
        <v>731</v>
      </c>
      <c r="K6" s="349"/>
      <c r="L6" s="347">
        <f>(338-L5)/(450-$I1)</f>
        <v>0.1888111888111888</v>
      </c>
      <c r="M6" s="349"/>
      <c r="N6" s="349"/>
      <c r="O6" s="347">
        <f>(338-O5)/(450-$I1)</f>
        <v>0.91608391608391604</v>
      </c>
      <c r="P6" s="349"/>
      <c r="Q6" s="347" t="s">
        <v>731</v>
      </c>
      <c r="R6" s="349"/>
      <c r="S6" s="347">
        <f t="shared" ref="S6:Y6" si="1">(338-S5)/(450-$I1)</f>
        <v>1.3426573426573427</v>
      </c>
      <c r="T6" s="347" t="s">
        <v>731</v>
      </c>
      <c r="U6" s="347" t="s">
        <v>731</v>
      </c>
      <c r="V6" s="347">
        <f t="shared" si="1"/>
        <v>1.3146853146853146</v>
      </c>
      <c r="W6" s="347">
        <f t="shared" si="1"/>
        <v>0.52447552447552448</v>
      </c>
      <c r="X6" s="347">
        <f t="shared" si="1"/>
        <v>0.75524475524475521</v>
      </c>
      <c r="Y6" s="347">
        <f t="shared" si="1"/>
        <v>1.0909090909090908</v>
      </c>
      <c r="Z6" s="347" t="s">
        <v>731</v>
      </c>
      <c r="AA6" s="347" t="s">
        <v>731</v>
      </c>
      <c r="AB6" s="347" t="s">
        <v>731</v>
      </c>
      <c r="AC6" s="349"/>
      <c r="AD6" s="347" t="s">
        <v>731</v>
      </c>
      <c r="AE6" s="347" t="s">
        <v>731</v>
      </c>
      <c r="AF6" s="347" t="s">
        <v>731</v>
      </c>
      <c r="AG6" s="150"/>
      <c r="AH6" s="151"/>
      <c r="AI6" s="639"/>
      <c r="AJ6" s="639"/>
      <c r="AK6" s="639"/>
      <c r="AL6" s="639"/>
      <c r="AM6" s="639"/>
      <c r="AN6" s="639"/>
      <c r="AO6" s="639"/>
      <c r="AP6" s="639"/>
      <c r="AQ6" s="639"/>
      <c r="AR6" s="639"/>
      <c r="AS6" s="639"/>
      <c r="AT6" s="639"/>
      <c r="AU6" s="639"/>
      <c r="AV6" s="639"/>
      <c r="AW6" s="639"/>
      <c r="AX6" s="639"/>
      <c r="AY6" s="639"/>
      <c r="AZ6" s="639"/>
      <c r="BA6" s="639"/>
      <c r="BB6" s="639"/>
      <c r="BC6" s="639"/>
      <c r="BD6" s="639"/>
      <c r="BE6" s="639"/>
      <c r="BF6" s="639"/>
      <c r="BG6" s="639"/>
      <c r="BH6" s="639"/>
      <c r="BI6" s="639"/>
      <c r="BJ6" s="639"/>
      <c r="BK6" s="639"/>
      <c r="BL6" s="639"/>
      <c r="BM6" s="639"/>
      <c r="BN6" s="639"/>
      <c r="BO6" s="639"/>
      <c r="BP6" s="639"/>
      <c r="BQ6" s="639"/>
      <c r="BR6" s="639"/>
      <c r="BS6" s="639"/>
      <c r="BT6" s="639"/>
      <c r="BU6" s="639"/>
      <c r="BV6" s="639"/>
      <c r="BW6" s="639"/>
      <c r="BX6" s="639"/>
      <c r="BY6" s="639"/>
      <c r="BZ6" s="639"/>
      <c r="CA6" s="639"/>
      <c r="CB6" s="639"/>
      <c r="CC6" s="639"/>
      <c r="CD6" s="639"/>
      <c r="CE6" s="639"/>
      <c r="CF6" s="639"/>
      <c r="CG6" s="639"/>
      <c r="CH6" s="639"/>
      <c r="CI6" s="639"/>
      <c r="CJ6" s="639"/>
      <c r="CK6" s="136"/>
      <c r="CL6" s="136"/>
    </row>
    <row r="7" spans="1:90" ht="17.25" hidden="1" customHeight="1">
      <c r="A7" s="346" t="s">
        <v>57</v>
      </c>
      <c r="B7" s="357">
        <f>23-B5</f>
        <v>22</v>
      </c>
      <c r="C7" s="348"/>
      <c r="D7" s="357" t="s">
        <v>732</v>
      </c>
      <c r="E7" s="357" t="s">
        <v>732</v>
      </c>
      <c r="F7" s="357">
        <f t="shared" ref="F7:AE7" si="2">23-F5</f>
        <v>23</v>
      </c>
      <c r="G7" s="357" t="s">
        <v>732</v>
      </c>
      <c r="H7" s="357">
        <f t="shared" si="2"/>
        <v>22</v>
      </c>
      <c r="I7" s="357">
        <f t="shared" si="2"/>
        <v>15</v>
      </c>
      <c r="J7" s="357">
        <f t="shared" si="2"/>
        <v>19</v>
      </c>
      <c r="K7" s="357">
        <f t="shared" si="2"/>
        <v>23</v>
      </c>
      <c r="L7" s="357" t="s">
        <v>732</v>
      </c>
      <c r="M7" s="357">
        <f t="shared" si="2"/>
        <v>23</v>
      </c>
      <c r="N7" s="357">
        <f t="shared" si="2"/>
        <v>23</v>
      </c>
      <c r="O7" s="357" t="s">
        <v>732</v>
      </c>
      <c r="P7" s="357">
        <f t="shared" si="2"/>
        <v>23</v>
      </c>
      <c r="Q7" s="357" t="s">
        <v>732</v>
      </c>
      <c r="R7" s="357">
        <f t="shared" si="2"/>
        <v>23</v>
      </c>
      <c r="S7" s="357" t="s">
        <v>732</v>
      </c>
      <c r="T7" s="357" t="s">
        <v>732</v>
      </c>
      <c r="U7" s="357" t="s">
        <v>733</v>
      </c>
      <c r="V7" s="357" t="s">
        <v>732</v>
      </c>
      <c r="W7" s="357" t="s">
        <v>732</v>
      </c>
      <c r="X7" s="357" t="s">
        <v>732</v>
      </c>
      <c r="Y7" s="357" t="s">
        <v>732</v>
      </c>
      <c r="Z7" s="357" t="s">
        <v>732</v>
      </c>
      <c r="AA7" s="357" t="s">
        <v>732</v>
      </c>
      <c r="AB7" s="357">
        <f t="shared" si="2"/>
        <v>1</v>
      </c>
      <c r="AC7" s="357">
        <f t="shared" si="2"/>
        <v>22</v>
      </c>
      <c r="AD7" s="357" t="s">
        <v>733</v>
      </c>
      <c r="AE7" s="357">
        <f t="shared" si="2"/>
        <v>-8</v>
      </c>
      <c r="AF7" s="357" t="s">
        <v>732</v>
      </c>
      <c r="AG7" s="150"/>
      <c r="AH7" s="151"/>
      <c r="AI7" s="639"/>
      <c r="AJ7" s="639"/>
      <c r="AK7" s="639"/>
      <c r="AL7" s="639"/>
      <c r="AM7" s="639"/>
      <c r="AN7" s="639"/>
      <c r="AO7" s="639"/>
      <c r="AP7" s="639"/>
      <c r="AQ7" s="639"/>
      <c r="AR7" s="639"/>
      <c r="AS7" s="639"/>
      <c r="AT7" s="639"/>
      <c r="AU7" s="639"/>
      <c r="AV7" s="639"/>
      <c r="AW7" s="639"/>
      <c r="AX7" s="639"/>
      <c r="AY7" s="639"/>
      <c r="AZ7" s="639"/>
      <c r="BA7" s="639"/>
      <c r="BB7" s="639"/>
      <c r="BC7" s="639"/>
      <c r="BD7" s="639"/>
      <c r="BE7" s="639"/>
      <c r="BF7" s="639"/>
      <c r="BG7" s="639"/>
      <c r="BH7" s="639"/>
      <c r="BI7" s="639"/>
      <c r="BJ7" s="639"/>
      <c r="BK7" s="639"/>
      <c r="BL7" s="639"/>
      <c r="BM7" s="639"/>
      <c r="BN7" s="639"/>
      <c r="BO7" s="639"/>
      <c r="BP7" s="639"/>
      <c r="BQ7" s="639"/>
      <c r="BR7" s="639"/>
      <c r="BS7" s="639"/>
      <c r="BT7" s="639"/>
      <c r="BU7" s="639"/>
      <c r="BV7" s="639"/>
      <c r="BW7" s="639"/>
      <c r="BX7" s="639"/>
      <c r="BY7" s="639"/>
      <c r="BZ7" s="639"/>
      <c r="CA7" s="639"/>
      <c r="CB7" s="639"/>
      <c r="CC7" s="639"/>
      <c r="CD7" s="639"/>
      <c r="CE7" s="639"/>
      <c r="CF7" s="639"/>
      <c r="CG7" s="639"/>
      <c r="CH7" s="639"/>
      <c r="CI7" s="639"/>
      <c r="CJ7" s="639"/>
      <c r="CK7" s="136"/>
      <c r="CL7" s="136"/>
    </row>
    <row r="8" spans="1:90" ht="17.25" customHeight="1" thickTop="1">
      <c r="A8" s="156" t="s">
        <v>65</v>
      </c>
      <c r="B8" s="363">
        <v>2E-3</v>
      </c>
      <c r="C8" s="363"/>
      <c r="D8" s="297">
        <v>0.71599999999999997</v>
      </c>
      <c r="E8" s="297">
        <v>0.443</v>
      </c>
      <c r="F8" s="297"/>
      <c r="G8" s="297">
        <v>0.45200000000000001</v>
      </c>
      <c r="H8" s="297">
        <v>5.0000000000000001E-3</v>
      </c>
      <c r="I8" s="297">
        <v>2.5000000000000001E-2</v>
      </c>
      <c r="J8" s="297">
        <v>1.7999999999999999E-2</v>
      </c>
      <c r="K8" s="297"/>
      <c r="L8" s="297">
        <v>0.99299999999999999</v>
      </c>
      <c r="M8" s="297"/>
      <c r="N8" s="297"/>
      <c r="O8" s="297">
        <v>0.67300000000000004</v>
      </c>
      <c r="P8" s="297">
        <v>5.0000000000000001E-3</v>
      </c>
      <c r="Q8" s="297">
        <v>0.16600000000000001</v>
      </c>
      <c r="R8" s="297"/>
      <c r="S8" s="297">
        <v>0.434</v>
      </c>
      <c r="T8" s="297">
        <v>0.20899999999999999</v>
      </c>
      <c r="U8" s="297">
        <v>0.123</v>
      </c>
      <c r="V8" s="297">
        <v>0.43</v>
      </c>
      <c r="W8" s="297">
        <v>0.83</v>
      </c>
      <c r="X8" s="297">
        <v>0.69799999999999995</v>
      </c>
      <c r="Y8" s="297">
        <v>0.52300000000000002</v>
      </c>
      <c r="Z8" s="297">
        <v>0.11600000000000001</v>
      </c>
      <c r="AA8" s="297">
        <v>0.34100000000000003</v>
      </c>
      <c r="AB8" s="297">
        <v>7.0000000000000007E-2</v>
      </c>
      <c r="AC8" s="297">
        <v>7.0000000000000001E-3</v>
      </c>
      <c r="AD8" s="297">
        <v>0.40899999999999997</v>
      </c>
      <c r="AE8" s="297">
        <v>0.105</v>
      </c>
      <c r="AF8" s="297">
        <v>0.155</v>
      </c>
      <c r="AG8" s="150"/>
      <c r="AH8" s="151"/>
      <c r="AI8" s="639"/>
      <c r="AJ8" s="639"/>
      <c r="AK8" s="639"/>
      <c r="AL8" s="639"/>
      <c r="AM8" s="639"/>
      <c r="AN8" s="639"/>
      <c r="AO8" s="639"/>
      <c r="AP8" s="639"/>
      <c r="AQ8" s="639"/>
      <c r="AR8" s="639"/>
      <c r="AS8" s="639"/>
      <c r="AT8" s="639"/>
      <c r="AU8" s="639"/>
      <c r="AV8" s="639"/>
      <c r="AW8" s="639"/>
      <c r="AX8" s="639"/>
      <c r="AY8" s="639"/>
      <c r="AZ8" s="639"/>
      <c r="BA8" s="639"/>
      <c r="BB8" s="639"/>
      <c r="BC8" s="639"/>
      <c r="BD8" s="639"/>
      <c r="BE8" s="639"/>
      <c r="BF8" s="639"/>
      <c r="BG8" s="639"/>
      <c r="BH8" s="639"/>
      <c r="BI8" s="639"/>
      <c r="BJ8" s="639"/>
      <c r="BK8" s="639"/>
      <c r="BL8" s="639"/>
      <c r="BM8" s="639"/>
      <c r="BN8" s="639"/>
      <c r="BO8" s="639"/>
      <c r="BP8" s="639"/>
      <c r="BQ8" s="639"/>
      <c r="BR8" s="639"/>
      <c r="BS8" s="639"/>
      <c r="BT8" s="639"/>
      <c r="BU8" s="639"/>
      <c r="BV8" s="639"/>
      <c r="BW8" s="639"/>
      <c r="BX8" s="639"/>
      <c r="BY8" s="639"/>
      <c r="BZ8" s="639"/>
      <c r="CA8" s="639"/>
      <c r="CB8" s="639"/>
      <c r="CC8" s="639"/>
      <c r="CD8" s="639"/>
      <c r="CE8" s="639"/>
      <c r="CF8" s="639"/>
      <c r="CG8" s="639"/>
      <c r="CH8" s="639"/>
      <c r="CI8" s="639"/>
      <c r="CJ8" s="639"/>
      <c r="CK8" s="136"/>
      <c r="CL8" s="136"/>
    </row>
    <row r="9" spans="1:90" ht="17.25" customHeight="1">
      <c r="A9" s="156" t="s">
        <v>66</v>
      </c>
      <c r="B9" s="362">
        <v>1</v>
      </c>
      <c r="C9" s="362"/>
      <c r="D9" s="362">
        <v>315</v>
      </c>
      <c r="E9" s="362">
        <v>195</v>
      </c>
      <c r="F9" s="362"/>
      <c r="G9" s="362">
        <v>199</v>
      </c>
      <c r="H9" s="362">
        <v>2</v>
      </c>
      <c r="I9" s="362">
        <v>11</v>
      </c>
      <c r="J9" s="362">
        <v>8</v>
      </c>
      <c r="K9" s="362"/>
      <c r="L9" s="362">
        <v>437</v>
      </c>
      <c r="M9" s="362"/>
      <c r="N9" s="362"/>
      <c r="O9" s="362">
        <v>296</v>
      </c>
      <c r="P9" s="362">
        <v>2</v>
      </c>
      <c r="Q9" s="362">
        <v>73</v>
      </c>
      <c r="R9" s="362"/>
      <c r="S9" s="362">
        <v>191</v>
      </c>
      <c r="T9" s="362">
        <v>92</v>
      </c>
      <c r="U9" s="362">
        <v>54</v>
      </c>
      <c r="V9" s="362">
        <v>189</v>
      </c>
      <c r="W9" s="362">
        <v>365</v>
      </c>
      <c r="X9" s="362">
        <v>307</v>
      </c>
      <c r="Y9" s="362">
        <v>230</v>
      </c>
      <c r="Z9" s="362">
        <v>51</v>
      </c>
      <c r="AA9" s="362">
        <v>150</v>
      </c>
      <c r="AB9" s="362">
        <v>31</v>
      </c>
      <c r="AC9" s="362">
        <v>3</v>
      </c>
      <c r="AD9" s="362">
        <v>180</v>
      </c>
      <c r="AE9" s="362">
        <v>46</v>
      </c>
      <c r="AF9" s="362">
        <v>68</v>
      </c>
      <c r="AG9" s="150"/>
      <c r="AH9" s="365">
        <f>SUM(B9:AF9)</f>
        <v>3496</v>
      </c>
      <c r="AI9" s="639"/>
      <c r="AJ9" s="639"/>
      <c r="AK9" s="639"/>
      <c r="AL9" s="639"/>
      <c r="AM9" s="639"/>
      <c r="AN9" s="639"/>
      <c r="AO9" s="639"/>
      <c r="AP9" s="639"/>
      <c r="AQ9" s="639"/>
      <c r="AR9" s="639"/>
      <c r="AS9" s="639"/>
      <c r="AT9" s="639"/>
      <c r="AU9" s="639"/>
      <c r="AV9" s="639"/>
      <c r="AW9" s="639"/>
      <c r="AX9" s="639"/>
      <c r="AY9" s="639"/>
      <c r="AZ9" s="639"/>
      <c r="BA9" s="639"/>
      <c r="BB9" s="639"/>
      <c r="BC9" s="639"/>
      <c r="BD9" s="639"/>
      <c r="BE9" s="639"/>
      <c r="BF9" s="639"/>
      <c r="BG9" s="639"/>
      <c r="BH9" s="639"/>
      <c r="BI9" s="639"/>
      <c r="BJ9" s="639"/>
      <c r="BK9" s="639"/>
      <c r="BL9" s="639"/>
      <c r="BM9" s="639"/>
      <c r="BN9" s="639"/>
      <c r="BO9" s="639"/>
      <c r="BP9" s="639"/>
      <c r="BQ9" s="639"/>
      <c r="BR9" s="639"/>
      <c r="BS9" s="639"/>
      <c r="BT9" s="639"/>
      <c r="BU9" s="639"/>
      <c r="BV9" s="639"/>
      <c r="BW9" s="639"/>
      <c r="BX9" s="639"/>
      <c r="BY9" s="639"/>
      <c r="BZ9" s="639"/>
      <c r="CA9" s="639"/>
      <c r="CB9" s="639"/>
      <c r="CC9" s="639"/>
      <c r="CD9" s="639"/>
      <c r="CE9" s="639"/>
      <c r="CF9" s="639"/>
      <c r="CG9" s="639"/>
      <c r="CH9" s="639"/>
      <c r="CI9" s="639"/>
      <c r="CJ9" s="639"/>
      <c r="CK9" s="136"/>
      <c r="CL9" s="136"/>
    </row>
    <row r="10" spans="1:90" ht="15" customHeight="1">
      <c r="A10" s="161" t="s">
        <v>734</v>
      </c>
      <c r="B10" s="162">
        <f>SUM(B23:B233)/COUNTA($A$23:$A$233)</f>
        <v>4.7393364928909956E-3</v>
      </c>
      <c r="C10" s="162">
        <v>0.84160000000000001</v>
      </c>
      <c r="D10" s="162">
        <f t="shared" ref="D10:AF10" si="3">SUM(D23:D233)/COUNTA($A$23:$A$233)</f>
        <v>0.77725118483412325</v>
      </c>
      <c r="E10" s="162">
        <f t="shared" si="3"/>
        <v>0.51184834123222744</v>
      </c>
      <c r="F10" s="162">
        <f t="shared" si="3"/>
        <v>0</v>
      </c>
      <c r="G10" s="162">
        <f t="shared" si="3"/>
        <v>0.50710900473933651</v>
      </c>
      <c r="H10" s="162">
        <f t="shared" si="3"/>
        <v>0</v>
      </c>
      <c r="I10" s="162">
        <f t="shared" si="3"/>
        <v>2.843601895734597E-2</v>
      </c>
      <c r="J10" s="162">
        <f t="shared" si="3"/>
        <v>4.7393364928909956E-3</v>
      </c>
      <c r="K10" s="162">
        <f t="shared" si="3"/>
        <v>0</v>
      </c>
      <c r="L10" s="162">
        <f t="shared" si="3"/>
        <v>1</v>
      </c>
      <c r="M10" s="162">
        <f t="shared" si="3"/>
        <v>0</v>
      </c>
      <c r="N10" s="162">
        <f t="shared" si="3"/>
        <v>0</v>
      </c>
      <c r="O10" s="162">
        <f t="shared" si="3"/>
        <v>0.63507109004739337</v>
      </c>
      <c r="P10" s="162">
        <f t="shared" si="3"/>
        <v>0</v>
      </c>
      <c r="Q10" s="162">
        <f t="shared" si="3"/>
        <v>0.18483412322274881</v>
      </c>
      <c r="R10" s="162">
        <f t="shared" si="3"/>
        <v>0</v>
      </c>
      <c r="S10" s="162">
        <f t="shared" si="3"/>
        <v>0.47393364928909953</v>
      </c>
      <c r="T10" s="162">
        <f t="shared" si="3"/>
        <v>0.1895734597156398</v>
      </c>
      <c r="U10" s="162">
        <f t="shared" si="3"/>
        <v>0.12322274881516587</v>
      </c>
      <c r="V10" s="162">
        <f t="shared" si="3"/>
        <v>0.50236966824644547</v>
      </c>
      <c r="W10" s="162">
        <f t="shared" si="3"/>
        <v>0.86255924170616116</v>
      </c>
      <c r="X10" s="162">
        <f t="shared" si="3"/>
        <v>0.75355450236966826</v>
      </c>
      <c r="Y10" s="162">
        <f t="shared" si="3"/>
        <v>0.6018957345971564</v>
      </c>
      <c r="Z10" s="162">
        <f t="shared" si="3"/>
        <v>0.11374407582938388</v>
      </c>
      <c r="AA10" s="162">
        <f t="shared" si="3"/>
        <v>0.28436018957345971</v>
      </c>
      <c r="AB10" s="162">
        <f t="shared" si="3"/>
        <v>7.582938388625593E-2</v>
      </c>
      <c r="AC10" s="162">
        <f t="shared" si="3"/>
        <v>0</v>
      </c>
      <c r="AD10" s="162">
        <f t="shared" si="3"/>
        <v>0.44075829383886256</v>
      </c>
      <c r="AE10" s="162">
        <f t="shared" si="3"/>
        <v>9.004739336492891E-2</v>
      </c>
      <c r="AF10" s="162">
        <f t="shared" si="3"/>
        <v>0.14218009478672985</v>
      </c>
      <c r="AG10" s="162">
        <v>4.9500000000000002E-2</v>
      </c>
      <c r="AH10" s="163"/>
      <c r="AI10" s="163"/>
      <c r="AJ10" s="155"/>
      <c r="AK10" s="639"/>
      <c r="AL10" s="639"/>
      <c r="AM10" s="639"/>
      <c r="AN10" s="639"/>
      <c r="AO10" s="639"/>
      <c r="AP10" s="639"/>
      <c r="AQ10" s="639"/>
      <c r="AR10" s="639"/>
      <c r="AS10" s="639"/>
      <c r="AT10" s="639"/>
      <c r="AU10" s="639"/>
      <c r="AV10" s="639"/>
      <c r="AW10" s="639"/>
      <c r="AX10" s="639"/>
      <c r="AY10" s="639"/>
      <c r="AZ10" s="639"/>
      <c r="BA10" s="639"/>
      <c r="BB10" s="639"/>
      <c r="BC10" s="639"/>
      <c r="BD10" s="639"/>
      <c r="BE10" s="639"/>
      <c r="BF10" s="639"/>
      <c r="BG10" s="639"/>
      <c r="BH10" s="639"/>
      <c r="BI10" s="639"/>
      <c r="BJ10" s="639"/>
      <c r="BK10" s="300"/>
      <c r="BL10" s="769" t="str">
        <f>HYPERLINK("http://tangotiger.com/index.php/site/comments/scoring-system-for-hof-ballots-2015#7", "'Voter versus Voters' Tango Score (0 to 100)")</f>
        <v>'Voter versus Voters' Tango Score (0 to 100)</v>
      </c>
      <c r="BM10" s="639"/>
      <c r="BN10" s="639"/>
      <c r="BO10" s="639"/>
      <c r="BP10" s="639"/>
      <c r="BQ10" s="639"/>
      <c r="BR10" s="639"/>
      <c r="BS10" s="639"/>
      <c r="BT10" s="639"/>
      <c r="BU10" s="639"/>
      <c r="BV10" s="639"/>
      <c r="BW10" s="639"/>
      <c r="BX10" s="639"/>
      <c r="BY10" s="639"/>
      <c r="BZ10" s="639"/>
      <c r="CA10" s="639"/>
      <c r="CB10" s="639"/>
      <c r="CC10" s="639"/>
      <c r="CD10" s="639"/>
      <c r="CE10" s="639"/>
      <c r="CF10" s="639"/>
      <c r="CG10" s="639"/>
      <c r="CH10" s="639"/>
      <c r="CI10" s="639"/>
      <c r="CJ10" s="639"/>
      <c r="CK10" s="136"/>
      <c r="CL10" s="136"/>
    </row>
    <row r="11" spans="1:90" ht="12.75" customHeight="1">
      <c r="A11" s="161" t="s">
        <v>68</v>
      </c>
      <c r="B11" s="164">
        <f>COUNTIF(B235:B334,"1")/COUNTA($A235:$A334)</f>
        <v>0</v>
      </c>
      <c r="C11" s="164">
        <f>COUNTIF(C235:C235,"1")/COUNTA($A235:$A235)</f>
        <v>0</v>
      </c>
      <c r="D11" s="164">
        <f t="shared" ref="D11:AF11" si="4">COUNTIF(D235:D334,"1")/COUNTA($A235:$A334)</f>
        <v>0.72</v>
      </c>
      <c r="E11" s="164">
        <f t="shared" si="4"/>
        <v>0.33</v>
      </c>
      <c r="F11" s="164">
        <f t="shared" si="4"/>
        <v>0</v>
      </c>
      <c r="G11" s="164">
        <f t="shared" si="4"/>
        <v>0.36</v>
      </c>
      <c r="H11" s="164">
        <f t="shared" si="4"/>
        <v>0.01</v>
      </c>
      <c r="I11" s="164">
        <f t="shared" si="4"/>
        <v>0.02</v>
      </c>
      <c r="J11" s="164">
        <f t="shared" si="4"/>
        <v>0.03</v>
      </c>
      <c r="K11" s="164">
        <f t="shared" si="4"/>
        <v>0</v>
      </c>
      <c r="L11" s="164">
        <f t="shared" si="4"/>
        <v>1</v>
      </c>
      <c r="M11" s="164">
        <f t="shared" si="4"/>
        <v>0</v>
      </c>
      <c r="N11" s="164">
        <f t="shared" si="4"/>
        <v>0</v>
      </c>
      <c r="O11" s="164">
        <f t="shared" si="4"/>
        <v>0.73</v>
      </c>
      <c r="P11" s="164">
        <f t="shared" si="4"/>
        <v>0</v>
      </c>
      <c r="Q11" s="164">
        <f t="shared" si="4"/>
        <v>0.18</v>
      </c>
      <c r="R11" s="164">
        <f t="shared" si="4"/>
        <v>0</v>
      </c>
      <c r="S11" s="164">
        <f t="shared" si="4"/>
        <v>0.46</v>
      </c>
      <c r="T11" s="164">
        <f t="shared" si="4"/>
        <v>0.21</v>
      </c>
      <c r="U11" s="164">
        <f t="shared" si="4"/>
        <v>0.14000000000000001</v>
      </c>
      <c r="V11" s="164">
        <f t="shared" si="4"/>
        <v>0.44</v>
      </c>
      <c r="W11" s="164">
        <f t="shared" si="4"/>
        <v>0.81</v>
      </c>
      <c r="X11" s="164">
        <f t="shared" si="4"/>
        <v>0.71</v>
      </c>
      <c r="Y11" s="164">
        <f t="shared" si="4"/>
        <v>0.55000000000000004</v>
      </c>
      <c r="Z11" s="164">
        <f t="shared" si="4"/>
        <v>0.16</v>
      </c>
      <c r="AA11" s="164">
        <f t="shared" si="4"/>
        <v>0.39</v>
      </c>
      <c r="AB11" s="164">
        <f t="shared" si="4"/>
        <v>0.06</v>
      </c>
      <c r="AC11" s="164">
        <f t="shared" si="4"/>
        <v>0.01</v>
      </c>
      <c r="AD11" s="164">
        <f t="shared" si="4"/>
        <v>0.45</v>
      </c>
      <c r="AE11" s="164">
        <f t="shared" si="4"/>
        <v>0.12</v>
      </c>
      <c r="AF11" s="164">
        <f t="shared" si="4"/>
        <v>0.18</v>
      </c>
      <c r="AG11" s="164">
        <f>COUNTIF(AG235:AG235,"1")/COUNTA($A235:$A235)</f>
        <v>0</v>
      </c>
      <c r="AH11" s="644"/>
      <c r="AI11" s="644"/>
      <c r="AJ11" s="155"/>
      <c r="AK11" s="639"/>
      <c r="AL11" s="639"/>
      <c r="AM11" s="639"/>
      <c r="AN11" s="639"/>
      <c r="AO11" s="639"/>
      <c r="AP11" s="639"/>
      <c r="AQ11" s="639"/>
      <c r="AR11" s="639"/>
      <c r="AS11" s="639"/>
      <c r="AT11" s="639"/>
      <c r="AU11" s="639"/>
      <c r="AV11" s="639"/>
      <c r="AW11" s="639"/>
      <c r="AX11" s="639"/>
      <c r="AY11" s="639"/>
      <c r="AZ11" s="639"/>
      <c r="BA11" s="639"/>
      <c r="BB11" s="639"/>
      <c r="BC11" s="639"/>
      <c r="BD11" s="639"/>
      <c r="BE11" s="639"/>
      <c r="BF11" s="639"/>
      <c r="BG11" s="639"/>
      <c r="BH11" s="639"/>
      <c r="BI11" s="639"/>
      <c r="BJ11" s="639"/>
      <c r="BK11" s="313"/>
      <c r="BL11" s="770"/>
      <c r="BM11" s="639"/>
      <c r="BN11" s="639"/>
      <c r="BO11" s="639"/>
      <c r="BP11" s="639"/>
      <c r="BQ11" s="639"/>
      <c r="BR11" s="639"/>
      <c r="BS11" s="639"/>
      <c r="BT11" s="639"/>
      <c r="BU11" s="639"/>
      <c r="BV11" s="639"/>
      <c r="BW11" s="639"/>
      <c r="BX11" s="639"/>
      <c r="BY11" s="639"/>
      <c r="BZ11" s="639"/>
      <c r="CA11" s="639"/>
      <c r="CB11" s="639"/>
      <c r="CC11" s="639"/>
      <c r="CD11" s="639"/>
      <c r="CE11" s="639"/>
      <c r="CF11" s="639"/>
      <c r="CG11" s="639"/>
      <c r="CH11" s="639"/>
      <c r="CI11" s="639"/>
      <c r="CJ11" s="639"/>
      <c r="CK11" s="136"/>
      <c r="CL11" s="136"/>
    </row>
    <row r="12" spans="1:90" ht="12.75" customHeight="1">
      <c r="A12" s="161" t="s">
        <v>69</v>
      </c>
      <c r="B12" s="166">
        <f t="shared" ref="B12:AG12" si="5">B14/B15</f>
        <v>0</v>
      </c>
      <c r="C12" s="166" t="e">
        <f t="shared" si="5"/>
        <v>#REF!</v>
      </c>
      <c r="D12" s="166">
        <f t="shared" si="5"/>
        <v>0.61240310077519378</v>
      </c>
      <c r="E12" s="166">
        <f t="shared" si="5"/>
        <v>0.41860465116279072</v>
      </c>
      <c r="F12" s="166">
        <f t="shared" si="5"/>
        <v>0</v>
      </c>
      <c r="G12" s="166">
        <f t="shared" si="5"/>
        <v>0.43410852713178294</v>
      </c>
      <c r="H12" s="166">
        <f t="shared" si="5"/>
        <v>7.7519379844961239E-3</v>
      </c>
      <c r="I12" s="166">
        <f t="shared" si="5"/>
        <v>2.3255813953488372E-2</v>
      </c>
      <c r="J12" s="166">
        <f t="shared" si="5"/>
        <v>3.1007751937984496E-2</v>
      </c>
      <c r="K12" s="166">
        <f t="shared" si="5"/>
        <v>0</v>
      </c>
      <c r="L12" s="166">
        <f t="shared" si="5"/>
        <v>0.97674418604651159</v>
      </c>
      <c r="M12" s="166">
        <f t="shared" si="5"/>
        <v>0</v>
      </c>
      <c r="N12" s="166">
        <f t="shared" si="5"/>
        <v>0</v>
      </c>
      <c r="O12" s="166">
        <f t="shared" si="5"/>
        <v>0.68992248062015504</v>
      </c>
      <c r="P12" s="166">
        <f t="shared" si="5"/>
        <v>1.5503875968992248E-2</v>
      </c>
      <c r="Q12" s="166">
        <f t="shared" si="5"/>
        <v>0.12403100775193798</v>
      </c>
      <c r="R12" s="166">
        <f t="shared" si="5"/>
        <v>0</v>
      </c>
      <c r="S12" s="166">
        <f t="shared" si="5"/>
        <v>0.34883720930232559</v>
      </c>
      <c r="T12" s="166">
        <f t="shared" si="5"/>
        <v>0.24031007751937986</v>
      </c>
      <c r="U12" s="166">
        <f t="shared" si="5"/>
        <v>0.10852713178294573</v>
      </c>
      <c r="V12" s="166">
        <f t="shared" si="5"/>
        <v>0.30232558139534882</v>
      </c>
      <c r="W12" s="166">
        <f t="shared" si="5"/>
        <v>0.79069767441860461</v>
      </c>
      <c r="X12" s="166">
        <f t="shared" si="5"/>
        <v>0.5968992248062015</v>
      </c>
      <c r="Y12" s="166">
        <f t="shared" si="5"/>
        <v>0.37209302325581395</v>
      </c>
      <c r="Z12" s="166">
        <f t="shared" si="5"/>
        <v>8.5271317829457363E-2</v>
      </c>
      <c r="AA12" s="166">
        <f t="shared" si="5"/>
        <v>0.39534883720930231</v>
      </c>
      <c r="AB12" s="166">
        <f t="shared" si="5"/>
        <v>6.9767441860465115E-2</v>
      </c>
      <c r="AC12" s="166">
        <f t="shared" si="5"/>
        <v>1.5503875968992248E-2</v>
      </c>
      <c r="AD12" s="166">
        <f t="shared" si="5"/>
        <v>0.32558139534883723</v>
      </c>
      <c r="AE12" s="166">
        <f t="shared" si="5"/>
        <v>0.11627906976744186</v>
      </c>
      <c r="AF12" s="166">
        <f t="shared" si="5"/>
        <v>0.15503875968992248</v>
      </c>
      <c r="AG12" s="166" t="e">
        <f t="shared" si="5"/>
        <v>#REF!</v>
      </c>
      <c r="AH12" s="167"/>
      <c r="AI12" s="167"/>
      <c r="AJ12" s="155"/>
      <c r="AK12" s="639"/>
      <c r="AL12" s="639"/>
      <c r="AM12" s="639"/>
      <c r="AN12" s="639"/>
      <c r="AO12" s="639"/>
      <c r="AP12" s="639"/>
      <c r="AQ12" s="639"/>
      <c r="AR12" s="639"/>
      <c r="AS12" s="639"/>
      <c r="AT12" s="639"/>
      <c r="AU12" s="639"/>
      <c r="AV12" s="639"/>
      <c r="AW12" s="639"/>
      <c r="AX12" s="639"/>
      <c r="AY12" s="639"/>
      <c r="AZ12" s="639"/>
      <c r="BA12" s="639"/>
      <c r="BB12" s="639"/>
      <c r="BC12" s="639"/>
      <c r="BD12" s="639"/>
      <c r="BE12" s="639"/>
      <c r="BF12" s="639"/>
      <c r="BG12" s="639"/>
      <c r="BH12" s="639"/>
      <c r="BI12" s="639"/>
      <c r="BJ12" s="639"/>
      <c r="BK12" s="313"/>
      <c r="BL12" s="770"/>
      <c r="BM12" s="639"/>
      <c r="BN12" s="639"/>
      <c r="BO12" s="639"/>
      <c r="BP12" s="639"/>
      <c r="BQ12" s="639"/>
      <c r="BR12" s="639"/>
      <c r="BS12" s="639"/>
      <c r="BT12" s="639"/>
      <c r="BU12" s="639"/>
      <c r="BV12" s="639"/>
      <c r="BW12" s="639"/>
      <c r="BX12" s="639"/>
      <c r="BY12" s="639"/>
      <c r="BZ12" s="639"/>
      <c r="CA12" s="639"/>
      <c r="CB12" s="639"/>
      <c r="CC12" s="639"/>
      <c r="CD12" s="639"/>
      <c r="CE12" s="639"/>
      <c r="CF12" s="639"/>
      <c r="CG12" s="639"/>
      <c r="CH12" s="639"/>
      <c r="CI12" s="639"/>
      <c r="CJ12" s="639"/>
      <c r="CK12" s="136"/>
      <c r="CL12" s="136"/>
    </row>
    <row r="13" spans="1:90" ht="12.75" customHeight="1">
      <c r="A13" s="161" t="s">
        <v>70</v>
      </c>
      <c r="B13" s="166">
        <f t="shared" ref="B13:AG13" si="6">B12-B4</f>
        <v>-3.2154340836012861E-3</v>
      </c>
      <c r="C13" s="166" t="e">
        <f t="shared" si="6"/>
        <v>#REF!</v>
      </c>
      <c r="D13" s="166">
        <f t="shared" si="6"/>
        <v>-0.14643934295470973</v>
      </c>
      <c r="E13" s="166">
        <f t="shared" si="6"/>
        <v>-3.4771554624990653E-2</v>
      </c>
      <c r="F13" s="166">
        <f t="shared" si="6"/>
        <v>0</v>
      </c>
      <c r="G13" s="166">
        <f t="shared" si="6"/>
        <v>-2.5698546823200996E-2</v>
      </c>
      <c r="H13" s="166">
        <f t="shared" si="6"/>
        <v>4.5365039008948378E-3</v>
      </c>
      <c r="I13" s="166">
        <f t="shared" si="6"/>
        <v>-2.4676587153219173E-3</v>
      </c>
      <c r="J13" s="166">
        <f t="shared" si="6"/>
        <v>1.8146015603579351E-2</v>
      </c>
      <c r="K13" s="166">
        <f t="shared" si="6"/>
        <v>0</v>
      </c>
      <c r="L13" s="166">
        <f t="shared" si="6"/>
        <v>-2.3255813953488413E-2</v>
      </c>
      <c r="M13" s="166">
        <f t="shared" si="6"/>
        <v>0</v>
      </c>
      <c r="N13" s="166">
        <f t="shared" si="6"/>
        <v>0</v>
      </c>
      <c r="O13" s="166">
        <f t="shared" si="6"/>
        <v>2.4327625314688794E-2</v>
      </c>
      <c r="P13" s="166">
        <f t="shared" si="6"/>
        <v>1.5503875968992248E-2</v>
      </c>
      <c r="Q13" s="166">
        <f t="shared" si="6"/>
        <v>-5.924873501333533E-2</v>
      </c>
      <c r="R13" s="166">
        <f t="shared" si="6"/>
        <v>0</v>
      </c>
      <c r="S13" s="166">
        <f t="shared" si="6"/>
        <v>-0.12061616690346222</v>
      </c>
      <c r="T13" s="166">
        <f t="shared" si="6"/>
        <v>4.4168598419701388E-2</v>
      </c>
      <c r="U13" s="166">
        <f t="shared" si="6"/>
        <v>-2.0090231561105704E-2</v>
      </c>
      <c r="V13" s="166">
        <f t="shared" si="6"/>
        <v>-0.17998953114484412</v>
      </c>
      <c r="W13" s="166">
        <f t="shared" si="6"/>
        <v>-5.4961489568533639E-2</v>
      </c>
      <c r="X13" s="166">
        <f t="shared" si="6"/>
        <v>-0.14265061442209437</v>
      </c>
      <c r="Y13" s="166">
        <f t="shared" si="6"/>
        <v>-0.21311597995962017</v>
      </c>
      <c r="Z13" s="166">
        <f t="shared" si="6"/>
        <v>-4.3346045514594075E-2</v>
      </c>
      <c r="AA13" s="166">
        <f t="shared" si="6"/>
        <v>7.7020862932774992E-2</v>
      </c>
      <c r="AB13" s="166">
        <f t="shared" si="6"/>
        <v>-9.7210797876318145E-4</v>
      </c>
      <c r="AC13" s="166">
        <f t="shared" si="6"/>
        <v>1.2288441885390963E-2</v>
      </c>
      <c r="AD13" s="166">
        <f t="shared" si="6"/>
        <v>-0.11814850818814027</v>
      </c>
      <c r="AE13" s="166">
        <f t="shared" si="6"/>
        <v>1.6600613175801984E-2</v>
      </c>
      <c r="AF13" s="166">
        <f t="shared" si="6"/>
        <v>6.9792367706073E-4</v>
      </c>
      <c r="AG13" s="166" t="e">
        <f t="shared" si="6"/>
        <v>#REF!</v>
      </c>
      <c r="AH13" s="639"/>
      <c r="AI13" s="639"/>
      <c r="AJ13" s="155"/>
      <c r="AK13" s="639"/>
      <c r="AL13" s="639"/>
      <c r="AM13" s="639"/>
      <c r="AN13" s="639"/>
      <c r="AO13" s="639"/>
      <c r="AP13" s="639"/>
      <c r="AQ13" s="639"/>
      <c r="AR13" s="639"/>
      <c r="AS13" s="639"/>
      <c r="AT13" s="639"/>
      <c r="AU13" s="639"/>
      <c r="AV13" s="639"/>
      <c r="AW13" s="639"/>
      <c r="AX13" s="639"/>
      <c r="AY13" s="639"/>
      <c r="AZ13" s="639"/>
      <c r="BA13" s="639"/>
      <c r="BB13" s="639"/>
      <c r="BC13" s="639"/>
      <c r="BD13" s="639"/>
      <c r="BE13" s="639"/>
      <c r="BF13" s="639"/>
      <c r="BG13" s="639"/>
      <c r="BH13" s="639"/>
      <c r="BI13" s="639"/>
      <c r="BJ13" s="639"/>
      <c r="BK13" s="313"/>
      <c r="BL13" s="770"/>
      <c r="BM13" s="639"/>
      <c r="BN13" s="639"/>
      <c r="BO13" s="639"/>
      <c r="BP13" s="639"/>
      <c r="BQ13" s="639"/>
      <c r="BR13" s="639"/>
      <c r="BS13" s="639"/>
      <c r="BT13" s="639"/>
      <c r="BU13" s="639"/>
      <c r="BV13" s="639"/>
      <c r="BW13" s="639"/>
      <c r="BX13" s="639"/>
      <c r="BY13" s="639"/>
      <c r="BZ13" s="639"/>
      <c r="CA13" s="639"/>
      <c r="CB13" s="639"/>
      <c r="CC13" s="639"/>
      <c r="CD13" s="639"/>
      <c r="CE13" s="639"/>
      <c r="CF13" s="639"/>
      <c r="CG13" s="639"/>
      <c r="CH13" s="639"/>
      <c r="CI13" s="639"/>
      <c r="CJ13" s="639"/>
      <c r="CK13" s="136"/>
      <c r="CL13" s="136"/>
    </row>
    <row r="14" spans="1:90" ht="12.75" hidden="1" customHeight="1">
      <c r="A14" s="641"/>
      <c r="B14" s="364">
        <f>B9-B5</f>
        <v>0</v>
      </c>
      <c r="C14" s="641" t="e">
        <f>#REF!-C5</f>
        <v>#REF!</v>
      </c>
      <c r="D14" s="364">
        <f t="shared" ref="D14:AF14" si="7">D9-D5</f>
        <v>79</v>
      </c>
      <c r="E14" s="364">
        <f t="shared" si="7"/>
        <v>54</v>
      </c>
      <c r="F14" s="364">
        <f t="shared" si="7"/>
        <v>0</v>
      </c>
      <c r="G14" s="364">
        <f t="shared" si="7"/>
        <v>56</v>
      </c>
      <c r="H14" s="364">
        <f t="shared" si="7"/>
        <v>1</v>
      </c>
      <c r="I14" s="364">
        <f t="shared" si="7"/>
        <v>3</v>
      </c>
      <c r="J14" s="364">
        <f t="shared" si="7"/>
        <v>4</v>
      </c>
      <c r="K14" s="364">
        <f t="shared" si="7"/>
        <v>0</v>
      </c>
      <c r="L14" s="364">
        <f t="shared" si="7"/>
        <v>126</v>
      </c>
      <c r="M14" s="364">
        <f t="shared" si="7"/>
        <v>0</v>
      </c>
      <c r="N14" s="364">
        <f t="shared" si="7"/>
        <v>0</v>
      </c>
      <c r="O14" s="364">
        <f t="shared" si="7"/>
        <v>89</v>
      </c>
      <c r="P14" s="364">
        <f t="shared" si="7"/>
        <v>2</v>
      </c>
      <c r="Q14" s="364">
        <f t="shared" si="7"/>
        <v>16</v>
      </c>
      <c r="R14" s="364">
        <f t="shared" si="7"/>
        <v>0</v>
      </c>
      <c r="S14" s="364">
        <f t="shared" si="7"/>
        <v>45</v>
      </c>
      <c r="T14" s="364">
        <f t="shared" si="7"/>
        <v>31</v>
      </c>
      <c r="U14" s="364">
        <f t="shared" si="7"/>
        <v>14</v>
      </c>
      <c r="V14" s="364">
        <f t="shared" si="7"/>
        <v>39</v>
      </c>
      <c r="W14" s="364">
        <f t="shared" si="7"/>
        <v>102</v>
      </c>
      <c r="X14" s="364">
        <f t="shared" si="7"/>
        <v>77</v>
      </c>
      <c r="Y14" s="364">
        <f t="shared" si="7"/>
        <v>48</v>
      </c>
      <c r="Z14" s="364">
        <f t="shared" si="7"/>
        <v>11</v>
      </c>
      <c r="AA14" s="364">
        <f t="shared" si="7"/>
        <v>51</v>
      </c>
      <c r="AB14" s="364">
        <f t="shared" si="7"/>
        <v>9</v>
      </c>
      <c r="AC14" s="364">
        <f t="shared" si="7"/>
        <v>2</v>
      </c>
      <c r="AD14" s="364">
        <f t="shared" si="7"/>
        <v>42</v>
      </c>
      <c r="AE14" s="364">
        <f t="shared" si="7"/>
        <v>15</v>
      </c>
      <c r="AF14" s="364">
        <f t="shared" si="7"/>
        <v>20</v>
      </c>
      <c r="AG14" s="641" t="e">
        <f>#REF!-AG5</f>
        <v>#REF!</v>
      </c>
      <c r="AH14" s="639"/>
      <c r="AI14" s="639"/>
      <c r="AJ14" s="155"/>
      <c r="AK14" s="639"/>
      <c r="AL14" s="639"/>
      <c r="AM14" s="639"/>
      <c r="AN14" s="639"/>
      <c r="AO14" s="639"/>
      <c r="AP14" s="639"/>
      <c r="AQ14" s="639"/>
      <c r="AR14" s="639"/>
      <c r="AS14" s="639"/>
      <c r="AT14" s="639"/>
      <c r="AU14" s="639"/>
      <c r="AV14" s="639"/>
      <c r="AW14" s="639"/>
      <c r="AX14" s="639"/>
      <c r="AY14" s="639"/>
      <c r="AZ14" s="639"/>
      <c r="BA14" s="639"/>
      <c r="BB14" s="639"/>
      <c r="BC14" s="639"/>
      <c r="BD14" s="639"/>
      <c r="BE14" s="639"/>
      <c r="BF14" s="639"/>
      <c r="BG14" s="639"/>
      <c r="BH14" s="639"/>
      <c r="BI14" s="639"/>
      <c r="BJ14" s="639"/>
      <c r="BK14" s="313"/>
      <c r="BL14" s="770"/>
      <c r="BM14" s="639"/>
      <c r="BN14" s="639"/>
      <c r="BO14" s="639"/>
      <c r="BP14" s="639"/>
      <c r="BQ14" s="639"/>
      <c r="BR14" s="639"/>
      <c r="BS14" s="639"/>
      <c r="BT14" s="639"/>
      <c r="BU14" s="639"/>
      <c r="BV14" s="639"/>
      <c r="BW14" s="639"/>
      <c r="BX14" s="639"/>
      <c r="BY14" s="639"/>
      <c r="BZ14" s="639"/>
      <c r="CA14" s="639"/>
      <c r="CB14" s="639"/>
      <c r="CC14" s="639"/>
      <c r="CD14" s="639"/>
      <c r="CE14" s="639"/>
      <c r="CF14" s="639"/>
      <c r="CG14" s="639"/>
      <c r="CH14" s="639"/>
      <c r="CI14" s="639"/>
      <c r="CJ14" s="639"/>
      <c r="CK14" s="136"/>
      <c r="CL14" s="136"/>
    </row>
    <row r="15" spans="1:90" ht="12.75" hidden="1" customHeight="1">
      <c r="A15" s="641"/>
      <c r="B15" s="641">
        <f>440-$I1-$O$1</f>
        <v>129</v>
      </c>
      <c r="C15" s="641">
        <f>440-$I1-4</f>
        <v>129</v>
      </c>
      <c r="D15" s="641">
        <f t="shared" ref="D15:AF15" si="8">440-$I1-$O$1</f>
        <v>129</v>
      </c>
      <c r="E15" s="641">
        <f t="shared" si="8"/>
        <v>129</v>
      </c>
      <c r="F15" s="641">
        <f t="shared" si="8"/>
        <v>129</v>
      </c>
      <c r="G15" s="641">
        <f t="shared" si="8"/>
        <v>129</v>
      </c>
      <c r="H15" s="641">
        <f t="shared" si="8"/>
        <v>129</v>
      </c>
      <c r="I15" s="641">
        <f t="shared" si="8"/>
        <v>129</v>
      </c>
      <c r="J15" s="641">
        <f t="shared" si="8"/>
        <v>129</v>
      </c>
      <c r="K15" s="641">
        <f t="shared" si="8"/>
        <v>129</v>
      </c>
      <c r="L15" s="641">
        <f t="shared" si="8"/>
        <v>129</v>
      </c>
      <c r="M15" s="641">
        <f t="shared" si="8"/>
        <v>129</v>
      </c>
      <c r="N15" s="641">
        <f t="shared" si="8"/>
        <v>129</v>
      </c>
      <c r="O15" s="641">
        <f t="shared" si="8"/>
        <v>129</v>
      </c>
      <c r="P15" s="641">
        <f t="shared" si="8"/>
        <v>129</v>
      </c>
      <c r="Q15" s="641">
        <f t="shared" si="8"/>
        <v>129</v>
      </c>
      <c r="R15" s="641">
        <f t="shared" si="8"/>
        <v>129</v>
      </c>
      <c r="S15" s="641">
        <f t="shared" si="8"/>
        <v>129</v>
      </c>
      <c r="T15" s="641">
        <f t="shared" si="8"/>
        <v>129</v>
      </c>
      <c r="U15" s="641">
        <f t="shared" si="8"/>
        <v>129</v>
      </c>
      <c r="V15" s="641">
        <f t="shared" si="8"/>
        <v>129</v>
      </c>
      <c r="W15" s="641">
        <f t="shared" si="8"/>
        <v>129</v>
      </c>
      <c r="X15" s="641">
        <f t="shared" si="8"/>
        <v>129</v>
      </c>
      <c r="Y15" s="641">
        <f t="shared" si="8"/>
        <v>129</v>
      </c>
      <c r="Z15" s="641">
        <f t="shared" si="8"/>
        <v>129</v>
      </c>
      <c r="AA15" s="641">
        <f t="shared" si="8"/>
        <v>129</v>
      </c>
      <c r="AB15" s="641">
        <f t="shared" si="8"/>
        <v>129</v>
      </c>
      <c r="AC15" s="641">
        <f t="shared" si="8"/>
        <v>129</v>
      </c>
      <c r="AD15" s="641">
        <f t="shared" si="8"/>
        <v>129</v>
      </c>
      <c r="AE15" s="641">
        <f t="shared" si="8"/>
        <v>129</v>
      </c>
      <c r="AF15" s="641">
        <f t="shared" si="8"/>
        <v>129</v>
      </c>
      <c r="AG15" s="641">
        <f>549-$I1</f>
        <v>242</v>
      </c>
      <c r="AH15" s="641"/>
      <c r="AI15" s="641"/>
      <c r="AJ15" s="155"/>
      <c r="AK15" s="639"/>
      <c r="AL15" s="639"/>
      <c r="AM15" s="639"/>
      <c r="AN15" s="639"/>
      <c r="AO15" s="639"/>
      <c r="AP15" s="639"/>
      <c r="AQ15" s="639"/>
      <c r="AR15" s="639"/>
      <c r="AS15" s="639"/>
      <c r="AT15" s="639"/>
      <c r="AU15" s="639"/>
      <c r="AV15" s="639"/>
      <c r="AW15" s="639"/>
      <c r="AX15" s="639"/>
      <c r="AY15" s="639"/>
      <c r="AZ15" s="639"/>
      <c r="BA15" s="639"/>
      <c r="BB15" s="639"/>
      <c r="BC15" s="639"/>
      <c r="BD15" s="639"/>
      <c r="BE15" s="639"/>
      <c r="BF15" s="639"/>
      <c r="BG15" s="639"/>
      <c r="BH15" s="639"/>
      <c r="BI15" s="639"/>
      <c r="BJ15" s="639"/>
      <c r="BK15" s="313"/>
      <c r="BL15" s="770"/>
      <c r="BM15" s="639"/>
      <c r="BN15" s="639"/>
      <c r="BO15" s="639"/>
      <c r="BP15" s="639"/>
      <c r="BQ15" s="639"/>
      <c r="BR15" s="639"/>
      <c r="BS15" s="639"/>
      <c r="BT15" s="639"/>
      <c r="BU15" s="639"/>
      <c r="BV15" s="639"/>
      <c r="BW15" s="639"/>
      <c r="BX15" s="639"/>
      <c r="BY15" s="639"/>
      <c r="BZ15" s="639"/>
      <c r="CA15" s="639"/>
      <c r="CB15" s="639"/>
      <c r="CC15" s="639"/>
      <c r="CD15" s="639"/>
      <c r="CE15" s="639"/>
      <c r="CF15" s="639"/>
      <c r="CG15" s="639"/>
      <c r="CH15" s="639"/>
      <c r="CI15" s="639"/>
      <c r="CJ15" s="639"/>
      <c r="CK15" s="136"/>
      <c r="CL15" s="136"/>
    </row>
    <row r="16" spans="1:90" ht="12.75" hidden="1" customHeight="1">
      <c r="A16" s="641"/>
      <c r="B16" s="641"/>
      <c r="C16" s="641"/>
      <c r="D16" s="641"/>
      <c r="E16" s="641"/>
      <c r="F16" s="641" t="e">
        <v>#NAME?</v>
      </c>
      <c r="G16" s="641"/>
      <c r="H16" s="641"/>
      <c r="I16" s="641"/>
      <c r="J16" s="641"/>
      <c r="K16" s="641" t="e">
        <v>#NAME?</v>
      </c>
      <c r="L16" s="641"/>
      <c r="M16" s="641" t="e">
        <v>#NAME?</v>
      </c>
      <c r="N16" s="641" t="e">
        <v>#NAME?</v>
      </c>
      <c r="O16" s="641"/>
      <c r="P16" s="641"/>
      <c r="Q16" s="641"/>
      <c r="R16" s="641" t="e">
        <v>#NAME?</v>
      </c>
      <c r="S16" s="641"/>
      <c r="T16" s="641"/>
      <c r="U16" s="641"/>
      <c r="V16" s="641"/>
      <c r="W16" s="641"/>
      <c r="X16" s="641"/>
      <c r="Y16" s="641"/>
      <c r="Z16" s="641"/>
      <c r="AA16" s="641"/>
      <c r="AB16" s="641"/>
      <c r="AC16" s="641"/>
      <c r="AD16" s="641"/>
      <c r="AE16" s="641"/>
      <c r="AF16" s="641"/>
      <c r="AG16" s="641"/>
      <c r="AH16" s="641"/>
      <c r="AI16" s="641"/>
      <c r="AJ16" s="155"/>
      <c r="AK16" s="639"/>
      <c r="AL16" s="639"/>
      <c r="AM16" s="639"/>
      <c r="AN16" s="639"/>
      <c r="AO16" s="639"/>
      <c r="AP16" s="639"/>
      <c r="AQ16" s="639"/>
      <c r="AR16" s="639"/>
      <c r="AS16" s="639"/>
      <c r="AT16" s="639"/>
      <c r="AU16" s="639"/>
      <c r="AV16" s="639"/>
      <c r="AW16" s="639"/>
      <c r="AX16" s="639"/>
      <c r="AY16" s="639"/>
      <c r="AZ16" s="639"/>
      <c r="BA16" s="639"/>
      <c r="BB16" s="639"/>
      <c r="BC16" s="639"/>
      <c r="BD16" s="639"/>
      <c r="BE16" s="639"/>
      <c r="BF16" s="639"/>
      <c r="BG16" s="639"/>
      <c r="BH16" s="639"/>
      <c r="BI16" s="639"/>
      <c r="BJ16" s="639"/>
      <c r="BK16" s="313"/>
      <c r="BL16" s="770"/>
      <c r="BM16" s="639"/>
      <c r="BN16" s="639"/>
      <c r="BO16" s="639"/>
      <c r="BP16" s="639"/>
      <c r="BQ16" s="639"/>
      <c r="BR16" s="639"/>
      <c r="BS16" s="639"/>
      <c r="BT16" s="639"/>
      <c r="BU16" s="639"/>
      <c r="BV16" s="639"/>
      <c r="BW16" s="639"/>
      <c r="BX16" s="639"/>
      <c r="BY16" s="639"/>
      <c r="BZ16" s="639"/>
      <c r="CA16" s="639"/>
      <c r="CB16" s="639"/>
      <c r="CC16" s="639"/>
      <c r="CD16" s="639"/>
      <c r="CE16" s="639"/>
      <c r="CF16" s="639"/>
      <c r="CG16" s="639"/>
      <c r="CH16" s="639"/>
      <c r="CI16" s="639"/>
      <c r="CJ16" s="639"/>
      <c r="CK16" s="136"/>
      <c r="CL16" s="136"/>
    </row>
    <row r="17" spans="1:90" ht="12.75" customHeight="1">
      <c r="A17" s="168" t="s">
        <v>77</v>
      </c>
      <c r="B17" s="169"/>
      <c r="C17" s="169" t="s">
        <v>735</v>
      </c>
      <c r="D17" s="169">
        <v>32</v>
      </c>
      <c r="E17" s="169">
        <v>14</v>
      </c>
      <c r="F17" s="169"/>
      <c r="G17" s="169">
        <v>14</v>
      </c>
      <c r="H17" s="169"/>
      <c r="I17" s="169"/>
      <c r="J17" s="169">
        <v>-1</v>
      </c>
      <c r="K17" s="169"/>
      <c r="L17" s="169"/>
      <c r="M17" s="169"/>
      <c r="N17" s="169"/>
      <c r="O17" s="169"/>
      <c r="P17" s="169"/>
      <c r="Q17" s="169">
        <v>12</v>
      </c>
      <c r="R17" s="169"/>
      <c r="S17" s="169">
        <v>51</v>
      </c>
      <c r="T17" s="169">
        <v>17</v>
      </c>
      <c r="U17" s="169">
        <v>8</v>
      </c>
      <c r="V17" s="169">
        <v>39</v>
      </c>
      <c r="W17" s="169">
        <v>23</v>
      </c>
      <c r="X17" s="169">
        <v>31</v>
      </c>
      <c r="Y17" s="169">
        <v>31</v>
      </c>
      <c r="Z17" s="169">
        <v>6</v>
      </c>
      <c r="AA17" s="169">
        <v>16</v>
      </c>
      <c r="AB17" s="169">
        <v>5</v>
      </c>
      <c r="AC17" s="169"/>
      <c r="AD17" s="169">
        <v>38</v>
      </c>
      <c r="AE17" s="169"/>
      <c r="AF17" s="169">
        <v>14</v>
      </c>
      <c r="AG17" s="170"/>
      <c r="AH17" s="171"/>
      <c r="AI17" s="338">
        <f>COUNTA(A23:A233)</f>
        <v>211</v>
      </c>
      <c r="AJ17" s="641"/>
      <c r="AK17" s="639"/>
      <c r="AL17" s="639"/>
      <c r="AM17" s="639"/>
      <c r="AN17" s="639"/>
      <c r="AO17" s="639"/>
      <c r="AP17" s="639"/>
      <c r="AQ17" s="639"/>
      <c r="AR17" s="639"/>
      <c r="AS17" s="639"/>
      <c r="AT17" s="639"/>
      <c r="AU17" s="639"/>
      <c r="AV17" s="639"/>
      <c r="AW17" s="639"/>
      <c r="AX17" s="639"/>
      <c r="AY17" s="639"/>
      <c r="AZ17" s="639"/>
      <c r="BA17" s="639"/>
      <c r="BB17" s="639"/>
      <c r="BC17" s="639"/>
      <c r="BD17" s="639"/>
      <c r="BE17" s="639"/>
      <c r="BF17" s="639"/>
      <c r="BG17" s="639"/>
      <c r="BH17" s="639"/>
      <c r="BI17" s="639"/>
      <c r="BJ17" s="639"/>
      <c r="BK17" s="313"/>
      <c r="BL17" s="770"/>
      <c r="BM17" s="639"/>
      <c r="BN17" s="639"/>
      <c r="BO17" s="639"/>
      <c r="BP17" s="639"/>
      <c r="BQ17" s="639"/>
      <c r="BR17" s="639"/>
      <c r="BS17" s="639"/>
      <c r="BT17" s="639"/>
      <c r="BU17" s="639"/>
      <c r="BV17" s="639"/>
      <c r="BW17" s="639"/>
      <c r="BX17" s="639"/>
      <c r="BY17" s="639"/>
      <c r="BZ17" s="639"/>
      <c r="CA17" s="639"/>
      <c r="CB17" s="639"/>
      <c r="CC17" s="639"/>
      <c r="CD17" s="639"/>
      <c r="CE17" s="639"/>
      <c r="CF17" s="639"/>
      <c r="CG17" s="639"/>
      <c r="CH17" s="639"/>
      <c r="CI17" s="639"/>
      <c r="CJ17" s="639"/>
      <c r="CK17" s="136"/>
      <c r="CL17" s="136"/>
    </row>
    <row r="18" spans="1:90" ht="12.75" customHeight="1">
      <c r="A18" s="168" t="s">
        <v>736</v>
      </c>
      <c r="B18" s="172">
        <f>0/AH18</f>
        <v>0</v>
      </c>
      <c r="C18" s="172">
        <f>9/11</f>
        <v>0.81818181818181823</v>
      </c>
      <c r="D18" s="172">
        <f>9/$AH$18</f>
        <v>0.9</v>
      </c>
      <c r="E18" s="172">
        <f>5/$AH$18</f>
        <v>0.5</v>
      </c>
      <c r="F18" s="172"/>
      <c r="G18" s="172">
        <f>5/$AH$18</f>
        <v>0.5</v>
      </c>
      <c r="H18" s="172">
        <v>0</v>
      </c>
      <c r="I18" s="172">
        <f>0/AH18</f>
        <v>0</v>
      </c>
      <c r="J18" s="172">
        <f>0/AH18</f>
        <v>0</v>
      </c>
      <c r="K18" s="172"/>
      <c r="L18" s="172">
        <f>10/AH18</f>
        <v>1</v>
      </c>
      <c r="M18" s="172"/>
      <c r="N18" s="172"/>
      <c r="O18" s="172">
        <f>5/AH18</f>
        <v>0.5</v>
      </c>
      <c r="P18" s="172">
        <v>0</v>
      </c>
      <c r="Q18" s="172">
        <f>2/AH18</f>
        <v>0.2</v>
      </c>
      <c r="R18" s="172"/>
      <c r="S18" s="172">
        <f>5/AH18</f>
        <v>0.5</v>
      </c>
      <c r="T18" s="172">
        <f>1/AH18</f>
        <v>0.1</v>
      </c>
      <c r="U18" s="172">
        <f>1/AH18</f>
        <v>0.1</v>
      </c>
      <c r="V18" s="172">
        <f>9/AH18</f>
        <v>0.9</v>
      </c>
      <c r="W18" s="172">
        <f>8/$AH$18</f>
        <v>0.8</v>
      </c>
      <c r="X18" s="172">
        <f>9/$AH$18</f>
        <v>0.9</v>
      </c>
      <c r="Y18" s="172">
        <f>6/$AH$18</f>
        <v>0.6</v>
      </c>
      <c r="Z18" s="172">
        <f>1/AH18</f>
        <v>0.1</v>
      </c>
      <c r="AA18" s="172">
        <f>0/AH18</f>
        <v>0</v>
      </c>
      <c r="AB18" s="172">
        <f>0/AH18</f>
        <v>0</v>
      </c>
      <c r="AC18" s="172">
        <v>0</v>
      </c>
      <c r="AD18" s="172">
        <f>3/$AH$18</f>
        <v>0.3</v>
      </c>
      <c r="AE18" s="172">
        <f>3/AH18</f>
        <v>0.3</v>
      </c>
      <c r="AF18" s="172">
        <f>3/AH18</f>
        <v>0.3</v>
      </c>
      <c r="AG18" s="173"/>
      <c r="AH18" s="174">
        <v>10</v>
      </c>
      <c r="AI18" s="639"/>
      <c r="AJ18" s="639"/>
      <c r="AK18" s="639"/>
      <c r="AL18" s="639"/>
      <c r="AM18" s="639"/>
      <c r="AN18" s="639"/>
      <c r="AO18" s="639"/>
      <c r="AP18" s="639"/>
      <c r="AQ18" s="639"/>
      <c r="AR18" s="639"/>
      <c r="AS18" s="639"/>
      <c r="AT18" s="639"/>
      <c r="AU18" s="639"/>
      <c r="AV18" s="639"/>
      <c r="AW18" s="639"/>
      <c r="AX18" s="639"/>
      <c r="AY18" s="639"/>
      <c r="AZ18" s="639"/>
      <c r="BA18" s="639"/>
      <c r="BB18" s="639"/>
      <c r="BC18" s="639"/>
      <c r="BD18" s="639"/>
      <c r="BE18" s="639"/>
      <c r="BF18" s="639"/>
      <c r="BG18" s="639"/>
      <c r="BH18" s="639"/>
      <c r="BI18" s="639"/>
      <c r="BJ18" s="639"/>
      <c r="BK18" s="313"/>
      <c r="BL18" s="770"/>
      <c r="BM18" s="639"/>
      <c r="BN18" s="639"/>
      <c r="BO18" s="639"/>
      <c r="BP18" s="639"/>
      <c r="BQ18" s="639"/>
      <c r="BR18" s="639"/>
      <c r="BS18" s="639"/>
      <c r="BT18" s="639"/>
      <c r="BU18" s="639"/>
      <c r="BV18" s="639"/>
      <c r="BW18" s="639"/>
      <c r="BX18" s="639"/>
      <c r="BY18" s="639"/>
      <c r="BZ18" s="639"/>
      <c r="CA18" s="639"/>
      <c r="CB18" s="639"/>
      <c r="CC18" s="639"/>
      <c r="CD18" s="639"/>
      <c r="CE18" s="639"/>
      <c r="CF18" s="639"/>
      <c r="CG18" s="639"/>
      <c r="CH18" s="639"/>
      <c r="CI18" s="639"/>
      <c r="CJ18" s="333" t="s">
        <v>737</v>
      </c>
      <c r="CK18" s="136"/>
      <c r="CL18" s="136"/>
    </row>
    <row r="19" spans="1:90" ht="22.5" hidden="1" customHeight="1">
      <c r="A19" s="175" t="s">
        <v>85</v>
      </c>
      <c r="B19" s="170" t="s">
        <v>86</v>
      </c>
      <c r="C19" s="170" t="s">
        <v>87</v>
      </c>
      <c r="D19" s="170"/>
      <c r="E19" s="170"/>
      <c r="F19" s="170"/>
      <c r="G19" s="170"/>
      <c r="H19" s="170"/>
      <c r="I19" s="170"/>
      <c r="J19" s="170"/>
      <c r="K19" s="170"/>
      <c r="L19" s="170"/>
      <c r="M19" s="170"/>
      <c r="N19" s="170"/>
      <c r="O19" s="170"/>
      <c r="P19" s="170"/>
      <c r="Q19" s="170"/>
      <c r="R19" s="170"/>
      <c r="S19" s="170"/>
      <c r="T19" s="170"/>
      <c r="U19" s="170"/>
      <c r="V19" s="170"/>
      <c r="W19" s="170"/>
      <c r="X19" s="170" t="s">
        <v>88</v>
      </c>
      <c r="Y19" s="170"/>
      <c r="Z19" s="170" t="s">
        <v>86</v>
      </c>
      <c r="AA19" s="170" t="s">
        <v>89</v>
      </c>
      <c r="AB19" s="170" t="s">
        <v>86</v>
      </c>
      <c r="AC19" s="170"/>
      <c r="AD19" s="170"/>
      <c r="AE19" s="170"/>
      <c r="AF19" s="170"/>
      <c r="AG19" s="170"/>
      <c r="AH19" s="641"/>
      <c r="AI19" s="639"/>
      <c r="AJ19" s="639"/>
      <c r="AK19" s="639"/>
      <c r="AL19" s="639"/>
      <c r="AM19" s="639"/>
      <c r="AN19" s="639"/>
      <c r="AO19" s="639"/>
      <c r="AP19" s="639"/>
      <c r="AQ19" s="639"/>
      <c r="AR19" s="639"/>
      <c r="AS19" s="639"/>
      <c r="AT19" s="639"/>
      <c r="AU19" s="639"/>
      <c r="AV19" s="639"/>
      <c r="AW19" s="639"/>
      <c r="AX19" s="639"/>
      <c r="AY19" s="639"/>
      <c r="AZ19" s="639"/>
      <c r="BA19" s="639"/>
      <c r="BB19" s="639"/>
      <c r="BC19" s="639"/>
      <c r="BD19" s="639"/>
      <c r="BE19" s="639"/>
      <c r="BF19" s="639"/>
      <c r="BG19" s="639"/>
      <c r="BH19" s="639"/>
      <c r="BI19" s="639"/>
      <c r="BJ19" s="639"/>
      <c r="BK19" s="313"/>
      <c r="BL19" s="770"/>
      <c r="BM19" s="639"/>
      <c r="BN19" s="639"/>
      <c r="BO19" s="639"/>
      <c r="BP19" s="639"/>
      <c r="BQ19" s="639"/>
      <c r="BR19" s="639"/>
      <c r="BS19" s="639"/>
      <c r="BT19" s="639"/>
      <c r="BU19" s="639"/>
      <c r="BV19" s="639"/>
      <c r="BW19" s="639"/>
      <c r="BX19" s="639"/>
      <c r="BY19" s="639"/>
      <c r="BZ19" s="639"/>
      <c r="CA19" s="639"/>
      <c r="CB19" s="639"/>
      <c r="CC19" s="639"/>
      <c r="CD19" s="639"/>
      <c r="CE19" s="639"/>
      <c r="CF19" s="639"/>
      <c r="CG19" s="639"/>
      <c r="CH19" s="639"/>
      <c r="CI19" s="639"/>
      <c r="CJ19" s="639"/>
      <c r="CK19" s="136"/>
      <c r="CL19" s="136"/>
    </row>
    <row r="20" spans="1:90" ht="12.75" hidden="1" customHeight="1">
      <c r="A20" s="175" t="s">
        <v>90</v>
      </c>
      <c r="B20" s="173">
        <f>2/4</f>
        <v>0.5</v>
      </c>
      <c r="C20" s="176">
        <f>4/4</f>
        <v>1</v>
      </c>
      <c r="D20" s="173">
        <f>3/4</f>
        <v>0.75</v>
      </c>
      <c r="E20" s="173"/>
      <c r="F20" s="173"/>
      <c r="G20" s="173">
        <f>3/4</f>
        <v>0.75</v>
      </c>
      <c r="H20" s="173"/>
      <c r="I20" s="173"/>
      <c r="J20" s="173"/>
      <c r="K20" s="173"/>
      <c r="L20" s="173"/>
      <c r="M20" s="173"/>
      <c r="N20" s="173"/>
      <c r="O20" s="173"/>
      <c r="P20" s="173"/>
      <c r="Q20" s="173"/>
      <c r="R20" s="173"/>
      <c r="S20" s="173"/>
      <c r="T20" s="173"/>
      <c r="U20" s="173"/>
      <c r="V20" s="173"/>
      <c r="W20" s="173"/>
      <c r="X20" s="173">
        <f>2/4</f>
        <v>0.5</v>
      </c>
      <c r="Y20" s="173"/>
      <c r="Z20" s="176">
        <f>4/4</f>
        <v>1</v>
      </c>
      <c r="AA20" s="173">
        <f>3/4</f>
        <v>0.75</v>
      </c>
      <c r="AB20" s="173">
        <f>1/4</f>
        <v>0.25</v>
      </c>
      <c r="AC20" s="177"/>
      <c r="AD20" s="177"/>
      <c r="AE20" s="177"/>
      <c r="AF20" s="177"/>
      <c r="AG20" s="177"/>
      <c r="AH20" s="641"/>
      <c r="AI20" s="639"/>
      <c r="AJ20" s="639"/>
      <c r="AK20" s="639"/>
      <c r="AL20" s="639"/>
      <c r="AM20" s="639"/>
      <c r="AN20" s="639"/>
      <c r="AO20" s="639"/>
      <c r="AP20" s="639"/>
      <c r="AQ20" s="639"/>
      <c r="AR20" s="639"/>
      <c r="AS20" s="639"/>
      <c r="AT20" s="639"/>
      <c r="AU20" s="639"/>
      <c r="AV20" s="639"/>
      <c r="AW20" s="639"/>
      <c r="AX20" s="639"/>
      <c r="AY20" s="639"/>
      <c r="AZ20" s="639"/>
      <c r="BA20" s="639"/>
      <c r="BB20" s="639"/>
      <c r="BC20" s="639"/>
      <c r="BD20" s="639"/>
      <c r="BE20" s="639"/>
      <c r="BF20" s="639"/>
      <c r="BG20" s="639"/>
      <c r="BH20" s="639"/>
      <c r="BI20" s="639"/>
      <c r="BJ20" s="639"/>
      <c r="BK20" s="313"/>
      <c r="BL20" s="770"/>
      <c r="BM20" s="639"/>
      <c r="BN20" s="639"/>
      <c r="BO20" s="639"/>
      <c r="BP20" s="639"/>
      <c r="BQ20" s="639"/>
      <c r="BR20" s="639"/>
      <c r="BS20" s="639"/>
      <c r="BT20" s="639"/>
      <c r="BU20" s="639"/>
      <c r="BV20" s="639"/>
      <c r="BW20" s="639"/>
      <c r="BX20" s="639"/>
      <c r="BY20" s="639"/>
      <c r="BZ20" s="639"/>
      <c r="CA20" s="639"/>
      <c r="CB20" s="639"/>
      <c r="CC20" s="639"/>
      <c r="CD20" s="639"/>
      <c r="CE20" s="639"/>
      <c r="CF20" s="639"/>
      <c r="CG20" s="639"/>
      <c r="CH20" s="639"/>
      <c r="CI20" s="639"/>
      <c r="CJ20" s="639"/>
      <c r="CK20" s="136"/>
      <c r="CL20" s="136"/>
    </row>
    <row r="21" spans="1:90" ht="22.5" hidden="1" customHeight="1">
      <c r="A21" s="175" t="s">
        <v>91</v>
      </c>
      <c r="B21" s="173">
        <f>14/25</f>
        <v>0.56000000000000005</v>
      </c>
      <c r="C21" s="173">
        <f>19/25</f>
        <v>0.76</v>
      </c>
      <c r="D21" s="173"/>
      <c r="E21" s="173"/>
      <c r="F21" s="173"/>
      <c r="G21" s="173"/>
      <c r="H21" s="173"/>
      <c r="I21" s="173"/>
      <c r="J21" s="173"/>
      <c r="K21" s="173"/>
      <c r="L21" s="173"/>
      <c r="M21" s="173"/>
      <c r="N21" s="173"/>
      <c r="O21" s="173"/>
      <c r="P21" s="173"/>
      <c r="Q21" s="173"/>
      <c r="R21" s="173"/>
      <c r="S21" s="173"/>
      <c r="T21" s="173"/>
      <c r="U21" s="173"/>
      <c r="V21" s="173"/>
      <c r="W21" s="173"/>
      <c r="X21" s="173">
        <f>9/25</f>
        <v>0.36</v>
      </c>
      <c r="Y21" s="173"/>
      <c r="Z21" s="173">
        <f>14/25</f>
        <v>0.56000000000000005</v>
      </c>
      <c r="AA21" s="173">
        <f>14/24</f>
        <v>0.58333333333333337</v>
      </c>
      <c r="AB21" s="173">
        <f>9/25</f>
        <v>0.36</v>
      </c>
      <c r="AC21" s="177"/>
      <c r="AD21" s="177"/>
      <c r="AE21" s="177"/>
      <c r="AF21" s="177"/>
      <c r="AG21" s="177"/>
      <c r="AH21" s="641"/>
      <c r="AI21" s="641"/>
      <c r="AJ21" s="641"/>
      <c r="AK21" s="639"/>
      <c r="AL21" s="639"/>
      <c r="AM21" s="639"/>
      <c r="AN21" s="639"/>
      <c r="AO21" s="639"/>
      <c r="AP21" s="639"/>
      <c r="AQ21" s="639"/>
      <c r="AR21" s="639"/>
      <c r="AS21" s="639"/>
      <c r="AT21" s="639"/>
      <c r="AU21" s="639"/>
      <c r="AV21" s="639"/>
      <c r="AW21" s="639"/>
      <c r="AX21" s="639"/>
      <c r="AY21" s="639"/>
      <c r="AZ21" s="639"/>
      <c r="BA21" s="639"/>
      <c r="BB21" s="639"/>
      <c r="BC21" s="639"/>
      <c r="BD21" s="639"/>
      <c r="BE21" s="639"/>
      <c r="BF21" s="639"/>
      <c r="BG21" s="639"/>
      <c r="BH21" s="639"/>
      <c r="BI21" s="639"/>
      <c r="BJ21" s="639"/>
      <c r="BK21" s="313"/>
      <c r="BL21" s="770"/>
      <c r="BM21" s="639"/>
      <c r="BN21" s="639"/>
      <c r="BO21" s="639"/>
      <c r="BP21" s="639"/>
      <c r="BQ21" s="639"/>
      <c r="BR21" s="639"/>
      <c r="BS21" s="639"/>
      <c r="BT21" s="639"/>
      <c r="BU21" s="639"/>
      <c r="BV21" s="639"/>
      <c r="BW21" s="639"/>
      <c r="BX21" s="639"/>
      <c r="BY21" s="639"/>
      <c r="BZ21" s="639"/>
      <c r="CA21" s="639"/>
      <c r="CB21" s="639"/>
      <c r="CC21" s="639"/>
      <c r="CD21" s="639"/>
      <c r="CE21" s="639"/>
      <c r="CF21" s="639"/>
      <c r="CG21" s="639"/>
      <c r="CH21" s="639"/>
      <c r="CI21" s="639"/>
      <c r="CJ21" s="639"/>
      <c r="CK21" s="136"/>
      <c r="CL21" s="136"/>
    </row>
    <row r="22" spans="1:90" ht="31.5" customHeight="1">
      <c r="A22" s="178"/>
      <c r="B22" s="787" t="s">
        <v>94</v>
      </c>
      <c r="C22" s="788"/>
      <c r="D22" s="788"/>
      <c r="E22" s="788"/>
      <c r="F22" s="788"/>
      <c r="G22" s="788"/>
      <c r="H22" s="788"/>
      <c r="I22" s="788"/>
      <c r="J22" s="788"/>
      <c r="K22" s="788"/>
      <c r="L22" s="788"/>
      <c r="M22" s="788"/>
      <c r="N22" s="788"/>
      <c r="O22" s="788"/>
      <c r="P22" s="788"/>
      <c r="Q22" s="788"/>
      <c r="R22" s="788"/>
      <c r="S22" s="788"/>
      <c r="T22" s="788"/>
      <c r="U22" s="788"/>
      <c r="V22" s="788"/>
      <c r="W22" s="788"/>
      <c r="X22" s="788"/>
      <c r="Y22" s="788"/>
      <c r="Z22" s="788"/>
      <c r="AA22" s="788"/>
      <c r="AB22" s="788"/>
      <c r="AC22" s="788"/>
      <c r="AD22" s="788"/>
      <c r="AE22" s="788"/>
      <c r="AF22" s="788"/>
      <c r="AG22" s="788"/>
      <c r="AH22" s="167" t="s">
        <v>95</v>
      </c>
      <c r="AI22" s="167" t="s">
        <v>96</v>
      </c>
      <c r="AJ22" s="167" t="s">
        <v>97</v>
      </c>
      <c r="AK22" s="641"/>
      <c r="AL22" s="641"/>
      <c r="AM22" s="641"/>
      <c r="AN22" s="641"/>
      <c r="AO22" s="641"/>
      <c r="AP22" s="641"/>
      <c r="AQ22" s="641"/>
      <c r="AR22" s="641"/>
      <c r="AS22" s="641"/>
      <c r="AT22" s="641"/>
      <c r="AU22" s="641"/>
      <c r="AV22" s="641"/>
      <c r="AW22" s="641"/>
      <c r="AX22" s="641"/>
      <c r="AY22" s="641"/>
      <c r="AZ22" s="641"/>
      <c r="BA22" s="641"/>
      <c r="BB22" s="641"/>
      <c r="BC22" s="641"/>
      <c r="BD22" s="641"/>
      <c r="BE22" s="641"/>
      <c r="BF22" s="641"/>
      <c r="BG22" s="641"/>
      <c r="BH22" s="641"/>
      <c r="BI22" s="641"/>
      <c r="BJ22" s="641"/>
      <c r="BK22" s="318" t="str">
        <f>HYPERLINK("http://tangotiger.com/index.php/site/article/initial-scoring-system-for-hof-ballots-2016", "Tango Score 
(0 to 100)")</f>
        <v>Tango Score 
(0 to 100)</v>
      </c>
      <c r="BL22" s="771"/>
      <c r="BM22" s="179"/>
      <c r="BN22" s="179"/>
      <c r="BO22" s="179"/>
      <c r="BP22" s="179"/>
      <c r="BQ22" s="179"/>
      <c r="BR22" s="179"/>
      <c r="BS22" s="179"/>
      <c r="BT22" s="179"/>
      <c r="BU22" s="179"/>
      <c r="BV22" s="179"/>
      <c r="BW22" s="179"/>
      <c r="BX22" s="179"/>
      <c r="BY22" s="179"/>
      <c r="BZ22" s="179"/>
      <c r="CA22" s="179"/>
      <c r="CB22" s="179"/>
      <c r="CC22" s="179"/>
      <c r="CD22" s="179"/>
      <c r="CE22" s="179"/>
      <c r="CF22" s="179"/>
      <c r="CG22" s="179"/>
      <c r="CH22" s="179"/>
      <c r="CI22" s="179"/>
      <c r="CJ22" s="179" t="s">
        <v>738</v>
      </c>
      <c r="CK22" s="180"/>
      <c r="CL22" s="136"/>
    </row>
    <row r="23" spans="1:90">
      <c r="A23" s="181" t="s">
        <v>99</v>
      </c>
      <c r="B23" s="315"/>
      <c r="C23" s="315"/>
      <c r="D23" s="315">
        <v>1</v>
      </c>
      <c r="E23" s="315">
        <v>1</v>
      </c>
      <c r="F23" s="315"/>
      <c r="G23" s="315">
        <v>1</v>
      </c>
      <c r="H23" s="315"/>
      <c r="I23" s="315"/>
      <c r="J23" s="315"/>
      <c r="K23" s="315"/>
      <c r="L23" s="315">
        <v>1</v>
      </c>
      <c r="M23" s="315"/>
      <c r="N23" s="315"/>
      <c r="O23" s="315"/>
      <c r="P23" s="315"/>
      <c r="Q23" s="315"/>
      <c r="R23" s="315"/>
      <c r="S23" s="302">
        <v>1</v>
      </c>
      <c r="T23" s="315"/>
      <c r="U23" s="315"/>
      <c r="V23" s="315">
        <v>1</v>
      </c>
      <c r="W23" s="315">
        <v>1</v>
      </c>
      <c r="X23" s="315">
        <v>1</v>
      </c>
      <c r="Y23" s="315">
        <v>1</v>
      </c>
      <c r="Z23" s="315"/>
      <c r="AA23" s="315"/>
      <c r="AB23" s="315"/>
      <c r="AC23" s="315"/>
      <c r="AD23" s="315"/>
      <c r="AE23" s="315">
        <v>1</v>
      </c>
      <c r="AF23" s="182"/>
      <c r="AG23" s="182"/>
      <c r="AH23" s="167">
        <v>10</v>
      </c>
      <c r="AI23" s="300" t="s">
        <v>739</v>
      </c>
      <c r="AJ23" s="186">
        <v>42354</v>
      </c>
      <c r="AK23" s="187"/>
      <c r="AL23" s="187">
        <f>IF(B23=1,0,0)</f>
        <v>0</v>
      </c>
      <c r="AM23" s="187">
        <f t="shared" ref="AM23" si="9">IF(D23=1,13,0)</f>
        <v>13</v>
      </c>
      <c r="AN23" s="187">
        <f>IF(E23=1,8,0)</f>
        <v>8</v>
      </c>
      <c r="AO23" s="187">
        <f>IF(G23=1,8,0)</f>
        <v>8</v>
      </c>
      <c r="AP23" s="187">
        <f>IF(I23=1,0,0)</f>
        <v>0</v>
      </c>
      <c r="AQ23" s="187">
        <f>IF(J23=1,0,0)</f>
        <v>0</v>
      </c>
      <c r="AR23" s="187">
        <f>IF(K23=1,0,0)</f>
        <v>0</v>
      </c>
      <c r="AS23" s="187">
        <f>IF(L23=1,19,0)</f>
        <v>19</v>
      </c>
      <c r="AT23" s="187">
        <f>IF(O23=1,13,0)</f>
        <v>0</v>
      </c>
      <c r="AU23" s="187">
        <f>IF(P23=1,0,0)</f>
        <v>0</v>
      </c>
      <c r="AV23" s="187">
        <f>IF(Q23=1,3,0)</f>
        <v>0</v>
      </c>
      <c r="AW23" s="187">
        <f>IF(S23=1,8,0)</f>
        <v>8</v>
      </c>
      <c r="AX23" s="187">
        <f>IF(T23=1,4,0)</f>
        <v>0</v>
      </c>
      <c r="AY23" s="187">
        <f>IF(U23=1,2,0)</f>
        <v>0</v>
      </c>
      <c r="AZ23" s="187">
        <f>IF(V23=1,8,0)</f>
        <v>8</v>
      </c>
      <c r="BA23" s="187">
        <f>IF(W23=1,16,0)</f>
        <v>16</v>
      </c>
      <c r="BB23" s="187">
        <f t="shared" ref="BB23" si="10">IF(X23=1,13,0)</f>
        <v>13</v>
      </c>
      <c r="BC23" s="187">
        <f>IF(Y23=1,10,0)</f>
        <v>10</v>
      </c>
      <c r="BD23" s="187">
        <f>IF(Z23=1,2,0)</f>
        <v>0</v>
      </c>
      <c r="BE23" s="187">
        <f>IF(AA23=1,6,0)</f>
        <v>0</v>
      </c>
      <c r="BF23" s="187">
        <f>IF(AB23=1,1,0)</f>
        <v>0</v>
      </c>
      <c r="BG23" s="187">
        <f>IF(AD23=1,8,0)</f>
        <v>0</v>
      </c>
      <c r="BH23" s="187">
        <f>IF(AE23=1,2,0)</f>
        <v>2</v>
      </c>
      <c r="BI23" s="187">
        <f t="shared" ref="BI23" si="11">IF(AF23=1,3,0)</f>
        <v>0</v>
      </c>
      <c r="BJ23" s="273">
        <f>LARGE(AL23:BI23,1)+LARGE(AL23:BI23,2)+LARGE(AL23:BI23,3)+LARGE(AL23:BI23,4)+LARGE(AL23:BI23,5)+LARGE(AL23:BI23,6)+LARGE(AL23:BI23,7)+LARGE(AL23:BI23,8)</f>
        <v>95</v>
      </c>
      <c r="BK23" s="167">
        <f t="shared" ref="BK23" si="12">BJ23</f>
        <v>95</v>
      </c>
      <c r="BL23" s="167"/>
      <c r="BM23" s="644"/>
      <c r="BN23" s="644"/>
      <c r="BO23" s="644"/>
      <c r="BP23" s="644"/>
      <c r="BQ23" s="644"/>
      <c r="BR23" s="644"/>
      <c r="BS23" s="644"/>
      <c r="BT23" s="644"/>
      <c r="BU23" s="644"/>
      <c r="BV23" s="644"/>
      <c r="BW23" s="644"/>
      <c r="BX23" s="644"/>
      <c r="BY23" s="644"/>
      <c r="BZ23" s="644"/>
      <c r="CA23" s="644"/>
      <c r="CB23" s="644"/>
      <c r="CC23" s="644"/>
      <c r="CD23" s="644"/>
      <c r="CE23" s="644"/>
      <c r="CF23" s="644"/>
      <c r="CG23" s="644"/>
      <c r="CH23" s="644"/>
      <c r="CI23" s="644"/>
      <c r="CJ23" s="301" t="s">
        <v>740</v>
      </c>
      <c r="CK23" s="180"/>
      <c r="CL23" s="136"/>
    </row>
    <row r="24" spans="1:90">
      <c r="A24" s="181" t="s">
        <v>656</v>
      </c>
      <c r="B24" s="315"/>
      <c r="C24" s="315"/>
      <c r="D24" s="315"/>
      <c r="E24" s="315"/>
      <c r="F24" s="315"/>
      <c r="G24" s="315"/>
      <c r="H24" s="315"/>
      <c r="I24" s="315"/>
      <c r="J24" s="315"/>
      <c r="K24" s="315"/>
      <c r="L24" s="315">
        <v>1</v>
      </c>
      <c r="M24" s="315"/>
      <c r="N24" s="315"/>
      <c r="O24" s="315">
        <v>1</v>
      </c>
      <c r="P24" s="315"/>
      <c r="Q24" s="315"/>
      <c r="R24" s="315"/>
      <c r="S24" s="182">
        <v>1</v>
      </c>
      <c r="T24" s="315"/>
      <c r="U24" s="315"/>
      <c r="V24" s="315"/>
      <c r="W24" s="315">
        <v>1</v>
      </c>
      <c r="X24" s="302">
        <v>1</v>
      </c>
      <c r="Y24" s="315"/>
      <c r="Z24" s="315"/>
      <c r="AA24" s="315">
        <v>1</v>
      </c>
      <c r="AB24" s="315"/>
      <c r="AC24" s="315"/>
      <c r="AD24" s="315"/>
      <c r="AE24" s="315"/>
      <c r="AF24" s="182"/>
      <c r="AG24" s="182"/>
      <c r="AH24" s="167">
        <v>6</v>
      </c>
      <c r="AI24" s="337" t="s">
        <v>741</v>
      </c>
      <c r="AJ24" s="186">
        <v>42356</v>
      </c>
      <c r="AK24" s="187"/>
      <c r="AL24" s="187">
        <f t="shared" ref="AL24:AL87" si="13">IF(B24=1,0,0)</f>
        <v>0</v>
      </c>
      <c r="AM24" s="187">
        <f t="shared" ref="AM24:AM87" si="14">IF(D24=1,13,0)</f>
        <v>0</v>
      </c>
      <c r="AN24" s="187">
        <f t="shared" ref="AN24:AN87" si="15">IF(E24=1,8,0)</f>
        <v>0</v>
      </c>
      <c r="AO24" s="187">
        <f t="shared" ref="AO24:AO87" si="16">IF(G24=1,8,0)</f>
        <v>0</v>
      </c>
      <c r="AP24" s="187">
        <f t="shared" ref="AP24:AP87" si="17">IF(I24=1,0,0)</f>
        <v>0</v>
      </c>
      <c r="AQ24" s="187">
        <f t="shared" ref="AQ24:AQ87" si="18">IF(J24=1,0,0)</f>
        <v>0</v>
      </c>
      <c r="AR24" s="187">
        <f t="shared" ref="AR24:AR87" si="19">IF(K24=1,0,0)</f>
        <v>0</v>
      </c>
      <c r="AS24" s="187">
        <f t="shared" ref="AS24:AS87" si="20">IF(L24=1,19,0)</f>
        <v>19</v>
      </c>
      <c r="AT24" s="187">
        <f t="shared" ref="AT24:AT87" si="21">IF(O24=1,13,0)</f>
        <v>13</v>
      </c>
      <c r="AU24" s="187">
        <f t="shared" ref="AU24:AU87" si="22">IF(P24=1,0,0)</f>
        <v>0</v>
      </c>
      <c r="AV24" s="187">
        <f t="shared" ref="AV24:AV87" si="23">IF(Q24=1,3,0)</f>
        <v>0</v>
      </c>
      <c r="AW24" s="187">
        <f t="shared" ref="AW24:AW87" si="24">IF(S24=1,8,0)</f>
        <v>8</v>
      </c>
      <c r="AX24" s="187">
        <f t="shared" ref="AX24:AX87" si="25">IF(T24=1,4,0)</f>
        <v>0</v>
      </c>
      <c r="AY24" s="187">
        <f t="shared" ref="AY24:AY87" si="26">IF(U24=1,2,0)</f>
        <v>0</v>
      </c>
      <c r="AZ24" s="187">
        <f t="shared" ref="AZ24:AZ87" si="27">IF(V24=1,8,0)</f>
        <v>0</v>
      </c>
      <c r="BA24" s="187">
        <f t="shared" ref="BA24:BA87" si="28">IF(W24=1,16,0)</f>
        <v>16</v>
      </c>
      <c r="BB24" s="187">
        <f t="shared" ref="BB24:BB87" si="29">IF(X24=1,13,0)</f>
        <v>13</v>
      </c>
      <c r="BC24" s="187">
        <f t="shared" ref="BC24:BC87" si="30">IF(Y24=1,10,0)</f>
        <v>0</v>
      </c>
      <c r="BD24" s="187">
        <f t="shared" ref="BD24:BD87" si="31">IF(Z24=1,2,0)</f>
        <v>0</v>
      </c>
      <c r="BE24" s="187">
        <f t="shared" ref="BE24:BE87" si="32">IF(AA24=1,6,0)</f>
        <v>6</v>
      </c>
      <c r="BF24" s="187">
        <f t="shared" ref="BF24:BF87" si="33">IF(AB24=1,1,0)</f>
        <v>0</v>
      </c>
      <c r="BG24" s="187">
        <f t="shared" ref="BG24:BG87" si="34">IF(AD24=1,8,0)</f>
        <v>0</v>
      </c>
      <c r="BH24" s="187">
        <f t="shared" ref="BH24:BH87" si="35">IF(AE24=1,2,0)</f>
        <v>0</v>
      </c>
      <c r="BI24" s="187">
        <f t="shared" ref="BI24:BI87" si="36">IF(AF24=1,3,0)</f>
        <v>0</v>
      </c>
      <c r="BJ24" s="273">
        <f t="shared" ref="BJ24:BJ87" si="37">LARGE(AL24:BI24,1)+LARGE(AL24:BI24,2)+LARGE(AL24:BI24,3)+LARGE(AL24:BI24,4)+LARGE(AL24:BI24,5)+LARGE(AL24:BI24,6)+LARGE(AL24:BI24,7)+LARGE(AL24:BI24,8)</f>
        <v>75</v>
      </c>
      <c r="BK24" s="167">
        <f t="shared" ref="BK24:BK214" si="38">BJ24</f>
        <v>75</v>
      </c>
      <c r="BL24" s="167"/>
      <c r="BM24" s="644"/>
      <c r="BN24" s="644"/>
      <c r="BO24" s="644"/>
      <c r="BP24" s="644"/>
      <c r="BQ24" s="644"/>
      <c r="BR24" s="644"/>
      <c r="BS24" s="644"/>
      <c r="BT24" s="644"/>
      <c r="BU24" s="644"/>
      <c r="BV24" s="644"/>
      <c r="BW24" s="644"/>
      <c r="BX24" s="644"/>
      <c r="BY24" s="644"/>
      <c r="BZ24" s="644"/>
      <c r="CA24" s="644"/>
      <c r="CB24" s="644"/>
      <c r="CC24" s="644"/>
      <c r="CD24" s="644"/>
      <c r="CE24" s="644"/>
      <c r="CF24" s="644"/>
      <c r="CG24" s="644"/>
      <c r="CH24" s="644"/>
      <c r="CI24" s="644"/>
      <c r="CJ24" s="301" t="s">
        <v>740</v>
      </c>
      <c r="CK24" s="180"/>
      <c r="CL24" s="136"/>
    </row>
    <row r="25" spans="1:90">
      <c r="A25" s="181" t="s">
        <v>104</v>
      </c>
      <c r="B25" s="182"/>
      <c r="C25" s="183"/>
      <c r="D25" s="302">
        <v>1</v>
      </c>
      <c r="E25" s="302">
        <v>1</v>
      </c>
      <c r="F25" s="302"/>
      <c r="G25" s="302">
        <v>1</v>
      </c>
      <c r="H25" s="315"/>
      <c r="I25" s="315"/>
      <c r="J25" s="182"/>
      <c r="K25" s="182"/>
      <c r="L25" s="182">
        <v>1</v>
      </c>
      <c r="M25" s="182"/>
      <c r="N25" s="182"/>
      <c r="O25" s="182">
        <v>1</v>
      </c>
      <c r="P25" s="182"/>
      <c r="Q25" s="182"/>
      <c r="R25" s="182"/>
      <c r="S25" s="302">
        <v>1</v>
      </c>
      <c r="T25" s="182"/>
      <c r="U25" s="182"/>
      <c r="V25" s="302">
        <v>1</v>
      </c>
      <c r="W25" s="302">
        <v>1</v>
      </c>
      <c r="X25" s="182">
        <v>1</v>
      </c>
      <c r="Y25" s="182">
        <v>1</v>
      </c>
      <c r="Z25" s="182"/>
      <c r="AA25" s="182"/>
      <c r="AB25" s="182"/>
      <c r="AC25" s="182"/>
      <c r="AD25" s="182"/>
      <c r="AE25" s="182"/>
      <c r="AF25" s="182"/>
      <c r="AG25" s="182"/>
      <c r="AH25" s="167">
        <v>10</v>
      </c>
      <c r="AI25" s="300" t="s">
        <v>742</v>
      </c>
      <c r="AJ25" s="186">
        <v>42338</v>
      </c>
      <c r="AK25" s="187"/>
      <c r="AL25" s="187">
        <f t="shared" si="13"/>
        <v>0</v>
      </c>
      <c r="AM25" s="187">
        <f t="shared" si="14"/>
        <v>13</v>
      </c>
      <c r="AN25" s="187">
        <f t="shared" si="15"/>
        <v>8</v>
      </c>
      <c r="AO25" s="187">
        <f t="shared" si="16"/>
        <v>8</v>
      </c>
      <c r="AP25" s="187">
        <f t="shared" si="17"/>
        <v>0</v>
      </c>
      <c r="AQ25" s="187">
        <f t="shared" si="18"/>
        <v>0</v>
      </c>
      <c r="AR25" s="187">
        <f t="shared" si="19"/>
        <v>0</v>
      </c>
      <c r="AS25" s="187">
        <f t="shared" si="20"/>
        <v>19</v>
      </c>
      <c r="AT25" s="187">
        <f t="shared" si="21"/>
        <v>13</v>
      </c>
      <c r="AU25" s="187">
        <f t="shared" si="22"/>
        <v>0</v>
      </c>
      <c r="AV25" s="187">
        <f t="shared" si="23"/>
        <v>0</v>
      </c>
      <c r="AW25" s="187">
        <f t="shared" si="24"/>
        <v>8</v>
      </c>
      <c r="AX25" s="187">
        <f t="shared" si="25"/>
        <v>0</v>
      </c>
      <c r="AY25" s="187">
        <f t="shared" si="26"/>
        <v>0</v>
      </c>
      <c r="AZ25" s="187">
        <f t="shared" si="27"/>
        <v>8</v>
      </c>
      <c r="BA25" s="187">
        <f t="shared" si="28"/>
        <v>16</v>
      </c>
      <c r="BB25" s="187">
        <f t="shared" si="29"/>
        <v>13</v>
      </c>
      <c r="BC25" s="187">
        <f t="shared" si="30"/>
        <v>10</v>
      </c>
      <c r="BD25" s="187">
        <f t="shared" si="31"/>
        <v>0</v>
      </c>
      <c r="BE25" s="187">
        <f t="shared" si="32"/>
        <v>0</v>
      </c>
      <c r="BF25" s="187">
        <f t="shared" si="33"/>
        <v>0</v>
      </c>
      <c r="BG25" s="187">
        <f t="shared" si="34"/>
        <v>0</v>
      </c>
      <c r="BH25" s="187">
        <f t="shared" si="35"/>
        <v>0</v>
      </c>
      <c r="BI25" s="187">
        <f t="shared" si="36"/>
        <v>0</v>
      </c>
      <c r="BJ25" s="273">
        <f t="shared" si="37"/>
        <v>100</v>
      </c>
      <c r="BK25" s="167">
        <f t="shared" si="38"/>
        <v>100</v>
      </c>
      <c r="BL25" s="167"/>
      <c r="BM25" s="644"/>
      <c r="BN25" s="644"/>
      <c r="BO25" s="644"/>
      <c r="BP25" s="644"/>
      <c r="BQ25" s="644"/>
      <c r="BR25" s="644"/>
      <c r="BS25" s="644"/>
      <c r="BT25" s="644"/>
      <c r="BU25" s="644"/>
      <c r="BV25" s="644"/>
      <c r="BW25" s="644"/>
      <c r="BX25" s="644"/>
      <c r="BY25" s="644"/>
      <c r="BZ25" s="644"/>
      <c r="CA25" s="644"/>
      <c r="CB25" s="644"/>
      <c r="CC25" s="644"/>
      <c r="CD25" s="644"/>
      <c r="CE25" s="644"/>
      <c r="CF25" s="644"/>
      <c r="CG25" s="644"/>
      <c r="CH25" s="644"/>
      <c r="CI25" s="644"/>
      <c r="CJ25" s="301" t="s">
        <v>743</v>
      </c>
      <c r="CK25" s="180"/>
      <c r="CL25" s="136"/>
    </row>
    <row r="26" spans="1:90">
      <c r="A26" s="181" t="s">
        <v>744</v>
      </c>
      <c r="B26" s="182"/>
      <c r="C26" s="183"/>
      <c r="D26" s="182">
        <v>1</v>
      </c>
      <c r="E26" s="182"/>
      <c r="F26" s="182"/>
      <c r="G26" s="182"/>
      <c r="H26" s="315"/>
      <c r="I26" s="315"/>
      <c r="J26" s="182"/>
      <c r="K26" s="182"/>
      <c r="L26" s="182">
        <v>1</v>
      </c>
      <c r="M26" s="182"/>
      <c r="N26" s="182"/>
      <c r="O26" s="182">
        <v>1</v>
      </c>
      <c r="P26" s="182"/>
      <c r="Q26" s="182"/>
      <c r="R26" s="182"/>
      <c r="S26" s="182">
        <v>1</v>
      </c>
      <c r="T26" s="302">
        <v>1</v>
      </c>
      <c r="U26" s="182"/>
      <c r="V26" s="182">
        <v>1</v>
      </c>
      <c r="W26" s="182">
        <v>1</v>
      </c>
      <c r="X26" s="182">
        <v>1</v>
      </c>
      <c r="Y26" s="182"/>
      <c r="Z26" s="182"/>
      <c r="AA26" s="182">
        <v>1</v>
      </c>
      <c r="AB26" s="182"/>
      <c r="AC26" s="182"/>
      <c r="AD26" s="182">
        <v>1</v>
      </c>
      <c r="AE26" s="182"/>
      <c r="AF26" s="182"/>
      <c r="AG26" s="182"/>
      <c r="AH26" s="167">
        <v>10</v>
      </c>
      <c r="AI26" s="300" t="s">
        <v>745</v>
      </c>
      <c r="AJ26" s="186">
        <v>42356</v>
      </c>
      <c r="AK26" s="187"/>
      <c r="AL26" s="187">
        <f t="shared" si="13"/>
        <v>0</v>
      </c>
      <c r="AM26" s="187">
        <f t="shared" si="14"/>
        <v>13</v>
      </c>
      <c r="AN26" s="187">
        <f t="shared" si="15"/>
        <v>0</v>
      </c>
      <c r="AO26" s="187">
        <f t="shared" si="16"/>
        <v>0</v>
      </c>
      <c r="AP26" s="187">
        <f t="shared" si="17"/>
        <v>0</v>
      </c>
      <c r="AQ26" s="187">
        <f t="shared" si="18"/>
        <v>0</v>
      </c>
      <c r="AR26" s="187">
        <f t="shared" si="19"/>
        <v>0</v>
      </c>
      <c r="AS26" s="187">
        <f t="shared" si="20"/>
        <v>19</v>
      </c>
      <c r="AT26" s="187">
        <f t="shared" si="21"/>
        <v>13</v>
      </c>
      <c r="AU26" s="187">
        <f t="shared" si="22"/>
        <v>0</v>
      </c>
      <c r="AV26" s="187">
        <f t="shared" si="23"/>
        <v>0</v>
      </c>
      <c r="AW26" s="187">
        <f t="shared" si="24"/>
        <v>8</v>
      </c>
      <c r="AX26" s="187">
        <f t="shared" si="25"/>
        <v>4</v>
      </c>
      <c r="AY26" s="187">
        <f t="shared" si="26"/>
        <v>0</v>
      </c>
      <c r="AZ26" s="187">
        <f t="shared" si="27"/>
        <v>8</v>
      </c>
      <c r="BA26" s="187">
        <f t="shared" si="28"/>
        <v>16</v>
      </c>
      <c r="BB26" s="187">
        <f t="shared" si="29"/>
        <v>13</v>
      </c>
      <c r="BC26" s="187">
        <f t="shared" si="30"/>
        <v>0</v>
      </c>
      <c r="BD26" s="187">
        <f t="shared" si="31"/>
        <v>0</v>
      </c>
      <c r="BE26" s="187">
        <f t="shared" si="32"/>
        <v>6</v>
      </c>
      <c r="BF26" s="187">
        <f t="shared" si="33"/>
        <v>0</v>
      </c>
      <c r="BG26" s="187">
        <f t="shared" si="34"/>
        <v>8</v>
      </c>
      <c r="BH26" s="187">
        <f t="shared" si="35"/>
        <v>0</v>
      </c>
      <c r="BI26" s="187">
        <f t="shared" si="36"/>
        <v>0</v>
      </c>
      <c r="BJ26" s="273">
        <f t="shared" si="37"/>
        <v>98</v>
      </c>
      <c r="BK26" s="167">
        <f t="shared" si="38"/>
        <v>98</v>
      </c>
      <c r="BL26" s="167"/>
      <c r="BM26" s="644"/>
      <c r="BN26" s="644"/>
      <c r="BO26" s="644"/>
      <c r="BP26" s="644"/>
      <c r="BQ26" s="644"/>
      <c r="BR26" s="644"/>
      <c r="BS26" s="644"/>
      <c r="BT26" s="644"/>
      <c r="BU26" s="644"/>
      <c r="BV26" s="644"/>
      <c r="BW26" s="644"/>
      <c r="BX26" s="644"/>
      <c r="BY26" s="644"/>
      <c r="BZ26" s="644"/>
      <c r="CA26" s="644"/>
      <c r="CB26" s="644"/>
      <c r="CC26" s="644"/>
      <c r="CD26" s="644"/>
      <c r="CE26" s="644"/>
      <c r="CF26" s="644"/>
      <c r="CG26" s="644"/>
      <c r="CH26" s="644"/>
      <c r="CI26" s="644"/>
      <c r="CJ26" s="301" t="s">
        <v>746</v>
      </c>
      <c r="CK26" s="180"/>
      <c r="CL26" s="136"/>
    </row>
    <row r="27" spans="1:90">
      <c r="A27" s="335" t="s">
        <v>111</v>
      </c>
      <c r="B27" s="182"/>
      <c r="C27" s="183"/>
      <c r="D27" s="184">
        <v>1</v>
      </c>
      <c r="E27" s="184"/>
      <c r="F27" s="184"/>
      <c r="G27" s="184"/>
      <c r="H27" s="182"/>
      <c r="I27" s="182"/>
      <c r="J27" s="182"/>
      <c r="K27" s="182"/>
      <c r="L27" s="182">
        <v>1</v>
      </c>
      <c r="M27" s="182"/>
      <c r="N27" s="182"/>
      <c r="O27" s="182">
        <v>1</v>
      </c>
      <c r="P27" s="182"/>
      <c r="Q27" s="182"/>
      <c r="R27" s="182"/>
      <c r="S27" s="182">
        <v>1</v>
      </c>
      <c r="T27" s="182"/>
      <c r="U27" s="182"/>
      <c r="V27" s="302">
        <v>1</v>
      </c>
      <c r="W27" s="182">
        <v>1</v>
      </c>
      <c r="X27" s="302">
        <v>1</v>
      </c>
      <c r="Y27" s="182">
        <v>1</v>
      </c>
      <c r="Z27" s="182"/>
      <c r="AA27" s="182">
        <v>1</v>
      </c>
      <c r="AB27" s="182"/>
      <c r="AC27" s="182"/>
      <c r="AD27" s="302">
        <v>1</v>
      </c>
      <c r="AE27" s="182"/>
      <c r="AF27" s="320"/>
      <c r="AG27" s="182"/>
      <c r="AH27" s="167">
        <v>10</v>
      </c>
      <c r="AI27" s="300" t="s">
        <v>747</v>
      </c>
      <c r="AJ27" s="186">
        <v>42375</v>
      </c>
      <c r="AK27" s="187"/>
      <c r="AL27" s="187">
        <f t="shared" si="13"/>
        <v>0</v>
      </c>
      <c r="AM27" s="187">
        <f t="shared" si="14"/>
        <v>13</v>
      </c>
      <c r="AN27" s="187">
        <f t="shared" si="15"/>
        <v>0</v>
      </c>
      <c r="AO27" s="187">
        <f t="shared" si="16"/>
        <v>0</v>
      </c>
      <c r="AP27" s="187">
        <f t="shared" si="17"/>
        <v>0</v>
      </c>
      <c r="AQ27" s="187">
        <f t="shared" si="18"/>
        <v>0</v>
      </c>
      <c r="AR27" s="187">
        <f t="shared" si="19"/>
        <v>0</v>
      </c>
      <c r="AS27" s="187">
        <f t="shared" si="20"/>
        <v>19</v>
      </c>
      <c r="AT27" s="187">
        <f t="shared" si="21"/>
        <v>13</v>
      </c>
      <c r="AU27" s="187">
        <f t="shared" si="22"/>
        <v>0</v>
      </c>
      <c r="AV27" s="187">
        <f t="shared" si="23"/>
        <v>0</v>
      </c>
      <c r="AW27" s="187">
        <f t="shared" si="24"/>
        <v>8</v>
      </c>
      <c r="AX27" s="187">
        <f t="shared" si="25"/>
        <v>0</v>
      </c>
      <c r="AY27" s="187">
        <f t="shared" si="26"/>
        <v>0</v>
      </c>
      <c r="AZ27" s="187">
        <f t="shared" si="27"/>
        <v>8</v>
      </c>
      <c r="BA27" s="187">
        <f t="shared" si="28"/>
        <v>16</v>
      </c>
      <c r="BB27" s="187">
        <f t="shared" si="29"/>
        <v>13</v>
      </c>
      <c r="BC27" s="187">
        <f t="shared" si="30"/>
        <v>10</v>
      </c>
      <c r="BD27" s="187">
        <f t="shared" si="31"/>
        <v>0</v>
      </c>
      <c r="BE27" s="187">
        <f t="shared" si="32"/>
        <v>6</v>
      </c>
      <c r="BF27" s="187">
        <f t="shared" si="33"/>
        <v>0</v>
      </c>
      <c r="BG27" s="187">
        <f t="shared" si="34"/>
        <v>8</v>
      </c>
      <c r="BH27" s="187">
        <f t="shared" si="35"/>
        <v>0</v>
      </c>
      <c r="BI27" s="187">
        <f t="shared" si="36"/>
        <v>0</v>
      </c>
      <c r="BJ27" s="273">
        <f t="shared" si="37"/>
        <v>100</v>
      </c>
      <c r="BK27" s="167">
        <f t="shared" si="38"/>
        <v>100</v>
      </c>
      <c r="BL27" s="167"/>
      <c r="BM27" s="644"/>
      <c r="BN27" s="644"/>
      <c r="BO27" s="644"/>
      <c r="BP27" s="644"/>
      <c r="BQ27" s="644"/>
      <c r="BR27" s="644"/>
      <c r="BS27" s="644"/>
      <c r="BT27" s="644"/>
      <c r="BU27" s="644"/>
      <c r="BV27" s="644"/>
      <c r="BW27" s="644"/>
      <c r="BX27" s="644"/>
      <c r="BY27" s="644"/>
      <c r="BZ27" s="644"/>
      <c r="CA27" s="644"/>
      <c r="CB27" s="644"/>
      <c r="CC27" s="644"/>
      <c r="CD27" s="644"/>
      <c r="CE27" s="644"/>
      <c r="CF27" s="644"/>
      <c r="CG27" s="644"/>
      <c r="CH27" s="644"/>
      <c r="CI27" s="644"/>
      <c r="CJ27" s="301" t="s">
        <v>748</v>
      </c>
      <c r="CK27" s="180"/>
      <c r="CL27" s="136"/>
    </row>
    <row r="28" spans="1:90">
      <c r="A28" s="181" t="s">
        <v>112</v>
      </c>
      <c r="B28" s="182"/>
      <c r="C28" s="183"/>
      <c r="D28" s="182">
        <v>1</v>
      </c>
      <c r="E28" s="182"/>
      <c r="F28" s="182"/>
      <c r="G28" s="182"/>
      <c r="H28" s="315"/>
      <c r="I28" s="315"/>
      <c r="J28" s="182"/>
      <c r="K28" s="182"/>
      <c r="L28" s="182">
        <v>1</v>
      </c>
      <c r="M28" s="182"/>
      <c r="N28" s="182"/>
      <c r="O28" s="182"/>
      <c r="P28" s="182"/>
      <c r="Q28" s="182"/>
      <c r="R28" s="182"/>
      <c r="S28" s="182"/>
      <c r="T28" s="182"/>
      <c r="U28" s="182"/>
      <c r="V28" s="182"/>
      <c r="W28" s="302">
        <v>1</v>
      </c>
      <c r="X28" s="182">
        <v>1</v>
      </c>
      <c r="Y28" s="182">
        <v>1</v>
      </c>
      <c r="Z28" s="182"/>
      <c r="AA28" s="182">
        <v>1</v>
      </c>
      <c r="AB28" s="182"/>
      <c r="AC28" s="182"/>
      <c r="AD28" s="182">
        <v>1</v>
      </c>
      <c r="AE28" s="182"/>
      <c r="AF28" s="182"/>
      <c r="AG28" s="182"/>
      <c r="AH28" s="167">
        <v>7</v>
      </c>
      <c r="AI28" s="328" t="s">
        <v>113</v>
      </c>
      <c r="AJ28" s="186">
        <v>42359</v>
      </c>
      <c r="AK28" s="187"/>
      <c r="AL28" s="187">
        <f t="shared" si="13"/>
        <v>0</v>
      </c>
      <c r="AM28" s="187">
        <f t="shared" si="14"/>
        <v>13</v>
      </c>
      <c r="AN28" s="187">
        <f t="shared" si="15"/>
        <v>0</v>
      </c>
      <c r="AO28" s="187">
        <f t="shared" si="16"/>
        <v>0</v>
      </c>
      <c r="AP28" s="187">
        <f t="shared" si="17"/>
        <v>0</v>
      </c>
      <c r="AQ28" s="187">
        <f t="shared" si="18"/>
        <v>0</v>
      </c>
      <c r="AR28" s="187">
        <f t="shared" si="19"/>
        <v>0</v>
      </c>
      <c r="AS28" s="187">
        <f t="shared" si="20"/>
        <v>19</v>
      </c>
      <c r="AT28" s="187">
        <f t="shared" si="21"/>
        <v>0</v>
      </c>
      <c r="AU28" s="187">
        <f t="shared" si="22"/>
        <v>0</v>
      </c>
      <c r="AV28" s="187">
        <f t="shared" si="23"/>
        <v>0</v>
      </c>
      <c r="AW28" s="187">
        <f t="shared" si="24"/>
        <v>0</v>
      </c>
      <c r="AX28" s="187">
        <f t="shared" si="25"/>
        <v>0</v>
      </c>
      <c r="AY28" s="187">
        <f t="shared" si="26"/>
        <v>0</v>
      </c>
      <c r="AZ28" s="187">
        <f t="shared" si="27"/>
        <v>0</v>
      </c>
      <c r="BA28" s="187">
        <f t="shared" si="28"/>
        <v>16</v>
      </c>
      <c r="BB28" s="187">
        <f t="shared" si="29"/>
        <v>13</v>
      </c>
      <c r="BC28" s="187">
        <f t="shared" si="30"/>
        <v>10</v>
      </c>
      <c r="BD28" s="187">
        <f t="shared" si="31"/>
        <v>0</v>
      </c>
      <c r="BE28" s="187">
        <f t="shared" si="32"/>
        <v>6</v>
      </c>
      <c r="BF28" s="187">
        <f t="shared" si="33"/>
        <v>0</v>
      </c>
      <c r="BG28" s="187">
        <f t="shared" si="34"/>
        <v>8</v>
      </c>
      <c r="BH28" s="187">
        <f t="shared" si="35"/>
        <v>0</v>
      </c>
      <c r="BI28" s="187">
        <f t="shared" si="36"/>
        <v>0</v>
      </c>
      <c r="BJ28" s="273">
        <f t="shared" si="37"/>
        <v>85</v>
      </c>
      <c r="BK28" s="167">
        <f t="shared" ref="BK28" si="39">BJ28</f>
        <v>85</v>
      </c>
      <c r="BL28" s="167"/>
      <c r="BM28" s="644"/>
      <c r="BN28" s="644"/>
      <c r="BO28" s="644"/>
      <c r="BP28" s="644"/>
      <c r="BQ28" s="644"/>
      <c r="BR28" s="644"/>
      <c r="BS28" s="644"/>
      <c r="BT28" s="644"/>
      <c r="BU28" s="644"/>
      <c r="BV28" s="644"/>
      <c r="BW28" s="644"/>
      <c r="BX28" s="644"/>
      <c r="BY28" s="644"/>
      <c r="BZ28" s="644"/>
      <c r="CA28" s="644"/>
      <c r="CB28" s="644"/>
      <c r="CC28" s="644"/>
      <c r="CD28" s="644"/>
      <c r="CE28" s="644"/>
      <c r="CF28" s="644"/>
      <c r="CG28" s="644"/>
      <c r="CH28" s="644"/>
      <c r="CI28" s="644"/>
      <c r="CJ28" s="301" t="s">
        <v>749</v>
      </c>
      <c r="CK28" s="180"/>
      <c r="CL28" s="136"/>
    </row>
    <row r="29" spans="1:90">
      <c r="A29" s="181" t="s">
        <v>114</v>
      </c>
      <c r="B29" s="182"/>
      <c r="C29" s="183"/>
      <c r="D29" s="182"/>
      <c r="E29" s="182"/>
      <c r="F29" s="182"/>
      <c r="G29" s="182"/>
      <c r="H29" s="315"/>
      <c r="I29" s="315"/>
      <c r="J29" s="320"/>
      <c r="K29" s="182"/>
      <c r="L29" s="182">
        <v>1</v>
      </c>
      <c r="M29" s="182"/>
      <c r="N29" s="182"/>
      <c r="O29" s="182">
        <v>1</v>
      </c>
      <c r="P29" s="182"/>
      <c r="Q29" s="182"/>
      <c r="R29" s="182"/>
      <c r="S29" s="182"/>
      <c r="T29" s="182"/>
      <c r="U29" s="182"/>
      <c r="V29" s="182"/>
      <c r="W29" s="182">
        <v>1</v>
      </c>
      <c r="X29" s="182"/>
      <c r="Y29" s="182"/>
      <c r="Z29" s="182"/>
      <c r="AA29" s="320"/>
      <c r="AB29" s="182"/>
      <c r="AC29" s="182"/>
      <c r="AD29" s="320"/>
      <c r="AE29" s="182"/>
      <c r="AF29" s="182"/>
      <c r="AG29" s="182"/>
      <c r="AH29" s="167">
        <v>3</v>
      </c>
      <c r="AI29" s="328" t="s">
        <v>115</v>
      </c>
      <c r="AJ29" s="186">
        <v>42368</v>
      </c>
      <c r="AK29" s="187"/>
      <c r="AL29" s="187">
        <f t="shared" si="13"/>
        <v>0</v>
      </c>
      <c r="AM29" s="187">
        <f t="shared" si="14"/>
        <v>0</v>
      </c>
      <c r="AN29" s="187">
        <f t="shared" si="15"/>
        <v>0</v>
      </c>
      <c r="AO29" s="187">
        <f t="shared" si="16"/>
        <v>0</v>
      </c>
      <c r="AP29" s="187">
        <f t="shared" si="17"/>
        <v>0</v>
      </c>
      <c r="AQ29" s="187">
        <f t="shared" si="18"/>
        <v>0</v>
      </c>
      <c r="AR29" s="187">
        <f t="shared" si="19"/>
        <v>0</v>
      </c>
      <c r="AS29" s="187">
        <f t="shared" si="20"/>
        <v>19</v>
      </c>
      <c r="AT29" s="187">
        <f t="shared" si="21"/>
        <v>13</v>
      </c>
      <c r="AU29" s="187">
        <f t="shared" si="22"/>
        <v>0</v>
      </c>
      <c r="AV29" s="187">
        <f t="shared" si="23"/>
        <v>0</v>
      </c>
      <c r="AW29" s="187">
        <f t="shared" si="24"/>
        <v>0</v>
      </c>
      <c r="AX29" s="187">
        <f t="shared" si="25"/>
        <v>0</v>
      </c>
      <c r="AY29" s="187">
        <f t="shared" si="26"/>
        <v>0</v>
      </c>
      <c r="AZ29" s="187">
        <f t="shared" si="27"/>
        <v>0</v>
      </c>
      <c r="BA29" s="187">
        <f t="shared" si="28"/>
        <v>16</v>
      </c>
      <c r="BB29" s="187">
        <f t="shared" si="29"/>
        <v>0</v>
      </c>
      <c r="BC29" s="187">
        <f t="shared" si="30"/>
        <v>0</v>
      </c>
      <c r="BD29" s="187">
        <f t="shared" si="31"/>
        <v>0</v>
      </c>
      <c r="BE29" s="187">
        <f t="shared" si="32"/>
        <v>0</v>
      </c>
      <c r="BF29" s="187">
        <f t="shared" si="33"/>
        <v>0</v>
      </c>
      <c r="BG29" s="187">
        <f t="shared" si="34"/>
        <v>0</v>
      </c>
      <c r="BH29" s="187">
        <f t="shared" si="35"/>
        <v>0</v>
      </c>
      <c r="BI29" s="187">
        <f t="shared" si="36"/>
        <v>0</v>
      </c>
      <c r="BJ29" s="273">
        <f t="shared" si="37"/>
        <v>48</v>
      </c>
      <c r="BK29" s="167">
        <f t="shared" ref="BK29" si="40">BJ29</f>
        <v>48</v>
      </c>
      <c r="BL29" s="167"/>
      <c r="BM29" s="644"/>
      <c r="BN29" s="644"/>
      <c r="BO29" s="644"/>
      <c r="BP29" s="644"/>
      <c r="BQ29" s="644"/>
      <c r="BR29" s="644"/>
      <c r="BS29" s="644"/>
      <c r="BT29" s="644"/>
      <c r="BU29" s="644"/>
      <c r="BV29" s="644"/>
      <c r="BW29" s="644"/>
      <c r="BX29" s="644"/>
      <c r="BY29" s="644"/>
      <c r="BZ29" s="644"/>
      <c r="CA29" s="644"/>
      <c r="CB29" s="644"/>
      <c r="CC29" s="644"/>
      <c r="CD29" s="644"/>
      <c r="CE29" s="644"/>
      <c r="CF29" s="644"/>
      <c r="CG29" s="644"/>
      <c r="CH29" s="644"/>
      <c r="CI29" s="644"/>
      <c r="CJ29" s="301" t="s">
        <v>750</v>
      </c>
      <c r="CK29" s="180"/>
      <c r="CL29" s="136"/>
    </row>
    <row r="30" spans="1:90">
      <c r="A30" s="181" t="s">
        <v>116</v>
      </c>
      <c r="B30" s="182"/>
      <c r="C30" s="183"/>
      <c r="D30" s="182">
        <v>1</v>
      </c>
      <c r="E30" s="182">
        <v>1</v>
      </c>
      <c r="F30" s="182"/>
      <c r="G30" s="182">
        <v>1</v>
      </c>
      <c r="H30" s="315"/>
      <c r="I30" s="182"/>
      <c r="J30" s="182"/>
      <c r="K30" s="182"/>
      <c r="L30" s="182">
        <v>1</v>
      </c>
      <c r="M30" s="182"/>
      <c r="N30" s="182"/>
      <c r="O30" s="182"/>
      <c r="P30" s="182"/>
      <c r="Q30" s="182"/>
      <c r="R30" s="182"/>
      <c r="S30" s="182">
        <v>1</v>
      </c>
      <c r="T30" s="182"/>
      <c r="U30" s="182"/>
      <c r="V30" s="182"/>
      <c r="W30" s="182">
        <v>1</v>
      </c>
      <c r="X30" s="182">
        <v>1</v>
      </c>
      <c r="Y30" s="182"/>
      <c r="Z30" s="182"/>
      <c r="AA30" s="182"/>
      <c r="AB30" s="182"/>
      <c r="AC30" s="182"/>
      <c r="AD30" s="182"/>
      <c r="AE30" s="182"/>
      <c r="AF30" s="182"/>
      <c r="AG30" s="182"/>
      <c r="AH30" s="167">
        <v>7</v>
      </c>
      <c r="AI30" s="300" t="s">
        <v>751</v>
      </c>
      <c r="AJ30" s="186">
        <v>42375</v>
      </c>
      <c r="AK30" s="187"/>
      <c r="AL30" s="187">
        <f t="shared" si="13"/>
        <v>0</v>
      </c>
      <c r="AM30" s="187">
        <f t="shared" si="14"/>
        <v>13</v>
      </c>
      <c r="AN30" s="187">
        <f t="shared" si="15"/>
        <v>8</v>
      </c>
      <c r="AO30" s="187">
        <f t="shared" si="16"/>
        <v>8</v>
      </c>
      <c r="AP30" s="187">
        <f t="shared" si="17"/>
        <v>0</v>
      </c>
      <c r="AQ30" s="187">
        <f t="shared" si="18"/>
        <v>0</v>
      </c>
      <c r="AR30" s="187">
        <f t="shared" si="19"/>
        <v>0</v>
      </c>
      <c r="AS30" s="187">
        <f t="shared" si="20"/>
        <v>19</v>
      </c>
      <c r="AT30" s="187">
        <f t="shared" si="21"/>
        <v>0</v>
      </c>
      <c r="AU30" s="187">
        <f t="shared" si="22"/>
        <v>0</v>
      </c>
      <c r="AV30" s="187">
        <f t="shared" si="23"/>
        <v>0</v>
      </c>
      <c r="AW30" s="187">
        <f t="shared" si="24"/>
        <v>8</v>
      </c>
      <c r="AX30" s="187">
        <f t="shared" si="25"/>
        <v>0</v>
      </c>
      <c r="AY30" s="187">
        <f t="shared" si="26"/>
        <v>0</v>
      </c>
      <c r="AZ30" s="187">
        <f t="shared" si="27"/>
        <v>0</v>
      </c>
      <c r="BA30" s="187">
        <f t="shared" si="28"/>
        <v>16</v>
      </c>
      <c r="BB30" s="187">
        <f t="shared" si="29"/>
        <v>13</v>
      </c>
      <c r="BC30" s="187">
        <f t="shared" si="30"/>
        <v>0</v>
      </c>
      <c r="BD30" s="187">
        <f t="shared" si="31"/>
        <v>0</v>
      </c>
      <c r="BE30" s="187">
        <f t="shared" si="32"/>
        <v>0</v>
      </c>
      <c r="BF30" s="187">
        <f t="shared" si="33"/>
        <v>0</v>
      </c>
      <c r="BG30" s="187">
        <f t="shared" si="34"/>
        <v>0</v>
      </c>
      <c r="BH30" s="187">
        <f t="shared" si="35"/>
        <v>0</v>
      </c>
      <c r="BI30" s="187">
        <f t="shared" si="36"/>
        <v>0</v>
      </c>
      <c r="BJ30" s="273">
        <f t="shared" si="37"/>
        <v>85</v>
      </c>
      <c r="BK30" s="167">
        <f t="shared" ref="BK30" si="41">BJ30</f>
        <v>85</v>
      </c>
      <c r="BL30" s="167"/>
      <c r="BM30" s="644"/>
      <c r="BN30" s="644"/>
      <c r="BO30" s="644"/>
      <c r="BP30" s="644"/>
      <c r="BQ30" s="644"/>
      <c r="BR30" s="644"/>
      <c r="BS30" s="644"/>
      <c r="BT30" s="644"/>
      <c r="BU30" s="644"/>
      <c r="BV30" s="644"/>
      <c r="BW30" s="644"/>
      <c r="BX30" s="644"/>
      <c r="BY30" s="644"/>
      <c r="BZ30" s="644"/>
      <c r="CA30" s="644"/>
      <c r="CB30" s="644"/>
      <c r="CC30" s="644"/>
      <c r="CD30" s="644"/>
      <c r="CE30" s="644"/>
      <c r="CF30" s="644"/>
      <c r="CG30" s="644"/>
      <c r="CH30" s="644"/>
      <c r="CI30" s="644"/>
      <c r="CJ30" s="301" t="s">
        <v>752</v>
      </c>
      <c r="CK30" s="180"/>
      <c r="CL30" s="136"/>
    </row>
    <row r="31" spans="1:90">
      <c r="A31" s="181" t="s">
        <v>117</v>
      </c>
      <c r="B31" s="182"/>
      <c r="C31" s="183"/>
      <c r="D31" s="182">
        <v>1</v>
      </c>
      <c r="E31" s="182"/>
      <c r="F31" s="182"/>
      <c r="G31" s="182"/>
      <c r="H31" s="182"/>
      <c r="I31" s="182"/>
      <c r="J31" s="182"/>
      <c r="K31" s="182"/>
      <c r="L31" s="182">
        <v>1</v>
      </c>
      <c r="M31" s="182"/>
      <c r="N31" s="182"/>
      <c r="O31" s="182">
        <v>1</v>
      </c>
      <c r="P31" s="182"/>
      <c r="Q31" s="182"/>
      <c r="R31" s="182"/>
      <c r="S31" s="182">
        <v>1</v>
      </c>
      <c r="T31" s="182"/>
      <c r="U31" s="182"/>
      <c r="V31" s="302">
        <v>1</v>
      </c>
      <c r="W31" s="182">
        <v>1</v>
      </c>
      <c r="X31" s="182">
        <v>1</v>
      </c>
      <c r="Y31" s="182">
        <v>1</v>
      </c>
      <c r="Z31" s="182"/>
      <c r="AA31" s="182">
        <v>1</v>
      </c>
      <c r="AB31" s="182"/>
      <c r="AC31" s="182"/>
      <c r="AD31" s="302">
        <v>1</v>
      </c>
      <c r="AE31" s="182"/>
      <c r="AF31" s="182"/>
      <c r="AG31" s="182"/>
      <c r="AH31" s="167">
        <v>10</v>
      </c>
      <c r="AI31" s="300" t="s">
        <v>753</v>
      </c>
      <c r="AJ31" s="186">
        <v>42341</v>
      </c>
      <c r="AK31" s="187"/>
      <c r="AL31" s="187">
        <f t="shared" si="13"/>
        <v>0</v>
      </c>
      <c r="AM31" s="187">
        <f t="shared" si="14"/>
        <v>13</v>
      </c>
      <c r="AN31" s="187">
        <f t="shared" si="15"/>
        <v>0</v>
      </c>
      <c r="AO31" s="187">
        <f t="shared" si="16"/>
        <v>0</v>
      </c>
      <c r="AP31" s="187">
        <f t="shared" si="17"/>
        <v>0</v>
      </c>
      <c r="AQ31" s="187">
        <f t="shared" si="18"/>
        <v>0</v>
      </c>
      <c r="AR31" s="187">
        <f t="shared" si="19"/>
        <v>0</v>
      </c>
      <c r="AS31" s="187">
        <f t="shared" si="20"/>
        <v>19</v>
      </c>
      <c r="AT31" s="187">
        <f t="shared" si="21"/>
        <v>13</v>
      </c>
      <c r="AU31" s="187">
        <f t="shared" si="22"/>
        <v>0</v>
      </c>
      <c r="AV31" s="187">
        <f t="shared" si="23"/>
        <v>0</v>
      </c>
      <c r="AW31" s="187">
        <f t="shared" si="24"/>
        <v>8</v>
      </c>
      <c r="AX31" s="187">
        <f t="shared" si="25"/>
        <v>0</v>
      </c>
      <c r="AY31" s="187">
        <f t="shared" si="26"/>
        <v>0</v>
      </c>
      <c r="AZ31" s="187">
        <f t="shared" si="27"/>
        <v>8</v>
      </c>
      <c r="BA31" s="187">
        <f t="shared" si="28"/>
        <v>16</v>
      </c>
      <c r="BB31" s="187">
        <f t="shared" si="29"/>
        <v>13</v>
      </c>
      <c r="BC31" s="187">
        <f t="shared" si="30"/>
        <v>10</v>
      </c>
      <c r="BD31" s="187">
        <f t="shared" si="31"/>
        <v>0</v>
      </c>
      <c r="BE31" s="187">
        <f t="shared" si="32"/>
        <v>6</v>
      </c>
      <c r="BF31" s="187">
        <f t="shared" si="33"/>
        <v>0</v>
      </c>
      <c r="BG31" s="187">
        <f t="shared" si="34"/>
        <v>8</v>
      </c>
      <c r="BH31" s="187">
        <f t="shared" si="35"/>
        <v>0</v>
      </c>
      <c r="BI31" s="187">
        <f t="shared" si="36"/>
        <v>0</v>
      </c>
      <c r="BJ31" s="273">
        <f t="shared" si="37"/>
        <v>100</v>
      </c>
      <c r="BK31" s="167">
        <f t="shared" si="38"/>
        <v>100</v>
      </c>
      <c r="BL31" s="167"/>
      <c r="BM31" s="644"/>
      <c r="BN31" s="644"/>
      <c r="BO31" s="644"/>
      <c r="BP31" s="644"/>
      <c r="BQ31" s="644"/>
      <c r="BR31" s="644"/>
      <c r="BS31" s="644"/>
      <c r="BT31" s="644"/>
      <c r="BU31" s="644"/>
      <c r="BV31" s="644"/>
      <c r="BW31" s="644"/>
      <c r="BX31" s="644"/>
      <c r="BY31" s="644"/>
      <c r="BZ31" s="644"/>
      <c r="CA31" s="644"/>
      <c r="CB31" s="644"/>
      <c r="CC31" s="644"/>
      <c r="CD31" s="644"/>
      <c r="CE31" s="644"/>
      <c r="CF31" s="644"/>
      <c r="CG31" s="644"/>
      <c r="CH31" s="644"/>
      <c r="CI31" s="644"/>
      <c r="CJ31" s="301" t="s">
        <v>754</v>
      </c>
      <c r="CK31" s="180"/>
      <c r="CL31" s="136"/>
    </row>
    <row r="32" spans="1:90">
      <c r="A32" s="181" t="s">
        <v>118</v>
      </c>
      <c r="B32" s="182"/>
      <c r="C32" s="183"/>
      <c r="D32" s="315">
        <v>1</v>
      </c>
      <c r="E32" s="315">
        <v>1</v>
      </c>
      <c r="F32" s="315"/>
      <c r="G32" s="315">
        <v>1</v>
      </c>
      <c r="H32" s="315"/>
      <c r="I32" s="315"/>
      <c r="J32" s="182"/>
      <c r="K32" s="182"/>
      <c r="L32" s="182">
        <v>1</v>
      </c>
      <c r="M32" s="182"/>
      <c r="N32" s="182"/>
      <c r="O32" s="182"/>
      <c r="P32" s="182"/>
      <c r="Q32" s="182"/>
      <c r="R32" s="182"/>
      <c r="S32" s="182"/>
      <c r="T32" s="182"/>
      <c r="U32" s="182">
        <v>1</v>
      </c>
      <c r="V32" s="182"/>
      <c r="W32" s="182">
        <v>1</v>
      </c>
      <c r="X32" s="182"/>
      <c r="Y32" s="182"/>
      <c r="Z32" s="182"/>
      <c r="AA32" s="182"/>
      <c r="AB32" s="182"/>
      <c r="AC32" s="182"/>
      <c r="AD32" s="182"/>
      <c r="AE32" s="182"/>
      <c r="AF32" s="182"/>
      <c r="AG32" s="182"/>
      <c r="AH32" s="167">
        <v>6</v>
      </c>
      <c r="AI32" s="300" t="s">
        <v>755</v>
      </c>
      <c r="AJ32" s="186">
        <v>42324</v>
      </c>
      <c r="AK32" s="187"/>
      <c r="AL32" s="187">
        <f t="shared" si="13"/>
        <v>0</v>
      </c>
      <c r="AM32" s="187">
        <f t="shared" si="14"/>
        <v>13</v>
      </c>
      <c r="AN32" s="187">
        <f t="shared" si="15"/>
        <v>8</v>
      </c>
      <c r="AO32" s="187">
        <f t="shared" si="16"/>
        <v>8</v>
      </c>
      <c r="AP32" s="187">
        <f t="shared" si="17"/>
        <v>0</v>
      </c>
      <c r="AQ32" s="187">
        <f t="shared" si="18"/>
        <v>0</v>
      </c>
      <c r="AR32" s="187">
        <f t="shared" si="19"/>
        <v>0</v>
      </c>
      <c r="AS32" s="187">
        <f t="shared" si="20"/>
        <v>19</v>
      </c>
      <c r="AT32" s="187">
        <f t="shared" si="21"/>
        <v>0</v>
      </c>
      <c r="AU32" s="187">
        <f t="shared" si="22"/>
        <v>0</v>
      </c>
      <c r="AV32" s="187">
        <f t="shared" si="23"/>
        <v>0</v>
      </c>
      <c r="AW32" s="187">
        <f t="shared" si="24"/>
        <v>0</v>
      </c>
      <c r="AX32" s="187">
        <f t="shared" si="25"/>
        <v>0</v>
      </c>
      <c r="AY32" s="187">
        <f t="shared" si="26"/>
        <v>2</v>
      </c>
      <c r="AZ32" s="187">
        <f t="shared" si="27"/>
        <v>0</v>
      </c>
      <c r="BA32" s="187">
        <f t="shared" si="28"/>
        <v>16</v>
      </c>
      <c r="BB32" s="187">
        <f t="shared" si="29"/>
        <v>0</v>
      </c>
      <c r="BC32" s="187">
        <f t="shared" si="30"/>
        <v>0</v>
      </c>
      <c r="BD32" s="187">
        <f t="shared" si="31"/>
        <v>0</v>
      </c>
      <c r="BE32" s="187">
        <f t="shared" si="32"/>
        <v>0</v>
      </c>
      <c r="BF32" s="187">
        <f t="shared" si="33"/>
        <v>0</v>
      </c>
      <c r="BG32" s="187">
        <f t="shared" si="34"/>
        <v>0</v>
      </c>
      <c r="BH32" s="187">
        <f t="shared" si="35"/>
        <v>0</v>
      </c>
      <c r="BI32" s="187">
        <f t="shared" si="36"/>
        <v>0</v>
      </c>
      <c r="BJ32" s="273">
        <f t="shared" si="37"/>
        <v>66</v>
      </c>
      <c r="BK32" s="167">
        <f t="shared" si="38"/>
        <v>66</v>
      </c>
      <c r="BL32" s="167"/>
      <c r="BM32" s="644"/>
      <c r="BN32" s="644"/>
      <c r="BO32" s="644"/>
      <c r="BP32" s="644"/>
      <c r="BQ32" s="644"/>
      <c r="BR32" s="644"/>
      <c r="BS32" s="644"/>
      <c r="BT32" s="644"/>
      <c r="BU32" s="644"/>
      <c r="BV32" s="644"/>
      <c r="BW32" s="644"/>
      <c r="BX32" s="644"/>
      <c r="BY32" s="644"/>
      <c r="BZ32" s="644"/>
      <c r="CA32" s="644"/>
      <c r="CB32" s="644"/>
      <c r="CC32" s="644"/>
      <c r="CD32" s="644"/>
      <c r="CE32" s="644"/>
      <c r="CF32" s="644"/>
      <c r="CG32" s="644"/>
      <c r="CH32" s="644"/>
      <c r="CI32" s="644"/>
      <c r="CJ32" s="301" t="s">
        <v>740</v>
      </c>
      <c r="CK32" s="180"/>
      <c r="CL32" s="136"/>
    </row>
    <row r="33" spans="1:90">
      <c r="A33" s="331" t="s">
        <v>119</v>
      </c>
      <c r="B33" s="182"/>
      <c r="C33" s="183"/>
      <c r="D33" s="315">
        <v>1</v>
      </c>
      <c r="E33" s="315">
        <v>1</v>
      </c>
      <c r="F33" s="315"/>
      <c r="G33" s="315">
        <v>1</v>
      </c>
      <c r="H33" s="315"/>
      <c r="I33" s="315"/>
      <c r="J33" s="182"/>
      <c r="K33" s="182"/>
      <c r="L33" s="182">
        <v>1</v>
      </c>
      <c r="M33" s="182"/>
      <c r="N33" s="182"/>
      <c r="O33" s="182"/>
      <c r="P33" s="182"/>
      <c r="Q33" s="182"/>
      <c r="R33" s="182"/>
      <c r="S33" s="182">
        <v>1</v>
      </c>
      <c r="T33" s="182"/>
      <c r="U33" s="182"/>
      <c r="V33" s="182">
        <v>1</v>
      </c>
      <c r="W33" s="182">
        <v>1</v>
      </c>
      <c r="X33" s="182">
        <v>1</v>
      </c>
      <c r="Y33" s="182">
        <v>1</v>
      </c>
      <c r="Z33" s="182"/>
      <c r="AA33" s="182"/>
      <c r="AB33" s="182"/>
      <c r="AC33" s="182"/>
      <c r="AD33" s="182">
        <v>1</v>
      </c>
      <c r="AE33" s="182"/>
      <c r="AF33" s="182"/>
      <c r="AG33" s="182"/>
      <c r="AH33" s="167">
        <v>10</v>
      </c>
      <c r="AI33" s="328" t="s">
        <v>113</v>
      </c>
      <c r="AJ33" s="186">
        <v>42357</v>
      </c>
      <c r="AK33" s="187"/>
      <c r="AL33" s="187">
        <f t="shared" si="13"/>
        <v>0</v>
      </c>
      <c r="AM33" s="187">
        <f t="shared" si="14"/>
        <v>13</v>
      </c>
      <c r="AN33" s="187">
        <f t="shared" si="15"/>
        <v>8</v>
      </c>
      <c r="AO33" s="187">
        <f t="shared" si="16"/>
        <v>8</v>
      </c>
      <c r="AP33" s="187">
        <f t="shared" si="17"/>
        <v>0</v>
      </c>
      <c r="AQ33" s="187">
        <f t="shared" si="18"/>
        <v>0</v>
      </c>
      <c r="AR33" s="187">
        <f t="shared" si="19"/>
        <v>0</v>
      </c>
      <c r="AS33" s="187">
        <f t="shared" si="20"/>
        <v>19</v>
      </c>
      <c r="AT33" s="187">
        <f t="shared" si="21"/>
        <v>0</v>
      </c>
      <c r="AU33" s="187">
        <f t="shared" si="22"/>
        <v>0</v>
      </c>
      <c r="AV33" s="187">
        <f t="shared" si="23"/>
        <v>0</v>
      </c>
      <c r="AW33" s="187">
        <f t="shared" si="24"/>
        <v>8</v>
      </c>
      <c r="AX33" s="187">
        <f t="shared" si="25"/>
        <v>0</v>
      </c>
      <c r="AY33" s="187">
        <f t="shared" si="26"/>
        <v>0</v>
      </c>
      <c r="AZ33" s="187">
        <f t="shared" si="27"/>
        <v>8</v>
      </c>
      <c r="BA33" s="187">
        <f t="shared" si="28"/>
        <v>16</v>
      </c>
      <c r="BB33" s="187">
        <f t="shared" si="29"/>
        <v>13</v>
      </c>
      <c r="BC33" s="187">
        <f t="shared" si="30"/>
        <v>10</v>
      </c>
      <c r="BD33" s="187">
        <f t="shared" si="31"/>
        <v>0</v>
      </c>
      <c r="BE33" s="187">
        <f t="shared" si="32"/>
        <v>0</v>
      </c>
      <c r="BF33" s="187">
        <f t="shared" si="33"/>
        <v>0</v>
      </c>
      <c r="BG33" s="187">
        <f t="shared" si="34"/>
        <v>8</v>
      </c>
      <c r="BH33" s="187">
        <f t="shared" si="35"/>
        <v>0</v>
      </c>
      <c r="BI33" s="187">
        <f t="shared" si="36"/>
        <v>0</v>
      </c>
      <c r="BJ33" s="273">
        <f t="shared" si="37"/>
        <v>95</v>
      </c>
      <c r="BK33" s="167">
        <f t="shared" si="38"/>
        <v>95</v>
      </c>
      <c r="BL33" s="167"/>
      <c r="BM33" s="644"/>
      <c r="BN33" s="644"/>
      <c r="BO33" s="644"/>
      <c r="BP33" s="644"/>
      <c r="BQ33" s="644"/>
      <c r="BR33" s="644"/>
      <c r="BS33" s="644"/>
      <c r="BT33" s="644"/>
      <c r="BU33" s="644"/>
      <c r="BV33" s="644"/>
      <c r="BW33" s="644"/>
      <c r="BX33" s="644"/>
      <c r="BY33" s="644"/>
      <c r="BZ33" s="644"/>
      <c r="CA33" s="644"/>
      <c r="CB33" s="644"/>
      <c r="CC33" s="644"/>
      <c r="CD33" s="644"/>
      <c r="CE33" s="644"/>
      <c r="CF33" s="644"/>
      <c r="CG33" s="644"/>
      <c r="CH33" s="644"/>
      <c r="CI33" s="644"/>
      <c r="CJ33" s="301" t="s">
        <v>756</v>
      </c>
      <c r="CK33" s="180"/>
      <c r="CL33" s="136"/>
    </row>
    <row r="34" spans="1:90" s="344" customFormat="1">
      <c r="A34" s="335" t="s">
        <v>120</v>
      </c>
      <c r="B34" s="182"/>
      <c r="C34" s="183"/>
      <c r="D34" s="182">
        <v>1</v>
      </c>
      <c r="E34" s="182"/>
      <c r="F34" s="182"/>
      <c r="G34" s="182"/>
      <c r="H34" s="182"/>
      <c r="I34" s="182"/>
      <c r="J34" s="182"/>
      <c r="K34" s="182"/>
      <c r="L34" s="182">
        <v>1</v>
      </c>
      <c r="M34" s="182"/>
      <c r="N34" s="182"/>
      <c r="O34" s="182">
        <v>1</v>
      </c>
      <c r="P34" s="182"/>
      <c r="Q34" s="182">
        <v>1</v>
      </c>
      <c r="R34" s="182"/>
      <c r="S34" s="182">
        <v>1</v>
      </c>
      <c r="T34" s="182"/>
      <c r="U34" s="182"/>
      <c r="V34" s="182">
        <v>1</v>
      </c>
      <c r="W34" s="182">
        <v>1</v>
      </c>
      <c r="X34" s="182"/>
      <c r="Y34" s="182">
        <v>1</v>
      </c>
      <c r="Z34" s="182"/>
      <c r="AA34" s="182"/>
      <c r="AB34" s="182"/>
      <c r="AC34" s="182"/>
      <c r="AD34" s="182"/>
      <c r="AE34" s="182"/>
      <c r="AF34" s="182"/>
      <c r="AG34" s="182"/>
      <c r="AH34" s="339">
        <v>8</v>
      </c>
      <c r="AI34" s="334" t="s">
        <v>757</v>
      </c>
      <c r="AJ34" s="341">
        <v>42360</v>
      </c>
      <c r="AK34" s="187"/>
      <c r="AL34" s="187">
        <f t="shared" si="13"/>
        <v>0</v>
      </c>
      <c r="AM34" s="187">
        <f t="shared" si="14"/>
        <v>13</v>
      </c>
      <c r="AN34" s="187">
        <f t="shared" si="15"/>
        <v>0</v>
      </c>
      <c r="AO34" s="187">
        <f t="shared" si="16"/>
        <v>0</v>
      </c>
      <c r="AP34" s="187">
        <f t="shared" si="17"/>
        <v>0</v>
      </c>
      <c r="AQ34" s="187">
        <f t="shared" si="18"/>
        <v>0</v>
      </c>
      <c r="AR34" s="187">
        <f t="shared" si="19"/>
        <v>0</v>
      </c>
      <c r="AS34" s="187">
        <f t="shared" si="20"/>
        <v>19</v>
      </c>
      <c r="AT34" s="187">
        <f t="shared" si="21"/>
        <v>13</v>
      </c>
      <c r="AU34" s="187">
        <f t="shared" si="22"/>
        <v>0</v>
      </c>
      <c r="AV34" s="187">
        <f t="shared" si="23"/>
        <v>3</v>
      </c>
      <c r="AW34" s="187">
        <f t="shared" si="24"/>
        <v>8</v>
      </c>
      <c r="AX34" s="187">
        <f t="shared" si="25"/>
        <v>0</v>
      </c>
      <c r="AY34" s="187">
        <f t="shared" si="26"/>
        <v>0</v>
      </c>
      <c r="AZ34" s="187">
        <f t="shared" si="27"/>
        <v>8</v>
      </c>
      <c r="BA34" s="187">
        <f t="shared" si="28"/>
        <v>16</v>
      </c>
      <c r="BB34" s="187">
        <f t="shared" si="29"/>
        <v>0</v>
      </c>
      <c r="BC34" s="187">
        <f t="shared" si="30"/>
        <v>10</v>
      </c>
      <c r="BD34" s="187">
        <f t="shared" si="31"/>
        <v>0</v>
      </c>
      <c r="BE34" s="187">
        <f t="shared" si="32"/>
        <v>0</v>
      </c>
      <c r="BF34" s="187">
        <f t="shared" si="33"/>
        <v>0</v>
      </c>
      <c r="BG34" s="187">
        <f t="shared" si="34"/>
        <v>0</v>
      </c>
      <c r="BH34" s="187">
        <f t="shared" si="35"/>
        <v>0</v>
      </c>
      <c r="BI34" s="187">
        <f t="shared" si="36"/>
        <v>0</v>
      </c>
      <c r="BJ34" s="273">
        <f t="shared" si="37"/>
        <v>90</v>
      </c>
      <c r="BK34" s="167">
        <f t="shared" ref="BK34" si="42">BJ34</f>
        <v>90</v>
      </c>
      <c r="BL34" s="167"/>
      <c r="BM34" s="644"/>
      <c r="BN34" s="644"/>
      <c r="BO34" s="644"/>
      <c r="BP34" s="644"/>
      <c r="BQ34" s="644"/>
      <c r="BR34" s="644"/>
      <c r="BS34" s="644"/>
      <c r="BT34" s="644"/>
      <c r="BU34" s="644"/>
      <c r="BV34" s="644"/>
      <c r="BW34" s="644"/>
      <c r="BX34" s="644"/>
      <c r="BY34" s="644"/>
      <c r="BZ34" s="644"/>
      <c r="CA34" s="644"/>
      <c r="CB34" s="644"/>
      <c r="CC34" s="644"/>
      <c r="CD34" s="644"/>
      <c r="CE34" s="644"/>
      <c r="CF34" s="644"/>
      <c r="CG34" s="644"/>
      <c r="CH34" s="644"/>
      <c r="CI34" s="644"/>
      <c r="CJ34" s="301" t="s">
        <v>758</v>
      </c>
      <c r="CK34" s="342"/>
      <c r="CL34" s="343"/>
    </row>
    <row r="35" spans="1:90" s="344" customFormat="1">
      <c r="A35" s="335" t="s">
        <v>759</v>
      </c>
      <c r="B35" s="182"/>
      <c r="C35" s="183"/>
      <c r="D35" s="182">
        <v>1</v>
      </c>
      <c r="E35" s="182"/>
      <c r="F35" s="182"/>
      <c r="G35" s="182"/>
      <c r="H35" s="182"/>
      <c r="I35" s="182"/>
      <c r="J35" s="182"/>
      <c r="K35" s="182"/>
      <c r="L35" s="182">
        <v>1</v>
      </c>
      <c r="M35" s="182"/>
      <c r="N35" s="182"/>
      <c r="O35" s="182">
        <v>1</v>
      </c>
      <c r="P35" s="182"/>
      <c r="Q35" s="182"/>
      <c r="R35" s="182"/>
      <c r="S35" s="182"/>
      <c r="T35" s="182"/>
      <c r="U35" s="182"/>
      <c r="V35" s="182"/>
      <c r="W35" s="182">
        <v>1</v>
      </c>
      <c r="X35" s="182"/>
      <c r="Y35" s="182"/>
      <c r="Z35" s="182"/>
      <c r="AA35" s="182">
        <v>1</v>
      </c>
      <c r="AB35" s="182"/>
      <c r="AC35" s="182"/>
      <c r="AD35" s="182"/>
      <c r="AE35" s="182"/>
      <c r="AF35" s="182"/>
      <c r="AG35" s="182"/>
      <c r="AH35" s="339">
        <v>5</v>
      </c>
      <c r="AI35" s="334" t="s">
        <v>760</v>
      </c>
      <c r="AJ35" s="341">
        <v>42373</v>
      </c>
      <c r="AK35" s="187"/>
      <c r="AL35" s="187">
        <f t="shared" si="13"/>
        <v>0</v>
      </c>
      <c r="AM35" s="187">
        <f t="shared" si="14"/>
        <v>13</v>
      </c>
      <c r="AN35" s="187">
        <f t="shared" si="15"/>
        <v>0</v>
      </c>
      <c r="AO35" s="187">
        <f t="shared" si="16"/>
        <v>0</v>
      </c>
      <c r="AP35" s="187">
        <f t="shared" si="17"/>
        <v>0</v>
      </c>
      <c r="AQ35" s="187">
        <f t="shared" si="18"/>
        <v>0</v>
      </c>
      <c r="AR35" s="187">
        <f t="shared" si="19"/>
        <v>0</v>
      </c>
      <c r="AS35" s="187">
        <f t="shared" si="20"/>
        <v>19</v>
      </c>
      <c r="AT35" s="187">
        <f t="shared" si="21"/>
        <v>13</v>
      </c>
      <c r="AU35" s="187">
        <f t="shared" si="22"/>
        <v>0</v>
      </c>
      <c r="AV35" s="187">
        <f t="shared" si="23"/>
        <v>0</v>
      </c>
      <c r="AW35" s="187">
        <f t="shared" si="24"/>
        <v>0</v>
      </c>
      <c r="AX35" s="187">
        <f t="shared" si="25"/>
        <v>0</v>
      </c>
      <c r="AY35" s="187">
        <f t="shared" si="26"/>
        <v>0</v>
      </c>
      <c r="AZ35" s="187">
        <f t="shared" si="27"/>
        <v>0</v>
      </c>
      <c r="BA35" s="187">
        <f t="shared" si="28"/>
        <v>16</v>
      </c>
      <c r="BB35" s="187">
        <f t="shared" si="29"/>
        <v>0</v>
      </c>
      <c r="BC35" s="187">
        <f t="shared" si="30"/>
        <v>0</v>
      </c>
      <c r="BD35" s="187">
        <f t="shared" si="31"/>
        <v>0</v>
      </c>
      <c r="BE35" s="187">
        <f t="shared" si="32"/>
        <v>6</v>
      </c>
      <c r="BF35" s="187">
        <f t="shared" si="33"/>
        <v>0</v>
      </c>
      <c r="BG35" s="187">
        <f t="shared" si="34"/>
        <v>0</v>
      </c>
      <c r="BH35" s="187">
        <f t="shared" si="35"/>
        <v>0</v>
      </c>
      <c r="BI35" s="187">
        <f t="shared" si="36"/>
        <v>0</v>
      </c>
      <c r="BJ35" s="273">
        <f t="shared" si="37"/>
        <v>67</v>
      </c>
      <c r="BK35" s="167">
        <f t="shared" ref="BK35" si="43">BJ35</f>
        <v>67</v>
      </c>
      <c r="BL35" s="167"/>
      <c r="BM35" s="644"/>
      <c r="BN35" s="644"/>
      <c r="BO35" s="644"/>
      <c r="BP35" s="644"/>
      <c r="BQ35" s="644"/>
      <c r="BR35" s="644"/>
      <c r="BS35" s="644"/>
      <c r="BT35" s="644"/>
      <c r="BU35" s="644"/>
      <c r="BV35" s="644"/>
      <c r="BW35" s="644"/>
      <c r="BX35" s="644"/>
      <c r="BY35" s="644"/>
      <c r="BZ35" s="644"/>
      <c r="CA35" s="644"/>
      <c r="CB35" s="644"/>
      <c r="CC35" s="644"/>
      <c r="CD35" s="644"/>
      <c r="CE35" s="644"/>
      <c r="CF35" s="644"/>
      <c r="CG35" s="644"/>
      <c r="CH35" s="644"/>
      <c r="CI35" s="644"/>
      <c r="CJ35" s="301" t="s">
        <v>743</v>
      </c>
      <c r="CK35" s="342"/>
      <c r="CL35" s="343"/>
    </row>
    <row r="36" spans="1:90">
      <c r="A36" s="331" t="s">
        <v>121</v>
      </c>
      <c r="B36" s="182"/>
      <c r="C36" s="183"/>
      <c r="D36" s="315">
        <v>1</v>
      </c>
      <c r="E36" s="315"/>
      <c r="F36" s="315"/>
      <c r="G36" s="315"/>
      <c r="H36" s="315"/>
      <c r="I36" s="315"/>
      <c r="J36" s="182"/>
      <c r="K36" s="182"/>
      <c r="L36" s="182">
        <v>1</v>
      </c>
      <c r="M36" s="182"/>
      <c r="N36" s="182"/>
      <c r="O36" s="182">
        <v>1</v>
      </c>
      <c r="P36" s="182"/>
      <c r="Q36" s="182"/>
      <c r="R36" s="182"/>
      <c r="S36" s="182">
        <v>1</v>
      </c>
      <c r="T36" s="182"/>
      <c r="U36" s="182"/>
      <c r="V36" s="182">
        <v>1</v>
      </c>
      <c r="W36" s="182">
        <v>1</v>
      </c>
      <c r="X36" s="182">
        <v>1</v>
      </c>
      <c r="Y36" s="182">
        <v>1</v>
      </c>
      <c r="Z36" s="182"/>
      <c r="AA36" s="182"/>
      <c r="AB36" s="182"/>
      <c r="AC36" s="182"/>
      <c r="AD36" s="182">
        <v>1</v>
      </c>
      <c r="AE36" s="182">
        <v>1</v>
      </c>
      <c r="AF36" s="182"/>
      <c r="AG36" s="182"/>
      <c r="AH36" s="167">
        <v>10</v>
      </c>
      <c r="AI36" s="300" t="s">
        <v>761</v>
      </c>
      <c r="AJ36" s="186">
        <v>42338</v>
      </c>
      <c r="AK36" s="187"/>
      <c r="AL36" s="187">
        <f t="shared" si="13"/>
        <v>0</v>
      </c>
      <c r="AM36" s="187">
        <f t="shared" si="14"/>
        <v>13</v>
      </c>
      <c r="AN36" s="187">
        <f t="shared" si="15"/>
        <v>0</v>
      </c>
      <c r="AO36" s="187">
        <f t="shared" si="16"/>
        <v>0</v>
      </c>
      <c r="AP36" s="187">
        <f t="shared" si="17"/>
        <v>0</v>
      </c>
      <c r="AQ36" s="187">
        <f t="shared" si="18"/>
        <v>0</v>
      </c>
      <c r="AR36" s="187">
        <f t="shared" si="19"/>
        <v>0</v>
      </c>
      <c r="AS36" s="187">
        <f t="shared" si="20"/>
        <v>19</v>
      </c>
      <c r="AT36" s="187">
        <f t="shared" si="21"/>
        <v>13</v>
      </c>
      <c r="AU36" s="187">
        <f t="shared" si="22"/>
        <v>0</v>
      </c>
      <c r="AV36" s="187">
        <f t="shared" si="23"/>
        <v>0</v>
      </c>
      <c r="AW36" s="187">
        <f t="shared" si="24"/>
        <v>8</v>
      </c>
      <c r="AX36" s="187">
        <f t="shared" si="25"/>
        <v>0</v>
      </c>
      <c r="AY36" s="187">
        <f t="shared" si="26"/>
        <v>0</v>
      </c>
      <c r="AZ36" s="187">
        <f t="shared" si="27"/>
        <v>8</v>
      </c>
      <c r="BA36" s="187">
        <f t="shared" si="28"/>
        <v>16</v>
      </c>
      <c r="BB36" s="187">
        <f t="shared" si="29"/>
        <v>13</v>
      </c>
      <c r="BC36" s="187">
        <f t="shared" si="30"/>
        <v>10</v>
      </c>
      <c r="BD36" s="187">
        <f t="shared" si="31"/>
        <v>0</v>
      </c>
      <c r="BE36" s="187">
        <f t="shared" si="32"/>
        <v>0</v>
      </c>
      <c r="BF36" s="187">
        <f t="shared" si="33"/>
        <v>0</v>
      </c>
      <c r="BG36" s="187">
        <f t="shared" si="34"/>
        <v>8</v>
      </c>
      <c r="BH36" s="187">
        <f t="shared" si="35"/>
        <v>2</v>
      </c>
      <c r="BI36" s="187">
        <f t="shared" si="36"/>
        <v>0</v>
      </c>
      <c r="BJ36" s="273">
        <f t="shared" si="37"/>
        <v>100</v>
      </c>
      <c r="BK36" s="167">
        <f t="shared" si="38"/>
        <v>100</v>
      </c>
      <c r="BL36" s="167"/>
      <c r="BM36" s="644"/>
      <c r="BN36" s="644"/>
      <c r="BO36" s="644"/>
      <c r="BP36" s="644"/>
      <c r="BQ36" s="644"/>
      <c r="BR36" s="644"/>
      <c r="BS36" s="644"/>
      <c r="BT36" s="644"/>
      <c r="BU36" s="644"/>
      <c r="BV36" s="644"/>
      <c r="BW36" s="644"/>
      <c r="BX36" s="644"/>
      <c r="BY36" s="644"/>
      <c r="BZ36" s="644"/>
      <c r="CA36" s="644"/>
      <c r="CB36" s="644"/>
      <c r="CC36" s="644"/>
      <c r="CD36" s="644"/>
      <c r="CE36" s="644"/>
      <c r="CF36" s="644"/>
      <c r="CG36" s="644"/>
      <c r="CH36" s="644"/>
      <c r="CI36" s="644"/>
      <c r="CJ36" s="301" t="s">
        <v>740</v>
      </c>
      <c r="CK36" s="180"/>
      <c r="CL36" s="136"/>
    </row>
    <row r="37" spans="1:90" s="344" customFormat="1">
      <c r="A37" s="335" t="s">
        <v>123</v>
      </c>
      <c r="B37" s="182"/>
      <c r="C37" s="183"/>
      <c r="D37" s="182">
        <v>1</v>
      </c>
      <c r="E37" s="182"/>
      <c r="F37" s="182"/>
      <c r="G37" s="182"/>
      <c r="H37" s="182"/>
      <c r="I37" s="182"/>
      <c r="J37" s="182"/>
      <c r="K37" s="182"/>
      <c r="L37" s="182">
        <v>1</v>
      </c>
      <c r="M37" s="182"/>
      <c r="N37" s="182"/>
      <c r="O37" s="182"/>
      <c r="P37" s="182"/>
      <c r="Q37" s="182"/>
      <c r="R37" s="182"/>
      <c r="S37" s="182">
        <v>1</v>
      </c>
      <c r="T37" s="182"/>
      <c r="U37" s="182"/>
      <c r="V37" s="182">
        <v>1</v>
      </c>
      <c r="W37" s="182">
        <v>1</v>
      </c>
      <c r="X37" s="182">
        <v>1</v>
      </c>
      <c r="Y37" s="182">
        <v>1</v>
      </c>
      <c r="Z37" s="182"/>
      <c r="AA37" s="182"/>
      <c r="AB37" s="182"/>
      <c r="AC37" s="182"/>
      <c r="AD37" s="182">
        <v>1</v>
      </c>
      <c r="AE37" s="182"/>
      <c r="AF37" s="182">
        <v>1</v>
      </c>
      <c r="AG37" s="182"/>
      <c r="AH37" s="339">
        <v>9</v>
      </c>
      <c r="AI37" s="340" t="s">
        <v>762</v>
      </c>
      <c r="AJ37" s="341">
        <v>42373</v>
      </c>
      <c r="AK37" s="187"/>
      <c r="AL37" s="187">
        <f t="shared" si="13"/>
        <v>0</v>
      </c>
      <c r="AM37" s="187">
        <f t="shared" si="14"/>
        <v>13</v>
      </c>
      <c r="AN37" s="187">
        <f t="shared" si="15"/>
        <v>0</v>
      </c>
      <c r="AO37" s="187">
        <f t="shared" si="16"/>
        <v>0</v>
      </c>
      <c r="AP37" s="187">
        <f t="shared" si="17"/>
        <v>0</v>
      </c>
      <c r="AQ37" s="187">
        <f t="shared" si="18"/>
        <v>0</v>
      </c>
      <c r="AR37" s="187">
        <f t="shared" si="19"/>
        <v>0</v>
      </c>
      <c r="AS37" s="187">
        <f t="shared" si="20"/>
        <v>19</v>
      </c>
      <c r="AT37" s="187">
        <f t="shared" si="21"/>
        <v>0</v>
      </c>
      <c r="AU37" s="187">
        <f t="shared" si="22"/>
        <v>0</v>
      </c>
      <c r="AV37" s="187">
        <f t="shared" si="23"/>
        <v>0</v>
      </c>
      <c r="AW37" s="187">
        <f t="shared" si="24"/>
        <v>8</v>
      </c>
      <c r="AX37" s="187">
        <f t="shared" si="25"/>
        <v>0</v>
      </c>
      <c r="AY37" s="187">
        <f t="shared" si="26"/>
        <v>0</v>
      </c>
      <c r="AZ37" s="187">
        <f t="shared" si="27"/>
        <v>8</v>
      </c>
      <c r="BA37" s="187">
        <f t="shared" si="28"/>
        <v>16</v>
      </c>
      <c r="BB37" s="187">
        <f t="shared" si="29"/>
        <v>13</v>
      </c>
      <c r="BC37" s="187">
        <f t="shared" si="30"/>
        <v>10</v>
      </c>
      <c r="BD37" s="187">
        <f t="shared" si="31"/>
        <v>0</v>
      </c>
      <c r="BE37" s="187">
        <f t="shared" si="32"/>
        <v>0</v>
      </c>
      <c r="BF37" s="187">
        <f t="shared" si="33"/>
        <v>0</v>
      </c>
      <c r="BG37" s="187">
        <f t="shared" si="34"/>
        <v>8</v>
      </c>
      <c r="BH37" s="187">
        <f t="shared" si="35"/>
        <v>0</v>
      </c>
      <c r="BI37" s="187">
        <f t="shared" si="36"/>
        <v>3</v>
      </c>
      <c r="BJ37" s="273">
        <f t="shared" si="37"/>
        <v>95</v>
      </c>
      <c r="BK37" s="167">
        <f t="shared" ref="BK37" si="44">BJ37</f>
        <v>95</v>
      </c>
      <c r="BL37" s="167"/>
      <c r="BM37" s="644"/>
      <c r="BN37" s="644"/>
      <c r="BO37" s="644"/>
      <c r="BP37" s="644"/>
      <c r="BQ37" s="644"/>
      <c r="BR37" s="644"/>
      <c r="BS37" s="644"/>
      <c r="BT37" s="644"/>
      <c r="BU37" s="644"/>
      <c r="BV37" s="644"/>
      <c r="BW37" s="644"/>
      <c r="BX37" s="644"/>
      <c r="BY37" s="644"/>
      <c r="BZ37" s="644"/>
      <c r="CA37" s="644"/>
      <c r="CB37" s="644"/>
      <c r="CC37" s="644"/>
      <c r="CD37" s="644"/>
      <c r="CE37" s="644"/>
      <c r="CF37" s="644"/>
      <c r="CG37" s="644"/>
      <c r="CH37" s="644"/>
      <c r="CI37" s="644"/>
      <c r="CJ37" s="301" t="s">
        <v>758</v>
      </c>
      <c r="CK37" s="342"/>
      <c r="CL37" s="343"/>
    </row>
    <row r="38" spans="1:90" s="344" customFormat="1">
      <c r="A38" s="335" t="s">
        <v>124</v>
      </c>
      <c r="B38" s="182"/>
      <c r="C38" s="183"/>
      <c r="D38" s="182">
        <v>1</v>
      </c>
      <c r="E38" s="182"/>
      <c r="F38" s="182"/>
      <c r="G38" s="182"/>
      <c r="H38" s="182"/>
      <c r="I38" s="182"/>
      <c r="J38" s="182"/>
      <c r="K38" s="182"/>
      <c r="L38" s="182">
        <v>1</v>
      </c>
      <c r="M38" s="182"/>
      <c r="N38" s="182"/>
      <c r="O38" s="182">
        <v>1</v>
      </c>
      <c r="P38" s="182"/>
      <c r="Q38" s="182"/>
      <c r="R38" s="182"/>
      <c r="S38" s="182"/>
      <c r="T38" s="182"/>
      <c r="U38" s="182"/>
      <c r="V38" s="182"/>
      <c r="W38" s="302">
        <v>1</v>
      </c>
      <c r="X38" s="182"/>
      <c r="Y38" s="182">
        <v>1</v>
      </c>
      <c r="Z38" s="182"/>
      <c r="AA38" s="182">
        <v>1</v>
      </c>
      <c r="AB38" s="182"/>
      <c r="AC38" s="182"/>
      <c r="AD38" s="302">
        <v>1</v>
      </c>
      <c r="AE38" s="182"/>
      <c r="AF38" s="182"/>
      <c r="AG38" s="182"/>
      <c r="AH38" s="339">
        <v>7</v>
      </c>
      <c r="AI38" s="340" t="s">
        <v>763</v>
      </c>
      <c r="AJ38" s="341">
        <v>42375</v>
      </c>
      <c r="AK38" s="187"/>
      <c r="AL38" s="187">
        <f t="shared" si="13"/>
        <v>0</v>
      </c>
      <c r="AM38" s="187">
        <f t="shared" si="14"/>
        <v>13</v>
      </c>
      <c r="AN38" s="187">
        <f t="shared" si="15"/>
        <v>0</v>
      </c>
      <c r="AO38" s="187">
        <f t="shared" si="16"/>
        <v>0</v>
      </c>
      <c r="AP38" s="187">
        <f t="shared" si="17"/>
        <v>0</v>
      </c>
      <c r="AQ38" s="187">
        <f t="shared" si="18"/>
        <v>0</v>
      </c>
      <c r="AR38" s="187">
        <f t="shared" si="19"/>
        <v>0</v>
      </c>
      <c r="AS38" s="187">
        <f t="shared" si="20"/>
        <v>19</v>
      </c>
      <c r="AT38" s="187">
        <f t="shared" si="21"/>
        <v>13</v>
      </c>
      <c r="AU38" s="187">
        <f t="shared" si="22"/>
        <v>0</v>
      </c>
      <c r="AV38" s="187">
        <f t="shared" si="23"/>
        <v>0</v>
      </c>
      <c r="AW38" s="187">
        <f t="shared" si="24"/>
        <v>0</v>
      </c>
      <c r="AX38" s="187">
        <f t="shared" si="25"/>
        <v>0</v>
      </c>
      <c r="AY38" s="187">
        <f t="shared" si="26"/>
        <v>0</v>
      </c>
      <c r="AZ38" s="187">
        <f t="shared" si="27"/>
        <v>0</v>
      </c>
      <c r="BA38" s="187">
        <f t="shared" si="28"/>
        <v>16</v>
      </c>
      <c r="BB38" s="187">
        <f t="shared" si="29"/>
        <v>0</v>
      </c>
      <c r="BC38" s="187">
        <f t="shared" si="30"/>
        <v>10</v>
      </c>
      <c r="BD38" s="187">
        <f t="shared" si="31"/>
        <v>0</v>
      </c>
      <c r="BE38" s="187">
        <f t="shared" si="32"/>
        <v>6</v>
      </c>
      <c r="BF38" s="187">
        <f t="shared" si="33"/>
        <v>0</v>
      </c>
      <c r="BG38" s="187">
        <f t="shared" si="34"/>
        <v>8</v>
      </c>
      <c r="BH38" s="187">
        <f t="shared" si="35"/>
        <v>0</v>
      </c>
      <c r="BI38" s="187">
        <f t="shared" si="36"/>
        <v>0</v>
      </c>
      <c r="BJ38" s="273">
        <f t="shared" si="37"/>
        <v>85</v>
      </c>
      <c r="BK38" s="167">
        <f t="shared" ref="BK38" si="45">BJ38</f>
        <v>85</v>
      </c>
      <c r="BL38" s="167"/>
      <c r="BM38" s="644"/>
      <c r="BN38" s="644"/>
      <c r="BO38" s="644"/>
      <c r="BP38" s="644"/>
      <c r="BQ38" s="644"/>
      <c r="BR38" s="644"/>
      <c r="BS38" s="644"/>
      <c r="BT38" s="644"/>
      <c r="BU38" s="644"/>
      <c r="BV38" s="644"/>
      <c r="BW38" s="644"/>
      <c r="BX38" s="644"/>
      <c r="BY38" s="644"/>
      <c r="BZ38" s="644"/>
      <c r="CA38" s="644"/>
      <c r="CB38" s="644"/>
      <c r="CC38" s="644"/>
      <c r="CD38" s="644"/>
      <c r="CE38" s="644"/>
      <c r="CF38" s="644"/>
      <c r="CG38" s="644"/>
      <c r="CH38" s="644"/>
      <c r="CI38" s="644"/>
      <c r="CJ38" s="301" t="s">
        <v>764</v>
      </c>
      <c r="CK38" s="342"/>
      <c r="CL38" s="343"/>
    </row>
    <row r="39" spans="1:90">
      <c r="A39" s="181" t="s">
        <v>127</v>
      </c>
      <c r="B39" s="182"/>
      <c r="C39" s="183"/>
      <c r="D39" s="315">
        <v>1</v>
      </c>
      <c r="E39" s="315">
        <v>1</v>
      </c>
      <c r="F39" s="315"/>
      <c r="G39" s="315">
        <v>1</v>
      </c>
      <c r="H39" s="315"/>
      <c r="I39" s="315"/>
      <c r="J39" s="182"/>
      <c r="K39" s="182"/>
      <c r="L39" s="182">
        <v>1</v>
      </c>
      <c r="M39" s="182"/>
      <c r="N39" s="182"/>
      <c r="O39" s="182">
        <v>1</v>
      </c>
      <c r="P39" s="182"/>
      <c r="Q39" s="182"/>
      <c r="R39" s="182"/>
      <c r="S39" s="182"/>
      <c r="T39" s="182"/>
      <c r="U39" s="182"/>
      <c r="V39" s="182">
        <v>1</v>
      </c>
      <c r="W39" s="182">
        <v>1</v>
      </c>
      <c r="X39" s="302">
        <v>1</v>
      </c>
      <c r="Y39" s="182"/>
      <c r="Z39" s="182"/>
      <c r="AA39" s="302">
        <v>1</v>
      </c>
      <c r="AB39" s="182"/>
      <c r="AC39" s="182"/>
      <c r="AD39" s="302">
        <v>1</v>
      </c>
      <c r="AE39" s="182"/>
      <c r="AF39" s="182"/>
      <c r="AG39" s="182"/>
      <c r="AH39" s="167">
        <v>10</v>
      </c>
      <c r="AI39" s="300" t="s">
        <v>765</v>
      </c>
      <c r="AJ39" s="186">
        <v>42324</v>
      </c>
      <c r="AK39" s="187"/>
      <c r="AL39" s="187">
        <f t="shared" si="13"/>
        <v>0</v>
      </c>
      <c r="AM39" s="187">
        <f t="shared" si="14"/>
        <v>13</v>
      </c>
      <c r="AN39" s="187">
        <f t="shared" si="15"/>
        <v>8</v>
      </c>
      <c r="AO39" s="187">
        <f t="shared" si="16"/>
        <v>8</v>
      </c>
      <c r="AP39" s="187">
        <f t="shared" si="17"/>
        <v>0</v>
      </c>
      <c r="AQ39" s="187">
        <f t="shared" si="18"/>
        <v>0</v>
      </c>
      <c r="AR39" s="187">
        <f t="shared" si="19"/>
        <v>0</v>
      </c>
      <c r="AS39" s="187">
        <f t="shared" si="20"/>
        <v>19</v>
      </c>
      <c r="AT39" s="187">
        <f t="shared" si="21"/>
        <v>13</v>
      </c>
      <c r="AU39" s="187">
        <f t="shared" si="22"/>
        <v>0</v>
      </c>
      <c r="AV39" s="187">
        <f t="shared" si="23"/>
        <v>0</v>
      </c>
      <c r="AW39" s="187">
        <f t="shared" si="24"/>
        <v>0</v>
      </c>
      <c r="AX39" s="187">
        <f t="shared" si="25"/>
        <v>0</v>
      </c>
      <c r="AY39" s="187">
        <f t="shared" si="26"/>
        <v>0</v>
      </c>
      <c r="AZ39" s="187">
        <f t="shared" si="27"/>
        <v>8</v>
      </c>
      <c r="BA39" s="187">
        <f t="shared" si="28"/>
        <v>16</v>
      </c>
      <c r="BB39" s="187">
        <f t="shared" si="29"/>
        <v>13</v>
      </c>
      <c r="BC39" s="187">
        <f t="shared" si="30"/>
        <v>0</v>
      </c>
      <c r="BD39" s="187">
        <f t="shared" si="31"/>
        <v>0</v>
      </c>
      <c r="BE39" s="187">
        <f t="shared" si="32"/>
        <v>6</v>
      </c>
      <c r="BF39" s="187">
        <f t="shared" si="33"/>
        <v>0</v>
      </c>
      <c r="BG39" s="187">
        <f t="shared" si="34"/>
        <v>8</v>
      </c>
      <c r="BH39" s="187">
        <f t="shared" si="35"/>
        <v>0</v>
      </c>
      <c r="BI39" s="187">
        <f t="shared" si="36"/>
        <v>0</v>
      </c>
      <c r="BJ39" s="273">
        <f t="shared" si="37"/>
        <v>98</v>
      </c>
      <c r="BK39" s="167">
        <f t="shared" si="38"/>
        <v>98</v>
      </c>
      <c r="BL39" s="167"/>
      <c r="BM39" s="644"/>
      <c r="BN39" s="644"/>
      <c r="BO39" s="644"/>
      <c r="BP39" s="644"/>
      <c r="BQ39" s="644"/>
      <c r="BR39" s="644"/>
      <c r="BS39" s="644"/>
      <c r="BT39" s="644"/>
      <c r="BU39" s="644"/>
      <c r="BV39" s="644"/>
      <c r="BW39" s="644"/>
      <c r="BX39" s="644"/>
      <c r="BY39" s="644"/>
      <c r="BZ39" s="644"/>
      <c r="CA39" s="644"/>
      <c r="CB39" s="644"/>
      <c r="CC39" s="644"/>
      <c r="CD39" s="644"/>
      <c r="CE39" s="644"/>
      <c r="CF39" s="644"/>
      <c r="CG39" s="644"/>
      <c r="CH39" s="644"/>
      <c r="CI39" s="644"/>
      <c r="CJ39" s="301" t="s">
        <v>766</v>
      </c>
      <c r="CK39" s="180"/>
      <c r="CL39" s="136"/>
    </row>
    <row r="40" spans="1:90">
      <c r="A40" s="181" t="s">
        <v>128</v>
      </c>
      <c r="B40" s="182">
        <v>1</v>
      </c>
      <c r="C40" s="183"/>
      <c r="D40" s="315">
        <v>1</v>
      </c>
      <c r="E40" s="315"/>
      <c r="F40" s="315"/>
      <c r="G40" s="315"/>
      <c r="H40" s="315"/>
      <c r="I40" s="315">
        <v>1</v>
      </c>
      <c r="J40" s="182"/>
      <c r="K40" s="182"/>
      <c r="L40" s="182">
        <v>1</v>
      </c>
      <c r="M40" s="182"/>
      <c r="N40" s="182"/>
      <c r="O40" s="182">
        <v>1</v>
      </c>
      <c r="P40" s="182"/>
      <c r="Q40" s="182"/>
      <c r="R40" s="182"/>
      <c r="S40" s="182">
        <v>1</v>
      </c>
      <c r="T40" s="320"/>
      <c r="U40" s="302">
        <v>1</v>
      </c>
      <c r="V40" s="182"/>
      <c r="W40" s="182">
        <v>1</v>
      </c>
      <c r="X40" s="182">
        <v>1</v>
      </c>
      <c r="Y40" s="182"/>
      <c r="Z40" s="182"/>
      <c r="AA40" s="182">
        <v>1</v>
      </c>
      <c r="AB40" s="182"/>
      <c r="AC40" s="182"/>
      <c r="AD40" s="182"/>
      <c r="AE40" s="182"/>
      <c r="AF40" s="182"/>
      <c r="AG40" s="182"/>
      <c r="AH40" s="167">
        <v>10</v>
      </c>
      <c r="AI40" s="317" t="s">
        <v>767</v>
      </c>
      <c r="AJ40" s="186">
        <v>42324</v>
      </c>
      <c r="AK40" s="187"/>
      <c r="AL40" s="187">
        <f t="shared" si="13"/>
        <v>0</v>
      </c>
      <c r="AM40" s="187">
        <f t="shared" si="14"/>
        <v>13</v>
      </c>
      <c r="AN40" s="187">
        <f t="shared" si="15"/>
        <v>0</v>
      </c>
      <c r="AO40" s="187">
        <f t="shared" si="16"/>
        <v>0</v>
      </c>
      <c r="AP40" s="187">
        <f t="shared" si="17"/>
        <v>0</v>
      </c>
      <c r="AQ40" s="187">
        <f t="shared" si="18"/>
        <v>0</v>
      </c>
      <c r="AR40" s="187">
        <f t="shared" si="19"/>
        <v>0</v>
      </c>
      <c r="AS40" s="187">
        <f t="shared" si="20"/>
        <v>19</v>
      </c>
      <c r="AT40" s="187">
        <f t="shared" si="21"/>
        <v>13</v>
      </c>
      <c r="AU40" s="187">
        <f t="shared" si="22"/>
        <v>0</v>
      </c>
      <c r="AV40" s="187">
        <f t="shared" si="23"/>
        <v>0</v>
      </c>
      <c r="AW40" s="187">
        <f t="shared" si="24"/>
        <v>8</v>
      </c>
      <c r="AX40" s="187">
        <f t="shared" si="25"/>
        <v>0</v>
      </c>
      <c r="AY40" s="187">
        <f t="shared" si="26"/>
        <v>2</v>
      </c>
      <c r="AZ40" s="187">
        <f t="shared" si="27"/>
        <v>0</v>
      </c>
      <c r="BA40" s="187">
        <f t="shared" si="28"/>
        <v>16</v>
      </c>
      <c r="BB40" s="187">
        <f t="shared" si="29"/>
        <v>13</v>
      </c>
      <c r="BC40" s="187">
        <f t="shared" si="30"/>
        <v>0</v>
      </c>
      <c r="BD40" s="187">
        <f t="shared" si="31"/>
        <v>0</v>
      </c>
      <c r="BE40" s="187">
        <f t="shared" si="32"/>
        <v>6</v>
      </c>
      <c r="BF40" s="187">
        <f t="shared" si="33"/>
        <v>0</v>
      </c>
      <c r="BG40" s="187">
        <f t="shared" si="34"/>
        <v>0</v>
      </c>
      <c r="BH40" s="187">
        <f t="shared" si="35"/>
        <v>0</v>
      </c>
      <c r="BI40" s="187">
        <f t="shared" si="36"/>
        <v>0</v>
      </c>
      <c r="BJ40" s="273">
        <f t="shared" si="37"/>
        <v>90</v>
      </c>
      <c r="BK40" s="167">
        <f t="shared" si="38"/>
        <v>90</v>
      </c>
      <c r="BL40" s="167"/>
      <c r="BM40" s="644"/>
      <c r="BN40" s="644"/>
      <c r="BO40" s="644"/>
      <c r="BP40" s="644"/>
      <c r="BQ40" s="644"/>
      <c r="BR40" s="644"/>
      <c r="BS40" s="644"/>
      <c r="BT40" s="644"/>
      <c r="BU40" s="644"/>
      <c r="BV40" s="644"/>
      <c r="BW40" s="644"/>
      <c r="BX40" s="644"/>
      <c r="BY40" s="644"/>
      <c r="BZ40" s="644"/>
      <c r="CA40" s="644"/>
      <c r="CB40" s="644"/>
      <c r="CC40" s="644"/>
      <c r="CD40" s="644"/>
      <c r="CE40" s="644"/>
      <c r="CF40" s="644"/>
      <c r="CG40" s="644"/>
      <c r="CH40" s="644"/>
      <c r="CI40" s="644"/>
      <c r="CJ40" s="301" t="s">
        <v>768</v>
      </c>
      <c r="CK40" s="180"/>
      <c r="CL40" s="136"/>
    </row>
    <row r="41" spans="1:90">
      <c r="A41" s="181" t="s">
        <v>542</v>
      </c>
      <c r="B41" s="182"/>
      <c r="C41" s="183"/>
      <c r="D41" s="315"/>
      <c r="E41" s="315"/>
      <c r="F41" s="315"/>
      <c r="G41" s="315"/>
      <c r="H41" s="315"/>
      <c r="I41" s="315"/>
      <c r="J41" s="182"/>
      <c r="K41" s="182"/>
      <c r="L41" s="182">
        <v>1</v>
      </c>
      <c r="M41" s="182"/>
      <c r="N41" s="182"/>
      <c r="O41" s="182"/>
      <c r="P41" s="182"/>
      <c r="Q41" s="182"/>
      <c r="R41" s="182"/>
      <c r="S41" s="182"/>
      <c r="T41" s="182">
        <v>1</v>
      </c>
      <c r="U41" s="182"/>
      <c r="V41" s="182"/>
      <c r="W41" s="302">
        <v>1</v>
      </c>
      <c r="X41" s="182"/>
      <c r="Y41" s="182"/>
      <c r="Z41" s="182"/>
      <c r="AA41" s="182"/>
      <c r="AB41" s="182"/>
      <c r="AC41" s="182"/>
      <c r="AD41" s="182"/>
      <c r="AE41" s="182"/>
      <c r="AF41" s="182"/>
      <c r="AG41" s="182"/>
      <c r="AH41" s="167">
        <v>3</v>
      </c>
      <c r="AI41" s="334" t="s">
        <v>760</v>
      </c>
      <c r="AJ41" s="186">
        <v>42373</v>
      </c>
      <c r="AK41" s="187"/>
      <c r="AL41" s="187">
        <f t="shared" si="13"/>
        <v>0</v>
      </c>
      <c r="AM41" s="187">
        <f t="shared" si="14"/>
        <v>0</v>
      </c>
      <c r="AN41" s="187">
        <f t="shared" si="15"/>
        <v>0</v>
      </c>
      <c r="AO41" s="187">
        <f t="shared" si="16"/>
        <v>0</v>
      </c>
      <c r="AP41" s="187">
        <f t="shared" si="17"/>
        <v>0</v>
      </c>
      <c r="AQ41" s="187">
        <f t="shared" si="18"/>
        <v>0</v>
      </c>
      <c r="AR41" s="187">
        <f t="shared" si="19"/>
        <v>0</v>
      </c>
      <c r="AS41" s="187">
        <f t="shared" si="20"/>
        <v>19</v>
      </c>
      <c r="AT41" s="187">
        <f t="shared" si="21"/>
        <v>0</v>
      </c>
      <c r="AU41" s="187">
        <f t="shared" si="22"/>
        <v>0</v>
      </c>
      <c r="AV41" s="187">
        <f t="shared" si="23"/>
        <v>0</v>
      </c>
      <c r="AW41" s="187">
        <f t="shared" si="24"/>
        <v>0</v>
      </c>
      <c r="AX41" s="187">
        <f t="shared" si="25"/>
        <v>4</v>
      </c>
      <c r="AY41" s="187">
        <f t="shared" si="26"/>
        <v>0</v>
      </c>
      <c r="AZ41" s="187">
        <f t="shared" si="27"/>
        <v>0</v>
      </c>
      <c r="BA41" s="187">
        <f t="shared" si="28"/>
        <v>16</v>
      </c>
      <c r="BB41" s="187">
        <f t="shared" si="29"/>
        <v>0</v>
      </c>
      <c r="BC41" s="187">
        <f t="shared" si="30"/>
        <v>0</v>
      </c>
      <c r="BD41" s="187">
        <f t="shared" si="31"/>
        <v>0</v>
      </c>
      <c r="BE41" s="187">
        <f t="shared" si="32"/>
        <v>0</v>
      </c>
      <c r="BF41" s="187">
        <f t="shared" si="33"/>
        <v>0</v>
      </c>
      <c r="BG41" s="187">
        <f t="shared" si="34"/>
        <v>0</v>
      </c>
      <c r="BH41" s="187">
        <f t="shared" si="35"/>
        <v>0</v>
      </c>
      <c r="BI41" s="187">
        <f t="shared" si="36"/>
        <v>0</v>
      </c>
      <c r="BJ41" s="273">
        <f t="shared" si="37"/>
        <v>39</v>
      </c>
      <c r="BK41" s="167">
        <f t="shared" ref="BK41" si="46">BJ41</f>
        <v>39</v>
      </c>
      <c r="BL41" s="167"/>
      <c r="BM41" s="644"/>
      <c r="BN41" s="644"/>
      <c r="BO41" s="644"/>
      <c r="BP41" s="644"/>
      <c r="BQ41" s="644"/>
      <c r="BR41" s="644"/>
      <c r="BS41" s="644"/>
      <c r="BT41" s="644"/>
      <c r="BU41" s="644"/>
      <c r="BV41" s="644"/>
      <c r="BW41" s="644"/>
      <c r="BX41" s="644"/>
      <c r="BY41" s="644"/>
      <c r="BZ41" s="644"/>
      <c r="CA41" s="644"/>
      <c r="CB41" s="644"/>
      <c r="CC41" s="644"/>
      <c r="CD41" s="644"/>
      <c r="CE41" s="644"/>
      <c r="CF41" s="644"/>
      <c r="CG41" s="644"/>
      <c r="CH41" s="644"/>
      <c r="CI41" s="644"/>
      <c r="CJ41" s="301" t="s">
        <v>769</v>
      </c>
      <c r="CK41" s="180"/>
      <c r="CL41" s="136"/>
    </row>
    <row r="42" spans="1:90">
      <c r="A42" s="181" t="s">
        <v>770</v>
      </c>
      <c r="B42" s="182"/>
      <c r="C42" s="183"/>
      <c r="D42" s="302">
        <v>1</v>
      </c>
      <c r="E42" s="315">
        <v>1</v>
      </c>
      <c r="F42" s="315"/>
      <c r="G42" s="315">
        <v>1</v>
      </c>
      <c r="H42" s="315"/>
      <c r="I42" s="315"/>
      <c r="J42" s="182"/>
      <c r="K42" s="182"/>
      <c r="L42" s="182">
        <v>1</v>
      </c>
      <c r="M42" s="182"/>
      <c r="N42" s="182"/>
      <c r="O42" s="182">
        <v>1</v>
      </c>
      <c r="P42" s="182"/>
      <c r="Q42" s="182"/>
      <c r="R42" s="182"/>
      <c r="S42" s="302">
        <v>1</v>
      </c>
      <c r="T42" s="182"/>
      <c r="U42" s="182"/>
      <c r="V42" s="302">
        <v>1</v>
      </c>
      <c r="W42" s="182">
        <v>1</v>
      </c>
      <c r="X42" s="182"/>
      <c r="Y42" s="182"/>
      <c r="Z42" s="182"/>
      <c r="AA42" s="182">
        <v>1</v>
      </c>
      <c r="AB42" s="302">
        <v>1</v>
      </c>
      <c r="AC42" s="182"/>
      <c r="AD42" s="182"/>
      <c r="AE42" s="182"/>
      <c r="AF42" s="182"/>
      <c r="AG42" s="182"/>
      <c r="AH42" s="167">
        <v>10</v>
      </c>
      <c r="AI42" s="317" t="s">
        <v>113</v>
      </c>
      <c r="AJ42" s="186">
        <v>42333</v>
      </c>
      <c r="AK42" s="187"/>
      <c r="AL42" s="187">
        <f t="shared" si="13"/>
        <v>0</v>
      </c>
      <c r="AM42" s="187">
        <f t="shared" si="14"/>
        <v>13</v>
      </c>
      <c r="AN42" s="187">
        <f t="shared" si="15"/>
        <v>8</v>
      </c>
      <c r="AO42" s="187">
        <f t="shared" si="16"/>
        <v>8</v>
      </c>
      <c r="AP42" s="187">
        <f t="shared" si="17"/>
        <v>0</v>
      </c>
      <c r="AQ42" s="187">
        <f t="shared" si="18"/>
        <v>0</v>
      </c>
      <c r="AR42" s="187">
        <f t="shared" si="19"/>
        <v>0</v>
      </c>
      <c r="AS42" s="187">
        <f t="shared" si="20"/>
        <v>19</v>
      </c>
      <c r="AT42" s="187">
        <f t="shared" si="21"/>
        <v>13</v>
      </c>
      <c r="AU42" s="187">
        <f t="shared" si="22"/>
        <v>0</v>
      </c>
      <c r="AV42" s="187">
        <f t="shared" si="23"/>
        <v>0</v>
      </c>
      <c r="AW42" s="187">
        <f t="shared" si="24"/>
        <v>8</v>
      </c>
      <c r="AX42" s="187">
        <f t="shared" si="25"/>
        <v>0</v>
      </c>
      <c r="AY42" s="187">
        <f t="shared" si="26"/>
        <v>0</v>
      </c>
      <c r="AZ42" s="187">
        <f t="shared" si="27"/>
        <v>8</v>
      </c>
      <c r="BA42" s="187">
        <f t="shared" si="28"/>
        <v>16</v>
      </c>
      <c r="BB42" s="187">
        <f t="shared" si="29"/>
        <v>0</v>
      </c>
      <c r="BC42" s="187">
        <f t="shared" si="30"/>
        <v>0</v>
      </c>
      <c r="BD42" s="187">
        <f t="shared" si="31"/>
        <v>0</v>
      </c>
      <c r="BE42" s="187">
        <f t="shared" si="32"/>
        <v>6</v>
      </c>
      <c r="BF42" s="187">
        <f t="shared" si="33"/>
        <v>1</v>
      </c>
      <c r="BG42" s="187">
        <f t="shared" si="34"/>
        <v>0</v>
      </c>
      <c r="BH42" s="187">
        <f t="shared" si="35"/>
        <v>0</v>
      </c>
      <c r="BI42" s="187">
        <f t="shared" si="36"/>
        <v>0</v>
      </c>
      <c r="BJ42" s="273">
        <f t="shared" si="37"/>
        <v>93</v>
      </c>
      <c r="BK42" s="167">
        <f t="shared" si="38"/>
        <v>93</v>
      </c>
      <c r="BL42" s="167"/>
      <c r="BM42" s="644"/>
      <c r="BN42" s="644"/>
      <c r="BO42" s="644"/>
      <c r="BP42" s="644"/>
      <c r="BQ42" s="644"/>
      <c r="BR42" s="644"/>
      <c r="BS42" s="644"/>
      <c r="BT42" s="644"/>
      <c r="BU42" s="644"/>
      <c r="BV42" s="644"/>
      <c r="BW42" s="644"/>
      <c r="BX42" s="644"/>
      <c r="BY42" s="644"/>
      <c r="BZ42" s="644"/>
      <c r="CA42" s="644"/>
      <c r="CB42" s="644"/>
      <c r="CC42" s="644"/>
      <c r="CD42" s="644"/>
      <c r="CE42" s="644"/>
      <c r="CF42" s="644"/>
      <c r="CG42" s="644"/>
      <c r="CH42" s="644"/>
      <c r="CI42" s="644"/>
      <c r="CJ42" s="301" t="s">
        <v>771</v>
      </c>
      <c r="CK42" s="180"/>
      <c r="CL42" s="136"/>
    </row>
    <row r="43" spans="1:90" s="344" customFormat="1">
      <c r="A43" s="335" t="s">
        <v>544</v>
      </c>
      <c r="B43" s="182"/>
      <c r="C43" s="183"/>
      <c r="D43" s="302">
        <v>1</v>
      </c>
      <c r="E43" s="182"/>
      <c r="F43" s="182"/>
      <c r="G43" s="182"/>
      <c r="H43" s="182"/>
      <c r="I43" s="182"/>
      <c r="J43" s="182"/>
      <c r="K43" s="182"/>
      <c r="L43" s="182">
        <v>1</v>
      </c>
      <c r="M43" s="182"/>
      <c r="N43" s="182"/>
      <c r="O43" s="182">
        <v>1</v>
      </c>
      <c r="P43" s="182"/>
      <c r="Q43" s="182"/>
      <c r="R43" s="182"/>
      <c r="S43" s="302">
        <v>1</v>
      </c>
      <c r="T43" s="182"/>
      <c r="U43" s="182"/>
      <c r="V43" s="182">
        <v>1</v>
      </c>
      <c r="W43" s="182">
        <v>1</v>
      </c>
      <c r="X43" s="182">
        <v>1</v>
      </c>
      <c r="Y43" s="182">
        <v>1</v>
      </c>
      <c r="Z43" s="182"/>
      <c r="AA43" s="182"/>
      <c r="AB43" s="182"/>
      <c r="AC43" s="182"/>
      <c r="AD43" s="182">
        <v>1</v>
      </c>
      <c r="AE43" s="182"/>
      <c r="AF43" s="182"/>
      <c r="AG43" s="182"/>
      <c r="AH43" s="339">
        <v>9</v>
      </c>
      <c r="AI43" s="300" t="s">
        <v>772</v>
      </c>
      <c r="AJ43" s="341">
        <v>42374</v>
      </c>
      <c r="AK43" s="187"/>
      <c r="AL43" s="187">
        <f t="shared" si="13"/>
        <v>0</v>
      </c>
      <c r="AM43" s="187">
        <f t="shared" si="14"/>
        <v>13</v>
      </c>
      <c r="AN43" s="187">
        <f t="shared" si="15"/>
        <v>0</v>
      </c>
      <c r="AO43" s="187">
        <f t="shared" si="16"/>
        <v>0</v>
      </c>
      <c r="AP43" s="187">
        <f t="shared" si="17"/>
        <v>0</v>
      </c>
      <c r="AQ43" s="187">
        <f t="shared" si="18"/>
        <v>0</v>
      </c>
      <c r="AR43" s="187">
        <f t="shared" si="19"/>
        <v>0</v>
      </c>
      <c r="AS43" s="187">
        <f t="shared" si="20"/>
        <v>19</v>
      </c>
      <c r="AT43" s="187">
        <f t="shared" si="21"/>
        <v>13</v>
      </c>
      <c r="AU43" s="187">
        <f t="shared" si="22"/>
        <v>0</v>
      </c>
      <c r="AV43" s="187">
        <f t="shared" si="23"/>
        <v>0</v>
      </c>
      <c r="AW43" s="187">
        <f t="shared" si="24"/>
        <v>8</v>
      </c>
      <c r="AX43" s="187">
        <f t="shared" si="25"/>
        <v>0</v>
      </c>
      <c r="AY43" s="187">
        <f t="shared" si="26"/>
        <v>0</v>
      </c>
      <c r="AZ43" s="187">
        <f t="shared" si="27"/>
        <v>8</v>
      </c>
      <c r="BA43" s="187">
        <f t="shared" si="28"/>
        <v>16</v>
      </c>
      <c r="BB43" s="187">
        <f t="shared" si="29"/>
        <v>13</v>
      </c>
      <c r="BC43" s="187">
        <f t="shared" si="30"/>
        <v>10</v>
      </c>
      <c r="BD43" s="187">
        <f t="shared" si="31"/>
        <v>0</v>
      </c>
      <c r="BE43" s="187">
        <f t="shared" si="32"/>
        <v>0</v>
      </c>
      <c r="BF43" s="187">
        <f t="shared" si="33"/>
        <v>0</v>
      </c>
      <c r="BG43" s="187">
        <f t="shared" si="34"/>
        <v>8</v>
      </c>
      <c r="BH43" s="187">
        <f t="shared" si="35"/>
        <v>0</v>
      </c>
      <c r="BI43" s="187">
        <f t="shared" si="36"/>
        <v>0</v>
      </c>
      <c r="BJ43" s="273">
        <f t="shared" si="37"/>
        <v>100</v>
      </c>
      <c r="BK43" s="167">
        <f t="shared" ref="BK43" si="47">BJ43</f>
        <v>100</v>
      </c>
      <c r="BL43" s="167"/>
      <c r="BM43" s="644"/>
      <c r="BN43" s="644"/>
      <c r="BO43" s="644"/>
      <c r="BP43" s="644"/>
      <c r="BQ43" s="644"/>
      <c r="BR43" s="644"/>
      <c r="BS43" s="644"/>
      <c r="BT43" s="644"/>
      <c r="BU43" s="644"/>
      <c r="BV43" s="644"/>
      <c r="BW43" s="644"/>
      <c r="BX43" s="644"/>
      <c r="BY43" s="644"/>
      <c r="BZ43" s="644"/>
      <c r="CA43" s="644"/>
      <c r="CB43" s="644"/>
      <c r="CC43" s="644"/>
      <c r="CD43" s="644"/>
      <c r="CE43" s="644"/>
      <c r="CF43" s="644"/>
      <c r="CG43" s="644"/>
      <c r="CH43" s="644"/>
      <c r="CI43" s="644"/>
      <c r="CJ43" s="301" t="s">
        <v>766</v>
      </c>
      <c r="CK43" s="342"/>
      <c r="CL43" s="343"/>
    </row>
    <row r="44" spans="1:90">
      <c r="A44" s="181" t="s">
        <v>132</v>
      </c>
      <c r="B44" s="182"/>
      <c r="C44" s="183"/>
      <c r="D44" s="182"/>
      <c r="E44" s="182">
        <v>1</v>
      </c>
      <c r="F44" s="182"/>
      <c r="G44" s="182">
        <v>1</v>
      </c>
      <c r="H44" s="182"/>
      <c r="I44" s="182"/>
      <c r="J44" s="182"/>
      <c r="K44" s="182"/>
      <c r="L44" s="182">
        <v>1</v>
      </c>
      <c r="M44" s="182"/>
      <c r="N44" s="182"/>
      <c r="O44" s="182"/>
      <c r="P44" s="182"/>
      <c r="Q44" s="182"/>
      <c r="R44" s="182"/>
      <c r="S44" s="182"/>
      <c r="T44" s="182"/>
      <c r="U44" s="182">
        <v>1</v>
      </c>
      <c r="V44" s="182"/>
      <c r="W44" s="182">
        <v>1</v>
      </c>
      <c r="X44" s="182"/>
      <c r="Y44" s="182">
        <v>1</v>
      </c>
      <c r="Z44" s="182"/>
      <c r="AA44" s="182"/>
      <c r="AB44" s="302">
        <v>1</v>
      </c>
      <c r="AC44" s="182"/>
      <c r="AD44" s="182"/>
      <c r="AE44" s="182"/>
      <c r="AF44" s="182"/>
      <c r="AG44" s="182"/>
      <c r="AH44" s="167">
        <v>7</v>
      </c>
      <c r="AI44" s="300" t="s">
        <v>773</v>
      </c>
      <c r="AJ44" s="186">
        <v>42353</v>
      </c>
      <c r="AK44" s="187"/>
      <c r="AL44" s="187">
        <f t="shared" si="13"/>
        <v>0</v>
      </c>
      <c r="AM44" s="187">
        <f t="shared" si="14"/>
        <v>0</v>
      </c>
      <c r="AN44" s="187">
        <f t="shared" si="15"/>
        <v>8</v>
      </c>
      <c r="AO44" s="187">
        <f t="shared" si="16"/>
        <v>8</v>
      </c>
      <c r="AP44" s="187">
        <f t="shared" si="17"/>
        <v>0</v>
      </c>
      <c r="AQ44" s="187">
        <f t="shared" si="18"/>
        <v>0</v>
      </c>
      <c r="AR44" s="187">
        <f t="shared" si="19"/>
        <v>0</v>
      </c>
      <c r="AS44" s="187">
        <f t="shared" si="20"/>
        <v>19</v>
      </c>
      <c r="AT44" s="187">
        <f t="shared" si="21"/>
        <v>0</v>
      </c>
      <c r="AU44" s="187">
        <f t="shared" si="22"/>
        <v>0</v>
      </c>
      <c r="AV44" s="187">
        <f t="shared" si="23"/>
        <v>0</v>
      </c>
      <c r="AW44" s="187">
        <f t="shared" si="24"/>
        <v>0</v>
      </c>
      <c r="AX44" s="187">
        <f t="shared" si="25"/>
        <v>0</v>
      </c>
      <c r="AY44" s="187">
        <f t="shared" si="26"/>
        <v>2</v>
      </c>
      <c r="AZ44" s="187">
        <f t="shared" si="27"/>
        <v>0</v>
      </c>
      <c r="BA44" s="187">
        <f t="shared" si="28"/>
        <v>16</v>
      </c>
      <c r="BB44" s="187">
        <f t="shared" si="29"/>
        <v>0</v>
      </c>
      <c r="BC44" s="187">
        <f t="shared" si="30"/>
        <v>10</v>
      </c>
      <c r="BD44" s="187">
        <f t="shared" si="31"/>
        <v>0</v>
      </c>
      <c r="BE44" s="187">
        <f t="shared" si="32"/>
        <v>0</v>
      </c>
      <c r="BF44" s="187">
        <f t="shared" si="33"/>
        <v>1</v>
      </c>
      <c r="BG44" s="187">
        <f t="shared" si="34"/>
        <v>0</v>
      </c>
      <c r="BH44" s="187">
        <f t="shared" si="35"/>
        <v>0</v>
      </c>
      <c r="BI44" s="187">
        <f t="shared" si="36"/>
        <v>0</v>
      </c>
      <c r="BJ44" s="273">
        <f t="shared" si="37"/>
        <v>64</v>
      </c>
      <c r="BK44" s="167">
        <f t="shared" si="38"/>
        <v>64</v>
      </c>
      <c r="BL44" s="167"/>
      <c r="BM44" s="644"/>
      <c r="BN44" s="644"/>
      <c r="BO44" s="644"/>
      <c r="BP44" s="644"/>
      <c r="BQ44" s="644"/>
      <c r="BR44" s="644"/>
      <c r="BS44" s="644"/>
      <c r="BT44" s="644"/>
      <c r="BU44" s="644"/>
      <c r="BV44" s="644"/>
      <c r="BW44" s="644"/>
      <c r="BX44" s="644"/>
      <c r="BY44" s="644"/>
      <c r="BZ44" s="644"/>
      <c r="CA44" s="644"/>
      <c r="CB44" s="644"/>
      <c r="CC44" s="644"/>
      <c r="CD44" s="644"/>
      <c r="CE44" s="644"/>
      <c r="CF44" s="644"/>
      <c r="CG44" s="644"/>
      <c r="CH44" s="644"/>
      <c r="CI44" s="644"/>
      <c r="CJ44" s="301" t="s">
        <v>740</v>
      </c>
      <c r="CK44" s="180"/>
      <c r="CL44" s="136"/>
    </row>
    <row r="45" spans="1:90">
      <c r="A45" s="181" t="s">
        <v>133</v>
      </c>
      <c r="B45" s="182"/>
      <c r="C45" s="183"/>
      <c r="D45" s="182">
        <v>1</v>
      </c>
      <c r="E45" s="182"/>
      <c r="F45" s="182"/>
      <c r="G45" s="182"/>
      <c r="H45" s="182"/>
      <c r="I45" s="182"/>
      <c r="J45" s="182"/>
      <c r="K45" s="182"/>
      <c r="L45" s="182">
        <v>1</v>
      </c>
      <c r="M45" s="182"/>
      <c r="N45" s="182"/>
      <c r="O45" s="182"/>
      <c r="P45" s="182"/>
      <c r="Q45" s="182">
        <v>1</v>
      </c>
      <c r="R45" s="182"/>
      <c r="S45" s="182">
        <v>1</v>
      </c>
      <c r="T45" s="182">
        <v>1</v>
      </c>
      <c r="U45" s="182"/>
      <c r="V45" s="182"/>
      <c r="W45" s="182">
        <v>1</v>
      </c>
      <c r="X45" s="182">
        <v>1</v>
      </c>
      <c r="Y45" s="182">
        <v>1</v>
      </c>
      <c r="Z45" s="182"/>
      <c r="AA45" s="182"/>
      <c r="AB45" s="182"/>
      <c r="AC45" s="182"/>
      <c r="AD45" s="182"/>
      <c r="AE45" s="182"/>
      <c r="AF45" s="182"/>
      <c r="AG45" s="182"/>
      <c r="AH45" s="167">
        <v>8</v>
      </c>
      <c r="AI45" s="300" t="s">
        <v>774</v>
      </c>
      <c r="AJ45" s="186">
        <v>42356</v>
      </c>
      <c r="AK45" s="187"/>
      <c r="AL45" s="187">
        <f t="shared" si="13"/>
        <v>0</v>
      </c>
      <c r="AM45" s="187">
        <f t="shared" si="14"/>
        <v>13</v>
      </c>
      <c r="AN45" s="187">
        <f t="shared" si="15"/>
        <v>0</v>
      </c>
      <c r="AO45" s="187">
        <f t="shared" si="16"/>
        <v>0</v>
      </c>
      <c r="AP45" s="187">
        <f t="shared" si="17"/>
        <v>0</v>
      </c>
      <c r="AQ45" s="187">
        <f t="shared" si="18"/>
        <v>0</v>
      </c>
      <c r="AR45" s="187">
        <f t="shared" si="19"/>
        <v>0</v>
      </c>
      <c r="AS45" s="187">
        <f t="shared" si="20"/>
        <v>19</v>
      </c>
      <c r="AT45" s="187">
        <f t="shared" si="21"/>
        <v>0</v>
      </c>
      <c r="AU45" s="187">
        <f t="shared" si="22"/>
        <v>0</v>
      </c>
      <c r="AV45" s="187">
        <f t="shared" si="23"/>
        <v>3</v>
      </c>
      <c r="AW45" s="187">
        <f t="shared" si="24"/>
        <v>8</v>
      </c>
      <c r="AX45" s="187">
        <f t="shared" si="25"/>
        <v>4</v>
      </c>
      <c r="AY45" s="187">
        <f t="shared" si="26"/>
        <v>0</v>
      </c>
      <c r="AZ45" s="187">
        <f t="shared" si="27"/>
        <v>0</v>
      </c>
      <c r="BA45" s="187">
        <f t="shared" si="28"/>
        <v>16</v>
      </c>
      <c r="BB45" s="187">
        <f t="shared" si="29"/>
        <v>13</v>
      </c>
      <c r="BC45" s="187">
        <f t="shared" si="30"/>
        <v>10</v>
      </c>
      <c r="BD45" s="187">
        <f t="shared" si="31"/>
        <v>0</v>
      </c>
      <c r="BE45" s="187">
        <f t="shared" si="32"/>
        <v>0</v>
      </c>
      <c r="BF45" s="187">
        <f t="shared" si="33"/>
        <v>0</v>
      </c>
      <c r="BG45" s="187">
        <f t="shared" si="34"/>
        <v>0</v>
      </c>
      <c r="BH45" s="187">
        <f t="shared" si="35"/>
        <v>0</v>
      </c>
      <c r="BI45" s="187">
        <f t="shared" si="36"/>
        <v>0</v>
      </c>
      <c r="BJ45" s="273">
        <f t="shared" si="37"/>
        <v>86</v>
      </c>
      <c r="BK45" s="167">
        <f t="shared" si="38"/>
        <v>86</v>
      </c>
      <c r="BL45" s="167"/>
      <c r="BM45" s="644"/>
      <c r="BN45" s="644"/>
      <c r="BO45" s="644"/>
      <c r="BP45" s="644"/>
      <c r="BQ45" s="644"/>
      <c r="BR45" s="644"/>
      <c r="BS45" s="644"/>
      <c r="BT45" s="644"/>
      <c r="BU45" s="644"/>
      <c r="BV45" s="644"/>
      <c r="BW45" s="644"/>
      <c r="BX45" s="644"/>
      <c r="BY45" s="644"/>
      <c r="BZ45" s="644"/>
      <c r="CA45" s="644"/>
      <c r="CB45" s="644"/>
      <c r="CC45" s="644"/>
      <c r="CD45" s="644"/>
      <c r="CE45" s="644"/>
      <c r="CF45" s="644"/>
      <c r="CG45" s="644"/>
      <c r="CH45" s="644"/>
      <c r="CI45" s="644"/>
      <c r="CJ45" s="301" t="s">
        <v>771</v>
      </c>
      <c r="CK45" s="180"/>
      <c r="CL45" s="136"/>
    </row>
    <row r="46" spans="1:90">
      <c r="A46" s="181" t="s">
        <v>137</v>
      </c>
      <c r="B46" s="182"/>
      <c r="C46" s="183"/>
      <c r="D46" s="182">
        <v>1</v>
      </c>
      <c r="E46" s="182">
        <v>1</v>
      </c>
      <c r="F46" s="182"/>
      <c r="G46" s="182">
        <v>1</v>
      </c>
      <c r="H46" s="182"/>
      <c r="I46" s="182"/>
      <c r="J46" s="182"/>
      <c r="K46" s="182"/>
      <c r="L46" s="182">
        <v>1</v>
      </c>
      <c r="M46" s="182"/>
      <c r="N46" s="182"/>
      <c r="O46" s="182"/>
      <c r="P46" s="182"/>
      <c r="Q46" s="182"/>
      <c r="R46" s="182"/>
      <c r="S46" s="182">
        <v>1</v>
      </c>
      <c r="T46" s="182"/>
      <c r="U46" s="182"/>
      <c r="V46" s="302">
        <v>1</v>
      </c>
      <c r="W46" s="182">
        <v>1</v>
      </c>
      <c r="X46" s="182">
        <v>1</v>
      </c>
      <c r="Y46" s="182">
        <v>1</v>
      </c>
      <c r="Z46" s="182"/>
      <c r="AA46" s="182"/>
      <c r="AB46" s="182"/>
      <c r="AC46" s="182"/>
      <c r="AD46" s="302">
        <v>1</v>
      </c>
      <c r="AE46" s="182"/>
      <c r="AF46" s="182"/>
      <c r="AG46" s="182"/>
      <c r="AH46" s="167">
        <v>10</v>
      </c>
      <c r="AI46" s="300" t="s">
        <v>775</v>
      </c>
      <c r="AJ46" s="186">
        <v>42374</v>
      </c>
      <c r="AK46" s="187"/>
      <c r="AL46" s="187">
        <f t="shared" si="13"/>
        <v>0</v>
      </c>
      <c r="AM46" s="187">
        <f t="shared" si="14"/>
        <v>13</v>
      </c>
      <c r="AN46" s="187">
        <f t="shared" si="15"/>
        <v>8</v>
      </c>
      <c r="AO46" s="187">
        <f t="shared" si="16"/>
        <v>8</v>
      </c>
      <c r="AP46" s="187">
        <f t="shared" si="17"/>
        <v>0</v>
      </c>
      <c r="AQ46" s="187">
        <f t="shared" si="18"/>
        <v>0</v>
      </c>
      <c r="AR46" s="187">
        <f t="shared" si="19"/>
        <v>0</v>
      </c>
      <c r="AS46" s="187">
        <f t="shared" si="20"/>
        <v>19</v>
      </c>
      <c r="AT46" s="187">
        <f t="shared" si="21"/>
        <v>0</v>
      </c>
      <c r="AU46" s="187">
        <f t="shared" si="22"/>
        <v>0</v>
      </c>
      <c r="AV46" s="187">
        <f t="shared" si="23"/>
        <v>0</v>
      </c>
      <c r="AW46" s="187">
        <f t="shared" si="24"/>
        <v>8</v>
      </c>
      <c r="AX46" s="187">
        <f t="shared" si="25"/>
        <v>0</v>
      </c>
      <c r="AY46" s="187">
        <f t="shared" si="26"/>
        <v>0</v>
      </c>
      <c r="AZ46" s="187">
        <f t="shared" si="27"/>
        <v>8</v>
      </c>
      <c r="BA46" s="187">
        <f t="shared" si="28"/>
        <v>16</v>
      </c>
      <c r="BB46" s="187">
        <f t="shared" si="29"/>
        <v>13</v>
      </c>
      <c r="BC46" s="187">
        <f t="shared" si="30"/>
        <v>10</v>
      </c>
      <c r="BD46" s="187">
        <f t="shared" si="31"/>
        <v>0</v>
      </c>
      <c r="BE46" s="187">
        <f t="shared" si="32"/>
        <v>0</v>
      </c>
      <c r="BF46" s="187">
        <f t="shared" si="33"/>
        <v>0</v>
      </c>
      <c r="BG46" s="187">
        <f t="shared" si="34"/>
        <v>8</v>
      </c>
      <c r="BH46" s="187">
        <f t="shared" si="35"/>
        <v>0</v>
      </c>
      <c r="BI46" s="187">
        <f t="shared" si="36"/>
        <v>0</v>
      </c>
      <c r="BJ46" s="273">
        <f t="shared" si="37"/>
        <v>95</v>
      </c>
      <c r="BK46" s="167">
        <f t="shared" ref="BK46" si="48">BJ46</f>
        <v>95</v>
      </c>
      <c r="BL46" s="167"/>
      <c r="BM46" s="644"/>
      <c r="BN46" s="644"/>
      <c r="BO46" s="644"/>
      <c r="BP46" s="644"/>
      <c r="BQ46" s="644"/>
      <c r="BR46" s="644"/>
      <c r="BS46" s="644"/>
      <c r="BT46" s="644"/>
      <c r="BU46" s="644"/>
      <c r="BV46" s="644"/>
      <c r="BW46" s="644"/>
      <c r="BX46" s="644"/>
      <c r="BY46" s="644"/>
      <c r="BZ46" s="644"/>
      <c r="CA46" s="644"/>
      <c r="CB46" s="644"/>
      <c r="CC46" s="644"/>
      <c r="CD46" s="644"/>
      <c r="CE46" s="644"/>
      <c r="CF46" s="644"/>
      <c r="CG46" s="644"/>
      <c r="CH46" s="644"/>
      <c r="CI46" s="644"/>
      <c r="CJ46" s="301" t="s">
        <v>752</v>
      </c>
      <c r="CK46" s="180"/>
      <c r="CL46" s="136"/>
    </row>
    <row r="47" spans="1:90">
      <c r="A47" s="331" t="s">
        <v>776</v>
      </c>
      <c r="B47" s="182"/>
      <c r="C47" s="183"/>
      <c r="D47" s="182">
        <v>1</v>
      </c>
      <c r="E47" s="182">
        <v>1</v>
      </c>
      <c r="F47" s="182"/>
      <c r="G47" s="182">
        <v>1</v>
      </c>
      <c r="H47" s="182"/>
      <c r="I47" s="182"/>
      <c r="J47" s="182"/>
      <c r="K47" s="182"/>
      <c r="L47" s="182">
        <v>1</v>
      </c>
      <c r="M47" s="182"/>
      <c r="N47" s="182"/>
      <c r="O47" s="182"/>
      <c r="P47" s="182"/>
      <c r="Q47" s="182"/>
      <c r="R47" s="182"/>
      <c r="S47" s="182"/>
      <c r="T47" s="182"/>
      <c r="U47" s="182">
        <v>1</v>
      </c>
      <c r="V47" s="182">
        <v>1</v>
      </c>
      <c r="W47" s="182">
        <v>1</v>
      </c>
      <c r="X47" s="182">
        <v>1</v>
      </c>
      <c r="Y47" s="182">
        <v>1</v>
      </c>
      <c r="Z47" s="182"/>
      <c r="AA47" s="182"/>
      <c r="AB47" s="182"/>
      <c r="AC47" s="182"/>
      <c r="AD47" s="182"/>
      <c r="AE47" s="182"/>
      <c r="AF47" s="182"/>
      <c r="AG47" s="182"/>
      <c r="AH47" s="167">
        <v>9</v>
      </c>
      <c r="AI47" s="300" t="s">
        <v>777</v>
      </c>
      <c r="AJ47" s="186">
        <v>42356</v>
      </c>
      <c r="AK47" s="187"/>
      <c r="AL47" s="187">
        <f t="shared" si="13"/>
        <v>0</v>
      </c>
      <c r="AM47" s="187">
        <f t="shared" si="14"/>
        <v>13</v>
      </c>
      <c r="AN47" s="187">
        <f t="shared" si="15"/>
        <v>8</v>
      </c>
      <c r="AO47" s="187">
        <f t="shared" si="16"/>
        <v>8</v>
      </c>
      <c r="AP47" s="187">
        <f t="shared" si="17"/>
        <v>0</v>
      </c>
      <c r="AQ47" s="187">
        <f t="shared" si="18"/>
        <v>0</v>
      </c>
      <c r="AR47" s="187">
        <f t="shared" si="19"/>
        <v>0</v>
      </c>
      <c r="AS47" s="187">
        <f t="shared" si="20"/>
        <v>19</v>
      </c>
      <c r="AT47" s="187">
        <f t="shared" si="21"/>
        <v>0</v>
      </c>
      <c r="AU47" s="187">
        <f t="shared" si="22"/>
        <v>0</v>
      </c>
      <c r="AV47" s="187">
        <f t="shared" si="23"/>
        <v>0</v>
      </c>
      <c r="AW47" s="187">
        <f t="shared" si="24"/>
        <v>0</v>
      </c>
      <c r="AX47" s="187">
        <f t="shared" si="25"/>
        <v>0</v>
      </c>
      <c r="AY47" s="187">
        <f t="shared" si="26"/>
        <v>2</v>
      </c>
      <c r="AZ47" s="187">
        <f t="shared" si="27"/>
        <v>8</v>
      </c>
      <c r="BA47" s="187">
        <f t="shared" si="28"/>
        <v>16</v>
      </c>
      <c r="BB47" s="187">
        <f t="shared" si="29"/>
        <v>13</v>
      </c>
      <c r="BC47" s="187">
        <f t="shared" si="30"/>
        <v>10</v>
      </c>
      <c r="BD47" s="187">
        <f t="shared" si="31"/>
        <v>0</v>
      </c>
      <c r="BE47" s="187">
        <f t="shared" si="32"/>
        <v>0</v>
      </c>
      <c r="BF47" s="187">
        <f t="shared" si="33"/>
        <v>0</v>
      </c>
      <c r="BG47" s="187">
        <f t="shared" si="34"/>
        <v>0</v>
      </c>
      <c r="BH47" s="187">
        <f t="shared" si="35"/>
        <v>0</v>
      </c>
      <c r="BI47" s="187">
        <f t="shared" si="36"/>
        <v>0</v>
      </c>
      <c r="BJ47" s="273">
        <f t="shared" si="37"/>
        <v>95</v>
      </c>
      <c r="BK47" s="167">
        <f t="shared" si="38"/>
        <v>95</v>
      </c>
      <c r="BL47" s="167"/>
      <c r="BM47" s="644"/>
      <c r="BN47" s="644"/>
      <c r="BO47" s="644"/>
      <c r="BP47" s="644"/>
      <c r="BQ47" s="644"/>
      <c r="BR47" s="644"/>
      <c r="BS47" s="644"/>
      <c r="BT47" s="644"/>
      <c r="BU47" s="644"/>
      <c r="BV47" s="644"/>
      <c r="BW47" s="644"/>
      <c r="BX47" s="644"/>
      <c r="BY47" s="644"/>
      <c r="BZ47" s="644"/>
      <c r="CA47" s="644"/>
      <c r="CB47" s="644"/>
      <c r="CC47" s="644"/>
      <c r="CD47" s="644"/>
      <c r="CE47" s="644"/>
      <c r="CF47" s="644"/>
      <c r="CG47" s="644"/>
      <c r="CH47" s="644"/>
      <c r="CI47" s="644"/>
      <c r="CJ47" s="301" t="s">
        <v>771</v>
      </c>
      <c r="CK47" s="180"/>
      <c r="CL47" s="136"/>
    </row>
    <row r="48" spans="1:90">
      <c r="A48" s="181" t="s">
        <v>140</v>
      </c>
      <c r="B48" s="182"/>
      <c r="C48" s="183"/>
      <c r="D48" s="182">
        <v>1</v>
      </c>
      <c r="E48" s="182"/>
      <c r="F48" s="182"/>
      <c r="G48" s="182"/>
      <c r="H48" s="182"/>
      <c r="I48" s="182"/>
      <c r="J48" s="182"/>
      <c r="K48" s="182"/>
      <c r="L48" s="182">
        <v>1</v>
      </c>
      <c r="M48" s="182"/>
      <c r="N48" s="182"/>
      <c r="O48" s="182">
        <v>1</v>
      </c>
      <c r="P48" s="182"/>
      <c r="Q48" s="182"/>
      <c r="R48" s="182"/>
      <c r="S48" s="182">
        <v>1</v>
      </c>
      <c r="T48" s="182"/>
      <c r="U48" s="182"/>
      <c r="V48" s="182"/>
      <c r="W48" s="182">
        <v>1</v>
      </c>
      <c r="X48" s="182">
        <v>1</v>
      </c>
      <c r="Y48" s="302">
        <v>1</v>
      </c>
      <c r="Z48" s="182"/>
      <c r="AA48" s="182"/>
      <c r="AB48" s="182"/>
      <c r="AC48" s="182"/>
      <c r="AD48" s="182"/>
      <c r="AE48" s="182"/>
      <c r="AF48" s="182"/>
      <c r="AG48" s="182"/>
      <c r="AH48" s="167">
        <v>7</v>
      </c>
      <c r="AI48" s="317" t="s">
        <v>113</v>
      </c>
      <c r="AJ48" s="186">
        <v>42339</v>
      </c>
      <c r="AK48" s="187"/>
      <c r="AL48" s="187">
        <f t="shared" si="13"/>
        <v>0</v>
      </c>
      <c r="AM48" s="187">
        <f t="shared" si="14"/>
        <v>13</v>
      </c>
      <c r="AN48" s="187">
        <f t="shared" si="15"/>
        <v>0</v>
      </c>
      <c r="AO48" s="187">
        <f t="shared" si="16"/>
        <v>0</v>
      </c>
      <c r="AP48" s="187">
        <f t="shared" si="17"/>
        <v>0</v>
      </c>
      <c r="AQ48" s="187">
        <f t="shared" si="18"/>
        <v>0</v>
      </c>
      <c r="AR48" s="187">
        <f t="shared" si="19"/>
        <v>0</v>
      </c>
      <c r="AS48" s="187">
        <f t="shared" si="20"/>
        <v>19</v>
      </c>
      <c r="AT48" s="187">
        <f t="shared" si="21"/>
        <v>13</v>
      </c>
      <c r="AU48" s="187">
        <f t="shared" si="22"/>
        <v>0</v>
      </c>
      <c r="AV48" s="187">
        <f t="shared" si="23"/>
        <v>0</v>
      </c>
      <c r="AW48" s="187">
        <f t="shared" si="24"/>
        <v>8</v>
      </c>
      <c r="AX48" s="187">
        <f t="shared" si="25"/>
        <v>0</v>
      </c>
      <c r="AY48" s="187">
        <f t="shared" si="26"/>
        <v>0</v>
      </c>
      <c r="AZ48" s="187">
        <f t="shared" si="27"/>
        <v>0</v>
      </c>
      <c r="BA48" s="187">
        <f t="shared" si="28"/>
        <v>16</v>
      </c>
      <c r="BB48" s="187">
        <f t="shared" si="29"/>
        <v>13</v>
      </c>
      <c r="BC48" s="187">
        <f t="shared" si="30"/>
        <v>10</v>
      </c>
      <c r="BD48" s="187">
        <f t="shared" si="31"/>
        <v>0</v>
      </c>
      <c r="BE48" s="187">
        <f t="shared" si="32"/>
        <v>0</v>
      </c>
      <c r="BF48" s="187">
        <f t="shared" si="33"/>
        <v>0</v>
      </c>
      <c r="BG48" s="187">
        <f t="shared" si="34"/>
        <v>0</v>
      </c>
      <c r="BH48" s="187">
        <f t="shared" si="35"/>
        <v>0</v>
      </c>
      <c r="BI48" s="187">
        <f t="shared" si="36"/>
        <v>0</v>
      </c>
      <c r="BJ48" s="273">
        <f t="shared" si="37"/>
        <v>92</v>
      </c>
      <c r="BK48" s="167">
        <f t="shared" si="38"/>
        <v>92</v>
      </c>
      <c r="BL48" s="167"/>
      <c r="BM48" s="644"/>
      <c r="BN48" s="644"/>
      <c r="BO48" s="644"/>
      <c r="BP48" s="644"/>
      <c r="BQ48" s="644"/>
      <c r="BR48" s="644"/>
      <c r="BS48" s="644"/>
      <c r="BT48" s="644"/>
      <c r="BU48" s="644"/>
      <c r="BV48" s="644"/>
      <c r="BW48" s="644"/>
      <c r="BX48" s="644"/>
      <c r="BY48" s="644"/>
      <c r="BZ48" s="644"/>
      <c r="CA48" s="644"/>
      <c r="CB48" s="644"/>
      <c r="CC48" s="644"/>
      <c r="CD48" s="644"/>
      <c r="CE48" s="644"/>
      <c r="CF48" s="644"/>
      <c r="CG48" s="644"/>
      <c r="CH48" s="644"/>
      <c r="CI48" s="644"/>
      <c r="CJ48" s="301" t="s">
        <v>740</v>
      </c>
      <c r="CK48" s="180"/>
      <c r="CL48" s="136"/>
    </row>
    <row r="49" spans="1:90">
      <c r="A49" s="181" t="s">
        <v>778</v>
      </c>
      <c r="B49" s="182"/>
      <c r="C49" s="183"/>
      <c r="D49" s="182"/>
      <c r="E49" s="182"/>
      <c r="F49" s="182"/>
      <c r="G49" s="182"/>
      <c r="H49" s="182"/>
      <c r="I49" s="182"/>
      <c r="J49" s="182"/>
      <c r="K49" s="182"/>
      <c r="L49" s="182">
        <v>1</v>
      </c>
      <c r="M49" s="182"/>
      <c r="N49" s="182"/>
      <c r="O49" s="182"/>
      <c r="P49" s="182"/>
      <c r="Q49" s="182"/>
      <c r="R49" s="182"/>
      <c r="S49" s="182"/>
      <c r="T49" s="302">
        <v>1</v>
      </c>
      <c r="U49" s="182"/>
      <c r="V49" s="302">
        <v>1</v>
      </c>
      <c r="W49" s="182"/>
      <c r="X49" s="182">
        <v>1</v>
      </c>
      <c r="Y49" s="182"/>
      <c r="Z49" s="182"/>
      <c r="AA49" s="182"/>
      <c r="AB49" s="182"/>
      <c r="AC49" s="182"/>
      <c r="AD49" s="182"/>
      <c r="AE49" s="182"/>
      <c r="AF49" s="182"/>
      <c r="AG49" s="182"/>
      <c r="AH49" s="167">
        <v>4</v>
      </c>
      <c r="AI49" s="330" t="s">
        <v>779</v>
      </c>
      <c r="AJ49" s="186">
        <v>42360</v>
      </c>
      <c r="AK49" s="187"/>
      <c r="AL49" s="187">
        <f t="shared" si="13"/>
        <v>0</v>
      </c>
      <c r="AM49" s="187">
        <f t="shared" si="14"/>
        <v>0</v>
      </c>
      <c r="AN49" s="187">
        <f t="shared" si="15"/>
        <v>0</v>
      </c>
      <c r="AO49" s="187">
        <f t="shared" si="16"/>
        <v>0</v>
      </c>
      <c r="AP49" s="187">
        <f t="shared" si="17"/>
        <v>0</v>
      </c>
      <c r="AQ49" s="187">
        <f t="shared" si="18"/>
        <v>0</v>
      </c>
      <c r="AR49" s="187">
        <f t="shared" si="19"/>
        <v>0</v>
      </c>
      <c r="AS49" s="187">
        <f t="shared" si="20"/>
        <v>19</v>
      </c>
      <c r="AT49" s="187">
        <f t="shared" si="21"/>
        <v>0</v>
      </c>
      <c r="AU49" s="187">
        <f t="shared" si="22"/>
        <v>0</v>
      </c>
      <c r="AV49" s="187">
        <f t="shared" si="23"/>
        <v>0</v>
      </c>
      <c r="AW49" s="187">
        <f t="shared" si="24"/>
        <v>0</v>
      </c>
      <c r="AX49" s="187">
        <f t="shared" si="25"/>
        <v>4</v>
      </c>
      <c r="AY49" s="187">
        <f t="shared" si="26"/>
        <v>0</v>
      </c>
      <c r="AZ49" s="187">
        <f t="shared" si="27"/>
        <v>8</v>
      </c>
      <c r="BA49" s="187">
        <f t="shared" si="28"/>
        <v>0</v>
      </c>
      <c r="BB49" s="187">
        <f t="shared" si="29"/>
        <v>13</v>
      </c>
      <c r="BC49" s="187">
        <f t="shared" si="30"/>
        <v>0</v>
      </c>
      <c r="BD49" s="187">
        <f t="shared" si="31"/>
        <v>0</v>
      </c>
      <c r="BE49" s="187">
        <f t="shared" si="32"/>
        <v>0</v>
      </c>
      <c r="BF49" s="187">
        <f t="shared" si="33"/>
        <v>0</v>
      </c>
      <c r="BG49" s="187">
        <f t="shared" si="34"/>
        <v>0</v>
      </c>
      <c r="BH49" s="187">
        <f t="shared" si="35"/>
        <v>0</v>
      </c>
      <c r="BI49" s="187">
        <f t="shared" si="36"/>
        <v>0</v>
      </c>
      <c r="BJ49" s="273">
        <f t="shared" si="37"/>
        <v>44</v>
      </c>
      <c r="BK49" s="167">
        <f t="shared" ref="BK49" si="49">BJ49</f>
        <v>44</v>
      </c>
      <c r="BL49" s="167"/>
      <c r="BM49" s="644"/>
      <c r="BN49" s="644"/>
      <c r="BO49" s="644"/>
      <c r="BP49" s="644"/>
      <c r="BQ49" s="644"/>
      <c r="BR49" s="644"/>
      <c r="BS49" s="644"/>
      <c r="BT49" s="644"/>
      <c r="BU49" s="644"/>
      <c r="BV49" s="644"/>
      <c r="BW49" s="644"/>
      <c r="BX49" s="644"/>
      <c r="BY49" s="644"/>
      <c r="BZ49" s="644"/>
      <c r="CA49" s="644"/>
      <c r="CB49" s="644"/>
      <c r="CC49" s="644"/>
      <c r="CD49" s="644"/>
      <c r="CE49" s="644"/>
      <c r="CF49" s="644"/>
      <c r="CG49" s="644"/>
      <c r="CH49" s="644"/>
      <c r="CI49" s="644"/>
      <c r="CJ49" s="301" t="s">
        <v>740</v>
      </c>
      <c r="CK49" s="180"/>
      <c r="CL49" s="136"/>
    </row>
    <row r="50" spans="1:90" s="344" customFormat="1">
      <c r="A50" s="335" t="s">
        <v>142</v>
      </c>
      <c r="B50" s="182"/>
      <c r="C50" s="183"/>
      <c r="D50" s="182">
        <v>1</v>
      </c>
      <c r="E50" s="182"/>
      <c r="F50" s="182"/>
      <c r="G50" s="182"/>
      <c r="H50" s="182"/>
      <c r="I50" s="182"/>
      <c r="J50" s="182"/>
      <c r="K50" s="182"/>
      <c r="L50" s="182">
        <v>1</v>
      </c>
      <c r="M50" s="182"/>
      <c r="N50" s="182"/>
      <c r="O50" s="182"/>
      <c r="P50" s="182"/>
      <c r="Q50" s="302">
        <v>1</v>
      </c>
      <c r="R50" s="182"/>
      <c r="S50" s="182">
        <v>1</v>
      </c>
      <c r="T50" s="182">
        <v>1</v>
      </c>
      <c r="U50" s="182"/>
      <c r="V50" s="182">
        <v>1</v>
      </c>
      <c r="W50" s="182">
        <v>1</v>
      </c>
      <c r="X50" s="182">
        <v>1</v>
      </c>
      <c r="Y50" s="182">
        <v>1</v>
      </c>
      <c r="Z50" s="182"/>
      <c r="AA50" s="182"/>
      <c r="AB50" s="182"/>
      <c r="AC50" s="182"/>
      <c r="AD50" s="302">
        <v>1</v>
      </c>
      <c r="AE50" s="182"/>
      <c r="AF50" s="182"/>
      <c r="AG50" s="182"/>
      <c r="AH50" s="339">
        <v>10</v>
      </c>
      <c r="AI50" s="340" t="s">
        <v>780</v>
      </c>
      <c r="AJ50" s="341">
        <v>42361</v>
      </c>
      <c r="AK50" s="352"/>
      <c r="AL50" s="187">
        <f t="shared" si="13"/>
        <v>0</v>
      </c>
      <c r="AM50" s="187">
        <f t="shared" si="14"/>
        <v>13</v>
      </c>
      <c r="AN50" s="187">
        <f t="shared" si="15"/>
        <v>0</v>
      </c>
      <c r="AO50" s="187">
        <f t="shared" si="16"/>
        <v>0</v>
      </c>
      <c r="AP50" s="187">
        <f t="shared" si="17"/>
        <v>0</v>
      </c>
      <c r="AQ50" s="187">
        <f t="shared" si="18"/>
        <v>0</v>
      </c>
      <c r="AR50" s="187">
        <f t="shared" si="19"/>
        <v>0</v>
      </c>
      <c r="AS50" s="187">
        <f t="shared" si="20"/>
        <v>19</v>
      </c>
      <c r="AT50" s="187">
        <f t="shared" si="21"/>
        <v>0</v>
      </c>
      <c r="AU50" s="187">
        <f t="shared" si="22"/>
        <v>0</v>
      </c>
      <c r="AV50" s="187">
        <f t="shared" si="23"/>
        <v>3</v>
      </c>
      <c r="AW50" s="187">
        <f t="shared" si="24"/>
        <v>8</v>
      </c>
      <c r="AX50" s="187">
        <f t="shared" si="25"/>
        <v>4</v>
      </c>
      <c r="AY50" s="187">
        <f t="shared" si="26"/>
        <v>0</v>
      </c>
      <c r="AZ50" s="187">
        <f t="shared" si="27"/>
        <v>8</v>
      </c>
      <c r="BA50" s="187">
        <f t="shared" si="28"/>
        <v>16</v>
      </c>
      <c r="BB50" s="187">
        <f t="shared" si="29"/>
        <v>13</v>
      </c>
      <c r="BC50" s="187">
        <f t="shared" si="30"/>
        <v>10</v>
      </c>
      <c r="BD50" s="187">
        <f t="shared" si="31"/>
        <v>0</v>
      </c>
      <c r="BE50" s="187">
        <f t="shared" si="32"/>
        <v>0</v>
      </c>
      <c r="BF50" s="187">
        <f t="shared" si="33"/>
        <v>0</v>
      </c>
      <c r="BG50" s="187">
        <f t="shared" si="34"/>
        <v>8</v>
      </c>
      <c r="BH50" s="187">
        <f t="shared" si="35"/>
        <v>0</v>
      </c>
      <c r="BI50" s="187">
        <f t="shared" si="36"/>
        <v>0</v>
      </c>
      <c r="BJ50" s="273">
        <f t="shared" si="37"/>
        <v>95</v>
      </c>
      <c r="BK50" s="339">
        <f t="shared" ref="BK50" si="50">BJ50</f>
        <v>95</v>
      </c>
      <c r="BL50" s="339"/>
      <c r="BM50" s="182"/>
      <c r="BN50" s="182"/>
      <c r="BO50" s="182"/>
      <c r="BP50" s="182"/>
      <c r="BQ50" s="182"/>
      <c r="BR50" s="182"/>
      <c r="BS50" s="182"/>
      <c r="BT50" s="182"/>
      <c r="BU50" s="182"/>
      <c r="BV50" s="182"/>
      <c r="BW50" s="182"/>
      <c r="BX50" s="182"/>
      <c r="BY50" s="182"/>
      <c r="BZ50" s="182"/>
      <c r="CA50" s="182"/>
      <c r="CB50" s="182"/>
      <c r="CC50" s="182"/>
      <c r="CD50" s="182"/>
      <c r="CE50" s="182"/>
      <c r="CF50" s="182"/>
      <c r="CG50" s="182"/>
      <c r="CH50" s="182"/>
      <c r="CI50" s="182"/>
      <c r="CJ50" s="635" t="s">
        <v>740</v>
      </c>
      <c r="CK50" s="342"/>
      <c r="CL50" s="343"/>
    </row>
    <row r="51" spans="1:90">
      <c r="A51" s="181" t="s">
        <v>143</v>
      </c>
      <c r="B51" s="182"/>
      <c r="C51" s="183"/>
      <c r="D51" s="182">
        <v>1</v>
      </c>
      <c r="E51" s="182"/>
      <c r="F51" s="182"/>
      <c r="G51" s="182"/>
      <c r="H51" s="182"/>
      <c r="I51" s="182"/>
      <c r="J51" s="182"/>
      <c r="K51" s="182"/>
      <c r="L51" s="182">
        <v>1</v>
      </c>
      <c r="M51" s="182"/>
      <c r="N51" s="182"/>
      <c r="O51" s="182">
        <v>1</v>
      </c>
      <c r="P51" s="182"/>
      <c r="Q51" s="182">
        <v>1</v>
      </c>
      <c r="R51" s="182"/>
      <c r="S51" s="182">
        <v>1</v>
      </c>
      <c r="T51" s="182"/>
      <c r="U51" s="182"/>
      <c r="V51" s="182"/>
      <c r="W51" s="182">
        <v>1</v>
      </c>
      <c r="X51" s="182">
        <v>1</v>
      </c>
      <c r="Y51" s="182"/>
      <c r="Z51" s="182"/>
      <c r="AA51" s="182"/>
      <c r="AB51" s="182"/>
      <c r="AC51" s="182"/>
      <c r="AD51" s="182"/>
      <c r="AE51" s="182"/>
      <c r="AF51" s="182"/>
      <c r="AG51" s="182"/>
      <c r="AH51" s="167">
        <v>7</v>
      </c>
      <c r="AI51" s="330" t="s">
        <v>781</v>
      </c>
      <c r="AJ51" s="186">
        <v>42357</v>
      </c>
      <c r="AK51" s="187"/>
      <c r="AL51" s="187">
        <f t="shared" si="13"/>
        <v>0</v>
      </c>
      <c r="AM51" s="187">
        <f t="shared" si="14"/>
        <v>13</v>
      </c>
      <c r="AN51" s="187">
        <f t="shared" si="15"/>
        <v>0</v>
      </c>
      <c r="AO51" s="187">
        <f t="shared" si="16"/>
        <v>0</v>
      </c>
      <c r="AP51" s="187">
        <f t="shared" si="17"/>
        <v>0</v>
      </c>
      <c r="AQ51" s="187">
        <f t="shared" si="18"/>
        <v>0</v>
      </c>
      <c r="AR51" s="187">
        <f t="shared" si="19"/>
        <v>0</v>
      </c>
      <c r="AS51" s="187">
        <f t="shared" si="20"/>
        <v>19</v>
      </c>
      <c r="AT51" s="187">
        <f t="shared" si="21"/>
        <v>13</v>
      </c>
      <c r="AU51" s="187">
        <f t="shared" si="22"/>
        <v>0</v>
      </c>
      <c r="AV51" s="187">
        <f t="shared" si="23"/>
        <v>3</v>
      </c>
      <c r="AW51" s="187">
        <f t="shared" si="24"/>
        <v>8</v>
      </c>
      <c r="AX51" s="187">
        <f t="shared" si="25"/>
        <v>0</v>
      </c>
      <c r="AY51" s="187">
        <f t="shared" si="26"/>
        <v>0</v>
      </c>
      <c r="AZ51" s="187">
        <f t="shared" si="27"/>
        <v>0</v>
      </c>
      <c r="BA51" s="187">
        <f t="shared" si="28"/>
        <v>16</v>
      </c>
      <c r="BB51" s="187">
        <f t="shared" si="29"/>
        <v>13</v>
      </c>
      <c r="BC51" s="187">
        <f t="shared" si="30"/>
        <v>0</v>
      </c>
      <c r="BD51" s="187">
        <f t="shared" si="31"/>
        <v>0</v>
      </c>
      <c r="BE51" s="187">
        <f t="shared" si="32"/>
        <v>0</v>
      </c>
      <c r="BF51" s="187">
        <f t="shared" si="33"/>
        <v>0</v>
      </c>
      <c r="BG51" s="187">
        <f t="shared" si="34"/>
        <v>0</v>
      </c>
      <c r="BH51" s="187">
        <f t="shared" si="35"/>
        <v>0</v>
      </c>
      <c r="BI51" s="187">
        <f t="shared" si="36"/>
        <v>0</v>
      </c>
      <c r="BJ51" s="273">
        <f t="shared" si="37"/>
        <v>85</v>
      </c>
      <c r="BK51" s="167">
        <f t="shared" si="38"/>
        <v>85</v>
      </c>
      <c r="BL51" s="167"/>
      <c r="BM51" s="644"/>
      <c r="BN51" s="644"/>
      <c r="BO51" s="644"/>
      <c r="BP51" s="644"/>
      <c r="BQ51" s="644"/>
      <c r="BR51" s="644"/>
      <c r="BS51" s="644"/>
      <c r="BT51" s="644"/>
      <c r="BU51" s="644"/>
      <c r="BV51" s="644"/>
      <c r="BW51" s="644"/>
      <c r="BX51" s="644"/>
      <c r="BY51" s="644"/>
      <c r="BZ51" s="644"/>
      <c r="CA51" s="644"/>
      <c r="CB51" s="644"/>
      <c r="CC51" s="644"/>
      <c r="CD51" s="644"/>
      <c r="CE51" s="644"/>
      <c r="CF51" s="644"/>
      <c r="CG51" s="644"/>
      <c r="CH51" s="644"/>
      <c r="CI51" s="644"/>
      <c r="CJ51" s="301" t="s">
        <v>756</v>
      </c>
      <c r="CK51" s="180"/>
      <c r="CL51" s="136"/>
    </row>
    <row r="52" spans="1:90">
      <c r="A52" s="181" t="s">
        <v>144</v>
      </c>
      <c r="B52" s="182"/>
      <c r="C52" s="183"/>
      <c r="D52" s="182">
        <v>1</v>
      </c>
      <c r="E52" s="182">
        <v>1</v>
      </c>
      <c r="F52" s="182"/>
      <c r="G52" s="182">
        <v>1</v>
      </c>
      <c r="H52" s="182"/>
      <c r="I52" s="182"/>
      <c r="J52" s="182"/>
      <c r="K52" s="182"/>
      <c r="L52" s="182">
        <v>1</v>
      </c>
      <c r="M52" s="182"/>
      <c r="N52" s="182"/>
      <c r="O52" s="182">
        <v>1</v>
      </c>
      <c r="P52" s="182"/>
      <c r="Q52" s="182">
        <v>1</v>
      </c>
      <c r="R52" s="182"/>
      <c r="S52" s="182"/>
      <c r="T52" s="182"/>
      <c r="U52" s="182"/>
      <c r="V52" s="302">
        <v>1</v>
      </c>
      <c r="W52" s="182">
        <v>1</v>
      </c>
      <c r="X52" s="182"/>
      <c r="Y52" s="302">
        <v>1</v>
      </c>
      <c r="Z52" s="302">
        <v>1</v>
      </c>
      <c r="AA52" s="182"/>
      <c r="AB52" s="182"/>
      <c r="AC52" s="182"/>
      <c r="AD52" s="320"/>
      <c r="AE52" s="182"/>
      <c r="AF52" s="182"/>
      <c r="AG52" s="182"/>
      <c r="AH52" s="167">
        <v>10</v>
      </c>
      <c r="AI52" s="330" t="s">
        <v>782</v>
      </c>
      <c r="AJ52" s="186">
        <v>42364</v>
      </c>
      <c r="AK52" s="352"/>
      <c r="AL52" s="187">
        <f t="shared" si="13"/>
        <v>0</v>
      </c>
      <c r="AM52" s="187">
        <f t="shared" si="14"/>
        <v>13</v>
      </c>
      <c r="AN52" s="187">
        <f t="shared" si="15"/>
        <v>8</v>
      </c>
      <c r="AO52" s="187">
        <f t="shared" si="16"/>
        <v>8</v>
      </c>
      <c r="AP52" s="187">
        <f t="shared" si="17"/>
        <v>0</v>
      </c>
      <c r="AQ52" s="187">
        <f t="shared" si="18"/>
        <v>0</v>
      </c>
      <c r="AR52" s="187">
        <f t="shared" si="19"/>
        <v>0</v>
      </c>
      <c r="AS52" s="187">
        <f t="shared" si="20"/>
        <v>19</v>
      </c>
      <c r="AT52" s="187">
        <f t="shared" si="21"/>
        <v>13</v>
      </c>
      <c r="AU52" s="187">
        <f t="shared" si="22"/>
        <v>0</v>
      </c>
      <c r="AV52" s="187">
        <f t="shared" si="23"/>
        <v>3</v>
      </c>
      <c r="AW52" s="187">
        <f t="shared" si="24"/>
        <v>0</v>
      </c>
      <c r="AX52" s="187">
        <f t="shared" si="25"/>
        <v>0</v>
      </c>
      <c r="AY52" s="187">
        <f t="shared" si="26"/>
        <v>0</v>
      </c>
      <c r="AZ52" s="187">
        <f t="shared" si="27"/>
        <v>8</v>
      </c>
      <c r="BA52" s="187">
        <f t="shared" si="28"/>
        <v>16</v>
      </c>
      <c r="BB52" s="187">
        <f t="shared" si="29"/>
        <v>0</v>
      </c>
      <c r="BC52" s="187">
        <f t="shared" si="30"/>
        <v>10</v>
      </c>
      <c r="BD52" s="187">
        <f t="shared" si="31"/>
        <v>2</v>
      </c>
      <c r="BE52" s="187">
        <f t="shared" si="32"/>
        <v>0</v>
      </c>
      <c r="BF52" s="187">
        <f t="shared" si="33"/>
        <v>0</v>
      </c>
      <c r="BG52" s="187">
        <f t="shared" si="34"/>
        <v>0</v>
      </c>
      <c r="BH52" s="187">
        <f t="shared" si="35"/>
        <v>0</v>
      </c>
      <c r="BI52" s="187">
        <f t="shared" si="36"/>
        <v>0</v>
      </c>
      <c r="BJ52" s="273">
        <f t="shared" si="37"/>
        <v>95</v>
      </c>
      <c r="BK52" s="339">
        <f t="shared" si="38"/>
        <v>95</v>
      </c>
      <c r="BL52" s="339"/>
      <c r="BM52" s="182"/>
      <c r="BN52" s="182"/>
      <c r="BO52" s="182"/>
      <c r="BP52" s="182"/>
      <c r="BQ52" s="182"/>
      <c r="BR52" s="182"/>
      <c r="BS52" s="182"/>
      <c r="BT52" s="182"/>
      <c r="BU52" s="182"/>
      <c r="BV52" s="182"/>
      <c r="BW52" s="182"/>
      <c r="BX52" s="182"/>
      <c r="BY52" s="182"/>
      <c r="BZ52" s="182"/>
      <c r="CA52" s="182"/>
      <c r="CB52" s="182"/>
      <c r="CC52" s="182"/>
      <c r="CD52" s="182"/>
      <c r="CE52" s="182"/>
      <c r="CF52" s="182"/>
      <c r="CG52" s="182"/>
      <c r="CH52" s="182"/>
      <c r="CI52" s="182"/>
      <c r="CJ52" s="635" t="s">
        <v>740</v>
      </c>
      <c r="CK52" s="180"/>
      <c r="CL52" s="136"/>
    </row>
    <row r="53" spans="1:90">
      <c r="A53" s="335" t="s">
        <v>146</v>
      </c>
      <c r="B53" s="182"/>
      <c r="C53" s="183"/>
      <c r="D53" s="182">
        <v>1</v>
      </c>
      <c r="E53" s="182">
        <v>1</v>
      </c>
      <c r="F53" s="182"/>
      <c r="G53" s="182">
        <v>1</v>
      </c>
      <c r="H53" s="182"/>
      <c r="I53" s="182"/>
      <c r="J53" s="182"/>
      <c r="K53" s="182"/>
      <c r="L53" s="182">
        <v>1</v>
      </c>
      <c r="M53" s="182"/>
      <c r="N53" s="182"/>
      <c r="O53" s="182"/>
      <c r="P53" s="182"/>
      <c r="Q53" s="182">
        <v>1</v>
      </c>
      <c r="R53" s="182"/>
      <c r="S53" s="182"/>
      <c r="T53" s="182"/>
      <c r="U53" s="182"/>
      <c r="V53" s="182"/>
      <c r="W53" s="182">
        <v>1</v>
      </c>
      <c r="X53" s="182"/>
      <c r="Y53" s="182">
        <v>1</v>
      </c>
      <c r="Z53" s="302">
        <v>1</v>
      </c>
      <c r="AA53" s="182"/>
      <c r="AB53" s="182"/>
      <c r="AC53" s="182"/>
      <c r="AD53" s="182"/>
      <c r="AE53" s="182"/>
      <c r="AF53" s="182"/>
      <c r="AG53" s="182"/>
      <c r="AH53" s="167">
        <v>8</v>
      </c>
      <c r="AI53" s="330" t="s">
        <v>783</v>
      </c>
      <c r="AJ53" s="186">
        <v>42375</v>
      </c>
      <c r="AK53" s="352"/>
      <c r="AL53" s="187">
        <f t="shared" si="13"/>
        <v>0</v>
      </c>
      <c r="AM53" s="187">
        <f t="shared" si="14"/>
        <v>13</v>
      </c>
      <c r="AN53" s="187">
        <f t="shared" si="15"/>
        <v>8</v>
      </c>
      <c r="AO53" s="187">
        <f t="shared" si="16"/>
        <v>8</v>
      </c>
      <c r="AP53" s="187">
        <f t="shared" si="17"/>
        <v>0</v>
      </c>
      <c r="AQ53" s="187">
        <f t="shared" si="18"/>
        <v>0</v>
      </c>
      <c r="AR53" s="187">
        <f t="shared" si="19"/>
        <v>0</v>
      </c>
      <c r="AS53" s="187">
        <f t="shared" si="20"/>
        <v>19</v>
      </c>
      <c r="AT53" s="187">
        <f t="shared" si="21"/>
        <v>0</v>
      </c>
      <c r="AU53" s="187">
        <f t="shared" si="22"/>
        <v>0</v>
      </c>
      <c r="AV53" s="187">
        <f t="shared" si="23"/>
        <v>3</v>
      </c>
      <c r="AW53" s="187">
        <f t="shared" si="24"/>
        <v>0</v>
      </c>
      <c r="AX53" s="187">
        <f t="shared" si="25"/>
        <v>0</v>
      </c>
      <c r="AY53" s="187">
        <f t="shared" si="26"/>
        <v>0</v>
      </c>
      <c r="AZ53" s="187">
        <f t="shared" si="27"/>
        <v>0</v>
      </c>
      <c r="BA53" s="187">
        <f t="shared" si="28"/>
        <v>16</v>
      </c>
      <c r="BB53" s="187">
        <f t="shared" si="29"/>
        <v>0</v>
      </c>
      <c r="BC53" s="187">
        <f t="shared" si="30"/>
        <v>10</v>
      </c>
      <c r="BD53" s="187">
        <f t="shared" si="31"/>
        <v>2</v>
      </c>
      <c r="BE53" s="187">
        <f t="shared" si="32"/>
        <v>0</v>
      </c>
      <c r="BF53" s="187">
        <f t="shared" si="33"/>
        <v>0</v>
      </c>
      <c r="BG53" s="187">
        <f t="shared" si="34"/>
        <v>0</v>
      </c>
      <c r="BH53" s="187">
        <f t="shared" si="35"/>
        <v>0</v>
      </c>
      <c r="BI53" s="187">
        <f t="shared" si="36"/>
        <v>0</v>
      </c>
      <c r="BJ53" s="273">
        <f t="shared" si="37"/>
        <v>79</v>
      </c>
      <c r="BK53" s="339">
        <f t="shared" si="38"/>
        <v>79</v>
      </c>
      <c r="BL53" s="339"/>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c r="CI53" s="182"/>
      <c r="CJ53" s="635"/>
      <c r="CK53" s="180"/>
      <c r="CL53" s="136"/>
    </row>
    <row r="54" spans="1:90" s="326" customFormat="1">
      <c r="A54" s="327" t="s">
        <v>147</v>
      </c>
      <c r="B54" s="315"/>
      <c r="C54" s="315"/>
      <c r="D54" s="315">
        <v>1</v>
      </c>
      <c r="E54" s="315"/>
      <c r="F54" s="315"/>
      <c r="G54" s="315"/>
      <c r="H54" s="315"/>
      <c r="I54" s="315"/>
      <c r="J54" s="315"/>
      <c r="K54" s="315"/>
      <c r="L54" s="315">
        <v>1</v>
      </c>
      <c r="M54" s="315"/>
      <c r="N54" s="315"/>
      <c r="O54" s="315">
        <v>1</v>
      </c>
      <c r="P54" s="315"/>
      <c r="Q54" s="315"/>
      <c r="R54" s="315"/>
      <c r="S54" s="315">
        <v>1</v>
      </c>
      <c r="T54" s="315"/>
      <c r="U54" s="315"/>
      <c r="V54" s="315">
        <v>1</v>
      </c>
      <c r="W54" s="315">
        <v>1</v>
      </c>
      <c r="X54" s="315">
        <v>1</v>
      </c>
      <c r="Y54" s="315">
        <v>1</v>
      </c>
      <c r="Z54" s="315"/>
      <c r="AA54" s="315"/>
      <c r="AB54" s="315"/>
      <c r="AC54" s="315"/>
      <c r="AD54" s="315"/>
      <c r="AE54" s="315"/>
      <c r="AF54" s="315"/>
      <c r="AG54" s="315"/>
      <c r="AH54" s="321">
        <v>8</v>
      </c>
      <c r="AI54" s="322" t="s">
        <v>113</v>
      </c>
      <c r="AJ54" s="323">
        <v>42333</v>
      </c>
      <c r="AK54" s="187"/>
      <c r="AL54" s="187">
        <f t="shared" si="13"/>
        <v>0</v>
      </c>
      <c r="AM54" s="187">
        <f t="shared" si="14"/>
        <v>13</v>
      </c>
      <c r="AN54" s="187">
        <f t="shared" si="15"/>
        <v>0</v>
      </c>
      <c r="AO54" s="187">
        <f t="shared" si="16"/>
        <v>0</v>
      </c>
      <c r="AP54" s="187">
        <f t="shared" si="17"/>
        <v>0</v>
      </c>
      <c r="AQ54" s="187">
        <f t="shared" si="18"/>
        <v>0</v>
      </c>
      <c r="AR54" s="187">
        <f t="shared" si="19"/>
        <v>0</v>
      </c>
      <c r="AS54" s="187">
        <f t="shared" si="20"/>
        <v>19</v>
      </c>
      <c r="AT54" s="187">
        <f t="shared" si="21"/>
        <v>13</v>
      </c>
      <c r="AU54" s="187">
        <f t="shared" si="22"/>
        <v>0</v>
      </c>
      <c r="AV54" s="187">
        <f t="shared" si="23"/>
        <v>0</v>
      </c>
      <c r="AW54" s="187">
        <f t="shared" si="24"/>
        <v>8</v>
      </c>
      <c r="AX54" s="187">
        <f t="shared" si="25"/>
        <v>0</v>
      </c>
      <c r="AY54" s="187">
        <f t="shared" si="26"/>
        <v>0</v>
      </c>
      <c r="AZ54" s="187">
        <f t="shared" si="27"/>
        <v>8</v>
      </c>
      <c r="BA54" s="187">
        <f t="shared" si="28"/>
        <v>16</v>
      </c>
      <c r="BB54" s="187">
        <f t="shared" si="29"/>
        <v>13</v>
      </c>
      <c r="BC54" s="187">
        <f t="shared" si="30"/>
        <v>10</v>
      </c>
      <c r="BD54" s="187">
        <f t="shared" si="31"/>
        <v>0</v>
      </c>
      <c r="BE54" s="187">
        <f t="shared" si="32"/>
        <v>0</v>
      </c>
      <c r="BF54" s="187">
        <f t="shared" si="33"/>
        <v>0</v>
      </c>
      <c r="BG54" s="187">
        <f t="shared" si="34"/>
        <v>0</v>
      </c>
      <c r="BH54" s="187">
        <f t="shared" si="35"/>
        <v>0</v>
      </c>
      <c r="BI54" s="187">
        <f t="shared" si="36"/>
        <v>0</v>
      </c>
      <c r="BJ54" s="273">
        <f t="shared" si="37"/>
        <v>100</v>
      </c>
      <c r="BK54" s="167">
        <f t="shared" si="38"/>
        <v>100</v>
      </c>
      <c r="BL54" s="167"/>
      <c r="BM54" s="644"/>
      <c r="BN54" s="644"/>
      <c r="BO54" s="644"/>
      <c r="BP54" s="644"/>
      <c r="BQ54" s="644"/>
      <c r="BR54" s="644"/>
      <c r="BS54" s="644"/>
      <c r="BT54" s="644"/>
      <c r="BU54" s="644"/>
      <c r="BV54" s="644"/>
      <c r="BW54" s="644"/>
      <c r="BX54" s="644"/>
      <c r="BY54" s="644"/>
      <c r="BZ54" s="644"/>
      <c r="CA54" s="644"/>
      <c r="CB54" s="644"/>
      <c r="CC54" s="644"/>
      <c r="CD54" s="644"/>
      <c r="CE54" s="644"/>
      <c r="CF54" s="644"/>
      <c r="CG54" s="644"/>
      <c r="CH54" s="644"/>
      <c r="CI54" s="644"/>
      <c r="CJ54" s="301" t="s">
        <v>743</v>
      </c>
      <c r="CK54" s="324"/>
      <c r="CL54" s="325"/>
    </row>
    <row r="55" spans="1:90" s="326" customFormat="1">
      <c r="A55" s="327" t="s">
        <v>148</v>
      </c>
      <c r="B55" s="315"/>
      <c r="C55" s="315"/>
      <c r="D55" s="315">
        <v>1</v>
      </c>
      <c r="E55" s="315">
        <v>1</v>
      </c>
      <c r="F55" s="315"/>
      <c r="G55" s="315">
        <v>1</v>
      </c>
      <c r="H55" s="315"/>
      <c r="I55" s="315"/>
      <c r="J55" s="315"/>
      <c r="K55" s="315"/>
      <c r="L55" s="315">
        <v>1</v>
      </c>
      <c r="M55" s="315"/>
      <c r="N55" s="315"/>
      <c r="O55" s="315">
        <v>1</v>
      </c>
      <c r="P55" s="315"/>
      <c r="Q55" s="315"/>
      <c r="R55" s="315"/>
      <c r="S55" s="315"/>
      <c r="T55" s="315"/>
      <c r="U55" s="315"/>
      <c r="V55" s="302">
        <v>1</v>
      </c>
      <c r="W55" s="315">
        <v>1</v>
      </c>
      <c r="X55" s="315"/>
      <c r="Y55" s="315"/>
      <c r="Z55" s="315"/>
      <c r="AA55" s="315">
        <v>1</v>
      </c>
      <c r="AB55" s="315"/>
      <c r="AC55" s="315"/>
      <c r="AD55" s="315">
        <v>1</v>
      </c>
      <c r="AE55" s="315"/>
      <c r="AF55" s="315">
        <v>1</v>
      </c>
      <c r="AG55" s="315"/>
      <c r="AH55" s="321">
        <v>10</v>
      </c>
      <c r="AI55" s="322" t="s">
        <v>113</v>
      </c>
      <c r="AJ55" s="323">
        <v>42360</v>
      </c>
      <c r="AK55" s="187"/>
      <c r="AL55" s="187">
        <f t="shared" si="13"/>
        <v>0</v>
      </c>
      <c r="AM55" s="187">
        <f t="shared" si="14"/>
        <v>13</v>
      </c>
      <c r="AN55" s="187">
        <f t="shared" si="15"/>
        <v>8</v>
      </c>
      <c r="AO55" s="187">
        <f t="shared" si="16"/>
        <v>8</v>
      </c>
      <c r="AP55" s="187">
        <f t="shared" si="17"/>
        <v>0</v>
      </c>
      <c r="AQ55" s="187">
        <f t="shared" si="18"/>
        <v>0</v>
      </c>
      <c r="AR55" s="187">
        <f t="shared" si="19"/>
        <v>0</v>
      </c>
      <c r="AS55" s="187">
        <f t="shared" si="20"/>
        <v>19</v>
      </c>
      <c r="AT55" s="187">
        <f t="shared" si="21"/>
        <v>13</v>
      </c>
      <c r="AU55" s="187">
        <f t="shared" si="22"/>
        <v>0</v>
      </c>
      <c r="AV55" s="187">
        <f t="shared" si="23"/>
        <v>0</v>
      </c>
      <c r="AW55" s="187">
        <f t="shared" si="24"/>
        <v>0</v>
      </c>
      <c r="AX55" s="187">
        <f t="shared" si="25"/>
        <v>0</v>
      </c>
      <c r="AY55" s="187">
        <f t="shared" si="26"/>
        <v>0</v>
      </c>
      <c r="AZ55" s="187">
        <f t="shared" si="27"/>
        <v>8</v>
      </c>
      <c r="BA55" s="187">
        <f t="shared" si="28"/>
        <v>16</v>
      </c>
      <c r="BB55" s="187">
        <f t="shared" si="29"/>
        <v>0</v>
      </c>
      <c r="BC55" s="187">
        <f t="shared" si="30"/>
        <v>0</v>
      </c>
      <c r="BD55" s="187">
        <f t="shared" si="31"/>
        <v>0</v>
      </c>
      <c r="BE55" s="187">
        <f t="shared" si="32"/>
        <v>6</v>
      </c>
      <c r="BF55" s="187">
        <f t="shared" si="33"/>
        <v>0</v>
      </c>
      <c r="BG55" s="187">
        <f t="shared" si="34"/>
        <v>8</v>
      </c>
      <c r="BH55" s="187">
        <f t="shared" si="35"/>
        <v>0</v>
      </c>
      <c r="BI55" s="187">
        <f t="shared" si="36"/>
        <v>3</v>
      </c>
      <c r="BJ55" s="273">
        <f t="shared" si="37"/>
        <v>93</v>
      </c>
      <c r="BK55" s="167">
        <f t="shared" ref="BK55" si="51">BJ55</f>
        <v>93</v>
      </c>
      <c r="BL55" s="167"/>
      <c r="BM55" s="644"/>
      <c r="BN55" s="644"/>
      <c r="BO55" s="644"/>
      <c r="BP55" s="644"/>
      <c r="BQ55" s="644"/>
      <c r="BR55" s="644"/>
      <c r="BS55" s="644"/>
      <c r="BT55" s="644"/>
      <c r="BU55" s="644"/>
      <c r="BV55" s="644"/>
      <c r="BW55" s="644"/>
      <c r="BX55" s="644"/>
      <c r="BY55" s="644"/>
      <c r="BZ55" s="644"/>
      <c r="CA55" s="644"/>
      <c r="CB55" s="644"/>
      <c r="CC55" s="644"/>
      <c r="CD55" s="644"/>
      <c r="CE55" s="644"/>
      <c r="CF55" s="644"/>
      <c r="CG55" s="644"/>
      <c r="CH55" s="644"/>
      <c r="CI55" s="644"/>
      <c r="CJ55" s="301" t="s">
        <v>758</v>
      </c>
      <c r="CK55" s="324"/>
      <c r="CL55" s="325"/>
    </row>
    <row r="56" spans="1:90" s="326" customFormat="1">
      <c r="A56" s="345" t="s">
        <v>784</v>
      </c>
      <c r="B56" s="315"/>
      <c r="C56" s="315"/>
      <c r="D56" s="315">
        <v>1</v>
      </c>
      <c r="E56" s="315">
        <v>1</v>
      </c>
      <c r="F56" s="315"/>
      <c r="G56" s="315">
        <v>1</v>
      </c>
      <c r="H56" s="315"/>
      <c r="I56" s="315"/>
      <c r="J56" s="315"/>
      <c r="K56" s="315"/>
      <c r="L56" s="315">
        <v>1</v>
      </c>
      <c r="M56" s="315"/>
      <c r="N56" s="315"/>
      <c r="O56" s="315"/>
      <c r="P56" s="315"/>
      <c r="Q56" s="315"/>
      <c r="R56" s="315"/>
      <c r="S56" s="315">
        <v>1</v>
      </c>
      <c r="T56" s="315"/>
      <c r="U56" s="315"/>
      <c r="V56" s="315">
        <v>1</v>
      </c>
      <c r="W56" s="315">
        <v>1</v>
      </c>
      <c r="X56" s="315">
        <v>1</v>
      </c>
      <c r="Y56" s="315"/>
      <c r="Z56" s="315"/>
      <c r="AA56" s="315">
        <v>1</v>
      </c>
      <c r="AB56" s="315"/>
      <c r="AC56" s="315"/>
      <c r="AD56" s="315">
        <v>1</v>
      </c>
      <c r="AE56" s="315"/>
      <c r="AF56" s="315"/>
      <c r="AG56" s="315"/>
      <c r="AH56" s="321">
        <v>10</v>
      </c>
      <c r="AI56" s="330" t="s">
        <v>785</v>
      </c>
      <c r="AJ56" s="323">
        <v>42357</v>
      </c>
      <c r="AK56" s="187"/>
      <c r="AL56" s="187">
        <f t="shared" si="13"/>
        <v>0</v>
      </c>
      <c r="AM56" s="187">
        <f t="shared" si="14"/>
        <v>13</v>
      </c>
      <c r="AN56" s="187">
        <f t="shared" si="15"/>
        <v>8</v>
      </c>
      <c r="AO56" s="187">
        <f t="shared" si="16"/>
        <v>8</v>
      </c>
      <c r="AP56" s="187">
        <f t="shared" si="17"/>
        <v>0</v>
      </c>
      <c r="AQ56" s="187">
        <f t="shared" si="18"/>
        <v>0</v>
      </c>
      <c r="AR56" s="187">
        <f t="shared" si="19"/>
        <v>0</v>
      </c>
      <c r="AS56" s="187">
        <f t="shared" si="20"/>
        <v>19</v>
      </c>
      <c r="AT56" s="187">
        <f t="shared" si="21"/>
        <v>0</v>
      </c>
      <c r="AU56" s="187">
        <f t="shared" si="22"/>
        <v>0</v>
      </c>
      <c r="AV56" s="187">
        <f t="shared" si="23"/>
        <v>0</v>
      </c>
      <c r="AW56" s="187">
        <f t="shared" si="24"/>
        <v>8</v>
      </c>
      <c r="AX56" s="187">
        <f t="shared" si="25"/>
        <v>0</v>
      </c>
      <c r="AY56" s="187">
        <f t="shared" si="26"/>
        <v>0</v>
      </c>
      <c r="AZ56" s="187">
        <f t="shared" si="27"/>
        <v>8</v>
      </c>
      <c r="BA56" s="187">
        <f t="shared" si="28"/>
        <v>16</v>
      </c>
      <c r="BB56" s="187">
        <f t="shared" si="29"/>
        <v>13</v>
      </c>
      <c r="BC56" s="187">
        <f t="shared" si="30"/>
        <v>0</v>
      </c>
      <c r="BD56" s="187">
        <f t="shared" si="31"/>
        <v>0</v>
      </c>
      <c r="BE56" s="187">
        <f t="shared" si="32"/>
        <v>6</v>
      </c>
      <c r="BF56" s="187">
        <f t="shared" si="33"/>
        <v>0</v>
      </c>
      <c r="BG56" s="187">
        <f t="shared" si="34"/>
        <v>8</v>
      </c>
      <c r="BH56" s="187">
        <f t="shared" si="35"/>
        <v>0</v>
      </c>
      <c r="BI56" s="187">
        <f t="shared" si="36"/>
        <v>0</v>
      </c>
      <c r="BJ56" s="273">
        <f t="shared" si="37"/>
        <v>93</v>
      </c>
      <c r="BK56" s="167">
        <f t="shared" si="38"/>
        <v>93</v>
      </c>
      <c r="BL56" s="167"/>
      <c r="BM56" s="644"/>
      <c r="BN56" s="644"/>
      <c r="BO56" s="644"/>
      <c r="BP56" s="644"/>
      <c r="BQ56" s="644"/>
      <c r="BR56" s="644"/>
      <c r="BS56" s="644"/>
      <c r="BT56" s="644"/>
      <c r="BU56" s="644"/>
      <c r="BV56" s="644"/>
      <c r="BW56" s="644"/>
      <c r="BX56" s="644"/>
      <c r="BY56" s="644"/>
      <c r="BZ56" s="644"/>
      <c r="CA56" s="644"/>
      <c r="CB56" s="644"/>
      <c r="CC56" s="644"/>
      <c r="CD56" s="644"/>
      <c r="CE56" s="644"/>
      <c r="CF56" s="644"/>
      <c r="CG56" s="644"/>
      <c r="CH56" s="644"/>
      <c r="CI56" s="644"/>
      <c r="CJ56" s="301" t="s">
        <v>743</v>
      </c>
      <c r="CK56" s="324"/>
      <c r="CL56" s="325"/>
    </row>
    <row r="57" spans="1:90" s="344" customFormat="1">
      <c r="A57" s="335" t="s">
        <v>149</v>
      </c>
      <c r="B57" s="182"/>
      <c r="C57" s="182"/>
      <c r="D57" s="302">
        <v>1</v>
      </c>
      <c r="E57" s="182">
        <v>1</v>
      </c>
      <c r="F57" s="182"/>
      <c r="G57" s="182">
        <v>1</v>
      </c>
      <c r="H57" s="182"/>
      <c r="I57" s="182"/>
      <c r="J57" s="182"/>
      <c r="K57" s="182"/>
      <c r="L57" s="182">
        <v>1</v>
      </c>
      <c r="M57" s="182"/>
      <c r="N57" s="182"/>
      <c r="O57" s="182"/>
      <c r="P57" s="182"/>
      <c r="Q57" s="182"/>
      <c r="R57" s="182"/>
      <c r="S57" s="182">
        <v>1</v>
      </c>
      <c r="T57" s="302">
        <v>1</v>
      </c>
      <c r="U57" s="182"/>
      <c r="V57" s="320"/>
      <c r="W57" s="182">
        <v>1</v>
      </c>
      <c r="X57" s="182">
        <v>1</v>
      </c>
      <c r="Y57" s="302">
        <v>1</v>
      </c>
      <c r="Z57" s="182"/>
      <c r="AA57" s="182"/>
      <c r="AB57" s="182"/>
      <c r="AC57" s="182"/>
      <c r="AD57" s="182">
        <v>1</v>
      </c>
      <c r="AE57" s="182"/>
      <c r="AF57" s="182"/>
      <c r="AG57" s="182"/>
      <c r="AH57" s="339">
        <v>10</v>
      </c>
      <c r="AI57" s="340" t="s">
        <v>786</v>
      </c>
      <c r="AJ57" s="341">
        <v>42375</v>
      </c>
      <c r="AK57" s="187"/>
      <c r="AL57" s="187">
        <f t="shared" si="13"/>
        <v>0</v>
      </c>
      <c r="AM57" s="187">
        <f t="shared" si="14"/>
        <v>13</v>
      </c>
      <c r="AN57" s="187">
        <f t="shared" si="15"/>
        <v>8</v>
      </c>
      <c r="AO57" s="187">
        <f t="shared" si="16"/>
        <v>8</v>
      </c>
      <c r="AP57" s="187">
        <f t="shared" si="17"/>
        <v>0</v>
      </c>
      <c r="AQ57" s="187">
        <f t="shared" si="18"/>
        <v>0</v>
      </c>
      <c r="AR57" s="187">
        <f t="shared" si="19"/>
        <v>0</v>
      </c>
      <c r="AS57" s="187">
        <f t="shared" si="20"/>
        <v>19</v>
      </c>
      <c r="AT57" s="187">
        <f t="shared" si="21"/>
        <v>0</v>
      </c>
      <c r="AU57" s="187">
        <f t="shared" si="22"/>
        <v>0</v>
      </c>
      <c r="AV57" s="187">
        <f t="shared" si="23"/>
        <v>0</v>
      </c>
      <c r="AW57" s="187">
        <f t="shared" si="24"/>
        <v>8</v>
      </c>
      <c r="AX57" s="187">
        <f t="shared" si="25"/>
        <v>4</v>
      </c>
      <c r="AY57" s="187">
        <f t="shared" si="26"/>
        <v>0</v>
      </c>
      <c r="AZ57" s="187">
        <f t="shared" si="27"/>
        <v>0</v>
      </c>
      <c r="BA57" s="187">
        <f t="shared" si="28"/>
        <v>16</v>
      </c>
      <c r="BB57" s="187">
        <f t="shared" si="29"/>
        <v>13</v>
      </c>
      <c r="BC57" s="187">
        <f t="shared" si="30"/>
        <v>10</v>
      </c>
      <c r="BD57" s="187">
        <f t="shared" si="31"/>
        <v>0</v>
      </c>
      <c r="BE57" s="187">
        <f t="shared" si="32"/>
        <v>0</v>
      </c>
      <c r="BF57" s="187">
        <f t="shared" si="33"/>
        <v>0</v>
      </c>
      <c r="BG57" s="187">
        <f t="shared" si="34"/>
        <v>8</v>
      </c>
      <c r="BH57" s="187">
        <f t="shared" si="35"/>
        <v>0</v>
      </c>
      <c r="BI57" s="187">
        <f t="shared" si="36"/>
        <v>0</v>
      </c>
      <c r="BJ57" s="273">
        <f t="shared" si="37"/>
        <v>95</v>
      </c>
      <c r="BK57" s="167">
        <f t="shared" ref="BK57" si="52">BJ57</f>
        <v>95</v>
      </c>
      <c r="BL57" s="167"/>
      <c r="BM57" s="644"/>
      <c r="BN57" s="644"/>
      <c r="BO57" s="644"/>
      <c r="BP57" s="644"/>
      <c r="BQ57" s="644"/>
      <c r="BR57" s="644"/>
      <c r="BS57" s="644"/>
      <c r="BT57" s="644"/>
      <c r="BU57" s="644"/>
      <c r="BV57" s="644"/>
      <c r="BW57" s="644"/>
      <c r="BX57" s="644"/>
      <c r="BY57" s="644"/>
      <c r="BZ57" s="644"/>
      <c r="CA57" s="644"/>
      <c r="CB57" s="644"/>
      <c r="CC57" s="644"/>
      <c r="CD57" s="644"/>
      <c r="CE57" s="644"/>
      <c r="CF57" s="644"/>
      <c r="CG57" s="644"/>
      <c r="CH57" s="644"/>
      <c r="CI57" s="644"/>
      <c r="CJ57" s="301" t="s">
        <v>787</v>
      </c>
      <c r="CK57" s="342"/>
      <c r="CL57" s="343"/>
    </row>
    <row r="58" spans="1:90" s="326" customFormat="1">
      <c r="A58" s="327" t="s">
        <v>150</v>
      </c>
      <c r="B58" s="315"/>
      <c r="C58" s="315"/>
      <c r="D58" s="302">
        <v>1</v>
      </c>
      <c r="E58" s="315"/>
      <c r="F58" s="315"/>
      <c r="G58" s="315"/>
      <c r="H58" s="315"/>
      <c r="I58" s="315"/>
      <c r="J58" s="315"/>
      <c r="K58" s="315"/>
      <c r="L58" s="315">
        <v>1</v>
      </c>
      <c r="M58" s="315"/>
      <c r="N58" s="315"/>
      <c r="O58" s="315">
        <v>1</v>
      </c>
      <c r="P58" s="315"/>
      <c r="Q58" s="302">
        <v>1</v>
      </c>
      <c r="R58" s="315"/>
      <c r="S58" s="315"/>
      <c r="T58" s="320"/>
      <c r="U58" s="302">
        <v>1</v>
      </c>
      <c r="V58" s="315">
        <v>1</v>
      </c>
      <c r="W58" s="302">
        <v>1</v>
      </c>
      <c r="X58" s="315">
        <v>1</v>
      </c>
      <c r="Y58" s="315">
        <v>1</v>
      </c>
      <c r="Z58" s="315"/>
      <c r="AA58" s="320"/>
      <c r="AB58" s="315"/>
      <c r="AC58" s="315"/>
      <c r="AD58" s="315">
        <v>1</v>
      </c>
      <c r="AE58" s="315"/>
      <c r="AF58" s="315"/>
      <c r="AG58" s="315"/>
      <c r="AH58" s="321">
        <v>10</v>
      </c>
      <c r="AI58" s="330" t="s">
        <v>788</v>
      </c>
      <c r="AJ58" s="323">
        <v>42343</v>
      </c>
      <c r="AK58" s="187"/>
      <c r="AL58" s="187">
        <f t="shared" si="13"/>
        <v>0</v>
      </c>
      <c r="AM58" s="187">
        <f t="shared" si="14"/>
        <v>13</v>
      </c>
      <c r="AN58" s="187">
        <f t="shared" si="15"/>
        <v>0</v>
      </c>
      <c r="AO58" s="187">
        <f t="shared" si="16"/>
        <v>0</v>
      </c>
      <c r="AP58" s="187">
        <f t="shared" si="17"/>
        <v>0</v>
      </c>
      <c r="AQ58" s="187">
        <f t="shared" si="18"/>
        <v>0</v>
      </c>
      <c r="AR58" s="187">
        <f t="shared" si="19"/>
        <v>0</v>
      </c>
      <c r="AS58" s="187">
        <f t="shared" si="20"/>
        <v>19</v>
      </c>
      <c r="AT58" s="187">
        <f t="shared" si="21"/>
        <v>13</v>
      </c>
      <c r="AU58" s="187">
        <f t="shared" si="22"/>
        <v>0</v>
      </c>
      <c r="AV58" s="187">
        <f t="shared" si="23"/>
        <v>3</v>
      </c>
      <c r="AW58" s="187">
        <f t="shared" si="24"/>
        <v>0</v>
      </c>
      <c r="AX58" s="187">
        <f t="shared" si="25"/>
        <v>0</v>
      </c>
      <c r="AY58" s="187">
        <f t="shared" si="26"/>
        <v>2</v>
      </c>
      <c r="AZ58" s="187">
        <f t="shared" si="27"/>
        <v>8</v>
      </c>
      <c r="BA58" s="187">
        <f t="shared" si="28"/>
        <v>16</v>
      </c>
      <c r="BB58" s="187">
        <f t="shared" si="29"/>
        <v>13</v>
      </c>
      <c r="BC58" s="187">
        <f t="shared" si="30"/>
        <v>10</v>
      </c>
      <c r="BD58" s="187">
        <f t="shared" si="31"/>
        <v>0</v>
      </c>
      <c r="BE58" s="187">
        <f t="shared" si="32"/>
        <v>0</v>
      </c>
      <c r="BF58" s="187">
        <f t="shared" si="33"/>
        <v>0</v>
      </c>
      <c r="BG58" s="187">
        <f t="shared" si="34"/>
        <v>8</v>
      </c>
      <c r="BH58" s="187">
        <f t="shared" si="35"/>
        <v>0</v>
      </c>
      <c r="BI58" s="187">
        <f t="shared" si="36"/>
        <v>0</v>
      </c>
      <c r="BJ58" s="273">
        <f t="shared" si="37"/>
        <v>100</v>
      </c>
      <c r="BK58" s="167">
        <f t="shared" si="38"/>
        <v>100</v>
      </c>
      <c r="BL58" s="167"/>
      <c r="BM58" s="644"/>
      <c r="BN58" s="644"/>
      <c r="BO58" s="644"/>
      <c r="BP58" s="644"/>
      <c r="BQ58" s="644"/>
      <c r="BR58" s="644"/>
      <c r="BS58" s="644"/>
      <c r="BT58" s="644"/>
      <c r="BU58" s="644"/>
      <c r="BV58" s="644"/>
      <c r="BW58" s="644"/>
      <c r="BX58" s="644"/>
      <c r="BY58" s="644"/>
      <c r="BZ58" s="644"/>
      <c r="CA58" s="644"/>
      <c r="CB58" s="644"/>
      <c r="CC58" s="644"/>
      <c r="CD58" s="644"/>
      <c r="CE58" s="644"/>
      <c r="CF58" s="644"/>
      <c r="CG58" s="644"/>
      <c r="CH58" s="644"/>
      <c r="CI58" s="644"/>
      <c r="CJ58" s="301" t="s">
        <v>789</v>
      </c>
      <c r="CK58" s="324"/>
      <c r="CL58" s="325"/>
    </row>
    <row r="59" spans="1:90" s="326" customFormat="1">
      <c r="A59" s="327" t="s">
        <v>790</v>
      </c>
      <c r="B59" s="315"/>
      <c r="C59" s="315"/>
      <c r="D59" s="315">
        <v>1</v>
      </c>
      <c r="E59" s="315"/>
      <c r="F59" s="315"/>
      <c r="G59" s="315"/>
      <c r="H59" s="315"/>
      <c r="I59" s="315"/>
      <c r="J59" s="315"/>
      <c r="K59" s="315"/>
      <c r="L59" s="315">
        <v>1</v>
      </c>
      <c r="M59" s="315"/>
      <c r="N59" s="315"/>
      <c r="O59" s="315">
        <v>1</v>
      </c>
      <c r="P59" s="315"/>
      <c r="Q59" s="315"/>
      <c r="R59" s="315"/>
      <c r="S59" s="315"/>
      <c r="T59" s="315">
        <v>1</v>
      </c>
      <c r="U59" s="315"/>
      <c r="V59" s="315"/>
      <c r="W59" s="315">
        <v>1</v>
      </c>
      <c r="X59" s="302">
        <v>1</v>
      </c>
      <c r="Y59" s="315">
        <v>1</v>
      </c>
      <c r="Z59" s="315"/>
      <c r="AA59" s="315">
        <v>1</v>
      </c>
      <c r="AB59" s="315"/>
      <c r="AC59" s="315"/>
      <c r="AD59" s="315"/>
      <c r="AE59" s="315"/>
      <c r="AF59" s="315"/>
      <c r="AG59" s="315"/>
      <c r="AH59" s="321">
        <v>8</v>
      </c>
      <c r="AI59" s="330" t="s">
        <v>791</v>
      </c>
      <c r="AJ59" s="323">
        <v>42346</v>
      </c>
      <c r="AK59" s="187"/>
      <c r="AL59" s="187">
        <f t="shared" si="13"/>
        <v>0</v>
      </c>
      <c r="AM59" s="187">
        <f t="shared" si="14"/>
        <v>13</v>
      </c>
      <c r="AN59" s="187">
        <f t="shared" si="15"/>
        <v>0</v>
      </c>
      <c r="AO59" s="187">
        <f t="shared" si="16"/>
        <v>0</v>
      </c>
      <c r="AP59" s="187">
        <f t="shared" si="17"/>
        <v>0</v>
      </c>
      <c r="AQ59" s="187">
        <f t="shared" si="18"/>
        <v>0</v>
      </c>
      <c r="AR59" s="187">
        <f t="shared" si="19"/>
        <v>0</v>
      </c>
      <c r="AS59" s="187">
        <f t="shared" si="20"/>
        <v>19</v>
      </c>
      <c r="AT59" s="187">
        <f t="shared" si="21"/>
        <v>13</v>
      </c>
      <c r="AU59" s="187">
        <f t="shared" si="22"/>
        <v>0</v>
      </c>
      <c r="AV59" s="187">
        <f t="shared" si="23"/>
        <v>0</v>
      </c>
      <c r="AW59" s="187">
        <f t="shared" si="24"/>
        <v>0</v>
      </c>
      <c r="AX59" s="187">
        <f t="shared" si="25"/>
        <v>4</v>
      </c>
      <c r="AY59" s="187">
        <f t="shared" si="26"/>
        <v>0</v>
      </c>
      <c r="AZ59" s="187">
        <f t="shared" si="27"/>
        <v>0</v>
      </c>
      <c r="BA59" s="187">
        <f t="shared" si="28"/>
        <v>16</v>
      </c>
      <c r="BB59" s="187">
        <f t="shared" si="29"/>
        <v>13</v>
      </c>
      <c r="BC59" s="187">
        <f t="shared" si="30"/>
        <v>10</v>
      </c>
      <c r="BD59" s="187">
        <f t="shared" si="31"/>
        <v>0</v>
      </c>
      <c r="BE59" s="187">
        <f t="shared" si="32"/>
        <v>6</v>
      </c>
      <c r="BF59" s="187">
        <f t="shared" si="33"/>
        <v>0</v>
      </c>
      <c r="BG59" s="187">
        <f t="shared" si="34"/>
        <v>0</v>
      </c>
      <c r="BH59" s="187">
        <f t="shared" si="35"/>
        <v>0</v>
      </c>
      <c r="BI59" s="187">
        <f t="shared" si="36"/>
        <v>0</v>
      </c>
      <c r="BJ59" s="273">
        <f t="shared" si="37"/>
        <v>94</v>
      </c>
      <c r="BK59" s="167">
        <f t="shared" si="38"/>
        <v>94</v>
      </c>
      <c r="BL59" s="167"/>
      <c r="BM59" s="644"/>
      <c r="BN59" s="644"/>
      <c r="BO59" s="644"/>
      <c r="BP59" s="644"/>
      <c r="BQ59" s="644"/>
      <c r="BR59" s="644"/>
      <c r="BS59" s="644"/>
      <c r="BT59" s="644"/>
      <c r="BU59" s="644"/>
      <c r="BV59" s="644"/>
      <c r="BW59" s="644"/>
      <c r="BX59" s="644"/>
      <c r="BY59" s="644"/>
      <c r="BZ59" s="644"/>
      <c r="CA59" s="644"/>
      <c r="CB59" s="644"/>
      <c r="CC59" s="644"/>
      <c r="CD59" s="644"/>
      <c r="CE59" s="644"/>
      <c r="CF59" s="644"/>
      <c r="CG59" s="644"/>
      <c r="CH59" s="644"/>
      <c r="CI59" s="644"/>
      <c r="CJ59" s="301" t="s">
        <v>769</v>
      </c>
      <c r="CK59" s="324"/>
      <c r="CL59" s="325"/>
    </row>
    <row r="60" spans="1:90">
      <c r="A60" s="181" t="s">
        <v>153</v>
      </c>
      <c r="B60" s="182"/>
      <c r="C60" s="183"/>
      <c r="D60" s="314">
        <v>1</v>
      </c>
      <c r="E60" s="314">
        <v>1</v>
      </c>
      <c r="F60" s="184"/>
      <c r="G60" s="314">
        <v>1</v>
      </c>
      <c r="H60" s="182"/>
      <c r="I60" s="182"/>
      <c r="J60" s="182"/>
      <c r="K60" s="182"/>
      <c r="L60" s="182">
        <v>1</v>
      </c>
      <c r="M60" s="182"/>
      <c r="N60" s="182"/>
      <c r="O60" s="182">
        <v>1</v>
      </c>
      <c r="P60" s="182"/>
      <c r="Q60" s="182"/>
      <c r="R60" s="182"/>
      <c r="S60" s="302">
        <v>1</v>
      </c>
      <c r="T60" s="302">
        <v>1</v>
      </c>
      <c r="U60" s="182"/>
      <c r="V60" s="182"/>
      <c r="W60" s="182">
        <v>1</v>
      </c>
      <c r="X60" s="182">
        <v>1</v>
      </c>
      <c r="Y60" s="182"/>
      <c r="Z60" s="182"/>
      <c r="AA60" s="320"/>
      <c r="AB60" s="182"/>
      <c r="AC60" s="182"/>
      <c r="AD60" s="182">
        <v>1</v>
      </c>
      <c r="AE60" s="182"/>
      <c r="AF60" s="182"/>
      <c r="AG60" s="182"/>
      <c r="AH60" s="167">
        <v>10</v>
      </c>
      <c r="AI60" s="300" t="s">
        <v>792</v>
      </c>
      <c r="AJ60" s="186">
        <v>42321</v>
      </c>
      <c r="AK60" s="187"/>
      <c r="AL60" s="187">
        <f t="shared" si="13"/>
        <v>0</v>
      </c>
      <c r="AM60" s="187">
        <f t="shared" si="14"/>
        <v>13</v>
      </c>
      <c r="AN60" s="187">
        <f t="shared" si="15"/>
        <v>8</v>
      </c>
      <c r="AO60" s="187">
        <f t="shared" si="16"/>
        <v>8</v>
      </c>
      <c r="AP60" s="187">
        <f t="shared" si="17"/>
        <v>0</v>
      </c>
      <c r="AQ60" s="187">
        <f t="shared" si="18"/>
        <v>0</v>
      </c>
      <c r="AR60" s="187">
        <f t="shared" si="19"/>
        <v>0</v>
      </c>
      <c r="AS60" s="187">
        <f t="shared" si="20"/>
        <v>19</v>
      </c>
      <c r="AT60" s="187">
        <f t="shared" si="21"/>
        <v>13</v>
      </c>
      <c r="AU60" s="187">
        <f t="shared" si="22"/>
        <v>0</v>
      </c>
      <c r="AV60" s="187">
        <f t="shared" si="23"/>
        <v>0</v>
      </c>
      <c r="AW60" s="187">
        <f t="shared" si="24"/>
        <v>8</v>
      </c>
      <c r="AX60" s="187">
        <f t="shared" si="25"/>
        <v>4</v>
      </c>
      <c r="AY60" s="187">
        <f t="shared" si="26"/>
        <v>0</v>
      </c>
      <c r="AZ60" s="187">
        <f t="shared" si="27"/>
        <v>0</v>
      </c>
      <c r="BA60" s="187">
        <f t="shared" si="28"/>
        <v>16</v>
      </c>
      <c r="BB60" s="187">
        <f t="shared" si="29"/>
        <v>13</v>
      </c>
      <c r="BC60" s="187">
        <f t="shared" si="30"/>
        <v>0</v>
      </c>
      <c r="BD60" s="187">
        <f t="shared" si="31"/>
        <v>0</v>
      </c>
      <c r="BE60" s="187">
        <f t="shared" si="32"/>
        <v>0</v>
      </c>
      <c r="BF60" s="187">
        <f t="shared" si="33"/>
        <v>0</v>
      </c>
      <c r="BG60" s="187">
        <f t="shared" si="34"/>
        <v>8</v>
      </c>
      <c r="BH60" s="187">
        <f t="shared" si="35"/>
        <v>0</v>
      </c>
      <c r="BI60" s="187">
        <f t="shared" si="36"/>
        <v>0</v>
      </c>
      <c r="BJ60" s="273">
        <f t="shared" si="37"/>
        <v>98</v>
      </c>
      <c r="BK60" s="167">
        <f t="shared" si="38"/>
        <v>98</v>
      </c>
      <c r="BL60" s="167"/>
      <c r="BM60" s="644"/>
      <c r="BN60" s="644"/>
      <c r="BO60" s="644"/>
      <c r="BP60" s="644"/>
      <c r="BQ60" s="644"/>
      <c r="BR60" s="644"/>
      <c r="BS60" s="644"/>
      <c r="BT60" s="644"/>
      <c r="BU60" s="644"/>
      <c r="BV60" s="644"/>
      <c r="BW60" s="644"/>
      <c r="BX60" s="644"/>
      <c r="BY60" s="644"/>
      <c r="BZ60" s="644"/>
      <c r="CA60" s="644"/>
      <c r="CB60" s="644"/>
      <c r="CC60" s="644"/>
      <c r="CD60" s="644"/>
      <c r="CE60" s="644"/>
      <c r="CF60" s="644"/>
      <c r="CG60" s="644"/>
      <c r="CH60" s="644"/>
      <c r="CI60" s="644"/>
      <c r="CJ60" s="301" t="s">
        <v>793</v>
      </c>
      <c r="CK60" s="180"/>
      <c r="CL60" s="136"/>
    </row>
    <row r="61" spans="1:90" s="344" customFormat="1">
      <c r="A61" s="359" t="s">
        <v>794</v>
      </c>
      <c r="B61" s="182"/>
      <c r="C61" s="183"/>
      <c r="D61" s="184"/>
      <c r="E61" s="184"/>
      <c r="F61" s="184"/>
      <c r="G61" s="184"/>
      <c r="H61" s="182"/>
      <c r="I61" s="182"/>
      <c r="J61" s="182"/>
      <c r="K61" s="182"/>
      <c r="L61" s="182">
        <v>1</v>
      </c>
      <c r="M61" s="182"/>
      <c r="N61" s="182"/>
      <c r="O61" s="182"/>
      <c r="P61" s="182"/>
      <c r="Q61" s="182"/>
      <c r="R61" s="182"/>
      <c r="S61" s="182"/>
      <c r="T61" s="182"/>
      <c r="U61" s="182"/>
      <c r="V61" s="182"/>
      <c r="W61" s="182"/>
      <c r="X61" s="182"/>
      <c r="Y61" s="182"/>
      <c r="Z61" s="182"/>
      <c r="AA61" s="182"/>
      <c r="AB61" s="182"/>
      <c r="AC61" s="182"/>
      <c r="AD61" s="182"/>
      <c r="AE61" s="182"/>
      <c r="AF61" s="182"/>
      <c r="AG61" s="182"/>
      <c r="AH61" s="339">
        <v>1</v>
      </c>
      <c r="AI61" s="340" t="s">
        <v>795</v>
      </c>
      <c r="AJ61" s="341">
        <v>42371</v>
      </c>
      <c r="AK61" s="187"/>
      <c r="AL61" s="187">
        <f t="shared" si="13"/>
        <v>0</v>
      </c>
      <c r="AM61" s="187">
        <f t="shared" si="14"/>
        <v>0</v>
      </c>
      <c r="AN61" s="187">
        <f t="shared" si="15"/>
        <v>0</v>
      </c>
      <c r="AO61" s="187">
        <f t="shared" si="16"/>
        <v>0</v>
      </c>
      <c r="AP61" s="187">
        <f t="shared" si="17"/>
        <v>0</v>
      </c>
      <c r="AQ61" s="187">
        <f t="shared" si="18"/>
        <v>0</v>
      </c>
      <c r="AR61" s="187">
        <f t="shared" si="19"/>
        <v>0</v>
      </c>
      <c r="AS61" s="187">
        <f t="shared" si="20"/>
        <v>19</v>
      </c>
      <c r="AT61" s="187">
        <f t="shared" si="21"/>
        <v>0</v>
      </c>
      <c r="AU61" s="187">
        <f t="shared" si="22"/>
        <v>0</v>
      </c>
      <c r="AV61" s="187">
        <f t="shared" si="23"/>
        <v>0</v>
      </c>
      <c r="AW61" s="187">
        <f t="shared" si="24"/>
        <v>0</v>
      </c>
      <c r="AX61" s="187">
        <f t="shared" si="25"/>
        <v>0</v>
      </c>
      <c r="AY61" s="187">
        <f t="shared" si="26"/>
        <v>0</v>
      </c>
      <c r="AZ61" s="187">
        <f t="shared" si="27"/>
        <v>0</v>
      </c>
      <c r="BA61" s="187">
        <f t="shared" si="28"/>
        <v>0</v>
      </c>
      <c r="BB61" s="187">
        <f t="shared" si="29"/>
        <v>0</v>
      </c>
      <c r="BC61" s="187">
        <f t="shared" si="30"/>
        <v>0</v>
      </c>
      <c r="BD61" s="187">
        <f t="shared" si="31"/>
        <v>0</v>
      </c>
      <c r="BE61" s="187">
        <f t="shared" si="32"/>
        <v>0</v>
      </c>
      <c r="BF61" s="187">
        <f t="shared" si="33"/>
        <v>0</v>
      </c>
      <c r="BG61" s="187">
        <f t="shared" si="34"/>
        <v>0</v>
      </c>
      <c r="BH61" s="187">
        <f t="shared" si="35"/>
        <v>0</v>
      </c>
      <c r="BI61" s="187">
        <f t="shared" si="36"/>
        <v>0</v>
      </c>
      <c r="BJ61" s="273">
        <f t="shared" si="37"/>
        <v>19</v>
      </c>
      <c r="BK61" s="167">
        <f t="shared" ref="BK61" si="53">BJ61</f>
        <v>19</v>
      </c>
      <c r="BL61" s="167"/>
      <c r="BM61" s="644"/>
      <c r="BN61" s="644"/>
      <c r="BO61" s="644"/>
      <c r="BP61" s="644"/>
      <c r="BQ61" s="644"/>
      <c r="BR61" s="644"/>
      <c r="BS61" s="644"/>
      <c r="BT61" s="644"/>
      <c r="BU61" s="644"/>
      <c r="BV61" s="644"/>
      <c r="BW61" s="644"/>
      <c r="BX61" s="644"/>
      <c r="BY61" s="644"/>
      <c r="BZ61" s="644"/>
      <c r="CA61" s="644"/>
      <c r="CB61" s="644"/>
      <c r="CC61" s="644"/>
      <c r="CD61" s="644"/>
      <c r="CE61" s="644"/>
      <c r="CF61" s="644"/>
      <c r="CG61" s="644"/>
      <c r="CH61" s="644"/>
      <c r="CI61" s="644"/>
      <c r="CJ61" s="301" t="s">
        <v>756</v>
      </c>
      <c r="CK61" s="342"/>
      <c r="CL61" s="343"/>
    </row>
    <row r="62" spans="1:90" s="344" customFormat="1">
      <c r="A62" s="335" t="s">
        <v>796</v>
      </c>
      <c r="B62" s="182"/>
      <c r="C62" s="183"/>
      <c r="D62" s="184">
        <v>1</v>
      </c>
      <c r="E62" s="184"/>
      <c r="F62" s="184"/>
      <c r="G62" s="184"/>
      <c r="H62" s="182"/>
      <c r="I62" s="182"/>
      <c r="J62" s="182"/>
      <c r="K62" s="182"/>
      <c r="L62" s="182">
        <v>1</v>
      </c>
      <c r="M62" s="182"/>
      <c r="N62" s="182"/>
      <c r="O62" s="182">
        <v>1</v>
      </c>
      <c r="P62" s="182"/>
      <c r="Q62" s="182">
        <v>1</v>
      </c>
      <c r="R62" s="182"/>
      <c r="S62" s="302">
        <v>1</v>
      </c>
      <c r="T62" s="182">
        <v>1</v>
      </c>
      <c r="U62" s="182"/>
      <c r="V62" s="182">
        <v>1</v>
      </c>
      <c r="W62" s="182">
        <v>1</v>
      </c>
      <c r="X62" s="182">
        <v>1</v>
      </c>
      <c r="Y62" s="302">
        <v>1</v>
      </c>
      <c r="Z62" s="182"/>
      <c r="AA62" s="182"/>
      <c r="AB62" s="182"/>
      <c r="AC62" s="182"/>
      <c r="AD62" s="182"/>
      <c r="AE62" s="182"/>
      <c r="AF62" s="182"/>
      <c r="AG62" s="182"/>
      <c r="AH62" s="339">
        <v>10</v>
      </c>
      <c r="AI62" s="340" t="s">
        <v>797</v>
      </c>
      <c r="AJ62" s="341">
        <v>42367</v>
      </c>
      <c r="AK62" s="352"/>
      <c r="AL62" s="187">
        <f t="shared" si="13"/>
        <v>0</v>
      </c>
      <c r="AM62" s="187">
        <f t="shared" si="14"/>
        <v>13</v>
      </c>
      <c r="AN62" s="187">
        <f t="shared" si="15"/>
        <v>0</v>
      </c>
      <c r="AO62" s="187">
        <f t="shared" si="16"/>
        <v>0</v>
      </c>
      <c r="AP62" s="187">
        <f t="shared" si="17"/>
        <v>0</v>
      </c>
      <c r="AQ62" s="187">
        <f t="shared" si="18"/>
        <v>0</v>
      </c>
      <c r="AR62" s="187">
        <f t="shared" si="19"/>
        <v>0</v>
      </c>
      <c r="AS62" s="187">
        <f t="shared" si="20"/>
        <v>19</v>
      </c>
      <c r="AT62" s="187">
        <f t="shared" si="21"/>
        <v>13</v>
      </c>
      <c r="AU62" s="187">
        <f t="shared" si="22"/>
        <v>0</v>
      </c>
      <c r="AV62" s="187">
        <f t="shared" si="23"/>
        <v>3</v>
      </c>
      <c r="AW62" s="187">
        <f t="shared" si="24"/>
        <v>8</v>
      </c>
      <c r="AX62" s="187">
        <f t="shared" si="25"/>
        <v>4</v>
      </c>
      <c r="AY62" s="187">
        <f t="shared" si="26"/>
        <v>0</v>
      </c>
      <c r="AZ62" s="187">
        <f t="shared" si="27"/>
        <v>8</v>
      </c>
      <c r="BA62" s="187">
        <f t="shared" si="28"/>
        <v>16</v>
      </c>
      <c r="BB62" s="187">
        <f t="shared" si="29"/>
        <v>13</v>
      </c>
      <c r="BC62" s="187">
        <f t="shared" si="30"/>
        <v>10</v>
      </c>
      <c r="BD62" s="187">
        <f t="shared" si="31"/>
        <v>0</v>
      </c>
      <c r="BE62" s="187">
        <f t="shared" si="32"/>
        <v>0</v>
      </c>
      <c r="BF62" s="187">
        <f t="shared" si="33"/>
        <v>0</v>
      </c>
      <c r="BG62" s="187">
        <f t="shared" si="34"/>
        <v>0</v>
      </c>
      <c r="BH62" s="187">
        <f t="shared" si="35"/>
        <v>0</v>
      </c>
      <c r="BI62" s="187">
        <f t="shared" si="36"/>
        <v>0</v>
      </c>
      <c r="BJ62" s="273">
        <f t="shared" si="37"/>
        <v>100</v>
      </c>
      <c r="BK62" s="339">
        <f t="shared" si="38"/>
        <v>100</v>
      </c>
      <c r="BL62" s="339"/>
      <c r="BM62" s="182"/>
      <c r="BN62" s="182"/>
      <c r="BO62" s="182"/>
      <c r="BP62" s="182"/>
      <c r="BQ62" s="182"/>
      <c r="BR62" s="182"/>
      <c r="BS62" s="182"/>
      <c r="BT62" s="182"/>
      <c r="BU62" s="182"/>
      <c r="BV62" s="182"/>
      <c r="BW62" s="182"/>
      <c r="BX62" s="182"/>
      <c r="BY62" s="182"/>
      <c r="BZ62" s="182"/>
      <c r="CA62" s="182"/>
      <c r="CB62" s="182"/>
      <c r="CC62" s="182"/>
      <c r="CD62" s="182"/>
      <c r="CE62" s="182"/>
      <c r="CF62" s="182"/>
      <c r="CG62" s="182"/>
      <c r="CH62" s="182"/>
      <c r="CI62" s="182"/>
      <c r="CJ62" s="635" t="s">
        <v>740</v>
      </c>
      <c r="CK62" s="342"/>
      <c r="CL62" s="343"/>
    </row>
    <row r="63" spans="1:90">
      <c r="A63" s="181" t="s">
        <v>159</v>
      </c>
      <c r="B63" s="182"/>
      <c r="C63" s="183"/>
      <c r="D63" s="184">
        <v>1</v>
      </c>
      <c r="E63" s="184"/>
      <c r="F63" s="184"/>
      <c r="G63" s="184"/>
      <c r="H63" s="182"/>
      <c r="I63" s="182"/>
      <c r="J63" s="182"/>
      <c r="K63" s="182"/>
      <c r="L63" s="182">
        <v>1</v>
      </c>
      <c r="M63" s="182"/>
      <c r="N63" s="182"/>
      <c r="O63" s="182">
        <v>1</v>
      </c>
      <c r="P63" s="182"/>
      <c r="Q63" s="182"/>
      <c r="R63" s="182"/>
      <c r="S63" s="182"/>
      <c r="T63" s="302">
        <v>1</v>
      </c>
      <c r="U63" s="182"/>
      <c r="V63" s="182">
        <v>1</v>
      </c>
      <c r="W63" s="182">
        <v>1</v>
      </c>
      <c r="X63" s="182">
        <v>1</v>
      </c>
      <c r="Y63" s="182">
        <v>1</v>
      </c>
      <c r="Z63" s="182"/>
      <c r="AA63" s="302">
        <v>1</v>
      </c>
      <c r="AB63" s="182"/>
      <c r="AC63" s="182"/>
      <c r="AD63" s="182"/>
      <c r="AE63" s="182">
        <v>1</v>
      </c>
      <c r="AF63" s="182"/>
      <c r="AG63" s="182"/>
      <c r="AH63" s="167">
        <v>10</v>
      </c>
      <c r="AI63" s="300" t="s">
        <v>798</v>
      </c>
      <c r="AJ63" s="186">
        <v>42321</v>
      </c>
      <c r="AK63" s="187"/>
      <c r="AL63" s="187">
        <f t="shared" si="13"/>
        <v>0</v>
      </c>
      <c r="AM63" s="187">
        <f t="shared" si="14"/>
        <v>13</v>
      </c>
      <c r="AN63" s="187">
        <f t="shared" si="15"/>
        <v>0</v>
      </c>
      <c r="AO63" s="187">
        <f t="shared" si="16"/>
        <v>0</v>
      </c>
      <c r="AP63" s="187">
        <f t="shared" si="17"/>
        <v>0</v>
      </c>
      <c r="AQ63" s="187">
        <f t="shared" si="18"/>
        <v>0</v>
      </c>
      <c r="AR63" s="187">
        <f t="shared" si="19"/>
        <v>0</v>
      </c>
      <c r="AS63" s="187">
        <f t="shared" si="20"/>
        <v>19</v>
      </c>
      <c r="AT63" s="187">
        <f t="shared" si="21"/>
        <v>13</v>
      </c>
      <c r="AU63" s="187">
        <f t="shared" si="22"/>
        <v>0</v>
      </c>
      <c r="AV63" s="187">
        <f t="shared" si="23"/>
        <v>0</v>
      </c>
      <c r="AW63" s="187">
        <f t="shared" si="24"/>
        <v>0</v>
      </c>
      <c r="AX63" s="187">
        <f t="shared" si="25"/>
        <v>4</v>
      </c>
      <c r="AY63" s="187">
        <f t="shared" si="26"/>
        <v>0</v>
      </c>
      <c r="AZ63" s="187">
        <f t="shared" si="27"/>
        <v>8</v>
      </c>
      <c r="BA63" s="187">
        <f t="shared" si="28"/>
        <v>16</v>
      </c>
      <c r="BB63" s="187">
        <f t="shared" si="29"/>
        <v>13</v>
      </c>
      <c r="BC63" s="187">
        <f t="shared" si="30"/>
        <v>10</v>
      </c>
      <c r="BD63" s="187">
        <f t="shared" si="31"/>
        <v>0</v>
      </c>
      <c r="BE63" s="187">
        <f t="shared" si="32"/>
        <v>6</v>
      </c>
      <c r="BF63" s="187">
        <f t="shared" si="33"/>
        <v>0</v>
      </c>
      <c r="BG63" s="187">
        <f t="shared" si="34"/>
        <v>0</v>
      </c>
      <c r="BH63" s="187">
        <f t="shared" si="35"/>
        <v>2</v>
      </c>
      <c r="BI63" s="187">
        <f t="shared" si="36"/>
        <v>0</v>
      </c>
      <c r="BJ63" s="273">
        <f t="shared" si="37"/>
        <v>98</v>
      </c>
      <c r="BK63" s="167">
        <f t="shared" si="38"/>
        <v>98</v>
      </c>
      <c r="BL63" s="167"/>
      <c r="BM63" s="644"/>
      <c r="BN63" s="644"/>
      <c r="BO63" s="644"/>
      <c r="BP63" s="644"/>
      <c r="BQ63" s="644"/>
      <c r="BR63" s="644"/>
      <c r="BS63" s="644"/>
      <c r="BT63" s="644"/>
      <c r="BU63" s="644"/>
      <c r="BV63" s="644"/>
      <c r="BW63" s="644"/>
      <c r="BX63" s="644"/>
      <c r="BY63" s="644"/>
      <c r="BZ63" s="644"/>
      <c r="CA63" s="644"/>
      <c r="CB63" s="644"/>
      <c r="CC63" s="644"/>
      <c r="CD63" s="644"/>
      <c r="CE63" s="644"/>
      <c r="CF63" s="644"/>
      <c r="CG63" s="644"/>
      <c r="CH63" s="644"/>
      <c r="CI63" s="644"/>
      <c r="CJ63" s="301" t="s">
        <v>769</v>
      </c>
      <c r="CK63" s="180"/>
      <c r="CL63" s="136"/>
    </row>
    <row r="64" spans="1:90">
      <c r="A64" s="181" t="s">
        <v>160</v>
      </c>
      <c r="B64" s="182"/>
      <c r="C64" s="183"/>
      <c r="D64" s="302">
        <v>1</v>
      </c>
      <c r="E64" s="184">
        <v>1</v>
      </c>
      <c r="F64" s="184"/>
      <c r="G64" s="184">
        <v>1</v>
      </c>
      <c r="H64" s="182"/>
      <c r="I64" s="182"/>
      <c r="J64" s="182"/>
      <c r="K64" s="182"/>
      <c r="L64" s="182">
        <v>1</v>
      </c>
      <c r="M64" s="182"/>
      <c r="N64" s="182"/>
      <c r="O64" s="182">
        <v>1</v>
      </c>
      <c r="P64" s="182"/>
      <c r="Q64" s="182"/>
      <c r="R64" s="182"/>
      <c r="S64" s="182"/>
      <c r="T64" s="182"/>
      <c r="U64" s="182">
        <v>1</v>
      </c>
      <c r="V64" s="182"/>
      <c r="W64" s="182">
        <v>1</v>
      </c>
      <c r="X64" s="182"/>
      <c r="Y64" s="182">
        <v>1</v>
      </c>
      <c r="Z64" s="302">
        <v>1</v>
      </c>
      <c r="AA64" s="182"/>
      <c r="AB64" s="182">
        <v>1</v>
      </c>
      <c r="AC64" s="182"/>
      <c r="AD64" s="182"/>
      <c r="AE64" s="182"/>
      <c r="AF64" s="182"/>
      <c r="AG64" s="182"/>
      <c r="AH64" s="167">
        <v>10</v>
      </c>
      <c r="AI64" s="300" t="s">
        <v>799</v>
      </c>
      <c r="AJ64" s="186">
        <v>42352</v>
      </c>
      <c r="AK64" s="187"/>
      <c r="AL64" s="187">
        <f t="shared" si="13"/>
        <v>0</v>
      </c>
      <c r="AM64" s="187">
        <f t="shared" si="14"/>
        <v>13</v>
      </c>
      <c r="AN64" s="187">
        <f t="shared" si="15"/>
        <v>8</v>
      </c>
      <c r="AO64" s="187">
        <f t="shared" si="16"/>
        <v>8</v>
      </c>
      <c r="AP64" s="187">
        <f t="shared" si="17"/>
        <v>0</v>
      </c>
      <c r="AQ64" s="187">
        <f t="shared" si="18"/>
        <v>0</v>
      </c>
      <c r="AR64" s="187">
        <f t="shared" si="19"/>
        <v>0</v>
      </c>
      <c r="AS64" s="187">
        <f t="shared" si="20"/>
        <v>19</v>
      </c>
      <c r="AT64" s="187">
        <f t="shared" si="21"/>
        <v>13</v>
      </c>
      <c r="AU64" s="187">
        <f t="shared" si="22"/>
        <v>0</v>
      </c>
      <c r="AV64" s="187">
        <f t="shared" si="23"/>
        <v>0</v>
      </c>
      <c r="AW64" s="187">
        <f t="shared" si="24"/>
        <v>0</v>
      </c>
      <c r="AX64" s="187">
        <f t="shared" si="25"/>
        <v>0</v>
      </c>
      <c r="AY64" s="187">
        <f t="shared" si="26"/>
        <v>2</v>
      </c>
      <c r="AZ64" s="187">
        <f t="shared" si="27"/>
        <v>0</v>
      </c>
      <c r="BA64" s="187">
        <f t="shared" si="28"/>
        <v>16</v>
      </c>
      <c r="BB64" s="187">
        <f t="shared" si="29"/>
        <v>0</v>
      </c>
      <c r="BC64" s="187">
        <f t="shared" si="30"/>
        <v>10</v>
      </c>
      <c r="BD64" s="187">
        <f t="shared" si="31"/>
        <v>2</v>
      </c>
      <c r="BE64" s="187">
        <f t="shared" si="32"/>
        <v>0</v>
      </c>
      <c r="BF64" s="187">
        <f t="shared" si="33"/>
        <v>1</v>
      </c>
      <c r="BG64" s="187">
        <f t="shared" si="34"/>
        <v>0</v>
      </c>
      <c r="BH64" s="187">
        <f t="shared" si="35"/>
        <v>0</v>
      </c>
      <c r="BI64" s="187">
        <f t="shared" si="36"/>
        <v>0</v>
      </c>
      <c r="BJ64" s="273">
        <f t="shared" si="37"/>
        <v>89</v>
      </c>
      <c r="BK64" s="167">
        <f t="shared" si="38"/>
        <v>89</v>
      </c>
      <c r="BL64" s="167"/>
      <c r="BM64" s="644"/>
      <c r="BN64" s="644"/>
      <c r="BO64" s="644"/>
      <c r="BP64" s="644"/>
      <c r="BQ64" s="644"/>
      <c r="BR64" s="644"/>
      <c r="BS64" s="644"/>
      <c r="BT64" s="644"/>
      <c r="BU64" s="644"/>
      <c r="BV64" s="644"/>
      <c r="BW64" s="644"/>
      <c r="BX64" s="644"/>
      <c r="BY64" s="644"/>
      <c r="BZ64" s="644"/>
      <c r="CA64" s="644"/>
      <c r="CB64" s="644"/>
      <c r="CC64" s="644"/>
      <c r="CD64" s="644"/>
      <c r="CE64" s="644"/>
      <c r="CF64" s="644"/>
      <c r="CG64" s="644"/>
      <c r="CH64" s="644"/>
      <c r="CI64" s="644"/>
      <c r="CJ64" s="301" t="s">
        <v>771</v>
      </c>
      <c r="CK64" s="180"/>
      <c r="CL64" s="136"/>
    </row>
    <row r="65" spans="1:90" ht="12.75" customHeight="1">
      <c r="A65" s="181" t="s">
        <v>163</v>
      </c>
      <c r="B65" s="182"/>
      <c r="C65" s="183"/>
      <c r="D65" s="184">
        <v>1</v>
      </c>
      <c r="E65" s="184">
        <v>1</v>
      </c>
      <c r="F65" s="184"/>
      <c r="G65" s="184">
        <v>1</v>
      </c>
      <c r="H65" s="182"/>
      <c r="I65" s="182"/>
      <c r="J65" s="182"/>
      <c r="K65" s="182"/>
      <c r="L65" s="182">
        <v>1</v>
      </c>
      <c r="M65" s="182"/>
      <c r="N65" s="182"/>
      <c r="O65" s="182"/>
      <c r="P65" s="182"/>
      <c r="Q65" s="182"/>
      <c r="R65" s="182"/>
      <c r="S65" s="182">
        <v>1</v>
      </c>
      <c r="T65" s="182"/>
      <c r="U65" s="182"/>
      <c r="V65" s="302">
        <v>1</v>
      </c>
      <c r="W65" s="182">
        <v>1</v>
      </c>
      <c r="X65" s="182">
        <v>1</v>
      </c>
      <c r="Y65" s="302">
        <v>1</v>
      </c>
      <c r="Z65" s="182"/>
      <c r="AA65" s="182"/>
      <c r="AB65" s="182"/>
      <c r="AC65" s="182"/>
      <c r="AD65" s="182"/>
      <c r="AE65" s="182"/>
      <c r="AF65" s="302">
        <v>1</v>
      </c>
      <c r="AG65" s="182"/>
      <c r="AH65" s="167">
        <v>10</v>
      </c>
      <c r="AI65" s="300" t="s">
        <v>800</v>
      </c>
      <c r="AJ65" s="186">
        <v>42350</v>
      </c>
      <c r="AK65" s="187"/>
      <c r="AL65" s="187">
        <f t="shared" si="13"/>
        <v>0</v>
      </c>
      <c r="AM65" s="187">
        <f t="shared" si="14"/>
        <v>13</v>
      </c>
      <c r="AN65" s="187">
        <f t="shared" si="15"/>
        <v>8</v>
      </c>
      <c r="AO65" s="187">
        <f t="shared" si="16"/>
        <v>8</v>
      </c>
      <c r="AP65" s="187">
        <f t="shared" si="17"/>
        <v>0</v>
      </c>
      <c r="AQ65" s="187">
        <f t="shared" si="18"/>
        <v>0</v>
      </c>
      <c r="AR65" s="187">
        <f t="shared" si="19"/>
        <v>0</v>
      </c>
      <c r="AS65" s="187">
        <f t="shared" si="20"/>
        <v>19</v>
      </c>
      <c r="AT65" s="187">
        <f t="shared" si="21"/>
        <v>0</v>
      </c>
      <c r="AU65" s="187">
        <f t="shared" si="22"/>
        <v>0</v>
      </c>
      <c r="AV65" s="187">
        <f t="shared" si="23"/>
        <v>0</v>
      </c>
      <c r="AW65" s="187">
        <f t="shared" si="24"/>
        <v>8</v>
      </c>
      <c r="AX65" s="187">
        <f t="shared" si="25"/>
        <v>0</v>
      </c>
      <c r="AY65" s="187">
        <f t="shared" si="26"/>
        <v>0</v>
      </c>
      <c r="AZ65" s="187">
        <f t="shared" si="27"/>
        <v>8</v>
      </c>
      <c r="BA65" s="187">
        <f t="shared" si="28"/>
        <v>16</v>
      </c>
      <c r="BB65" s="187">
        <f t="shared" si="29"/>
        <v>13</v>
      </c>
      <c r="BC65" s="187">
        <f t="shared" si="30"/>
        <v>10</v>
      </c>
      <c r="BD65" s="187">
        <f t="shared" si="31"/>
        <v>0</v>
      </c>
      <c r="BE65" s="187">
        <f t="shared" si="32"/>
        <v>0</v>
      </c>
      <c r="BF65" s="187">
        <f t="shared" si="33"/>
        <v>0</v>
      </c>
      <c r="BG65" s="187">
        <f t="shared" si="34"/>
        <v>0</v>
      </c>
      <c r="BH65" s="187">
        <f t="shared" si="35"/>
        <v>0</v>
      </c>
      <c r="BI65" s="187">
        <f t="shared" si="36"/>
        <v>3</v>
      </c>
      <c r="BJ65" s="273">
        <f t="shared" si="37"/>
        <v>95</v>
      </c>
      <c r="BK65" s="167">
        <f t="shared" si="38"/>
        <v>95</v>
      </c>
      <c r="BL65" s="167"/>
      <c r="BM65" s="644"/>
      <c r="BN65" s="644"/>
      <c r="BO65" s="644"/>
      <c r="BP65" s="644"/>
      <c r="BQ65" s="644"/>
      <c r="BR65" s="644"/>
      <c r="BS65" s="644"/>
      <c r="BT65" s="644"/>
      <c r="BU65" s="644"/>
      <c r="BV65" s="644"/>
      <c r="BW65" s="644"/>
      <c r="BX65" s="644"/>
      <c r="BY65" s="644"/>
      <c r="BZ65" s="644"/>
      <c r="CA65" s="644"/>
      <c r="CB65" s="644"/>
      <c r="CC65" s="644"/>
      <c r="CD65" s="644"/>
      <c r="CE65" s="644"/>
      <c r="CF65" s="644"/>
      <c r="CG65" s="644"/>
      <c r="CH65" s="644"/>
      <c r="CI65" s="644"/>
      <c r="CJ65" s="301" t="s">
        <v>746</v>
      </c>
      <c r="CK65" s="180"/>
      <c r="CL65" s="136"/>
    </row>
    <row r="66" spans="1:90" s="326" customFormat="1" ht="12.75" customHeight="1">
      <c r="A66" s="327" t="s">
        <v>165</v>
      </c>
      <c r="B66" s="315"/>
      <c r="C66" s="315"/>
      <c r="D66" s="315">
        <v>1</v>
      </c>
      <c r="E66" s="302">
        <v>1</v>
      </c>
      <c r="F66" s="302"/>
      <c r="G66" s="302">
        <v>1</v>
      </c>
      <c r="H66" s="315"/>
      <c r="I66" s="315"/>
      <c r="J66" s="315"/>
      <c r="K66" s="315"/>
      <c r="L66" s="315">
        <v>1</v>
      </c>
      <c r="M66" s="315"/>
      <c r="N66" s="315"/>
      <c r="O66" s="315">
        <v>1</v>
      </c>
      <c r="P66" s="315"/>
      <c r="Q66" s="315"/>
      <c r="R66" s="315"/>
      <c r="S66" s="315">
        <v>1</v>
      </c>
      <c r="T66" s="315"/>
      <c r="U66" s="315"/>
      <c r="V66" s="315">
        <v>1</v>
      </c>
      <c r="W66" s="315">
        <v>1</v>
      </c>
      <c r="X66" s="315">
        <v>1</v>
      </c>
      <c r="Y66" s="315">
        <v>1</v>
      </c>
      <c r="Z66" s="315"/>
      <c r="AA66" s="315"/>
      <c r="AB66" s="315"/>
      <c r="AC66" s="315"/>
      <c r="AD66" s="315"/>
      <c r="AE66" s="315"/>
      <c r="AF66" s="315"/>
      <c r="AG66" s="315"/>
      <c r="AH66" s="321">
        <v>10</v>
      </c>
      <c r="AI66" s="354" t="s">
        <v>801</v>
      </c>
      <c r="AJ66" s="323">
        <v>42362</v>
      </c>
      <c r="AK66" s="187"/>
      <c r="AL66" s="187">
        <f t="shared" si="13"/>
        <v>0</v>
      </c>
      <c r="AM66" s="187">
        <f t="shared" si="14"/>
        <v>13</v>
      </c>
      <c r="AN66" s="187">
        <f t="shared" si="15"/>
        <v>8</v>
      </c>
      <c r="AO66" s="187">
        <f t="shared" si="16"/>
        <v>8</v>
      </c>
      <c r="AP66" s="187">
        <f t="shared" si="17"/>
        <v>0</v>
      </c>
      <c r="AQ66" s="187">
        <f t="shared" si="18"/>
        <v>0</v>
      </c>
      <c r="AR66" s="187">
        <f t="shared" si="19"/>
        <v>0</v>
      </c>
      <c r="AS66" s="187">
        <f t="shared" si="20"/>
        <v>19</v>
      </c>
      <c r="AT66" s="187">
        <f t="shared" si="21"/>
        <v>13</v>
      </c>
      <c r="AU66" s="187">
        <f t="shared" si="22"/>
        <v>0</v>
      </c>
      <c r="AV66" s="187">
        <f t="shared" si="23"/>
        <v>0</v>
      </c>
      <c r="AW66" s="187">
        <f t="shared" si="24"/>
        <v>8</v>
      </c>
      <c r="AX66" s="187">
        <f t="shared" si="25"/>
        <v>0</v>
      </c>
      <c r="AY66" s="187">
        <f t="shared" si="26"/>
        <v>0</v>
      </c>
      <c r="AZ66" s="187">
        <f t="shared" si="27"/>
        <v>8</v>
      </c>
      <c r="BA66" s="187">
        <f t="shared" si="28"/>
        <v>16</v>
      </c>
      <c r="BB66" s="187">
        <f t="shared" si="29"/>
        <v>13</v>
      </c>
      <c r="BC66" s="187">
        <f t="shared" si="30"/>
        <v>10</v>
      </c>
      <c r="BD66" s="187">
        <f t="shared" si="31"/>
        <v>0</v>
      </c>
      <c r="BE66" s="187">
        <f t="shared" si="32"/>
        <v>0</v>
      </c>
      <c r="BF66" s="187">
        <f t="shared" si="33"/>
        <v>0</v>
      </c>
      <c r="BG66" s="187">
        <f t="shared" si="34"/>
        <v>0</v>
      </c>
      <c r="BH66" s="187">
        <f t="shared" si="35"/>
        <v>0</v>
      </c>
      <c r="BI66" s="187">
        <f t="shared" si="36"/>
        <v>0</v>
      </c>
      <c r="BJ66" s="273">
        <f t="shared" si="37"/>
        <v>100</v>
      </c>
      <c r="BK66" s="167">
        <f t="shared" ref="BK66:BK67" si="54">BJ66</f>
        <v>100</v>
      </c>
      <c r="BL66" s="167"/>
      <c r="BM66" s="644"/>
      <c r="BN66" s="644"/>
      <c r="BO66" s="644"/>
      <c r="BP66" s="644"/>
      <c r="BQ66" s="644"/>
      <c r="BR66" s="644"/>
      <c r="BS66" s="644"/>
      <c r="BT66" s="644"/>
      <c r="BU66" s="644"/>
      <c r="BV66" s="644"/>
      <c r="BW66" s="644"/>
      <c r="BX66" s="644"/>
      <c r="BY66" s="644"/>
      <c r="BZ66" s="644"/>
      <c r="CA66" s="644"/>
      <c r="CB66" s="644"/>
      <c r="CC66" s="644"/>
      <c r="CD66" s="644"/>
      <c r="CE66" s="644"/>
      <c r="CF66" s="644"/>
      <c r="CG66" s="644"/>
      <c r="CH66" s="644"/>
      <c r="CI66" s="644"/>
      <c r="CJ66" s="301" t="s">
        <v>769</v>
      </c>
      <c r="CK66" s="324"/>
      <c r="CL66" s="325"/>
    </row>
    <row r="67" spans="1:90" s="344" customFormat="1" ht="12.75" customHeight="1">
      <c r="A67" s="335" t="s">
        <v>802</v>
      </c>
      <c r="B67" s="182"/>
      <c r="C67" s="182"/>
      <c r="D67" s="182">
        <v>1</v>
      </c>
      <c r="E67" s="182"/>
      <c r="F67" s="182"/>
      <c r="G67" s="182"/>
      <c r="H67" s="182"/>
      <c r="I67" s="182"/>
      <c r="J67" s="182"/>
      <c r="K67" s="182"/>
      <c r="L67" s="182">
        <v>1</v>
      </c>
      <c r="M67" s="182"/>
      <c r="N67" s="182"/>
      <c r="O67" s="182">
        <v>1</v>
      </c>
      <c r="P67" s="182"/>
      <c r="Q67" s="182"/>
      <c r="R67" s="182"/>
      <c r="S67" s="182">
        <v>1</v>
      </c>
      <c r="T67" s="182"/>
      <c r="U67" s="182"/>
      <c r="V67" s="182"/>
      <c r="W67" s="182">
        <v>1</v>
      </c>
      <c r="X67" s="182">
        <v>1</v>
      </c>
      <c r="Y67" s="182">
        <v>1</v>
      </c>
      <c r="Z67" s="182"/>
      <c r="AA67" s="182">
        <v>1</v>
      </c>
      <c r="AB67" s="182"/>
      <c r="AC67" s="182"/>
      <c r="AD67" s="182">
        <v>1</v>
      </c>
      <c r="AE67" s="182"/>
      <c r="AF67" s="182"/>
      <c r="AG67" s="182"/>
      <c r="AH67" s="339">
        <v>9</v>
      </c>
      <c r="AI67" s="358" t="s">
        <v>803</v>
      </c>
      <c r="AJ67" s="341">
        <v>42375</v>
      </c>
      <c r="AK67" s="187"/>
      <c r="AL67" s="187">
        <f t="shared" si="13"/>
        <v>0</v>
      </c>
      <c r="AM67" s="187">
        <f t="shared" si="14"/>
        <v>13</v>
      </c>
      <c r="AN67" s="187">
        <f t="shared" si="15"/>
        <v>0</v>
      </c>
      <c r="AO67" s="187">
        <f t="shared" si="16"/>
        <v>0</v>
      </c>
      <c r="AP67" s="187">
        <f t="shared" si="17"/>
        <v>0</v>
      </c>
      <c r="AQ67" s="187">
        <f t="shared" si="18"/>
        <v>0</v>
      </c>
      <c r="AR67" s="187">
        <f t="shared" si="19"/>
        <v>0</v>
      </c>
      <c r="AS67" s="187">
        <f t="shared" si="20"/>
        <v>19</v>
      </c>
      <c r="AT67" s="187">
        <f t="shared" si="21"/>
        <v>13</v>
      </c>
      <c r="AU67" s="187">
        <f t="shared" si="22"/>
        <v>0</v>
      </c>
      <c r="AV67" s="187">
        <f t="shared" si="23"/>
        <v>0</v>
      </c>
      <c r="AW67" s="187">
        <f t="shared" si="24"/>
        <v>8</v>
      </c>
      <c r="AX67" s="187">
        <f t="shared" si="25"/>
        <v>0</v>
      </c>
      <c r="AY67" s="187">
        <f t="shared" si="26"/>
        <v>0</v>
      </c>
      <c r="AZ67" s="187">
        <f t="shared" si="27"/>
        <v>0</v>
      </c>
      <c r="BA67" s="187">
        <f t="shared" si="28"/>
        <v>16</v>
      </c>
      <c r="BB67" s="187">
        <f t="shared" si="29"/>
        <v>13</v>
      </c>
      <c r="BC67" s="187">
        <f t="shared" si="30"/>
        <v>10</v>
      </c>
      <c r="BD67" s="187">
        <f t="shared" si="31"/>
        <v>0</v>
      </c>
      <c r="BE67" s="187">
        <f t="shared" si="32"/>
        <v>6</v>
      </c>
      <c r="BF67" s="187">
        <f t="shared" si="33"/>
        <v>0</v>
      </c>
      <c r="BG67" s="187">
        <f t="shared" si="34"/>
        <v>8</v>
      </c>
      <c r="BH67" s="187">
        <f t="shared" si="35"/>
        <v>0</v>
      </c>
      <c r="BI67" s="187">
        <f t="shared" si="36"/>
        <v>0</v>
      </c>
      <c r="BJ67" s="273">
        <f t="shared" si="37"/>
        <v>100</v>
      </c>
      <c r="BK67" s="167">
        <f t="shared" si="54"/>
        <v>100</v>
      </c>
      <c r="BL67" s="339"/>
      <c r="BM67" s="182"/>
      <c r="BN67" s="182"/>
      <c r="BO67" s="182"/>
      <c r="BP67" s="182"/>
      <c r="BQ67" s="182"/>
      <c r="BR67" s="182"/>
      <c r="BS67" s="182"/>
      <c r="BT67" s="182"/>
      <c r="BU67" s="182"/>
      <c r="BV67" s="182"/>
      <c r="BW67" s="182"/>
      <c r="BX67" s="182"/>
      <c r="BY67" s="182"/>
      <c r="BZ67" s="182"/>
      <c r="CA67" s="182"/>
      <c r="CB67" s="182"/>
      <c r="CC67" s="182"/>
      <c r="CD67" s="182"/>
      <c r="CE67" s="182"/>
      <c r="CF67" s="182"/>
      <c r="CG67" s="182"/>
      <c r="CH67" s="182"/>
      <c r="CI67" s="182"/>
      <c r="CJ67" s="635" t="s">
        <v>758</v>
      </c>
      <c r="CK67" s="342"/>
      <c r="CL67" s="343"/>
    </row>
    <row r="68" spans="1:90" ht="12.75" customHeight="1">
      <c r="A68" s="181" t="s">
        <v>167</v>
      </c>
      <c r="B68" s="182"/>
      <c r="C68" s="183"/>
      <c r="D68" s="184">
        <v>1</v>
      </c>
      <c r="E68" s="184"/>
      <c r="F68" s="184"/>
      <c r="G68" s="184"/>
      <c r="H68" s="182"/>
      <c r="I68" s="182"/>
      <c r="J68" s="182"/>
      <c r="K68" s="182"/>
      <c r="L68" s="182">
        <v>1</v>
      </c>
      <c r="M68" s="182"/>
      <c r="N68" s="182"/>
      <c r="O68" s="182"/>
      <c r="P68" s="182"/>
      <c r="Q68" s="302">
        <v>1</v>
      </c>
      <c r="R68" s="182"/>
      <c r="S68" s="182">
        <v>1</v>
      </c>
      <c r="T68" s="182"/>
      <c r="U68" s="182"/>
      <c r="V68" s="182">
        <v>1</v>
      </c>
      <c r="W68" s="182">
        <v>1</v>
      </c>
      <c r="X68" s="182">
        <v>1</v>
      </c>
      <c r="Y68" s="182">
        <v>1</v>
      </c>
      <c r="Z68" s="182"/>
      <c r="AA68" s="182"/>
      <c r="AB68" s="182"/>
      <c r="AC68" s="182"/>
      <c r="AD68" s="302">
        <v>1</v>
      </c>
      <c r="AE68" s="182"/>
      <c r="AF68" s="302">
        <v>1</v>
      </c>
      <c r="AG68" s="182"/>
      <c r="AH68" s="167">
        <v>10</v>
      </c>
      <c r="AI68" s="300" t="s">
        <v>804</v>
      </c>
      <c r="AJ68" s="186">
        <v>42359</v>
      </c>
      <c r="AK68" s="187"/>
      <c r="AL68" s="187">
        <f t="shared" si="13"/>
        <v>0</v>
      </c>
      <c r="AM68" s="187">
        <f t="shared" si="14"/>
        <v>13</v>
      </c>
      <c r="AN68" s="187">
        <f t="shared" si="15"/>
        <v>0</v>
      </c>
      <c r="AO68" s="187">
        <f t="shared" si="16"/>
        <v>0</v>
      </c>
      <c r="AP68" s="187">
        <f t="shared" si="17"/>
        <v>0</v>
      </c>
      <c r="AQ68" s="187">
        <f t="shared" si="18"/>
        <v>0</v>
      </c>
      <c r="AR68" s="187">
        <f t="shared" si="19"/>
        <v>0</v>
      </c>
      <c r="AS68" s="187">
        <f t="shared" si="20"/>
        <v>19</v>
      </c>
      <c r="AT68" s="187">
        <f t="shared" si="21"/>
        <v>0</v>
      </c>
      <c r="AU68" s="187">
        <f t="shared" si="22"/>
        <v>0</v>
      </c>
      <c r="AV68" s="187">
        <f t="shared" si="23"/>
        <v>3</v>
      </c>
      <c r="AW68" s="187">
        <f t="shared" si="24"/>
        <v>8</v>
      </c>
      <c r="AX68" s="187">
        <f t="shared" si="25"/>
        <v>0</v>
      </c>
      <c r="AY68" s="187">
        <f t="shared" si="26"/>
        <v>0</v>
      </c>
      <c r="AZ68" s="187">
        <f t="shared" si="27"/>
        <v>8</v>
      </c>
      <c r="BA68" s="187">
        <f t="shared" si="28"/>
        <v>16</v>
      </c>
      <c r="BB68" s="187">
        <f t="shared" si="29"/>
        <v>13</v>
      </c>
      <c r="BC68" s="187">
        <f t="shared" si="30"/>
        <v>10</v>
      </c>
      <c r="BD68" s="187">
        <f t="shared" si="31"/>
        <v>0</v>
      </c>
      <c r="BE68" s="187">
        <f t="shared" si="32"/>
        <v>0</v>
      </c>
      <c r="BF68" s="187">
        <f t="shared" si="33"/>
        <v>0</v>
      </c>
      <c r="BG68" s="187">
        <f t="shared" si="34"/>
        <v>8</v>
      </c>
      <c r="BH68" s="187">
        <f t="shared" si="35"/>
        <v>0</v>
      </c>
      <c r="BI68" s="187">
        <f t="shared" si="36"/>
        <v>3</v>
      </c>
      <c r="BJ68" s="273">
        <f t="shared" si="37"/>
        <v>95</v>
      </c>
      <c r="BK68" s="167">
        <f t="shared" ref="BK68" si="55">BJ68</f>
        <v>95</v>
      </c>
      <c r="BL68" s="167"/>
      <c r="BM68" s="644"/>
      <c r="BN68" s="644"/>
      <c r="BO68" s="644"/>
      <c r="BP68" s="644"/>
      <c r="BQ68" s="644"/>
      <c r="BR68" s="644"/>
      <c r="BS68" s="644"/>
      <c r="BT68" s="644"/>
      <c r="BU68" s="644"/>
      <c r="BV68" s="644"/>
      <c r="BW68" s="644"/>
      <c r="BX68" s="644"/>
      <c r="BY68" s="644"/>
      <c r="BZ68" s="644"/>
      <c r="CA68" s="644"/>
      <c r="CB68" s="644"/>
      <c r="CC68" s="644"/>
      <c r="CD68" s="644"/>
      <c r="CE68" s="644"/>
      <c r="CF68" s="644"/>
      <c r="CG68" s="644"/>
      <c r="CH68" s="644"/>
      <c r="CI68" s="644"/>
      <c r="CJ68" s="301" t="s">
        <v>756</v>
      </c>
      <c r="CK68" s="180"/>
      <c r="CL68" s="136"/>
    </row>
    <row r="69" spans="1:90">
      <c r="A69" s="181" t="s">
        <v>168</v>
      </c>
      <c r="B69" s="182"/>
      <c r="C69" s="183"/>
      <c r="D69" s="302">
        <v>1</v>
      </c>
      <c r="E69" s="184"/>
      <c r="F69" s="184"/>
      <c r="G69" s="184"/>
      <c r="H69" s="182"/>
      <c r="I69" s="182"/>
      <c r="J69" s="182"/>
      <c r="K69" s="182"/>
      <c r="L69" s="182">
        <v>1</v>
      </c>
      <c r="M69" s="182"/>
      <c r="N69" s="182"/>
      <c r="O69" s="182">
        <v>1</v>
      </c>
      <c r="P69" s="182"/>
      <c r="Q69" s="182"/>
      <c r="R69" s="182"/>
      <c r="S69" s="182"/>
      <c r="T69" s="182"/>
      <c r="U69" s="182"/>
      <c r="V69" s="182">
        <v>1</v>
      </c>
      <c r="W69" s="182">
        <v>1</v>
      </c>
      <c r="X69" s="182">
        <v>1</v>
      </c>
      <c r="Y69" s="182">
        <v>1</v>
      </c>
      <c r="Z69" s="182"/>
      <c r="AA69" s="182"/>
      <c r="AB69" s="182"/>
      <c r="AC69" s="182"/>
      <c r="AD69" s="302">
        <v>1</v>
      </c>
      <c r="AE69" s="182"/>
      <c r="AF69" s="182"/>
      <c r="AG69" s="182"/>
      <c r="AH69" s="167">
        <v>8</v>
      </c>
      <c r="AI69" s="329" t="s">
        <v>115</v>
      </c>
      <c r="AJ69" s="186">
        <v>42349</v>
      </c>
      <c r="AK69" s="187"/>
      <c r="AL69" s="187">
        <f t="shared" si="13"/>
        <v>0</v>
      </c>
      <c r="AM69" s="187">
        <f t="shared" si="14"/>
        <v>13</v>
      </c>
      <c r="AN69" s="187">
        <f t="shared" si="15"/>
        <v>0</v>
      </c>
      <c r="AO69" s="187">
        <f t="shared" si="16"/>
        <v>0</v>
      </c>
      <c r="AP69" s="187">
        <f t="shared" si="17"/>
        <v>0</v>
      </c>
      <c r="AQ69" s="187">
        <f t="shared" si="18"/>
        <v>0</v>
      </c>
      <c r="AR69" s="187">
        <f t="shared" si="19"/>
        <v>0</v>
      </c>
      <c r="AS69" s="187">
        <f t="shared" si="20"/>
        <v>19</v>
      </c>
      <c r="AT69" s="187">
        <f t="shared" si="21"/>
        <v>13</v>
      </c>
      <c r="AU69" s="187">
        <f t="shared" si="22"/>
        <v>0</v>
      </c>
      <c r="AV69" s="187">
        <f t="shared" si="23"/>
        <v>0</v>
      </c>
      <c r="AW69" s="187">
        <f t="shared" si="24"/>
        <v>0</v>
      </c>
      <c r="AX69" s="187">
        <f t="shared" si="25"/>
        <v>0</v>
      </c>
      <c r="AY69" s="187">
        <f t="shared" si="26"/>
        <v>0</v>
      </c>
      <c r="AZ69" s="187">
        <f t="shared" si="27"/>
        <v>8</v>
      </c>
      <c r="BA69" s="187">
        <f t="shared" si="28"/>
        <v>16</v>
      </c>
      <c r="BB69" s="187">
        <f t="shared" si="29"/>
        <v>13</v>
      </c>
      <c r="BC69" s="187">
        <f t="shared" si="30"/>
        <v>10</v>
      </c>
      <c r="BD69" s="187">
        <f t="shared" si="31"/>
        <v>0</v>
      </c>
      <c r="BE69" s="187">
        <f t="shared" si="32"/>
        <v>0</v>
      </c>
      <c r="BF69" s="187">
        <f t="shared" si="33"/>
        <v>0</v>
      </c>
      <c r="BG69" s="187">
        <f t="shared" si="34"/>
        <v>8</v>
      </c>
      <c r="BH69" s="187">
        <f t="shared" si="35"/>
        <v>0</v>
      </c>
      <c r="BI69" s="187">
        <f t="shared" si="36"/>
        <v>0</v>
      </c>
      <c r="BJ69" s="273">
        <f t="shared" si="37"/>
        <v>100</v>
      </c>
      <c r="BK69" s="167">
        <f t="shared" si="38"/>
        <v>100</v>
      </c>
      <c r="BL69" s="167"/>
      <c r="BM69" s="644"/>
      <c r="BN69" s="644"/>
      <c r="BO69" s="644"/>
      <c r="BP69" s="644"/>
      <c r="BQ69" s="644"/>
      <c r="BR69" s="644"/>
      <c r="BS69" s="644"/>
      <c r="BT69" s="644"/>
      <c r="BU69" s="644"/>
      <c r="BV69" s="644"/>
      <c r="BW69" s="644"/>
      <c r="BX69" s="644"/>
      <c r="BY69" s="644"/>
      <c r="BZ69" s="644"/>
      <c r="CA69" s="644"/>
      <c r="CB69" s="644"/>
      <c r="CC69" s="644"/>
      <c r="CD69" s="644"/>
      <c r="CE69" s="644"/>
      <c r="CF69" s="644"/>
      <c r="CG69" s="644"/>
      <c r="CH69" s="644"/>
      <c r="CI69" s="644"/>
      <c r="CJ69" s="301" t="s">
        <v>805</v>
      </c>
      <c r="CK69" s="180"/>
      <c r="CL69" s="136"/>
    </row>
    <row r="70" spans="1:90" s="344" customFormat="1">
      <c r="A70" s="335" t="s">
        <v>169</v>
      </c>
      <c r="B70" s="182"/>
      <c r="C70" s="183"/>
      <c r="D70" s="182">
        <v>1</v>
      </c>
      <c r="E70" s="184"/>
      <c r="F70" s="184"/>
      <c r="G70" s="184"/>
      <c r="H70" s="182"/>
      <c r="I70" s="182"/>
      <c r="J70" s="182"/>
      <c r="K70" s="182"/>
      <c r="L70" s="182">
        <v>1</v>
      </c>
      <c r="M70" s="182"/>
      <c r="N70" s="182"/>
      <c r="O70" s="182">
        <v>1</v>
      </c>
      <c r="P70" s="182"/>
      <c r="Q70" s="182"/>
      <c r="R70" s="182"/>
      <c r="S70" s="182"/>
      <c r="T70" s="182"/>
      <c r="U70" s="182"/>
      <c r="V70" s="182">
        <v>1</v>
      </c>
      <c r="W70" s="182">
        <v>1</v>
      </c>
      <c r="X70" s="182">
        <v>1</v>
      </c>
      <c r="Y70" s="320"/>
      <c r="Z70" s="182"/>
      <c r="AA70" s="182"/>
      <c r="AB70" s="182"/>
      <c r="AC70" s="182"/>
      <c r="AD70" s="182"/>
      <c r="AE70" s="182"/>
      <c r="AF70" s="182"/>
      <c r="AG70" s="182"/>
      <c r="AH70" s="339">
        <v>6</v>
      </c>
      <c r="AI70" s="300" t="s">
        <v>806</v>
      </c>
      <c r="AJ70" s="341">
        <v>42367</v>
      </c>
      <c r="AK70" s="187"/>
      <c r="AL70" s="187">
        <f t="shared" si="13"/>
        <v>0</v>
      </c>
      <c r="AM70" s="187">
        <f t="shared" si="14"/>
        <v>13</v>
      </c>
      <c r="AN70" s="187">
        <f t="shared" si="15"/>
        <v>0</v>
      </c>
      <c r="AO70" s="187">
        <f t="shared" si="16"/>
        <v>0</v>
      </c>
      <c r="AP70" s="187">
        <f t="shared" si="17"/>
        <v>0</v>
      </c>
      <c r="AQ70" s="187">
        <f t="shared" si="18"/>
        <v>0</v>
      </c>
      <c r="AR70" s="187">
        <f t="shared" si="19"/>
        <v>0</v>
      </c>
      <c r="AS70" s="187">
        <f t="shared" si="20"/>
        <v>19</v>
      </c>
      <c r="AT70" s="187">
        <f t="shared" si="21"/>
        <v>13</v>
      </c>
      <c r="AU70" s="187">
        <f t="shared" si="22"/>
        <v>0</v>
      </c>
      <c r="AV70" s="187">
        <f t="shared" si="23"/>
        <v>0</v>
      </c>
      <c r="AW70" s="187">
        <f t="shared" si="24"/>
        <v>0</v>
      </c>
      <c r="AX70" s="187">
        <f t="shared" si="25"/>
        <v>0</v>
      </c>
      <c r="AY70" s="187">
        <f t="shared" si="26"/>
        <v>0</v>
      </c>
      <c r="AZ70" s="187">
        <f t="shared" si="27"/>
        <v>8</v>
      </c>
      <c r="BA70" s="187">
        <f t="shared" si="28"/>
        <v>16</v>
      </c>
      <c r="BB70" s="187">
        <f t="shared" si="29"/>
        <v>13</v>
      </c>
      <c r="BC70" s="187">
        <f t="shared" si="30"/>
        <v>0</v>
      </c>
      <c r="BD70" s="187">
        <f t="shared" si="31"/>
        <v>0</v>
      </c>
      <c r="BE70" s="187">
        <f t="shared" si="32"/>
        <v>0</v>
      </c>
      <c r="BF70" s="187">
        <f t="shared" si="33"/>
        <v>0</v>
      </c>
      <c r="BG70" s="187">
        <f t="shared" si="34"/>
        <v>0</v>
      </c>
      <c r="BH70" s="187">
        <f t="shared" si="35"/>
        <v>0</v>
      </c>
      <c r="BI70" s="187">
        <f t="shared" si="36"/>
        <v>0</v>
      </c>
      <c r="BJ70" s="273">
        <f t="shared" si="37"/>
        <v>82</v>
      </c>
      <c r="BK70" s="167">
        <f t="shared" ref="BK70" si="56">BJ70</f>
        <v>82</v>
      </c>
      <c r="BL70" s="167"/>
      <c r="BM70" s="644"/>
      <c r="BN70" s="644"/>
      <c r="BO70" s="644"/>
      <c r="BP70" s="644"/>
      <c r="BQ70" s="644"/>
      <c r="BR70" s="644"/>
      <c r="BS70" s="644"/>
      <c r="BT70" s="644"/>
      <c r="BU70" s="644"/>
      <c r="BV70" s="644"/>
      <c r="BW70" s="644"/>
      <c r="BX70" s="644"/>
      <c r="BY70" s="644"/>
      <c r="BZ70" s="644"/>
      <c r="CA70" s="644"/>
      <c r="CB70" s="644"/>
      <c r="CC70" s="644"/>
      <c r="CD70" s="644"/>
      <c r="CE70" s="644"/>
      <c r="CF70" s="644"/>
      <c r="CG70" s="644"/>
      <c r="CH70" s="644"/>
      <c r="CI70" s="644"/>
      <c r="CJ70" s="301" t="s">
        <v>807</v>
      </c>
      <c r="CK70" s="342"/>
      <c r="CL70" s="343"/>
    </row>
    <row r="71" spans="1:90" s="344" customFormat="1">
      <c r="A71" s="335" t="s">
        <v>170</v>
      </c>
      <c r="B71" s="182"/>
      <c r="C71" s="183"/>
      <c r="D71" s="182"/>
      <c r="E71" s="184">
        <v>1</v>
      </c>
      <c r="F71" s="184"/>
      <c r="G71" s="184">
        <v>1</v>
      </c>
      <c r="H71" s="182"/>
      <c r="I71" s="182"/>
      <c r="J71" s="182"/>
      <c r="K71" s="182"/>
      <c r="L71" s="182">
        <v>1</v>
      </c>
      <c r="M71" s="182"/>
      <c r="N71" s="182"/>
      <c r="O71" s="182">
        <v>1</v>
      </c>
      <c r="P71" s="182"/>
      <c r="Q71" s="182">
        <v>1</v>
      </c>
      <c r="R71" s="182"/>
      <c r="S71" s="182"/>
      <c r="T71" s="182"/>
      <c r="U71" s="182"/>
      <c r="V71" s="302">
        <v>1</v>
      </c>
      <c r="W71" s="182"/>
      <c r="X71" s="182">
        <v>1</v>
      </c>
      <c r="Y71" s="302">
        <v>1</v>
      </c>
      <c r="Z71" s="182"/>
      <c r="AA71" s="182"/>
      <c r="AB71" s="182"/>
      <c r="AC71" s="182"/>
      <c r="AD71" s="182">
        <v>1</v>
      </c>
      <c r="AE71" s="182"/>
      <c r="AF71" s="182">
        <v>1</v>
      </c>
      <c r="AG71" s="182"/>
      <c r="AH71" s="339">
        <v>10</v>
      </c>
      <c r="AI71" s="300" t="s">
        <v>808</v>
      </c>
      <c r="AJ71" s="341">
        <v>42374</v>
      </c>
      <c r="AK71" s="187"/>
      <c r="AL71" s="187">
        <f t="shared" si="13"/>
        <v>0</v>
      </c>
      <c r="AM71" s="187">
        <f t="shared" si="14"/>
        <v>0</v>
      </c>
      <c r="AN71" s="187">
        <f t="shared" si="15"/>
        <v>8</v>
      </c>
      <c r="AO71" s="187">
        <f t="shared" si="16"/>
        <v>8</v>
      </c>
      <c r="AP71" s="187">
        <f t="shared" si="17"/>
        <v>0</v>
      </c>
      <c r="AQ71" s="187">
        <f t="shared" si="18"/>
        <v>0</v>
      </c>
      <c r="AR71" s="187">
        <f t="shared" si="19"/>
        <v>0</v>
      </c>
      <c r="AS71" s="187">
        <f t="shared" si="20"/>
        <v>19</v>
      </c>
      <c r="AT71" s="187">
        <f t="shared" si="21"/>
        <v>13</v>
      </c>
      <c r="AU71" s="187">
        <f t="shared" si="22"/>
        <v>0</v>
      </c>
      <c r="AV71" s="187">
        <f t="shared" si="23"/>
        <v>3</v>
      </c>
      <c r="AW71" s="187">
        <f t="shared" si="24"/>
        <v>0</v>
      </c>
      <c r="AX71" s="187">
        <f t="shared" si="25"/>
        <v>0</v>
      </c>
      <c r="AY71" s="187">
        <f t="shared" si="26"/>
        <v>0</v>
      </c>
      <c r="AZ71" s="187">
        <f t="shared" si="27"/>
        <v>8</v>
      </c>
      <c r="BA71" s="187">
        <f t="shared" si="28"/>
        <v>0</v>
      </c>
      <c r="BB71" s="187">
        <f t="shared" si="29"/>
        <v>13</v>
      </c>
      <c r="BC71" s="187">
        <f t="shared" si="30"/>
        <v>10</v>
      </c>
      <c r="BD71" s="187">
        <f t="shared" si="31"/>
        <v>0</v>
      </c>
      <c r="BE71" s="187">
        <f t="shared" si="32"/>
        <v>0</v>
      </c>
      <c r="BF71" s="187">
        <f t="shared" si="33"/>
        <v>0</v>
      </c>
      <c r="BG71" s="187">
        <f t="shared" si="34"/>
        <v>8</v>
      </c>
      <c r="BH71" s="187">
        <f t="shared" si="35"/>
        <v>0</v>
      </c>
      <c r="BI71" s="187">
        <f t="shared" si="36"/>
        <v>3</v>
      </c>
      <c r="BJ71" s="273">
        <f t="shared" si="37"/>
        <v>87</v>
      </c>
      <c r="BK71" s="167">
        <f t="shared" ref="BK71" si="57">BJ71</f>
        <v>87</v>
      </c>
      <c r="BL71" s="167"/>
      <c r="BM71" s="644"/>
      <c r="BN71" s="644"/>
      <c r="BO71" s="644"/>
      <c r="BP71" s="644"/>
      <c r="BQ71" s="644"/>
      <c r="BR71" s="644"/>
      <c r="BS71" s="644"/>
      <c r="BT71" s="644"/>
      <c r="BU71" s="644"/>
      <c r="BV71" s="644"/>
      <c r="BW71" s="644"/>
      <c r="BX71" s="644"/>
      <c r="BY71" s="644"/>
      <c r="BZ71" s="644"/>
      <c r="CA71" s="644"/>
      <c r="CB71" s="644"/>
      <c r="CC71" s="644"/>
      <c r="CD71" s="644"/>
      <c r="CE71" s="644"/>
      <c r="CF71" s="644"/>
      <c r="CG71" s="644"/>
      <c r="CH71" s="644"/>
      <c r="CI71" s="644"/>
      <c r="CJ71" s="301" t="s">
        <v>809</v>
      </c>
      <c r="CK71" s="342"/>
      <c r="CL71" s="343"/>
    </row>
    <row r="72" spans="1:90" s="344" customFormat="1">
      <c r="A72" s="335" t="s">
        <v>172</v>
      </c>
      <c r="B72" s="182"/>
      <c r="C72" s="183"/>
      <c r="D72" s="182">
        <v>1</v>
      </c>
      <c r="E72" s="184">
        <v>1</v>
      </c>
      <c r="F72" s="184"/>
      <c r="G72" s="184">
        <v>1</v>
      </c>
      <c r="H72" s="182"/>
      <c r="I72" s="182"/>
      <c r="J72" s="182"/>
      <c r="K72" s="182"/>
      <c r="L72" s="182">
        <v>1</v>
      </c>
      <c r="M72" s="182"/>
      <c r="N72" s="182"/>
      <c r="O72" s="182"/>
      <c r="P72" s="182"/>
      <c r="Q72" s="182"/>
      <c r="R72" s="182"/>
      <c r="S72" s="302">
        <v>1</v>
      </c>
      <c r="T72" s="182"/>
      <c r="U72" s="182"/>
      <c r="V72" s="182">
        <v>1</v>
      </c>
      <c r="W72" s="182">
        <v>1</v>
      </c>
      <c r="X72" s="182"/>
      <c r="Y72" s="182">
        <v>1</v>
      </c>
      <c r="Z72" s="182"/>
      <c r="AA72" s="182"/>
      <c r="AB72" s="182"/>
      <c r="AC72" s="182"/>
      <c r="AD72" s="182">
        <v>1</v>
      </c>
      <c r="AE72" s="182"/>
      <c r="AF72" s="182">
        <v>1</v>
      </c>
      <c r="AG72" s="182"/>
      <c r="AH72" s="339">
        <v>10</v>
      </c>
      <c r="AI72" s="337" t="s">
        <v>810</v>
      </c>
      <c r="AJ72" s="341">
        <v>42373</v>
      </c>
      <c r="AK72" s="187"/>
      <c r="AL72" s="187">
        <f t="shared" si="13"/>
        <v>0</v>
      </c>
      <c r="AM72" s="187">
        <f t="shared" si="14"/>
        <v>13</v>
      </c>
      <c r="AN72" s="187">
        <f t="shared" si="15"/>
        <v>8</v>
      </c>
      <c r="AO72" s="187">
        <f t="shared" si="16"/>
        <v>8</v>
      </c>
      <c r="AP72" s="187">
        <f t="shared" si="17"/>
        <v>0</v>
      </c>
      <c r="AQ72" s="187">
        <f t="shared" si="18"/>
        <v>0</v>
      </c>
      <c r="AR72" s="187">
        <f t="shared" si="19"/>
        <v>0</v>
      </c>
      <c r="AS72" s="187">
        <f t="shared" si="20"/>
        <v>19</v>
      </c>
      <c r="AT72" s="187">
        <f t="shared" si="21"/>
        <v>0</v>
      </c>
      <c r="AU72" s="187">
        <f t="shared" si="22"/>
        <v>0</v>
      </c>
      <c r="AV72" s="187">
        <f t="shared" si="23"/>
        <v>0</v>
      </c>
      <c r="AW72" s="187">
        <f t="shared" si="24"/>
        <v>8</v>
      </c>
      <c r="AX72" s="187">
        <f t="shared" si="25"/>
        <v>0</v>
      </c>
      <c r="AY72" s="187">
        <f t="shared" si="26"/>
        <v>0</v>
      </c>
      <c r="AZ72" s="187">
        <f t="shared" si="27"/>
        <v>8</v>
      </c>
      <c r="BA72" s="187">
        <f t="shared" si="28"/>
        <v>16</v>
      </c>
      <c r="BB72" s="187">
        <f t="shared" si="29"/>
        <v>0</v>
      </c>
      <c r="BC72" s="187">
        <f t="shared" si="30"/>
        <v>10</v>
      </c>
      <c r="BD72" s="187">
        <f t="shared" si="31"/>
        <v>0</v>
      </c>
      <c r="BE72" s="187">
        <f t="shared" si="32"/>
        <v>0</v>
      </c>
      <c r="BF72" s="187">
        <f t="shared" si="33"/>
        <v>0</v>
      </c>
      <c r="BG72" s="187">
        <f t="shared" si="34"/>
        <v>8</v>
      </c>
      <c r="BH72" s="187">
        <f t="shared" si="35"/>
        <v>0</v>
      </c>
      <c r="BI72" s="187">
        <f t="shared" si="36"/>
        <v>3</v>
      </c>
      <c r="BJ72" s="273">
        <f t="shared" si="37"/>
        <v>90</v>
      </c>
      <c r="BK72" s="167">
        <f t="shared" ref="BK72" si="58">BJ72</f>
        <v>90</v>
      </c>
      <c r="BL72" s="167"/>
      <c r="BM72" s="644"/>
      <c r="BN72" s="644"/>
      <c r="BO72" s="644"/>
      <c r="BP72" s="644"/>
      <c r="BQ72" s="644"/>
      <c r="BR72" s="644"/>
      <c r="BS72" s="644"/>
      <c r="BT72" s="644"/>
      <c r="BU72" s="644"/>
      <c r="BV72" s="644"/>
      <c r="BW72" s="644"/>
      <c r="BX72" s="644"/>
      <c r="BY72" s="644"/>
      <c r="BZ72" s="644"/>
      <c r="CA72" s="644"/>
      <c r="CB72" s="644"/>
      <c r="CC72" s="644"/>
      <c r="CD72" s="644"/>
      <c r="CE72" s="644"/>
      <c r="CF72" s="644"/>
      <c r="CG72" s="644"/>
      <c r="CH72" s="644"/>
      <c r="CI72" s="644"/>
      <c r="CJ72" s="301" t="s">
        <v>756</v>
      </c>
      <c r="CK72" s="342"/>
      <c r="CL72" s="343"/>
    </row>
    <row r="73" spans="1:90">
      <c r="A73" s="181" t="s">
        <v>174</v>
      </c>
      <c r="B73" s="182"/>
      <c r="C73" s="183"/>
      <c r="D73" s="184">
        <v>1</v>
      </c>
      <c r="E73" s="184"/>
      <c r="F73" s="184"/>
      <c r="G73" s="184"/>
      <c r="H73" s="182"/>
      <c r="I73" s="182"/>
      <c r="J73" s="182"/>
      <c r="K73" s="182"/>
      <c r="L73" s="182">
        <v>1</v>
      </c>
      <c r="M73" s="182"/>
      <c r="N73" s="182"/>
      <c r="O73" s="182">
        <v>1</v>
      </c>
      <c r="P73" s="182"/>
      <c r="Q73" s="182"/>
      <c r="R73" s="182"/>
      <c r="S73" s="182"/>
      <c r="T73" s="182"/>
      <c r="U73" s="182"/>
      <c r="V73" s="182"/>
      <c r="W73" s="182">
        <v>1</v>
      </c>
      <c r="X73" s="182"/>
      <c r="Y73" s="182"/>
      <c r="Z73" s="182"/>
      <c r="AA73" s="182"/>
      <c r="AB73" s="182"/>
      <c r="AC73" s="182"/>
      <c r="AD73" s="182"/>
      <c r="AE73" s="182"/>
      <c r="AF73" s="182"/>
      <c r="AG73" s="182"/>
      <c r="AH73" s="167">
        <v>4</v>
      </c>
      <c r="AI73" s="300" t="s">
        <v>811</v>
      </c>
      <c r="AJ73" s="186">
        <v>42342</v>
      </c>
      <c r="AK73" s="187"/>
      <c r="AL73" s="187">
        <f t="shared" si="13"/>
        <v>0</v>
      </c>
      <c r="AM73" s="187">
        <f t="shared" si="14"/>
        <v>13</v>
      </c>
      <c r="AN73" s="187">
        <f t="shared" si="15"/>
        <v>0</v>
      </c>
      <c r="AO73" s="187">
        <f t="shared" si="16"/>
        <v>0</v>
      </c>
      <c r="AP73" s="187">
        <f t="shared" si="17"/>
        <v>0</v>
      </c>
      <c r="AQ73" s="187">
        <f t="shared" si="18"/>
        <v>0</v>
      </c>
      <c r="AR73" s="187">
        <f t="shared" si="19"/>
        <v>0</v>
      </c>
      <c r="AS73" s="187">
        <f t="shared" si="20"/>
        <v>19</v>
      </c>
      <c r="AT73" s="187">
        <f t="shared" si="21"/>
        <v>13</v>
      </c>
      <c r="AU73" s="187">
        <f t="shared" si="22"/>
        <v>0</v>
      </c>
      <c r="AV73" s="187">
        <f t="shared" si="23"/>
        <v>0</v>
      </c>
      <c r="AW73" s="187">
        <f t="shared" si="24"/>
        <v>0</v>
      </c>
      <c r="AX73" s="187">
        <f t="shared" si="25"/>
        <v>0</v>
      </c>
      <c r="AY73" s="187">
        <f t="shared" si="26"/>
        <v>0</v>
      </c>
      <c r="AZ73" s="187">
        <f t="shared" si="27"/>
        <v>0</v>
      </c>
      <c r="BA73" s="187">
        <f t="shared" si="28"/>
        <v>16</v>
      </c>
      <c r="BB73" s="187">
        <f t="shared" si="29"/>
        <v>0</v>
      </c>
      <c r="BC73" s="187">
        <f t="shared" si="30"/>
        <v>0</v>
      </c>
      <c r="BD73" s="187">
        <f t="shared" si="31"/>
        <v>0</v>
      </c>
      <c r="BE73" s="187">
        <f t="shared" si="32"/>
        <v>0</v>
      </c>
      <c r="BF73" s="187">
        <f t="shared" si="33"/>
        <v>0</v>
      </c>
      <c r="BG73" s="187">
        <f t="shared" si="34"/>
        <v>0</v>
      </c>
      <c r="BH73" s="187">
        <f t="shared" si="35"/>
        <v>0</v>
      </c>
      <c r="BI73" s="187">
        <f t="shared" si="36"/>
        <v>0</v>
      </c>
      <c r="BJ73" s="273">
        <f t="shared" si="37"/>
        <v>61</v>
      </c>
      <c r="BK73" s="167">
        <f t="shared" si="38"/>
        <v>61</v>
      </c>
      <c r="BL73" s="167"/>
      <c r="BM73" s="644"/>
      <c r="BN73" s="644"/>
      <c r="BO73" s="644"/>
      <c r="BP73" s="644"/>
      <c r="BQ73" s="644"/>
      <c r="BR73" s="644"/>
      <c r="BS73" s="644"/>
      <c r="BT73" s="644"/>
      <c r="BU73" s="644"/>
      <c r="BV73" s="644"/>
      <c r="BW73" s="644"/>
      <c r="BX73" s="644"/>
      <c r="BY73" s="644"/>
      <c r="BZ73" s="644"/>
      <c r="CA73" s="644"/>
      <c r="CB73" s="644"/>
      <c r="CC73" s="644"/>
      <c r="CD73" s="644"/>
      <c r="CE73" s="644"/>
      <c r="CF73" s="644"/>
      <c r="CG73" s="644"/>
      <c r="CH73" s="644"/>
      <c r="CI73" s="644"/>
      <c r="CJ73" s="301" t="s">
        <v>740</v>
      </c>
      <c r="CK73" s="180"/>
      <c r="CL73" s="136"/>
    </row>
    <row r="74" spans="1:90">
      <c r="A74" s="181" t="s">
        <v>175</v>
      </c>
      <c r="B74" s="182"/>
      <c r="C74" s="183"/>
      <c r="D74" s="184">
        <v>1</v>
      </c>
      <c r="E74" s="184"/>
      <c r="F74" s="184"/>
      <c r="G74" s="184"/>
      <c r="H74" s="182"/>
      <c r="I74" s="182"/>
      <c r="J74" s="182"/>
      <c r="K74" s="182"/>
      <c r="L74" s="182">
        <v>1</v>
      </c>
      <c r="M74" s="182"/>
      <c r="N74" s="182"/>
      <c r="O74" s="182">
        <v>1</v>
      </c>
      <c r="P74" s="182"/>
      <c r="Q74" s="182"/>
      <c r="R74" s="182"/>
      <c r="S74" s="182">
        <v>1</v>
      </c>
      <c r="T74" s="302">
        <v>1</v>
      </c>
      <c r="U74" s="182"/>
      <c r="V74" s="182">
        <v>1</v>
      </c>
      <c r="W74" s="182">
        <v>1</v>
      </c>
      <c r="X74" s="182">
        <v>1</v>
      </c>
      <c r="Y74" s="182"/>
      <c r="Z74" s="182"/>
      <c r="AA74" s="182">
        <v>1</v>
      </c>
      <c r="AB74" s="182"/>
      <c r="AC74" s="182"/>
      <c r="AD74" s="182"/>
      <c r="AE74" s="182"/>
      <c r="AF74" s="182"/>
      <c r="AG74" s="182"/>
      <c r="AH74" s="167">
        <v>9</v>
      </c>
      <c r="AI74" s="300" t="s">
        <v>812</v>
      </c>
      <c r="AJ74" s="186">
        <v>42370</v>
      </c>
      <c r="AK74" s="187"/>
      <c r="AL74" s="187">
        <f t="shared" si="13"/>
        <v>0</v>
      </c>
      <c r="AM74" s="187">
        <f t="shared" si="14"/>
        <v>13</v>
      </c>
      <c r="AN74" s="187">
        <f t="shared" si="15"/>
        <v>0</v>
      </c>
      <c r="AO74" s="187">
        <f t="shared" si="16"/>
        <v>0</v>
      </c>
      <c r="AP74" s="187">
        <f t="shared" si="17"/>
        <v>0</v>
      </c>
      <c r="AQ74" s="187">
        <f t="shared" si="18"/>
        <v>0</v>
      </c>
      <c r="AR74" s="187">
        <f t="shared" si="19"/>
        <v>0</v>
      </c>
      <c r="AS74" s="187">
        <f t="shared" si="20"/>
        <v>19</v>
      </c>
      <c r="AT74" s="187">
        <f t="shared" si="21"/>
        <v>13</v>
      </c>
      <c r="AU74" s="187">
        <f t="shared" si="22"/>
        <v>0</v>
      </c>
      <c r="AV74" s="187">
        <f t="shared" si="23"/>
        <v>0</v>
      </c>
      <c r="AW74" s="187">
        <f t="shared" si="24"/>
        <v>8</v>
      </c>
      <c r="AX74" s="187">
        <f t="shared" si="25"/>
        <v>4</v>
      </c>
      <c r="AY74" s="187">
        <f t="shared" si="26"/>
        <v>0</v>
      </c>
      <c r="AZ74" s="187">
        <f t="shared" si="27"/>
        <v>8</v>
      </c>
      <c r="BA74" s="187">
        <f t="shared" si="28"/>
        <v>16</v>
      </c>
      <c r="BB74" s="187">
        <f t="shared" si="29"/>
        <v>13</v>
      </c>
      <c r="BC74" s="187">
        <f t="shared" si="30"/>
        <v>0</v>
      </c>
      <c r="BD74" s="187">
        <f t="shared" si="31"/>
        <v>0</v>
      </c>
      <c r="BE74" s="187">
        <f t="shared" si="32"/>
        <v>6</v>
      </c>
      <c r="BF74" s="187">
        <f t="shared" si="33"/>
        <v>0</v>
      </c>
      <c r="BG74" s="187">
        <f t="shared" si="34"/>
        <v>0</v>
      </c>
      <c r="BH74" s="187">
        <f t="shared" si="35"/>
        <v>0</v>
      </c>
      <c r="BI74" s="187">
        <f t="shared" si="36"/>
        <v>0</v>
      </c>
      <c r="BJ74" s="273">
        <f t="shared" si="37"/>
        <v>96</v>
      </c>
      <c r="BK74" s="167">
        <f t="shared" ref="BK74" si="59">BJ74</f>
        <v>96</v>
      </c>
      <c r="BL74" s="167"/>
      <c r="BM74" s="644"/>
      <c r="BN74" s="644"/>
      <c r="BO74" s="644"/>
      <c r="BP74" s="644"/>
      <c r="BQ74" s="644"/>
      <c r="BR74" s="644"/>
      <c r="BS74" s="644"/>
      <c r="BT74" s="644"/>
      <c r="BU74" s="644"/>
      <c r="BV74" s="644"/>
      <c r="BW74" s="644"/>
      <c r="BX74" s="644"/>
      <c r="BY74" s="644"/>
      <c r="BZ74" s="644"/>
      <c r="CA74" s="644"/>
      <c r="CB74" s="644"/>
      <c r="CC74" s="644"/>
      <c r="CD74" s="644"/>
      <c r="CE74" s="644"/>
      <c r="CF74" s="644"/>
      <c r="CG74" s="644"/>
      <c r="CH74" s="644"/>
      <c r="CI74" s="644"/>
      <c r="CJ74" s="301" t="s">
        <v>756</v>
      </c>
      <c r="CK74" s="180"/>
      <c r="CL74" s="136"/>
    </row>
    <row r="75" spans="1:90">
      <c r="A75" s="181" t="s">
        <v>176</v>
      </c>
      <c r="B75" s="182"/>
      <c r="C75" s="183"/>
      <c r="D75" s="184"/>
      <c r="E75" s="184">
        <v>1</v>
      </c>
      <c r="F75" s="184"/>
      <c r="G75" s="184">
        <v>1</v>
      </c>
      <c r="H75" s="182"/>
      <c r="I75" s="182"/>
      <c r="J75" s="182"/>
      <c r="K75" s="182"/>
      <c r="L75" s="182">
        <v>1</v>
      </c>
      <c r="M75" s="182"/>
      <c r="N75" s="182"/>
      <c r="O75" s="182">
        <v>1</v>
      </c>
      <c r="P75" s="182"/>
      <c r="Q75" s="182"/>
      <c r="R75" s="182"/>
      <c r="S75" s="182"/>
      <c r="T75" s="182"/>
      <c r="U75" s="182"/>
      <c r="V75" s="182"/>
      <c r="W75" s="182">
        <v>1</v>
      </c>
      <c r="X75" s="302">
        <v>1</v>
      </c>
      <c r="Y75" s="182"/>
      <c r="Z75" s="182"/>
      <c r="AA75" s="182"/>
      <c r="AB75" s="182">
        <v>1</v>
      </c>
      <c r="AC75" s="182"/>
      <c r="AD75" s="182"/>
      <c r="AE75" s="182"/>
      <c r="AF75" s="182"/>
      <c r="AG75" s="182"/>
      <c r="AH75" s="167">
        <v>7</v>
      </c>
      <c r="AI75" s="300" t="s">
        <v>813</v>
      </c>
      <c r="AJ75" s="186">
        <v>42352</v>
      </c>
      <c r="AK75" s="187"/>
      <c r="AL75" s="187">
        <f t="shared" si="13"/>
        <v>0</v>
      </c>
      <c r="AM75" s="187">
        <f t="shared" si="14"/>
        <v>0</v>
      </c>
      <c r="AN75" s="187">
        <f t="shared" si="15"/>
        <v>8</v>
      </c>
      <c r="AO75" s="187">
        <f t="shared" si="16"/>
        <v>8</v>
      </c>
      <c r="AP75" s="187">
        <f t="shared" si="17"/>
        <v>0</v>
      </c>
      <c r="AQ75" s="187">
        <f t="shared" si="18"/>
        <v>0</v>
      </c>
      <c r="AR75" s="187">
        <f t="shared" si="19"/>
        <v>0</v>
      </c>
      <c r="AS75" s="187">
        <f t="shared" si="20"/>
        <v>19</v>
      </c>
      <c r="AT75" s="187">
        <f t="shared" si="21"/>
        <v>13</v>
      </c>
      <c r="AU75" s="187">
        <f t="shared" si="22"/>
        <v>0</v>
      </c>
      <c r="AV75" s="187">
        <f t="shared" si="23"/>
        <v>0</v>
      </c>
      <c r="AW75" s="187">
        <f t="shared" si="24"/>
        <v>0</v>
      </c>
      <c r="AX75" s="187">
        <f t="shared" si="25"/>
        <v>0</v>
      </c>
      <c r="AY75" s="187">
        <f t="shared" si="26"/>
        <v>0</v>
      </c>
      <c r="AZ75" s="187">
        <f t="shared" si="27"/>
        <v>0</v>
      </c>
      <c r="BA75" s="187">
        <f t="shared" si="28"/>
        <v>16</v>
      </c>
      <c r="BB75" s="187">
        <f t="shared" si="29"/>
        <v>13</v>
      </c>
      <c r="BC75" s="187">
        <f t="shared" si="30"/>
        <v>0</v>
      </c>
      <c r="BD75" s="187">
        <f t="shared" si="31"/>
        <v>0</v>
      </c>
      <c r="BE75" s="187">
        <f t="shared" si="32"/>
        <v>0</v>
      </c>
      <c r="BF75" s="187">
        <f t="shared" si="33"/>
        <v>1</v>
      </c>
      <c r="BG75" s="187">
        <f t="shared" si="34"/>
        <v>0</v>
      </c>
      <c r="BH75" s="187">
        <f t="shared" si="35"/>
        <v>0</v>
      </c>
      <c r="BI75" s="187">
        <f t="shared" si="36"/>
        <v>0</v>
      </c>
      <c r="BJ75" s="273">
        <f t="shared" si="37"/>
        <v>78</v>
      </c>
      <c r="BK75" s="167">
        <f t="shared" si="38"/>
        <v>78</v>
      </c>
      <c r="BL75" s="167"/>
      <c r="BM75" s="644"/>
      <c r="BN75" s="644"/>
      <c r="BO75" s="644"/>
      <c r="BP75" s="644"/>
      <c r="BQ75" s="644"/>
      <c r="BR75" s="644"/>
      <c r="BS75" s="644"/>
      <c r="BT75" s="644"/>
      <c r="BU75" s="644"/>
      <c r="BV75" s="644"/>
      <c r="BW75" s="644"/>
      <c r="BX75" s="644"/>
      <c r="BY75" s="644"/>
      <c r="BZ75" s="644"/>
      <c r="CA75" s="644"/>
      <c r="CB75" s="644"/>
      <c r="CC75" s="644"/>
      <c r="CD75" s="644"/>
      <c r="CE75" s="644"/>
      <c r="CF75" s="644"/>
      <c r="CG75" s="644"/>
      <c r="CH75" s="644"/>
      <c r="CI75" s="644"/>
      <c r="CJ75" s="301" t="s">
        <v>814</v>
      </c>
      <c r="CK75" s="180"/>
      <c r="CL75" s="136"/>
    </row>
    <row r="76" spans="1:90">
      <c r="A76" s="181" t="s">
        <v>178</v>
      </c>
      <c r="B76" s="182"/>
      <c r="C76" s="183"/>
      <c r="D76" s="314">
        <v>1</v>
      </c>
      <c r="E76" s="184">
        <v>1</v>
      </c>
      <c r="F76" s="184"/>
      <c r="G76" s="184">
        <v>1</v>
      </c>
      <c r="H76" s="182"/>
      <c r="I76" s="182"/>
      <c r="J76" s="182"/>
      <c r="K76" s="182"/>
      <c r="L76" s="182">
        <v>1</v>
      </c>
      <c r="M76" s="182"/>
      <c r="N76" s="182"/>
      <c r="O76" s="182"/>
      <c r="P76" s="182"/>
      <c r="Q76" s="182"/>
      <c r="R76" s="182"/>
      <c r="S76" s="182"/>
      <c r="T76" s="182"/>
      <c r="U76" s="182"/>
      <c r="V76" s="302">
        <v>1</v>
      </c>
      <c r="W76" s="182">
        <v>1</v>
      </c>
      <c r="X76" s="182">
        <v>1</v>
      </c>
      <c r="Y76" s="302">
        <v>1</v>
      </c>
      <c r="Z76" s="182"/>
      <c r="AA76" s="182">
        <v>1</v>
      </c>
      <c r="AB76" s="182"/>
      <c r="AC76" s="182"/>
      <c r="AD76" s="302">
        <v>1</v>
      </c>
      <c r="AE76" s="182"/>
      <c r="AF76" s="182"/>
      <c r="AG76" s="182"/>
      <c r="AH76" s="167">
        <v>10</v>
      </c>
      <c r="AI76" s="328" t="s">
        <v>113</v>
      </c>
      <c r="AJ76" s="186">
        <v>42351</v>
      </c>
      <c r="AK76" s="187"/>
      <c r="AL76" s="187">
        <f t="shared" si="13"/>
        <v>0</v>
      </c>
      <c r="AM76" s="187">
        <f t="shared" si="14"/>
        <v>13</v>
      </c>
      <c r="AN76" s="187">
        <f t="shared" si="15"/>
        <v>8</v>
      </c>
      <c r="AO76" s="187">
        <f t="shared" si="16"/>
        <v>8</v>
      </c>
      <c r="AP76" s="187">
        <f t="shared" si="17"/>
        <v>0</v>
      </c>
      <c r="AQ76" s="187">
        <f t="shared" si="18"/>
        <v>0</v>
      </c>
      <c r="AR76" s="187">
        <f t="shared" si="19"/>
        <v>0</v>
      </c>
      <c r="AS76" s="187">
        <f t="shared" si="20"/>
        <v>19</v>
      </c>
      <c r="AT76" s="187">
        <f t="shared" si="21"/>
        <v>0</v>
      </c>
      <c r="AU76" s="187">
        <f t="shared" si="22"/>
        <v>0</v>
      </c>
      <c r="AV76" s="187">
        <f t="shared" si="23"/>
        <v>0</v>
      </c>
      <c r="AW76" s="187">
        <f t="shared" si="24"/>
        <v>0</v>
      </c>
      <c r="AX76" s="187">
        <f t="shared" si="25"/>
        <v>0</v>
      </c>
      <c r="AY76" s="187">
        <f t="shared" si="26"/>
        <v>0</v>
      </c>
      <c r="AZ76" s="187">
        <f t="shared" si="27"/>
        <v>8</v>
      </c>
      <c r="BA76" s="187">
        <f t="shared" si="28"/>
        <v>16</v>
      </c>
      <c r="BB76" s="187">
        <f t="shared" si="29"/>
        <v>13</v>
      </c>
      <c r="BC76" s="187">
        <f t="shared" si="30"/>
        <v>10</v>
      </c>
      <c r="BD76" s="187">
        <f t="shared" si="31"/>
        <v>0</v>
      </c>
      <c r="BE76" s="187">
        <f t="shared" si="32"/>
        <v>6</v>
      </c>
      <c r="BF76" s="187">
        <f t="shared" si="33"/>
        <v>0</v>
      </c>
      <c r="BG76" s="187">
        <f t="shared" si="34"/>
        <v>8</v>
      </c>
      <c r="BH76" s="187">
        <f t="shared" si="35"/>
        <v>0</v>
      </c>
      <c r="BI76" s="187">
        <f t="shared" si="36"/>
        <v>0</v>
      </c>
      <c r="BJ76" s="273">
        <f t="shared" si="37"/>
        <v>95</v>
      </c>
      <c r="BK76" s="167">
        <f t="shared" si="38"/>
        <v>95</v>
      </c>
      <c r="BL76" s="167"/>
      <c r="BM76" s="644"/>
      <c r="BN76" s="644"/>
      <c r="BO76" s="644"/>
      <c r="BP76" s="644"/>
      <c r="BQ76" s="644"/>
      <c r="BR76" s="644"/>
      <c r="BS76" s="644"/>
      <c r="BT76" s="644"/>
      <c r="BU76" s="644"/>
      <c r="BV76" s="644"/>
      <c r="BW76" s="644"/>
      <c r="BX76" s="644"/>
      <c r="BY76" s="644"/>
      <c r="BZ76" s="644"/>
      <c r="CA76" s="644"/>
      <c r="CB76" s="644"/>
      <c r="CC76" s="644"/>
      <c r="CD76" s="644"/>
      <c r="CE76" s="644"/>
      <c r="CF76" s="644"/>
      <c r="CG76" s="644"/>
      <c r="CH76" s="644"/>
      <c r="CI76" s="644"/>
      <c r="CJ76" s="301" t="s">
        <v>743</v>
      </c>
      <c r="CK76" s="180"/>
      <c r="CL76" s="136"/>
    </row>
    <row r="77" spans="1:90" s="344" customFormat="1">
      <c r="A77" s="374" t="s">
        <v>180</v>
      </c>
      <c r="B77" s="189"/>
      <c r="C77" s="189"/>
      <c r="D77" s="189"/>
      <c r="E77" s="189">
        <v>1</v>
      </c>
      <c r="F77" s="189"/>
      <c r="G77" s="189">
        <v>1</v>
      </c>
      <c r="H77" s="189"/>
      <c r="I77" s="189"/>
      <c r="J77" s="189"/>
      <c r="K77" s="189"/>
      <c r="L77" s="189">
        <v>1</v>
      </c>
      <c r="M77" s="189"/>
      <c r="N77" s="189"/>
      <c r="O77" s="189"/>
      <c r="P77" s="189"/>
      <c r="Q77" s="189"/>
      <c r="R77" s="189"/>
      <c r="S77" s="189"/>
      <c r="T77" s="189"/>
      <c r="U77" s="189"/>
      <c r="V77" s="189"/>
      <c r="W77" s="189"/>
      <c r="X77" s="189">
        <v>1</v>
      </c>
      <c r="Y77" s="189"/>
      <c r="Z77" s="189"/>
      <c r="AA77" s="189"/>
      <c r="AB77" s="189"/>
      <c r="AC77" s="189"/>
      <c r="AD77" s="189">
        <v>1</v>
      </c>
      <c r="AE77" s="189"/>
      <c r="AF77" s="189"/>
      <c r="AG77" s="189"/>
      <c r="AH77" s="196">
        <v>5</v>
      </c>
      <c r="AI77" s="134" t="s">
        <v>115</v>
      </c>
      <c r="AJ77" s="192">
        <v>42375</v>
      </c>
      <c r="AK77" s="187"/>
      <c r="AL77" s="187">
        <f t="shared" si="13"/>
        <v>0</v>
      </c>
      <c r="AM77" s="187">
        <f t="shared" si="14"/>
        <v>0</v>
      </c>
      <c r="AN77" s="187">
        <f t="shared" si="15"/>
        <v>8</v>
      </c>
      <c r="AO77" s="187">
        <f t="shared" si="16"/>
        <v>8</v>
      </c>
      <c r="AP77" s="187">
        <f t="shared" si="17"/>
        <v>0</v>
      </c>
      <c r="AQ77" s="187">
        <f t="shared" si="18"/>
        <v>0</v>
      </c>
      <c r="AR77" s="187">
        <f t="shared" si="19"/>
        <v>0</v>
      </c>
      <c r="AS77" s="187">
        <f t="shared" si="20"/>
        <v>19</v>
      </c>
      <c r="AT77" s="187">
        <f t="shared" si="21"/>
        <v>0</v>
      </c>
      <c r="AU77" s="187">
        <f t="shared" si="22"/>
        <v>0</v>
      </c>
      <c r="AV77" s="187">
        <f t="shared" si="23"/>
        <v>0</v>
      </c>
      <c r="AW77" s="187">
        <f t="shared" si="24"/>
        <v>0</v>
      </c>
      <c r="AX77" s="187">
        <f t="shared" si="25"/>
        <v>0</v>
      </c>
      <c r="AY77" s="187">
        <f t="shared" si="26"/>
        <v>0</v>
      </c>
      <c r="AZ77" s="187">
        <f t="shared" si="27"/>
        <v>0</v>
      </c>
      <c r="BA77" s="187">
        <f t="shared" si="28"/>
        <v>0</v>
      </c>
      <c r="BB77" s="187">
        <f t="shared" si="29"/>
        <v>13</v>
      </c>
      <c r="BC77" s="187">
        <f t="shared" si="30"/>
        <v>0</v>
      </c>
      <c r="BD77" s="187">
        <f t="shared" si="31"/>
        <v>0</v>
      </c>
      <c r="BE77" s="187">
        <f t="shared" si="32"/>
        <v>0</v>
      </c>
      <c r="BF77" s="187">
        <f t="shared" si="33"/>
        <v>0</v>
      </c>
      <c r="BG77" s="187">
        <f t="shared" si="34"/>
        <v>8</v>
      </c>
      <c r="BH77" s="187">
        <f t="shared" si="35"/>
        <v>0</v>
      </c>
      <c r="BI77" s="187">
        <f t="shared" si="36"/>
        <v>0</v>
      </c>
      <c r="BJ77" s="273">
        <f t="shared" si="37"/>
        <v>56</v>
      </c>
      <c r="BK77" s="167">
        <f t="shared" si="38"/>
        <v>56</v>
      </c>
      <c r="BL77" s="167"/>
      <c r="BM77" s="644"/>
      <c r="BN77" s="644"/>
      <c r="BO77" s="644"/>
      <c r="BP77" s="644"/>
      <c r="BQ77" s="644"/>
      <c r="BR77" s="644"/>
      <c r="BS77" s="644"/>
      <c r="BT77" s="644"/>
      <c r="BU77" s="644"/>
      <c r="BV77" s="644"/>
      <c r="BW77" s="644"/>
      <c r="BX77" s="644"/>
      <c r="BY77" s="644"/>
      <c r="BZ77" s="644"/>
      <c r="CA77" s="644"/>
      <c r="CB77" s="644"/>
      <c r="CC77" s="644"/>
      <c r="CD77" s="644"/>
      <c r="CE77" s="644"/>
      <c r="CF77" s="644"/>
      <c r="CG77" s="644"/>
      <c r="CH77" s="644"/>
      <c r="CI77" s="644"/>
      <c r="CJ77" s="301" t="s">
        <v>743</v>
      </c>
      <c r="CK77" s="343"/>
      <c r="CL77" s="343"/>
    </row>
    <row r="78" spans="1:90">
      <c r="A78" s="181" t="s">
        <v>558</v>
      </c>
      <c r="B78" s="182"/>
      <c r="C78" s="183"/>
      <c r="D78" s="184">
        <v>1</v>
      </c>
      <c r="E78" s="184">
        <v>1</v>
      </c>
      <c r="F78" s="184"/>
      <c r="G78" s="184">
        <v>1</v>
      </c>
      <c r="H78" s="182"/>
      <c r="I78" s="182"/>
      <c r="J78" s="182"/>
      <c r="K78" s="182"/>
      <c r="L78" s="182">
        <v>1</v>
      </c>
      <c r="M78" s="182"/>
      <c r="N78" s="182"/>
      <c r="O78" s="182"/>
      <c r="P78" s="182"/>
      <c r="Q78" s="182"/>
      <c r="R78" s="182"/>
      <c r="S78" s="302">
        <v>1</v>
      </c>
      <c r="T78" s="182"/>
      <c r="U78" s="182"/>
      <c r="V78" s="302">
        <v>1</v>
      </c>
      <c r="W78" s="182">
        <v>1</v>
      </c>
      <c r="X78" s="182">
        <v>1</v>
      </c>
      <c r="Y78" s="182">
        <v>1</v>
      </c>
      <c r="Z78" s="182"/>
      <c r="AA78" s="182"/>
      <c r="AB78" s="182"/>
      <c r="AC78" s="182"/>
      <c r="AD78" s="302">
        <v>1</v>
      </c>
      <c r="AE78" s="182"/>
      <c r="AF78" s="182"/>
      <c r="AG78" s="182"/>
      <c r="AH78" s="167">
        <v>10</v>
      </c>
      <c r="AI78" s="300" t="s">
        <v>815</v>
      </c>
      <c r="AJ78" s="186">
        <v>42352</v>
      </c>
      <c r="AK78" s="187"/>
      <c r="AL78" s="187">
        <f t="shared" si="13"/>
        <v>0</v>
      </c>
      <c r="AM78" s="187">
        <f t="shared" si="14"/>
        <v>13</v>
      </c>
      <c r="AN78" s="187">
        <f t="shared" si="15"/>
        <v>8</v>
      </c>
      <c r="AO78" s="187">
        <f t="shared" si="16"/>
        <v>8</v>
      </c>
      <c r="AP78" s="187">
        <f t="shared" si="17"/>
        <v>0</v>
      </c>
      <c r="AQ78" s="187">
        <f t="shared" si="18"/>
        <v>0</v>
      </c>
      <c r="AR78" s="187">
        <f t="shared" si="19"/>
        <v>0</v>
      </c>
      <c r="AS78" s="187">
        <f t="shared" si="20"/>
        <v>19</v>
      </c>
      <c r="AT78" s="187">
        <f t="shared" si="21"/>
        <v>0</v>
      </c>
      <c r="AU78" s="187">
        <f t="shared" si="22"/>
        <v>0</v>
      </c>
      <c r="AV78" s="187">
        <f t="shared" si="23"/>
        <v>0</v>
      </c>
      <c r="AW78" s="187">
        <f t="shared" si="24"/>
        <v>8</v>
      </c>
      <c r="AX78" s="187">
        <f t="shared" si="25"/>
        <v>0</v>
      </c>
      <c r="AY78" s="187">
        <f t="shared" si="26"/>
        <v>0</v>
      </c>
      <c r="AZ78" s="187">
        <f t="shared" si="27"/>
        <v>8</v>
      </c>
      <c r="BA78" s="187">
        <f t="shared" si="28"/>
        <v>16</v>
      </c>
      <c r="BB78" s="187">
        <f t="shared" si="29"/>
        <v>13</v>
      </c>
      <c r="BC78" s="187">
        <f t="shared" si="30"/>
        <v>10</v>
      </c>
      <c r="BD78" s="187">
        <f t="shared" si="31"/>
        <v>0</v>
      </c>
      <c r="BE78" s="187">
        <f t="shared" si="32"/>
        <v>0</v>
      </c>
      <c r="BF78" s="187">
        <f t="shared" si="33"/>
        <v>0</v>
      </c>
      <c r="BG78" s="187">
        <f t="shared" si="34"/>
        <v>8</v>
      </c>
      <c r="BH78" s="187">
        <f t="shared" si="35"/>
        <v>0</v>
      </c>
      <c r="BI78" s="187">
        <f t="shared" si="36"/>
        <v>0</v>
      </c>
      <c r="BJ78" s="273">
        <f t="shared" si="37"/>
        <v>95</v>
      </c>
      <c r="BK78" s="167">
        <f t="shared" si="38"/>
        <v>95</v>
      </c>
      <c r="BL78" s="167"/>
      <c r="BM78" s="644"/>
      <c r="BN78" s="644"/>
      <c r="BO78" s="644"/>
      <c r="BP78" s="644"/>
      <c r="BQ78" s="644"/>
      <c r="BR78" s="644"/>
      <c r="BS78" s="644"/>
      <c r="BT78" s="644"/>
      <c r="BU78" s="644"/>
      <c r="BV78" s="644"/>
      <c r="BW78" s="644"/>
      <c r="BX78" s="644"/>
      <c r="BY78" s="644"/>
      <c r="BZ78" s="644"/>
      <c r="CA78" s="644"/>
      <c r="CB78" s="644"/>
      <c r="CC78" s="644"/>
      <c r="CD78" s="644"/>
      <c r="CE78" s="644"/>
      <c r="CF78" s="644"/>
      <c r="CG78" s="644"/>
      <c r="CH78" s="644"/>
      <c r="CI78" s="644"/>
      <c r="CJ78" s="301" t="s">
        <v>740</v>
      </c>
      <c r="CK78" s="180"/>
      <c r="CL78" s="136"/>
    </row>
    <row r="79" spans="1:90" s="344" customFormat="1">
      <c r="A79" s="335" t="s">
        <v>181</v>
      </c>
      <c r="B79" s="182"/>
      <c r="C79" s="183"/>
      <c r="D79" s="184">
        <v>1</v>
      </c>
      <c r="E79" s="184">
        <v>1</v>
      </c>
      <c r="F79" s="184"/>
      <c r="G79" s="184">
        <v>1</v>
      </c>
      <c r="H79" s="182"/>
      <c r="I79" s="182"/>
      <c r="J79" s="182"/>
      <c r="K79" s="182"/>
      <c r="L79" s="182">
        <v>1</v>
      </c>
      <c r="M79" s="182"/>
      <c r="N79" s="182"/>
      <c r="O79" s="182"/>
      <c r="P79" s="182"/>
      <c r="Q79" s="182"/>
      <c r="R79" s="182"/>
      <c r="S79" s="302">
        <v>1</v>
      </c>
      <c r="T79" s="182"/>
      <c r="U79" s="182"/>
      <c r="V79" s="302">
        <v>1</v>
      </c>
      <c r="W79" s="182">
        <v>1</v>
      </c>
      <c r="X79" s="182">
        <v>1</v>
      </c>
      <c r="Y79" s="182">
        <v>1</v>
      </c>
      <c r="Z79" s="182"/>
      <c r="AA79" s="182"/>
      <c r="AB79" s="182"/>
      <c r="AC79" s="182"/>
      <c r="AD79" s="302">
        <v>1</v>
      </c>
      <c r="AE79" s="182"/>
      <c r="AF79" s="182"/>
      <c r="AG79" s="182"/>
      <c r="AH79" s="339">
        <v>10</v>
      </c>
      <c r="AI79" s="340" t="s">
        <v>816</v>
      </c>
      <c r="AJ79" s="341">
        <v>42367</v>
      </c>
      <c r="AK79" s="187"/>
      <c r="AL79" s="187">
        <f t="shared" si="13"/>
        <v>0</v>
      </c>
      <c r="AM79" s="187">
        <f t="shared" si="14"/>
        <v>13</v>
      </c>
      <c r="AN79" s="187">
        <f t="shared" si="15"/>
        <v>8</v>
      </c>
      <c r="AO79" s="187">
        <f t="shared" si="16"/>
        <v>8</v>
      </c>
      <c r="AP79" s="187">
        <f t="shared" si="17"/>
        <v>0</v>
      </c>
      <c r="AQ79" s="187">
        <f t="shared" si="18"/>
        <v>0</v>
      </c>
      <c r="AR79" s="187">
        <f t="shared" si="19"/>
        <v>0</v>
      </c>
      <c r="AS79" s="187">
        <f t="shared" si="20"/>
        <v>19</v>
      </c>
      <c r="AT79" s="187">
        <f t="shared" si="21"/>
        <v>0</v>
      </c>
      <c r="AU79" s="187">
        <f t="shared" si="22"/>
        <v>0</v>
      </c>
      <c r="AV79" s="187">
        <f t="shared" si="23"/>
        <v>0</v>
      </c>
      <c r="AW79" s="187">
        <f t="shared" si="24"/>
        <v>8</v>
      </c>
      <c r="AX79" s="187">
        <f t="shared" si="25"/>
        <v>0</v>
      </c>
      <c r="AY79" s="187">
        <f t="shared" si="26"/>
        <v>0</v>
      </c>
      <c r="AZ79" s="187">
        <f t="shared" si="27"/>
        <v>8</v>
      </c>
      <c r="BA79" s="187">
        <f t="shared" si="28"/>
        <v>16</v>
      </c>
      <c r="BB79" s="187">
        <f t="shared" si="29"/>
        <v>13</v>
      </c>
      <c r="BC79" s="187">
        <f t="shared" si="30"/>
        <v>10</v>
      </c>
      <c r="BD79" s="187">
        <f t="shared" si="31"/>
        <v>0</v>
      </c>
      <c r="BE79" s="187">
        <f t="shared" si="32"/>
        <v>0</v>
      </c>
      <c r="BF79" s="187">
        <f t="shared" si="33"/>
        <v>0</v>
      </c>
      <c r="BG79" s="187">
        <f t="shared" si="34"/>
        <v>8</v>
      </c>
      <c r="BH79" s="187">
        <f t="shared" si="35"/>
        <v>0</v>
      </c>
      <c r="BI79" s="187">
        <f t="shared" si="36"/>
        <v>0</v>
      </c>
      <c r="BJ79" s="273">
        <f t="shared" si="37"/>
        <v>95</v>
      </c>
      <c r="BK79" s="167">
        <f t="shared" ref="BK79" si="60">BJ79</f>
        <v>95</v>
      </c>
      <c r="BL79" s="167"/>
      <c r="BM79" s="644"/>
      <c r="BN79" s="644"/>
      <c r="BO79" s="644"/>
      <c r="BP79" s="644"/>
      <c r="BQ79" s="644"/>
      <c r="BR79" s="644"/>
      <c r="BS79" s="644"/>
      <c r="BT79" s="644"/>
      <c r="BU79" s="644"/>
      <c r="BV79" s="644"/>
      <c r="BW79" s="644"/>
      <c r="BX79" s="644"/>
      <c r="BY79" s="644"/>
      <c r="BZ79" s="644"/>
      <c r="CA79" s="644"/>
      <c r="CB79" s="644"/>
      <c r="CC79" s="644"/>
      <c r="CD79" s="644"/>
      <c r="CE79" s="644"/>
      <c r="CF79" s="644"/>
      <c r="CG79" s="644"/>
      <c r="CH79" s="644"/>
      <c r="CI79" s="644"/>
      <c r="CJ79" s="301" t="s">
        <v>752</v>
      </c>
      <c r="CK79" s="342"/>
      <c r="CL79" s="343"/>
    </row>
    <row r="80" spans="1:90">
      <c r="A80" s="181" t="s">
        <v>182</v>
      </c>
      <c r="B80" s="182"/>
      <c r="C80" s="183"/>
      <c r="D80" s="314">
        <v>1</v>
      </c>
      <c r="E80" s="184"/>
      <c r="F80" s="184"/>
      <c r="G80" s="184"/>
      <c r="H80" s="182"/>
      <c r="I80" s="182"/>
      <c r="J80" s="182">
        <v>1</v>
      </c>
      <c r="K80" s="182"/>
      <c r="L80" s="182">
        <v>1</v>
      </c>
      <c r="M80" s="182"/>
      <c r="N80" s="182"/>
      <c r="O80" s="182">
        <v>1</v>
      </c>
      <c r="P80" s="182"/>
      <c r="Q80" s="182"/>
      <c r="R80" s="182"/>
      <c r="S80" s="302">
        <v>1</v>
      </c>
      <c r="T80" s="182">
        <v>1</v>
      </c>
      <c r="U80" s="182"/>
      <c r="V80" s="182"/>
      <c r="W80" s="182">
        <v>1</v>
      </c>
      <c r="X80" s="302">
        <v>1</v>
      </c>
      <c r="Y80" s="182">
        <v>1</v>
      </c>
      <c r="Z80" s="320"/>
      <c r="AA80" s="182">
        <v>1</v>
      </c>
      <c r="AB80" s="182"/>
      <c r="AC80" s="182"/>
      <c r="AD80" s="182"/>
      <c r="AE80" s="182"/>
      <c r="AF80" s="182"/>
      <c r="AG80" s="182"/>
      <c r="AH80" s="167">
        <v>10</v>
      </c>
      <c r="AI80" s="300" t="s">
        <v>817</v>
      </c>
      <c r="AJ80" s="186">
        <v>42340</v>
      </c>
      <c r="AK80" s="187"/>
      <c r="AL80" s="187">
        <f t="shared" si="13"/>
        <v>0</v>
      </c>
      <c r="AM80" s="187">
        <f t="shared" si="14"/>
        <v>13</v>
      </c>
      <c r="AN80" s="187">
        <f t="shared" si="15"/>
        <v>0</v>
      </c>
      <c r="AO80" s="187">
        <f t="shared" si="16"/>
        <v>0</v>
      </c>
      <c r="AP80" s="187">
        <f t="shared" si="17"/>
        <v>0</v>
      </c>
      <c r="AQ80" s="187">
        <f t="shared" si="18"/>
        <v>0</v>
      </c>
      <c r="AR80" s="187">
        <f t="shared" si="19"/>
        <v>0</v>
      </c>
      <c r="AS80" s="187">
        <f t="shared" si="20"/>
        <v>19</v>
      </c>
      <c r="AT80" s="187">
        <f t="shared" si="21"/>
        <v>13</v>
      </c>
      <c r="AU80" s="187">
        <f t="shared" si="22"/>
        <v>0</v>
      </c>
      <c r="AV80" s="187">
        <f t="shared" si="23"/>
        <v>0</v>
      </c>
      <c r="AW80" s="187">
        <f t="shared" si="24"/>
        <v>8</v>
      </c>
      <c r="AX80" s="187">
        <f t="shared" si="25"/>
        <v>4</v>
      </c>
      <c r="AY80" s="187">
        <f t="shared" si="26"/>
        <v>0</v>
      </c>
      <c r="AZ80" s="187">
        <f t="shared" si="27"/>
        <v>0</v>
      </c>
      <c r="BA80" s="187">
        <f t="shared" si="28"/>
        <v>16</v>
      </c>
      <c r="BB80" s="187">
        <f t="shared" si="29"/>
        <v>13</v>
      </c>
      <c r="BC80" s="187">
        <f t="shared" si="30"/>
        <v>10</v>
      </c>
      <c r="BD80" s="187">
        <f t="shared" si="31"/>
        <v>0</v>
      </c>
      <c r="BE80" s="187">
        <f t="shared" si="32"/>
        <v>6</v>
      </c>
      <c r="BF80" s="187">
        <f t="shared" si="33"/>
        <v>0</v>
      </c>
      <c r="BG80" s="187">
        <f t="shared" si="34"/>
        <v>0</v>
      </c>
      <c r="BH80" s="187">
        <f t="shared" si="35"/>
        <v>0</v>
      </c>
      <c r="BI80" s="187">
        <f t="shared" si="36"/>
        <v>0</v>
      </c>
      <c r="BJ80" s="273">
        <f t="shared" si="37"/>
        <v>98</v>
      </c>
      <c r="BK80" s="167">
        <f t="shared" si="38"/>
        <v>98</v>
      </c>
      <c r="BL80" s="167"/>
      <c r="BM80" s="644"/>
      <c r="BN80" s="644"/>
      <c r="BO80" s="644"/>
      <c r="BP80" s="644"/>
      <c r="BQ80" s="644"/>
      <c r="BR80" s="644"/>
      <c r="BS80" s="644"/>
      <c r="BT80" s="644"/>
      <c r="BU80" s="644"/>
      <c r="BV80" s="644"/>
      <c r="BW80" s="644"/>
      <c r="BX80" s="644"/>
      <c r="BY80" s="644"/>
      <c r="BZ80" s="644"/>
      <c r="CA80" s="644"/>
      <c r="CB80" s="644"/>
      <c r="CC80" s="644"/>
      <c r="CD80" s="644"/>
      <c r="CE80" s="644"/>
      <c r="CF80" s="644"/>
      <c r="CG80" s="644"/>
      <c r="CH80" s="644"/>
      <c r="CI80" s="644"/>
      <c r="CJ80" s="301" t="s">
        <v>756</v>
      </c>
      <c r="CK80" s="180"/>
      <c r="CL80" s="136"/>
    </row>
    <row r="81" spans="1:90" s="344" customFormat="1">
      <c r="A81" s="335" t="s">
        <v>818</v>
      </c>
      <c r="B81" s="182"/>
      <c r="C81" s="183"/>
      <c r="D81" s="184">
        <v>1</v>
      </c>
      <c r="E81" s="184"/>
      <c r="F81" s="184"/>
      <c r="G81" s="314">
        <v>1</v>
      </c>
      <c r="H81" s="182"/>
      <c r="I81" s="182"/>
      <c r="J81" s="182"/>
      <c r="K81" s="182"/>
      <c r="L81" s="182">
        <v>1</v>
      </c>
      <c r="M81" s="182"/>
      <c r="N81" s="182"/>
      <c r="O81" s="182">
        <v>1</v>
      </c>
      <c r="P81" s="182"/>
      <c r="Q81" s="182"/>
      <c r="R81" s="182"/>
      <c r="S81" s="182"/>
      <c r="T81" s="182">
        <v>1</v>
      </c>
      <c r="U81" s="320"/>
      <c r="V81" s="302">
        <v>1</v>
      </c>
      <c r="W81" s="182">
        <v>1</v>
      </c>
      <c r="X81" s="182">
        <v>1</v>
      </c>
      <c r="Y81" s="302">
        <v>1</v>
      </c>
      <c r="Z81" s="182"/>
      <c r="AA81" s="182">
        <v>1</v>
      </c>
      <c r="AB81" s="182"/>
      <c r="AC81" s="182"/>
      <c r="AD81" s="182"/>
      <c r="AE81" s="182"/>
      <c r="AF81" s="182"/>
      <c r="AG81" s="182"/>
      <c r="AH81" s="339">
        <v>10</v>
      </c>
      <c r="AI81" s="379" t="s">
        <v>115</v>
      </c>
      <c r="AJ81" s="341">
        <v>42367</v>
      </c>
      <c r="AK81" s="187"/>
      <c r="AL81" s="187">
        <f t="shared" si="13"/>
        <v>0</v>
      </c>
      <c r="AM81" s="187">
        <f t="shared" si="14"/>
        <v>13</v>
      </c>
      <c r="AN81" s="187">
        <f t="shared" si="15"/>
        <v>0</v>
      </c>
      <c r="AO81" s="187">
        <f t="shared" si="16"/>
        <v>8</v>
      </c>
      <c r="AP81" s="187">
        <f t="shared" si="17"/>
        <v>0</v>
      </c>
      <c r="AQ81" s="187">
        <f t="shared" si="18"/>
        <v>0</v>
      </c>
      <c r="AR81" s="187">
        <f t="shared" si="19"/>
        <v>0</v>
      </c>
      <c r="AS81" s="187">
        <f t="shared" si="20"/>
        <v>19</v>
      </c>
      <c r="AT81" s="187">
        <f t="shared" si="21"/>
        <v>13</v>
      </c>
      <c r="AU81" s="187">
        <f t="shared" si="22"/>
        <v>0</v>
      </c>
      <c r="AV81" s="187">
        <f t="shared" si="23"/>
        <v>0</v>
      </c>
      <c r="AW81" s="187">
        <f t="shared" si="24"/>
        <v>0</v>
      </c>
      <c r="AX81" s="187">
        <f t="shared" si="25"/>
        <v>4</v>
      </c>
      <c r="AY81" s="187">
        <f t="shared" si="26"/>
        <v>0</v>
      </c>
      <c r="AZ81" s="187">
        <f t="shared" si="27"/>
        <v>8</v>
      </c>
      <c r="BA81" s="187">
        <f t="shared" si="28"/>
        <v>16</v>
      </c>
      <c r="BB81" s="187">
        <f t="shared" si="29"/>
        <v>13</v>
      </c>
      <c r="BC81" s="187">
        <f t="shared" si="30"/>
        <v>10</v>
      </c>
      <c r="BD81" s="187">
        <f t="shared" si="31"/>
        <v>0</v>
      </c>
      <c r="BE81" s="187">
        <f t="shared" si="32"/>
        <v>6</v>
      </c>
      <c r="BF81" s="187">
        <f t="shared" si="33"/>
        <v>0</v>
      </c>
      <c r="BG81" s="187">
        <f t="shared" si="34"/>
        <v>0</v>
      </c>
      <c r="BH81" s="187">
        <f t="shared" si="35"/>
        <v>0</v>
      </c>
      <c r="BI81" s="187">
        <f t="shared" si="36"/>
        <v>0</v>
      </c>
      <c r="BJ81" s="273">
        <f t="shared" si="37"/>
        <v>100</v>
      </c>
      <c r="BK81" s="167">
        <f t="shared" si="38"/>
        <v>100</v>
      </c>
      <c r="BL81" s="339"/>
      <c r="BM81" s="182"/>
      <c r="BN81" s="182"/>
      <c r="BO81" s="182"/>
      <c r="BP81" s="182"/>
      <c r="BQ81" s="182"/>
      <c r="BR81" s="182"/>
      <c r="BS81" s="182"/>
      <c r="BT81" s="182"/>
      <c r="BU81" s="182"/>
      <c r="BV81" s="182"/>
      <c r="BW81" s="182"/>
      <c r="BX81" s="182"/>
      <c r="BY81" s="182"/>
      <c r="BZ81" s="182"/>
      <c r="CA81" s="182"/>
      <c r="CB81" s="182"/>
      <c r="CC81" s="182"/>
      <c r="CD81" s="182"/>
      <c r="CE81" s="182"/>
      <c r="CF81" s="182"/>
      <c r="CG81" s="182"/>
      <c r="CH81" s="182"/>
      <c r="CI81" s="182"/>
      <c r="CJ81" s="635"/>
      <c r="CK81" s="342"/>
      <c r="CL81" s="343"/>
    </row>
    <row r="82" spans="1:90" s="344" customFormat="1">
      <c r="A82" s="335" t="s">
        <v>187</v>
      </c>
      <c r="B82" s="182"/>
      <c r="C82" s="183"/>
      <c r="D82" s="184">
        <v>1</v>
      </c>
      <c r="E82" s="184"/>
      <c r="F82" s="184"/>
      <c r="G82" s="184"/>
      <c r="H82" s="182"/>
      <c r="I82" s="182"/>
      <c r="J82" s="182"/>
      <c r="K82" s="182"/>
      <c r="L82" s="182">
        <v>1</v>
      </c>
      <c r="M82" s="182"/>
      <c r="N82" s="182"/>
      <c r="O82" s="182"/>
      <c r="P82" s="182"/>
      <c r="Q82" s="182"/>
      <c r="R82" s="182"/>
      <c r="S82" s="182">
        <v>1</v>
      </c>
      <c r="T82" s="182"/>
      <c r="U82" s="182"/>
      <c r="V82" s="182">
        <v>1</v>
      </c>
      <c r="W82" s="182">
        <v>1</v>
      </c>
      <c r="X82" s="182">
        <v>1</v>
      </c>
      <c r="Y82" s="182">
        <v>1</v>
      </c>
      <c r="Z82" s="182"/>
      <c r="AA82" s="182"/>
      <c r="AB82" s="182"/>
      <c r="AC82" s="182"/>
      <c r="AD82" s="182"/>
      <c r="AE82" s="182"/>
      <c r="AF82" s="182"/>
      <c r="AG82" s="182"/>
      <c r="AH82" s="339">
        <v>7</v>
      </c>
      <c r="AI82" s="340" t="s">
        <v>819</v>
      </c>
      <c r="AJ82" s="341">
        <v>42357</v>
      </c>
      <c r="AK82" s="187"/>
      <c r="AL82" s="187">
        <f t="shared" si="13"/>
        <v>0</v>
      </c>
      <c r="AM82" s="187">
        <f t="shared" si="14"/>
        <v>13</v>
      </c>
      <c r="AN82" s="187">
        <f t="shared" si="15"/>
        <v>0</v>
      </c>
      <c r="AO82" s="187">
        <f t="shared" si="16"/>
        <v>0</v>
      </c>
      <c r="AP82" s="187">
        <f t="shared" si="17"/>
        <v>0</v>
      </c>
      <c r="AQ82" s="187">
        <f t="shared" si="18"/>
        <v>0</v>
      </c>
      <c r="AR82" s="187">
        <f t="shared" si="19"/>
        <v>0</v>
      </c>
      <c r="AS82" s="187">
        <f t="shared" si="20"/>
        <v>19</v>
      </c>
      <c r="AT82" s="187">
        <f t="shared" si="21"/>
        <v>0</v>
      </c>
      <c r="AU82" s="187">
        <f t="shared" si="22"/>
        <v>0</v>
      </c>
      <c r="AV82" s="187">
        <f t="shared" si="23"/>
        <v>0</v>
      </c>
      <c r="AW82" s="187">
        <f t="shared" si="24"/>
        <v>8</v>
      </c>
      <c r="AX82" s="187">
        <f t="shared" si="25"/>
        <v>0</v>
      </c>
      <c r="AY82" s="187">
        <f t="shared" si="26"/>
        <v>0</v>
      </c>
      <c r="AZ82" s="187">
        <f t="shared" si="27"/>
        <v>8</v>
      </c>
      <c r="BA82" s="187">
        <f t="shared" si="28"/>
        <v>16</v>
      </c>
      <c r="BB82" s="187">
        <f t="shared" si="29"/>
        <v>13</v>
      </c>
      <c r="BC82" s="187">
        <f t="shared" si="30"/>
        <v>10</v>
      </c>
      <c r="BD82" s="187">
        <f t="shared" si="31"/>
        <v>0</v>
      </c>
      <c r="BE82" s="187">
        <f t="shared" si="32"/>
        <v>0</v>
      </c>
      <c r="BF82" s="187">
        <f t="shared" si="33"/>
        <v>0</v>
      </c>
      <c r="BG82" s="187">
        <f t="shared" si="34"/>
        <v>0</v>
      </c>
      <c r="BH82" s="187">
        <f t="shared" si="35"/>
        <v>0</v>
      </c>
      <c r="BI82" s="187">
        <f t="shared" si="36"/>
        <v>0</v>
      </c>
      <c r="BJ82" s="273">
        <f t="shared" si="37"/>
        <v>87</v>
      </c>
      <c r="BK82" s="167">
        <f t="shared" si="38"/>
        <v>87</v>
      </c>
      <c r="BL82" s="167"/>
      <c r="BM82" s="644"/>
      <c r="BN82" s="644"/>
      <c r="BO82" s="644"/>
      <c r="BP82" s="644"/>
      <c r="BQ82" s="644"/>
      <c r="BR82" s="644"/>
      <c r="BS82" s="644"/>
      <c r="BT82" s="644"/>
      <c r="BU82" s="644"/>
      <c r="BV82" s="644"/>
      <c r="BW82" s="644"/>
      <c r="BX82" s="644"/>
      <c r="BY82" s="644"/>
      <c r="BZ82" s="644"/>
      <c r="CA82" s="644"/>
      <c r="CB82" s="644"/>
      <c r="CC82" s="644"/>
      <c r="CD82" s="644"/>
      <c r="CE82" s="644"/>
      <c r="CF82" s="644"/>
      <c r="CG82" s="644"/>
      <c r="CH82" s="644"/>
      <c r="CI82" s="644"/>
      <c r="CJ82" s="301" t="s">
        <v>766</v>
      </c>
      <c r="CK82" s="342"/>
      <c r="CL82" s="343"/>
    </row>
    <row r="83" spans="1:90" s="344" customFormat="1">
      <c r="A83" s="335" t="s">
        <v>560</v>
      </c>
      <c r="B83" s="182"/>
      <c r="C83" s="183"/>
      <c r="D83" s="184">
        <v>1</v>
      </c>
      <c r="E83" s="184"/>
      <c r="F83" s="184"/>
      <c r="G83" s="184"/>
      <c r="H83" s="182"/>
      <c r="I83" s="182"/>
      <c r="J83" s="182"/>
      <c r="K83" s="182"/>
      <c r="L83" s="182">
        <v>1</v>
      </c>
      <c r="M83" s="182"/>
      <c r="N83" s="182"/>
      <c r="O83" s="182">
        <v>1</v>
      </c>
      <c r="P83" s="182"/>
      <c r="Q83" s="320"/>
      <c r="R83" s="182"/>
      <c r="S83" s="302">
        <v>1</v>
      </c>
      <c r="T83" s="182"/>
      <c r="U83" s="182"/>
      <c r="V83" s="182">
        <v>1</v>
      </c>
      <c r="W83" s="302">
        <v>1</v>
      </c>
      <c r="X83" s="182">
        <v>1</v>
      </c>
      <c r="Y83" s="182">
        <v>1</v>
      </c>
      <c r="Z83" s="182"/>
      <c r="AA83" s="182"/>
      <c r="AB83" s="182"/>
      <c r="AC83" s="182"/>
      <c r="AD83" s="302">
        <v>1</v>
      </c>
      <c r="AE83" s="182"/>
      <c r="AF83" s="182">
        <v>1</v>
      </c>
      <c r="AG83" s="182"/>
      <c r="AH83" s="339">
        <v>10</v>
      </c>
      <c r="AI83" s="340" t="s">
        <v>820</v>
      </c>
      <c r="AJ83" s="341">
        <v>42375</v>
      </c>
      <c r="AK83" s="187"/>
      <c r="AL83" s="187">
        <f t="shared" si="13"/>
        <v>0</v>
      </c>
      <c r="AM83" s="187">
        <f t="shared" si="14"/>
        <v>13</v>
      </c>
      <c r="AN83" s="187">
        <f t="shared" si="15"/>
        <v>0</v>
      </c>
      <c r="AO83" s="187">
        <f t="shared" si="16"/>
        <v>0</v>
      </c>
      <c r="AP83" s="187">
        <f t="shared" si="17"/>
        <v>0</v>
      </c>
      <c r="AQ83" s="187">
        <f t="shared" si="18"/>
        <v>0</v>
      </c>
      <c r="AR83" s="187">
        <f t="shared" si="19"/>
        <v>0</v>
      </c>
      <c r="AS83" s="187">
        <f t="shared" si="20"/>
        <v>19</v>
      </c>
      <c r="AT83" s="187">
        <f t="shared" si="21"/>
        <v>13</v>
      </c>
      <c r="AU83" s="187">
        <f t="shared" si="22"/>
        <v>0</v>
      </c>
      <c r="AV83" s="187">
        <f t="shared" si="23"/>
        <v>0</v>
      </c>
      <c r="AW83" s="187">
        <f t="shared" si="24"/>
        <v>8</v>
      </c>
      <c r="AX83" s="187">
        <f t="shared" si="25"/>
        <v>0</v>
      </c>
      <c r="AY83" s="187">
        <f t="shared" si="26"/>
        <v>0</v>
      </c>
      <c r="AZ83" s="187">
        <f t="shared" si="27"/>
        <v>8</v>
      </c>
      <c r="BA83" s="187">
        <f t="shared" si="28"/>
        <v>16</v>
      </c>
      <c r="BB83" s="187">
        <f t="shared" si="29"/>
        <v>13</v>
      </c>
      <c r="BC83" s="187">
        <f t="shared" si="30"/>
        <v>10</v>
      </c>
      <c r="BD83" s="187">
        <f t="shared" si="31"/>
        <v>0</v>
      </c>
      <c r="BE83" s="187">
        <f t="shared" si="32"/>
        <v>0</v>
      </c>
      <c r="BF83" s="187">
        <f t="shared" si="33"/>
        <v>0</v>
      </c>
      <c r="BG83" s="187">
        <f t="shared" si="34"/>
        <v>8</v>
      </c>
      <c r="BH83" s="187">
        <f t="shared" si="35"/>
        <v>0</v>
      </c>
      <c r="BI83" s="187">
        <f t="shared" si="36"/>
        <v>3</v>
      </c>
      <c r="BJ83" s="273">
        <f t="shared" si="37"/>
        <v>100</v>
      </c>
      <c r="BK83" s="167">
        <f t="shared" si="38"/>
        <v>100</v>
      </c>
      <c r="BL83" s="167"/>
      <c r="BM83" s="644"/>
      <c r="BN83" s="644"/>
      <c r="BO83" s="644"/>
      <c r="BP83" s="644"/>
      <c r="BQ83" s="644"/>
      <c r="BR83" s="644"/>
      <c r="BS83" s="644"/>
      <c r="BT83" s="644"/>
      <c r="BU83" s="644"/>
      <c r="BV83" s="644"/>
      <c r="BW83" s="644"/>
      <c r="BX83" s="644"/>
      <c r="BY83" s="644"/>
      <c r="BZ83" s="644"/>
      <c r="CA83" s="644"/>
      <c r="CB83" s="644"/>
      <c r="CC83" s="644"/>
      <c r="CD83" s="644"/>
      <c r="CE83" s="644"/>
      <c r="CF83" s="644"/>
      <c r="CG83" s="644"/>
      <c r="CH83" s="644"/>
      <c r="CI83" s="644"/>
      <c r="CJ83" s="301" t="s">
        <v>807</v>
      </c>
      <c r="CK83" s="342"/>
      <c r="CL83" s="343"/>
    </row>
    <row r="84" spans="1:90" s="344" customFormat="1">
      <c r="A84" s="335" t="s">
        <v>191</v>
      </c>
      <c r="B84" s="182"/>
      <c r="C84" s="183"/>
      <c r="D84" s="314">
        <v>1</v>
      </c>
      <c r="E84" s="184">
        <v>1</v>
      </c>
      <c r="F84" s="184"/>
      <c r="G84" s="184">
        <v>1</v>
      </c>
      <c r="H84" s="182"/>
      <c r="I84" s="182"/>
      <c r="J84" s="182"/>
      <c r="K84" s="182"/>
      <c r="L84" s="182">
        <v>1</v>
      </c>
      <c r="M84" s="182"/>
      <c r="N84" s="182"/>
      <c r="O84" s="182">
        <v>1</v>
      </c>
      <c r="P84" s="182"/>
      <c r="Q84" s="182"/>
      <c r="R84" s="182"/>
      <c r="S84" s="182"/>
      <c r="T84" s="182"/>
      <c r="U84" s="182">
        <v>1</v>
      </c>
      <c r="V84" s="182"/>
      <c r="W84" s="182">
        <v>1</v>
      </c>
      <c r="X84" s="182">
        <v>1</v>
      </c>
      <c r="Y84" s="182"/>
      <c r="Z84" s="182"/>
      <c r="AA84" s="182">
        <v>1</v>
      </c>
      <c r="AB84" s="182">
        <v>1</v>
      </c>
      <c r="AC84" s="182"/>
      <c r="AD84" s="182"/>
      <c r="AE84" s="182"/>
      <c r="AF84" s="182"/>
      <c r="AG84" s="182"/>
      <c r="AH84" s="339">
        <v>10</v>
      </c>
      <c r="AI84" s="356" t="s">
        <v>113</v>
      </c>
      <c r="AJ84" s="341">
        <v>42371</v>
      </c>
      <c r="AK84" s="187"/>
      <c r="AL84" s="187">
        <f t="shared" si="13"/>
        <v>0</v>
      </c>
      <c r="AM84" s="187">
        <f t="shared" si="14"/>
        <v>13</v>
      </c>
      <c r="AN84" s="187">
        <f t="shared" si="15"/>
        <v>8</v>
      </c>
      <c r="AO84" s="187">
        <f t="shared" si="16"/>
        <v>8</v>
      </c>
      <c r="AP84" s="187">
        <f t="shared" si="17"/>
        <v>0</v>
      </c>
      <c r="AQ84" s="187">
        <f t="shared" si="18"/>
        <v>0</v>
      </c>
      <c r="AR84" s="187">
        <f t="shared" si="19"/>
        <v>0</v>
      </c>
      <c r="AS84" s="187">
        <f t="shared" si="20"/>
        <v>19</v>
      </c>
      <c r="AT84" s="187">
        <f t="shared" si="21"/>
        <v>13</v>
      </c>
      <c r="AU84" s="187">
        <f t="shared" si="22"/>
        <v>0</v>
      </c>
      <c r="AV84" s="187">
        <f t="shared" si="23"/>
        <v>0</v>
      </c>
      <c r="AW84" s="187">
        <f t="shared" si="24"/>
        <v>0</v>
      </c>
      <c r="AX84" s="187">
        <f t="shared" si="25"/>
        <v>0</v>
      </c>
      <c r="AY84" s="187">
        <f t="shared" si="26"/>
        <v>2</v>
      </c>
      <c r="AZ84" s="187">
        <f t="shared" si="27"/>
        <v>0</v>
      </c>
      <c r="BA84" s="187">
        <f t="shared" si="28"/>
        <v>16</v>
      </c>
      <c r="BB84" s="187">
        <f t="shared" si="29"/>
        <v>13</v>
      </c>
      <c r="BC84" s="187">
        <f t="shared" si="30"/>
        <v>0</v>
      </c>
      <c r="BD84" s="187">
        <f t="shared" si="31"/>
        <v>0</v>
      </c>
      <c r="BE84" s="187">
        <f t="shared" si="32"/>
        <v>6</v>
      </c>
      <c r="BF84" s="187">
        <f t="shared" si="33"/>
        <v>1</v>
      </c>
      <c r="BG84" s="187">
        <f t="shared" si="34"/>
        <v>0</v>
      </c>
      <c r="BH84" s="187">
        <f t="shared" si="35"/>
        <v>0</v>
      </c>
      <c r="BI84" s="187">
        <f t="shared" si="36"/>
        <v>0</v>
      </c>
      <c r="BJ84" s="273">
        <f t="shared" si="37"/>
        <v>96</v>
      </c>
      <c r="BK84" s="167">
        <f t="shared" ref="BK84" si="61">BJ84</f>
        <v>96</v>
      </c>
      <c r="BL84" s="167"/>
      <c r="BM84" s="644"/>
      <c r="BN84" s="644"/>
      <c r="BO84" s="644"/>
      <c r="BP84" s="644"/>
      <c r="BQ84" s="644"/>
      <c r="BR84" s="644"/>
      <c r="BS84" s="644"/>
      <c r="BT84" s="644"/>
      <c r="BU84" s="644"/>
      <c r="BV84" s="644"/>
      <c r="BW84" s="644"/>
      <c r="BX84" s="644"/>
      <c r="BY84" s="644"/>
      <c r="BZ84" s="644"/>
      <c r="CA84" s="644"/>
      <c r="CB84" s="644"/>
      <c r="CC84" s="644"/>
      <c r="CD84" s="644"/>
      <c r="CE84" s="644"/>
      <c r="CF84" s="644"/>
      <c r="CG84" s="644"/>
      <c r="CH84" s="644"/>
      <c r="CI84" s="644"/>
      <c r="CJ84" s="301" t="s">
        <v>821</v>
      </c>
      <c r="CK84" s="342"/>
      <c r="CL84" s="343"/>
    </row>
    <row r="85" spans="1:90">
      <c r="A85" s="181" t="s">
        <v>193</v>
      </c>
      <c r="B85" s="315"/>
      <c r="C85" s="315"/>
      <c r="D85" s="315">
        <v>1</v>
      </c>
      <c r="E85" s="302">
        <v>1</v>
      </c>
      <c r="F85" s="302"/>
      <c r="G85" s="302">
        <v>1</v>
      </c>
      <c r="H85" s="315"/>
      <c r="I85" s="315"/>
      <c r="J85" s="315"/>
      <c r="K85" s="315"/>
      <c r="L85" s="315">
        <v>1</v>
      </c>
      <c r="M85" s="315"/>
      <c r="N85" s="315"/>
      <c r="O85" s="315">
        <v>1</v>
      </c>
      <c r="P85" s="315"/>
      <c r="Q85" s="315"/>
      <c r="R85" s="315"/>
      <c r="S85" s="320"/>
      <c r="T85" s="315"/>
      <c r="U85" s="302">
        <v>1</v>
      </c>
      <c r="V85" s="315"/>
      <c r="W85" s="315">
        <v>1</v>
      </c>
      <c r="X85" s="315">
        <v>1</v>
      </c>
      <c r="Y85" s="315"/>
      <c r="Z85" s="315"/>
      <c r="AA85" s="182"/>
      <c r="AB85" s="302">
        <v>1</v>
      </c>
      <c r="AC85" s="182"/>
      <c r="AD85" s="182"/>
      <c r="AE85" s="182"/>
      <c r="AF85" s="182"/>
      <c r="AG85" s="182"/>
      <c r="AH85" s="167">
        <v>9</v>
      </c>
      <c r="AI85" s="300" t="s">
        <v>822</v>
      </c>
      <c r="AJ85" s="186">
        <v>42347</v>
      </c>
      <c r="AK85" s="187"/>
      <c r="AL85" s="187">
        <f t="shared" si="13"/>
        <v>0</v>
      </c>
      <c r="AM85" s="187">
        <f t="shared" si="14"/>
        <v>13</v>
      </c>
      <c r="AN85" s="187">
        <f t="shared" si="15"/>
        <v>8</v>
      </c>
      <c r="AO85" s="187">
        <f t="shared" si="16"/>
        <v>8</v>
      </c>
      <c r="AP85" s="187">
        <f t="shared" si="17"/>
        <v>0</v>
      </c>
      <c r="AQ85" s="187">
        <f t="shared" si="18"/>
        <v>0</v>
      </c>
      <c r="AR85" s="187">
        <f t="shared" si="19"/>
        <v>0</v>
      </c>
      <c r="AS85" s="187">
        <f t="shared" si="20"/>
        <v>19</v>
      </c>
      <c r="AT85" s="187">
        <f t="shared" si="21"/>
        <v>13</v>
      </c>
      <c r="AU85" s="187">
        <f t="shared" si="22"/>
        <v>0</v>
      </c>
      <c r="AV85" s="187">
        <f t="shared" si="23"/>
        <v>0</v>
      </c>
      <c r="AW85" s="187">
        <f t="shared" si="24"/>
        <v>0</v>
      </c>
      <c r="AX85" s="187">
        <f t="shared" si="25"/>
        <v>0</v>
      </c>
      <c r="AY85" s="187">
        <f t="shared" si="26"/>
        <v>2</v>
      </c>
      <c r="AZ85" s="187">
        <f t="shared" si="27"/>
        <v>0</v>
      </c>
      <c r="BA85" s="187">
        <f t="shared" si="28"/>
        <v>16</v>
      </c>
      <c r="BB85" s="187">
        <f t="shared" si="29"/>
        <v>13</v>
      </c>
      <c r="BC85" s="187">
        <f t="shared" si="30"/>
        <v>0</v>
      </c>
      <c r="BD85" s="187">
        <f t="shared" si="31"/>
        <v>0</v>
      </c>
      <c r="BE85" s="187">
        <f t="shared" si="32"/>
        <v>0</v>
      </c>
      <c r="BF85" s="187">
        <f t="shared" si="33"/>
        <v>1</v>
      </c>
      <c r="BG85" s="187">
        <f t="shared" si="34"/>
        <v>0</v>
      </c>
      <c r="BH85" s="187">
        <f t="shared" si="35"/>
        <v>0</v>
      </c>
      <c r="BI85" s="187">
        <f t="shared" si="36"/>
        <v>0</v>
      </c>
      <c r="BJ85" s="273">
        <f t="shared" si="37"/>
        <v>92</v>
      </c>
      <c r="BK85" s="167">
        <f t="shared" si="38"/>
        <v>92</v>
      </c>
      <c r="BL85" s="167"/>
      <c r="BM85" s="644"/>
      <c r="BN85" s="644"/>
      <c r="BO85" s="644"/>
      <c r="BP85" s="644"/>
      <c r="BQ85" s="644"/>
      <c r="BR85" s="644"/>
      <c r="BS85" s="644"/>
      <c r="BT85" s="644"/>
      <c r="BU85" s="644"/>
      <c r="BV85" s="644"/>
      <c r="BW85" s="644"/>
      <c r="BX85" s="644"/>
      <c r="BY85" s="644"/>
      <c r="BZ85" s="644"/>
      <c r="CA85" s="644"/>
      <c r="CB85" s="644"/>
      <c r="CC85" s="644"/>
      <c r="CD85" s="644"/>
      <c r="CE85" s="644"/>
      <c r="CF85" s="644"/>
      <c r="CG85" s="644"/>
      <c r="CH85" s="644"/>
      <c r="CI85" s="644"/>
      <c r="CJ85" s="301" t="s">
        <v>805</v>
      </c>
      <c r="CK85" s="180"/>
      <c r="CL85" s="136"/>
    </row>
    <row r="86" spans="1:90">
      <c r="A86" s="181" t="s">
        <v>427</v>
      </c>
      <c r="B86" s="182"/>
      <c r="C86" s="182"/>
      <c r="D86" s="182">
        <v>1</v>
      </c>
      <c r="E86" s="182"/>
      <c r="F86" s="182"/>
      <c r="G86" s="182"/>
      <c r="H86" s="182"/>
      <c r="I86" s="182"/>
      <c r="J86" s="182"/>
      <c r="K86" s="182"/>
      <c r="L86" s="182">
        <v>1</v>
      </c>
      <c r="M86" s="182"/>
      <c r="N86" s="182"/>
      <c r="O86" s="182"/>
      <c r="P86" s="182"/>
      <c r="Q86" s="182"/>
      <c r="R86" s="182"/>
      <c r="S86" s="182"/>
      <c r="T86" s="182"/>
      <c r="U86" s="182"/>
      <c r="V86" s="182"/>
      <c r="W86" s="182"/>
      <c r="X86" s="182"/>
      <c r="Y86" s="182"/>
      <c r="Z86" s="182"/>
      <c r="AA86" s="182"/>
      <c r="AB86" s="182"/>
      <c r="AC86" s="182"/>
      <c r="AD86" s="182"/>
      <c r="AE86" s="182"/>
      <c r="AF86" s="182"/>
      <c r="AG86" s="182"/>
      <c r="AH86" s="167">
        <v>2</v>
      </c>
      <c r="AI86" s="328" t="s">
        <v>113</v>
      </c>
      <c r="AJ86" s="186">
        <v>42367</v>
      </c>
      <c r="AK86" s="187"/>
      <c r="AL86" s="187">
        <f t="shared" si="13"/>
        <v>0</v>
      </c>
      <c r="AM86" s="187">
        <f t="shared" si="14"/>
        <v>13</v>
      </c>
      <c r="AN86" s="187">
        <f t="shared" si="15"/>
        <v>0</v>
      </c>
      <c r="AO86" s="187">
        <f t="shared" si="16"/>
        <v>0</v>
      </c>
      <c r="AP86" s="187">
        <f t="shared" si="17"/>
        <v>0</v>
      </c>
      <c r="AQ86" s="187">
        <f t="shared" si="18"/>
        <v>0</v>
      </c>
      <c r="AR86" s="187">
        <f t="shared" si="19"/>
        <v>0</v>
      </c>
      <c r="AS86" s="187">
        <f t="shared" si="20"/>
        <v>19</v>
      </c>
      <c r="AT86" s="187">
        <f t="shared" si="21"/>
        <v>0</v>
      </c>
      <c r="AU86" s="187">
        <f t="shared" si="22"/>
        <v>0</v>
      </c>
      <c r="AV86" s="187">
        <f t="shared" si="23"/>
        <v>0</v>
      </c>
      <c r="AW86" s="187">
        <f t="shared" si="24"/>
        <v>0</v>
      </c>
      <c r="AX86" s="187">
        <f t="shared" si="25"/>
        <v>0</v>
      </c>
      <c r="AY86" s="187">
        <f t="shared" si="26"/>
        <v>0</v>
      </c>
      <c r="AZ86" s="187">
        <f t="shared" si="27"/>
        <v>0</v>
      </c>
      <c r="BA86" s="187">
        <f t="shared" si="28"/>
        <v>0</v>
      </c>
      <c r="BB86" s="187">
        <f t="shared" si="29"/>
        <v>0</v>
      </c>
      <c r="BC86" s="187">
        <f t="shared" si="30"/>
        <v>0</v>
      </c>
      <c r="BD86" s="187">
        <f t="shared" si="31"/>
        <v>0</v>
      </c>
      <c r="BE86" s="187">
        <f t="shared" si="32"/>
        <v>0</v>
      </c>
      <c r="BF86" s="187">
        <f t="shared" si="33"/>
        <v>0</v>
      </c>
      <c r="BG86" s="187">
        <f t="shared" si="34"/>
        <v>0</v>
      </c>
      <c r="BH86" s="187">
        <f t="shared" si="35"/>
        <v>0</v>
      </c>
      <c r="BI86" s="187">
        <f t="shared" si="36"/>
        <v>0</v>
      </c>
      <c r="BJ86" s="273">
        <f t="shared" si="37"/>
        <v>32</v>
      </c>
      <c r="BK86" s="167">
        <f t="shared" ref="BK86" si="62">BJ86</f>
        <v>32</v>
      </c>
      <c r="BL86" s="167"/>
      <c r="BM86" s="644"/>
      <c r="BN86" s="644"/>
      <c r="BO86" s="644"/>
      <c r="BP86" s="644"/>
      <c r="BQ86" s="644"/>
      <c r="BR86" s="644"/>
      <c r="BS86" s="644"/>
      <c r="BT86" s="644"/>
      <c r="BU86" s="644"/>
      <c r="BV86" s="644"/>
      <c r="BW86" s="644"/>
      <c r="BX86" s="644"/>
      <c r="BY86" s="644"/>
      <c r="BZ86" s="644"/>
      <c r="CA86" s="644"/>
      <c r="CB86" s="644"/>
      <c r="CC86" s="644"/>
      <c r="CD86" s="644"/>
      <c r="CE86" s="644"/>
      <c r="CF86" s="644"/>
      <c r="CG86" s="644"/>
      <c r="CH86" s="644"/>
      <c r="CI86" s="644"/>
      <c r="CJ86" s="301" t="s">
        <v>746</v>
      </c>
      <c r="CK86" s="180"/>
      <c r="CL86" s="136"/>
    </row>
    <row r="87" spans="1:90">
      <c r="A87" s="181" t="s">
        <v>196</v>
      </c>
      <c r="B87" s="182"/>
      <c r="C87" s="182"/>
      <c r="D87" s="182">
        <v>1</v>
      </c>
      <c r="E87" s="182"/>
      <c r="F87" s="182"/>
      <c r="G87" s="182"/>
      <c r="H87" s="182"/>
      <c r="I87" s="182"/>
      <c r="J87" s="182"/>
      <c r="K87" s="182"/>
      <c r="L87" s="182">
        <v>1</v>
      </c>
      <c r="M87" s="182"/>
      <c r="N87" s="182"/>
      <c r="O87" s="182"/>
      <c r="P87" s="182"/>
      <c r="Q87" s="182"/>
      <c r="R87" s="182"/>
      <c r="S87" s="302">
        <v>1</v>
      </c>
      <c r="T87" s="182">
        <v>1</v>
      </c>
      <c r="U87" s="182"/>
      <c r="V87" s="182">
        <v>1</v>
      </c>
      <c r="W87" s="182">
        <v>1</v>
      </c>
      <c r="X87" s="182">
        <v>1</v>
      </c>
      <c r="Y87" s="182">
        <v>1</v>
      </c>
      <c r="Z87" s="182"/>
      <c r="AA87" s="182"/>
      <c r="AB87" s="182"/>
      <c r="AC87" s="182"/>
      <c r="AD87" s="302">
        <v>1</v>
      </c>
      <c r="AE87" s="182"/>
      <c r="AF87" s="302">
        <v>1</v>
      </c>
      <c r="AG87" s="182"/>
      <c r="AH87" s="167">
        <v>10</v>
      </c>
      <c r="AI87" s="300" t="s">
        <v>823</v>
      </c>
      <c r="AJ87" s="186">
        <v>42374</v>
      </c>
      <c r="AK87" s="187"/>
      <c r="AL87" s="187">
        <f t="shared" si="13"/>
        <v>0</v>
      </c>
      <c r="AM87" s="187">
        <f t="shared" si="14"/>
        <v>13</v>
      </c>
      <c r="AN87" s="187">
        <f t="shared" si="15"/>
        <v>0</v>
      </c>
      <c r="AO87" s="187">
        <f t="shared" si="16"/>
        <v>0</v>
      </c>
      <c r="AP87" s="187">
        <f t="shared" si="17"/>
        <v>0</v>
      </c>
      <c r="AQ87" s="187">
        <f t="shared" si="18"/>
        <v>0</v>
      </c>
      <c r="AR87" s="187">
        <f t="shared" si="19"/>
        <v>0</v>
      </c>
      <c r="AS87" s="187">
        <f t="shared" si="20"/>
        <v>19</v>
      </c>
      <c r="AT87" s="187">
        <f t="shared" si="21"/>
        <v>0</v>
      </c>
      <c r="AU87" s="187">
        <f t="shared" si="22"/>
        <v>0</v>
      </c>
      <c r="AV87" s="187">
        <f t="shared" si="23"/>
        <v>0</v>
      </c>
      <c r="AW87" s="187">
        <f t="shared" si="24"/>
        <v>8</v>
      </c>
      <c r="AX87" s="187">
        <f t="shared" si="25"/>
        <v>4</v>
      </c>
      <c r="AY87" s="187">
        <f t="shared" si="26"/>
        <v>0</v>
      </c>
      <c r="AZ87" s="187">
        <f t="shared" si="27"/>
        <v>8</v>
      </c>
      <c r="BA87" s="187">
        <f t="shared" si="28"/>
        <v>16</v>
      </c>
      <c r="BB87" s="187">
        <f t="shared" si="29"/>
        <v>13</v>
      </c>
      <c r="BC87" s="187">
        <f t="shared" si="30"/>
        <v>10</v>
      </c>
      <c r="BD87" s="187">
        <f t="shared" si="31"/>
        <v>0</v>
      </c>
      <c r="BE87" s="187">
        <f t="shared" si="32"/>
        <v>0</v>
      </c>
      <c r="BF87" s="187">
        <f t="shared" si="33"/>
        <v>0</v>
      </c>
      <c r="BG87" s="187">
        <f t="shared" si="34"/>
        <v>8</v>
      </c>
      <c r="BH87" s="187">
        <f t="shared" si="35"/>
        <v>0</v>
      </c>
      <c r="BI87" s="187">
        <f t="shared" si="36"/>
        <v>3</v>
      </c>
      <c r="BJ87" s="273">
        <f t="shared" si="37"/>
        <v>95</v>
      </c>
      <c r="BK87" s="167">
        <f t="shared" ref="BK87" si="63">BJ87</f>
        <v>95</v>
      </c>
      <c r="BL87" s="167"/>
      <c r="BM87" s="644"/>
      <c r="BN87" s="644"/>
      <c r="BO87" s="644"/>
      <c r="BP87" s="644"/>
      <c r="BQ87" s="644"/>
      <c r="BR87" s="644"/>
      <c r="BS87" s="644"/>
      <c r="BT87" s="644"/>
      <c r="BU87" s="644"/>
      <c r="BV87" s="644"/>
      <c r="BW87" s="644"/>
      <c r="BX87" s="644"/>
      <c r="BY87" s="644"/>
      <c r="BZ87" s="644"/>
      <c r="CA87" s="644"/>
      <c r="CB87" s="644"/>
      <c r="CC87" s="644"/>
      <c r="CD87" s="644"/>
      <c r="CE87" s="644"/>
      <c r="CF87" s="644"/>
      <c r="CG87" s="644"/>
      <c r="CH87" s="644"/>
      <c r="CI87" s="644"/>
      <c r="CJ87" s="301" t="s">
        <v>740</v>
      </c>
      <c r="CK87" s="180"/>
      <c r="CL87" s="136"/>
    </row>
    <row r="88" spans="1:90">
      <c r="A88" s="181" t="s">
        <v>197</v>
      </c>
      <c r="B88" s="182"/>
      <c r="C88" s="182"/>
      <c r="D88" s="182">
        <v>1</v>
      </c>
      <c r="E88" s="182">
        <v>1</v>
      </c>
      <c r="F88" s="182"/>
      <c r="G88" s="182">
        <v>1</v>
      </c>
      <c r="H88" s="182"/>
      <c r="I88" s="182"/>
      <c r="J88" s="182"/>
      <c r="K88" s="182"/>
      <c r="L88" s="182">
        <v>1</v>
      </c>
      <c r="M88" s="182"/>
      <c r="N88" s="182"/>
      <c r="O88" s="182">
        <v>1</v>
      </c>
      <c r="P88" s="182"/>
      <c r="Q88" s="182"/>
      <c r="R88" s="182"/>
      <c r="S88" s="182"/>
      <c r="T88" s="182"/>
      <c r="U88" s="182"/>
      <c r="V88" s="182"/>
      <c r="W88" s="182">
        <v>1</v>
      </c>
      <c r="X88" s="182">
        <v>1</v>
      </c>
      <c r="Y88" s="302">
        <v>1</v>
      </c>
      <c r="Z88" s="182"/>
      <c r="AA88" s="182"/>
      <c r="AB88" s="182"/>
      <c r="AC88" s="182"/>
      <c r="AD88" s="182"/>
      <c r="AE88" s="182"/>
      <c r="AF88" s="182"/>
      <c r="AG88" s="182"/>
      <c r="AH88" s="167">
        <v>8</v>
      </c>
      <c r="AI88" s="328" t="s">
        <v>824</v>
      </c>
      <c r="AJ88" s="186">
        <v>42373</v>
      </c>
      <c r="AK88" s="187"/>
      <c r="AL88" s="187">
        <f t="shared" ref="AL88:AL151" si="64">IF(B88=1,0,0)</f>
        <v>0</v>
      </c>
      <c r="AM88" s="187">
        <f t="shared" ref="AM88:AM151" si="65">IF(D88=1,13,0)</f>
        <v>13</v>
      </c>
      <c r="AN88" s="187">
        <f t="shared" ref="AN88:AN151" si="66">IF(E88=1,8,0)</f>
        <v>8</v>
      </c>
      <c r="AO88" s="187">
        <f t="shared" ref="AO88:AO151" si="67">IF(G88=1,8,0)</f>
        <v>8</v>
      </c>
      <c r="AP88" s="187">
        <f t="shared" ref="AP88:AP151" si="68">IF(I88=1,0,0)</f>
        <v>0</v>
      </c>
      <c r="AQ88" s="187">
        <f t="shared" ref="AQ88:AQ151" si="69">IF(J88=1,0,0)</f>
        <v>0</v>
      </c>
      <c r="AR88" s="187">
        <f t="shared" ref="AR88:AR151" si="70">IF(K88=1,0,0)</f>
        <v>0</v>
      </c>
      <c r="AS88" s="187">
        <f t="shared" ref="AS88:AS151" si="71">IF(L88=1,19,0)</f>
        <v>19</v>
      </c>
      <c r="AT88" s="187">
        <f t="shared" ref="AT88:AT151" si="72">IF(O88=1,13,0)</f>
        <v>13</v>
      </c>
      <c r="AU88" s="187">
        <f t="shared" ref="AU88:AU151" si="73">IF(P88=1,0,0)</f>
        <v>0</v>
      </c>
      <c r="AV88" s="187">
        <f t="shared" ref="AV88:AV151" si="74">IF(Q88=1,3,0)</f>
        <v>0</v>
      </c>
      <c r="AW88" s="187">
        <f t="shared" ref="AW88:AW151" si="75">IF(S88=1,8,0)</f>
        <v>0</v>
      </c>
      <c r="AX88" s="187">
        <f t="shared" ref="AX88:AX151" si="76">IF(T88=1,4,0)</f>
        <v>0</v>
      </c>
      <c r="AY88" s="187">
        <f t="shared" ref="AY88:AY151" si="77">IF(U88=1,2,0)</f>
        <v>0</v>
      </c>
      <c r="AZ88" s="187">
        <f t="shared" ref="AZ88:AZ151" si="78">IF(V88=1,8,0)</f>
        <v>0</v>
      </c>
      <c r="BA88" s="187">
        <f t="shared" ref="BA88:BA151" si="79">IF(W88=1,16,0)</f>
        <v>16</v>
      </c>
      <c r="BB88" s="187">
        <f t="shared" ref="BB88:BB151" si="80">IF(X88=1,13,0)</f>
        <v>13</v>
      </c>
      <c r="BC88" s="187">
        <f t="shared" ref="BC88:BC151" si="81">IF(Y88=1,10,0)</f>
        <v>10</v>
      </c>
      <c r="BD88" s="187">
        <f t="shared" ref="BD88:BD151" si="82">IF(Z88=1,2,0)</f>
        <v>0</v>
      </c>
      <c r="BE88" s="187">
        <f t="shared" ref="BE88:BE151" si="83">IF(AA88=1,6,0)</f>
        <v>0</v>
      </c>
      <c r="BF88" s="187">
        <f t="shared" ref="BF88:BF151" si="84">IF(AB88=1,1,0)</f>
        <v>0</v>
      </c>
      <c r="BG88" s="187">
        <f t="shared" ref="BG88:BG151" si="85">IF(AD88=1,8,0)</f>
        <v>0</v>
      </c>
      <c r="BH88" s="187">
        <f t="shared" ref="BH88:BH151" si="86">IF(AE88=1,2,0)</f>
        <v>0</v>
      </c>
      <c r="BI88" s="187">
        <f t="shared" ref="BI88:BI151" si="87">IF(AF88=1,3,0)</f>
        <v>0</v>
      </c>
      <c r="BJ88" s="273">
        <f t="shared" ref="BJ88:BJ151" si="88">LARGE(AL88:BI88,1)+LARGE(AL88:BI88,2)+LARGE(AL88:BI88,3)+LARGE(AL88:BI88,4)+LARGE(AL88:BI88,5)+LARGE(AL88:BI88,6)+LARGE(AL88:BI88,7)+LARGE(AL88:BI88,8)</f>
        <v>100</v>
      </c>
      <c r="BK88" s="167">
        <f t="shared" ref="BK88" si="89">BJ88</f>
        <v>100</v>
      </c>
      <c r="BL88" s="167"/>
      <c r="BM88" s="644"/>
      <c r="BN88" s="644"/>
      <c r="BO88" s="644"/>
      <c r="BP88" s="644"/>
      <c r="BQ88" s="644"/>
      <c r="BR88" s="644"/>
      <c r="BS88" s="644"/>
      <c r="BT88" s="644"/>
      <c r="BU88" s="644"/>
      <c r="BV88" s="644"/>
      <c r="BW88" s="644"/>
      <c r="BX88" s="644"/>
      <c r="BY88" s="644"/>
      <c r="BZ88" s="644"/>
      <c r="CA88" s="644"/>
      <c r="CB88" s="644"/>
      <c r="CC88" s="644"/>
      <c r="CD88" s="644"/>
      <c r="CE88" s="644"/>
      <c r="CF88" s="644"/>
      <c r="CG88" s="644"/>
      <c r="CH88" s="644"/>
      <c r="CI88" s="644"/>
      <c r="CJ88" s="301" t="s">
        <v>769</v>
      </c>
      <c r="CK88" s="180"/>
      <c r="CL88" s="136"/>
    </row>
    <row r="89" spans="1:90">
      <c r="A89" s="181" t="s">
        <v>198</v>
      </c>
      <c r="B89" s="182"/>
      <c r="C89" s="183"/>
      <c r="D89" s="184">
        <v>1</v>
      </c>
      <c r="E89" s="184"/>
      <c r="F89" s="184"/>
      <c r="G89" s="184"/>
      <c r="H89" s="182"/>
      <c r="I89" s="182"/>
      <c r="J89" s="182"/>
      <c r="K89" s="182"/>
      <c r="L89" s="182">
        <v>1</v>
      </c>
      <c r="M89" s="182"/>
      <c r="N89" s="182"/>
      <c r="O89" s="182">
        <v>1</v>
      </c>
      <c r="P89" s="182"/>
      <c r="Q89" s="182">
        <v>1</v>
      </c>
      <c r="R89" s="182"/>
      <c r="S89" s="182">
        <v>1</v>
      </c>
      <c r="T89" s="182">
        <v>1</v>
      </c>
      <c r="U89" s="182"/>
      <c r="V89" s="182">
        <v>1</v>
      </c>
      <c r="W89" s="182">
        <v>1</v>
      </c>
      <c r="X89" s="182"/>
      <c r="Y89" s="182"/>
      <c r="Z89" s="182"/>
      <c r="AA89" s="182"/>
      <c r="AB89" s="182"/>
      <c r="AC89" s="182"/>
      <c r="AD89" s="182"/>
      <c r="AE89" s="182"/>
      <c r="AF89" s="182"/>
      <c r="AG89" s="182"/>
      <c r="AH89" s="167">
        <v>8</v>
      </c>
      <c r="AI89" s="328" t="s">
        <v>113</v>
      </c>
      <c r="AJ89" s="186">
        <v>42337</v>
      </c>
      <c r="AK89" s="187"/>
      <c r="AL89" s="187">
        <f t="shared" si="64"/>
        <v>0</v>
      </c>
      <c r="AM89" s="187">
        <f t="shared" si="65"/>
        <v>13</v>
      </c>
      <c r="AN89" s="187">
        <f t="shared" si="66"/>
        <v>0</v>
      </c>
      <c r="AO89" s="187">
        <f t="shared" si="67"/>
        <v>0</v>
      </c>
      <c r="AP89" s="187">
        <f t="shared" si="68"/>
        <v>0</v>
      </c>
      <c r="AQ89" s="187">
        <f t="shared" si="69"/>
        <v>0</v>
      </c>
      <c r="AR89" s="187">
        <f t="shared" si="70"/>
        <v>0</v>
      </c>
      <c r="AS89" s="187">
        <f t="shared" si="71"/>
        <v>19</v>
      </c>
      <c r="AT89" s="187">
        <f t="shared" si="72"/>
        <v>13</v>
      </c>
      <c r="AU89" s="187">
        <f t="shared" si="73"/>
        <v>0</v>
      </c>
      <c r="AV89" s="187">
        <f t="shared" si="74"/>
        <v>3</v>
      </c>
      <c r="AW89" s="187">
        <f t="shared" si="75"/>
        <v>8</v>
      </c>
      <c r="AX89" s="187">
        <f t="shared" si="76"/>
        <v>4</v>
      </c>
      <c r="AY89" s="187">
        <f t="shared" si="77"/>
        <v>0</v>
      </c>
      <c r="AZ89" s="187">
        <f t="shared" si="78"/>
        <v>8</v>
      </c>
      <c r="BA89" s="187">
        <f t="shared" si="79"/>
        <v>16</v>
      </c>
      <c r="BB89" s="187">
        <f t="shared" si="80"/>
        <v>0</v>
      </c>
      <c r="BC89" s="187">
        <f t="shared" si="81"/>
        <v>0</v>
      </c>
      <c r="BD89" s="187">
        <f t="shared" si="82"/>
        <v>0</v>
      </c>
      <c r="BE89" s="187">
        <f t="shared" si="83"/>
        <v>0</v>
      </c>
      <c r="BF89" s="187">
        <f t="shared" si="84"/>
        <v>0</v>
      </c>
      <c r="BG89" s="187">
        <f t="shared" si="85"/>
        <v>0</v>
      </c>
      <c r="BH89" s="187">
        <f t="shared" si="86"/>
        <v>0</v>
      </c>
      <c r="BI89" s="187">
        <f t="shared" si="87"/>
        <v>0</v>
      </c>
      <c r="BJ89" s="273">
        <f t="shared" si="88"/>
        <v>84</v>
      </c>
      <c r="BK89" s="167">
        <f t="shared" si="38"/>
        <v>84</v>
      </c>
      <c r="BL89" s="167"/>
      <c r="BM89" s="644"/>
      <c r="BN89" s="644"/>
      <c r="BO89" s="644"/>
      <c r="BP89" s="644"/>
      <c r="BQ89" s="644"/>
      <c r="BR89" s="644"/>
      <c r="BS89" s="644"/>
      <c r="BT89" s="644"/>
      <c r="BU89" s="644"/>
      <c r="BV89" s="644"/>
      <c r="BW89" s="644"/>
      <c r="BX89" s="644"/>
      <c r="BY89" s="644"/>
      <c r="BZ89" s="644"/>
      <c r="CA89" s="644"/>
      <c r="CB89" s="644"/>
      <c r="CC89" s="644"/>
      <c r="CD89" s="644"/>
      <c r="CE89" s="644"/>
      <c r="CF89" s="644"/>
      <c r="CG89" s="644"/>
      <c r="CH89" s="644"/>
      <c r="CI89" s="644"/>
      <c r="CJ89" s="301" t="s">
        <v>743</v>
      </c>
      <c r="CK89" s="180"/>
      <c r="CL89" s="136"/>
    </row>
    <row r="90" spans="1:90">
      <c r="A90" s="181" t="s">
        <v>825</v>
      </c>
      <c r="B90" s="182"/>
      <c r="C90" s="183"/>
      <c r="D90" s="184">
        <v>1</v>
      </c>
      <c r="E90" s="184"/>
      <c r="F90" s="184"/>
      <c r="G90" s="184"/>
      <c r="H90" s="182"/>
      <c r="I90" s="182"/>
      <c r="J90" s="182"/>
      <c r="K90" s="182"/>
      <c r="L90" s="182">
        <v>1</v>
      </c>
      <c r="M90" s="182"/>
      <c r="N90" s="182"/>
      <c r="O90" s="182">
        <v>1</v>
      </c>
      <c r="P90" s="182"/>
      <c r="Q90" s="182">
        <v>1</v>
      </c>
      <c r="R90" s="182"/>
      <c r="S90" s="182"/>
      <c r="T90" s="182"/>
      <c r="U90" s="182"/>
      <c r="V90" s="302">
        <v>1</v>
      </c>
      <c r="W90" s="182">
        <v>1</v>
      </c>
      <c r="X90" s="182">
        <v>1</v>
      </c>
      <c r="Y90" s="302">
        <v>1</v>
      </c>
      <c r="Z90" s="182"/>
      <c r="AA90" s="182">
        <v>1</v>
      </c>
      <c r="AB90" s="182"/>
      <c r="AC90" s="182"/>
      <c r="AD90" s="182">
        <v>1</v>
      </c>
      <c r="AE90" s="182"/>
      <c r="AF90" s="182"/>
      <c r="AG90" s="182"/>
      <c r="AH90" s="167">
        <v>10</v>
      </c>
      <c r="AI90" s="328" t="s">
        <v>826</v>
      </c>
      <c r="AJ90" s="186">
        <v>42359</v>
      </c>
      <c r="AK90" s="187"/>
      <c r="AL90" s="187">
        <f t="shared" si="64"/>
        <v>0</v>
      </c>
      <c r="AM90" s="187">
        <f t="shared" si="65"/>
        <v>13</v>
      </c>
      <c r="AN90" s="187">
        <f t="shared" si="66"/>
        <v>0</v>
      </c>
      <c r="AO90" s="187">
        <f t="shared" si="67"/>
        <v>0</v>
      </c>
      <c r="AP90" s="187">
        <f t="shared" si="68"/>
        <v>0</v>
      </c>
      <c r="AQ90" s="187">
        <f t="shared" si="69"/>
        <v>0</v>
      </c>
      <c r="AR90" s="187">
        <f t="shared" si="70"/>
        <v>0</v>
      </c>
      <c r="AS90" s="187">
        <f t="shared" si="71"/>
        <v>19</v>
      </c>
      <c r="AT90" s="187">
        <f t="shared" si="72"/>
        <v>13</v>
      </c>
      <c r="AU90" s="187">
        <f t="shared" si="73"/>
        <v>0</v>
      </c>
      <c r="AV90" s="187">
        <f t="shared" si="74"/>
        <v>3</v>
      </c>
      <c r="AW90" s="187">
        <f t="shared" si="75"/>
        <v>0</v>
      </c>
      <c r="AX90" s="187">
        <f t="shared" si="76"/>
        <v>0</v>
      </c>
      <c r="AY90" s="187">
        <f t="shared" si="77"/>
        <v>0</v>
      </c>
      <c r="AZ90" s="187">
        <f t="shared" si="78"/>
        <v>8</v>
      </c>
      <c r="BA90" s="187">
        <f t="shared" si="79"/>
        <v>16</v>
      </c>
      <c r="BB90" s="187">
        <f t="shared" si="80"/>
        <v>13</v>
      </c>
      <c r="BC90" s="187">
        <f t="shared" si="81"/>
        <v>10</v>
      </c>
      <c r="BD90" s="187">
        <f t="shared" si="82"/>
        <v>0</v>
      </c>
      <c r="BE90" s="187">
        <f t="shared" si="83"/>
        <v>6</v>
      </c>
      <c r="BF90" s="187">
        <f t="shared" si="84"/>
        <v>0</v>
      </c>
      <c r="BG90" s="187">
        <f t="shared" si="85"/>
        <v>8</v>
      </c>
      <c r="BH90" s="187">
        <f t="shared" si="86"/>
        <v>0</v>
      </c>
      <c r="BI90" s="187">
        <f t="shared" si="87"/>
        <v>0</v>
      </c>
      <c r="BJ90" s="273">
        <f t="shared" si="88"/>
        <v>100</v>
      </c>
      <c r="BK90" s="167">
        <f t="shared" ref="BK90" si="90">BJ90</f>
        <v>100</v>
      </c>
      <c r="BL90" s="167"/>
      <c r="BM90" s="644"/>
      <c r="BN90" s="644"/>
      <c r="BO90" s="644"/>
      <c r="BP90" s="644"/>
      <c r="BQ90" s="644"/>
      <c r="BR90" s="644"/>
      <c r="BS90" s="644"/>
      <c r="BT90" s="644"/>
      <c r="BU90" s="644"/>
      <c r="BV90" s="644"/>
      <c r="BW90" s="644"/>
      <c r="BX90" s="644"/>
      <c r="BY90" s="644"/>
      <c r="BZ90" s="644"/>
      <c r="CA90" s="644"/>
      <c r="CB90" s="644"/>
      <c r="CC90" s="644"/>
      <c r="CD90" s="644"/>
      <c r="CE90" s="644"/>
      <c r="CF90" s="644"/>
      <c r="CG90" s="644"/>
      <c r="CH90" s="644"/>
      <c r="CI90" s="644"/>
      <c r="CJ90" s="301" t="s">
        <v>743</v>
      </c>
      <c r="CK90" s="180"/>
      <c r="CL90" s="136"/>
    </row>
    <row r="91" spans="1:90" s="344" customFormat="1">
      <c r="A91" s="335" t="s">
        <v>203</v>
      </c>
      <c r="B91" s="182"/>
      <c r="C91" s="183"/>
      <c r="D91" s="184"/>
      <c r="E91" s="184"/>
      <c r="F91" s="184"/>
      <c r="G91" s="184"/>
      <c r="H91" s="182"/>
      <c r="I91" s="182"/>
      <c r="J91" s="182"/>
      <c r="K91" s="182"/>
      <c r="L91" s="182">
        <v>1</v>
      </c>
      <c r="M91" s="182"/>
      <c r="N91" s="182"/>
      <c r="O91" s="182">
        <v>1</v>
      </c>
      <c r="P91" s="182"/>
      <c r="Q91" s="182"/>
      <c r="R91" s="182"/>
      <c r="S91" s="182"/>
      <c r="T91" s="182">
        <v>1</v>
      </c>
      <c r="U91" s="182"/>
      <c r="V91" s="182">
        <v>1</v>
      </c>
      <c r="W91" s="182"/>
      <c r="X91" s="182"/>
      <c r="Y91" s="182"/>
      <c r="Z91" s="182"/>
      <c r="AA91" s="182">
        <v>1</v>
      </c>
      <c r="AB91" s="182"/>
      <c r="AC91" s="182"/>
      <c r="AD91" s="182">
        <v>1</v>
      </c>
      <c r="AE91" s="182"/>
      <c r="AF91" s="182"/>
      <c r="AG91" s="182"/>
      <c r="AH91" s="339">
        <v>6</v>
      </c>
      <c r="AI91" s="340" t="s">
        <v>786</v>
      </c>
      <c r="AJ91" s="341">
        <v>42375</v>
      </c>
      <c r="AK91" s="187"/>
      <c r="AL91" s="187">
        <f t="shared" si="64"/>
        <v>0</v>
      </c>
      <c r="AM91" s="187">
        <f t="shared" si="65"/>
        <v>0</v>
      </c>
      <c r="AN91" s="187">
        <f t="shared" si="66"/>
        <v>0</v>
      </c>
      <c r="AO91" s="187">
        <f t="shared" si="67"/>
        <v>0</v>
      </c>
      <c r="AP91" s="187">
        <f t="shared" si="68"/>
        <v>0</v>
      </c>
      <c r="AQ91" s="187">
        <f t="shared" si="69"/>
        <v>0</v>
      </c>
      <c r="AR91" s="187">
        <f t="shared" si="70"/>
        <v>0</v>
      </c>
      <c r="AS91" s="187">
        <f t="shared" si="71"/>
        <v>19</v>
      </c>
      <c r="AT91" s="187">
        <f t="shared" si="72"/>
        <v>13</v>
      </c>
      <c r="AU91" s="187">
        <f t="shared" si="73"/>
        <v>0</v>
      </c>
      <c r="AV91" s="187">
        <f t="shared" si="74"/>
        <v>0</v>
      </c>
      <c r="AW91" s="187">
        <f t="shared" si="75"/>
        <v>0</v>
      </c>
      <c r="AX91" s="187">
        <f t="shared" si="76"/>
        <v>4</v>
      </c>
      <c r="AY91" s="187">
        <f t="shared" si="77"/>
        <v>0</v>
      </c>
      <c r="AZ91" s="187">
        <f t="shared" si="78"/>
        <v>8</v>
      </c>
      <c r="BA91" s="187">
        <f t="shared" si="79"/>
        <v>0</v>
      </c>
      <c r="BB91" s="187">
        <f t="shared" si="80"/>
        <v>0</v>
      </c>
      <c r="BC91" s="187">
        <f t="shared" si="81"/>
        <v>0</v>
      </c>
      <c r="BD91" s="187">
        <f t="shared" si="82"/>
        <v>0</v>
      </c>
      <c r="BE91" s="187">
        <f t="shared" si="83"/>
        <v>6</v>
      </c>
      <c r="BF91" s="187">
        <f t="shared" si="84"/>
        <v>0</v>
      </c>
      <c r="BG91" s="187">
        <f t="shared" si="85"/>
        <v>8</v>
      </c>
      <c r="BH91" s="187">
        <f t="shared" si="86"/>
        <v>0</v>
      </c>
      <c r="BI91" s="187">
        <f t="shared" si="87"/>
        <v>0</v>
      </c>
      <c r="BJ91" s="273">
        <f t="shared" si="88"/>
        <v>58</v>
      </c>
      <c r="BK91" s="167">
        <f t="shared" ref="BK91" si="91">BJ91</f>
        <v>58</v>
      </c>
      <c r="BL91" s="167"/>
      <c r="BM91" s="644"/>
      <c r="BN91" s="644"/>
      <c r="BO91" s="644"/>
      <c r="BP91" s="644"/>
      <c r="BQ91" s="644"/>
      <c r="BR91" s="644"/>
      <c r="BS91" s="644"/>
      <c r="BT91" s="644"/>
      <c r="BU91" s="644"/>
      <c r="BV91" s="644"/>
      <c r="BW91" s="644"/>
      <c r="BX91" s="644"/>
      <c r="BY91" s="644"/>
      <c r="BZ91" s="644"/>
      <c r="CA91" s="644"/>
      <c r="CB91" s="644"/>
      <c r="CC91" s="644"/>
      <c r="CD91" s="644"/>
      <c r="CE91" s="644"/>
      <c r="CF91" s="644"/>
      <c r="CG91" s="644"/>
      <c r="CH91" s="644"/>
      <c r="CI91" s="644"/>
      <c r="CJ91" s="301" t="s">
        <v>787</v>
      </c>
      <c r="CK91" s="342"/>
      <c r="CL91" s="343"/>
    </row>
    <row r="92" spans="1:90">
      <c r="A92" s="181" t="s">
        <v>204</v>
      </c>
      <c r="B92" s="182"/>
      <c r="C92" s="183"/>
      <c r="D92" s="184">
        <v>1</v>
      </c>
      <c r="E92" s="184"/>
      <c r="F92" s="184"/>
      <c r="G92" s="184"/>
      <c r="H92" s="182"/>
      <c r="I92" s="182"/>
      <c r="J92" s="182"/>
      <c r="K92" s="182"/>
      <c r="L92" s="182">
        <v>1</v>
      </c>
      <c r="M92" s="182"/>
      <c r="N92" s="182"/>
      <c r="O92" s="182">
        <v>1</v>
      </c>
      <c r="P92" s="182"/>
      <c r="Q92" s="182">
        <v>1</v>
      </c>
      <c r="R92" s="182"/>
      <c r="S92" s="182">
        <v>1</v>
      </c>
      <c r="T92" s="182"/>
      <c r="U92" s="182"/>
      <c r="V92" s="182"/>
      <c r="W92" s="182">
        <v>1</v>
      </c>
      <c r="X92" s="182">
        <v>1</v>
      </c>
      <c r="Y92" s="182"/>
      <c r="Z92" s="182"/>
      <c r="AA92" s="182"/>
      <c r="AB92" s="182"/>
      <c r="AC92" s="182"/>
      <c r="AD92" s="182"/>
      <c r="AE92" s="182">
        <v>1</v>
      </c>
      <c r="AF92" s="182"/>
      <c r="AG92" s="182"/>
      <c r="AH92" s="167">
        <v>8</v>
      </c>
      <c r="AI92" s="300" t="s">
        <v>827</v>
      </c>
      <c r="AJ92" s="186">
        <v>42370</v>
      </c>
      <c r="AK92" s="187"/>
      <c r="AL92" s="187">
        <f t="shared" si="64"/>
        <v>0</v>
      </c>
      <c r="AM92" s="187">
        <f t="shared" si="65"/>
        <v>13</v>
      </c>
      <c r="AN92" s="187">
        <f t="shared" si="66"/>
        <v>0</v>
      </c>
      <c r="AO92" s="187">
        <f t="shared" si="67"/>
        <v>0</v>
      </c>
      <c r="AP92" s="187">
        <f t="shared" si="68"/>
        <v>0</v>
      </c>
      <c r="AQ92" s="187">
        <f t="shared" si="69"/>
        <v>0</v>
      </c>
      <c r="AR92" s="187">
        <f t="shared" si="70"/>
        <v>0</v>
      </c>
      <c r="AS92" s="187">
        <f t="shared" si="71"/>
        <v>19</v>
      </c>
      <c r="AT92" s="187">
        <f t="shared" si="72"/>
        <v>13</v>
      </c>
      <c r="AU92" s="187">
        <f t="shared" si="73"/>
        <v>0</v>
      </c>
      <c r="AV92" s="187">
        <f t="shared" si="74"/>
        <v>3</v>
      </c>
      <c r="AW92" s="187">
        <f t="shared" si="75"/>
        <v>8</v>
      </c>
      <c r="AX92" s="187">
        <f t="shared" si="76"/>
        <v>0</v>
      </c>
      <c r="AY92" s="187">
        <f t="shared" si="77"/>
        <v>0</v>
      </c>
      <c r="AZ92" s="187">
        <f t="shared" si="78"/>
        <v>0</v>
      </c>
      <c r="BA92" s="187">
        <f t="shared" si="79"/>
        <v>16</v>
      </c>
      <c r="BB92" s="187">
        <f t="shared" si="80"/>
        <v>13</v>
      </c>
      <c r="BC92" s="187">
        <f t="shared" si="81"/>
        <v>0</v>
      </c>
      <c r="BD92" s="187">
        <f t="shared" si="82"/>
        <v>0</v>
      </c>
      <c r="BE92" s="187">
        <f t="shared" si="83"/>
        <v>0</v>
      </c>
      <c r="BF92" s="187">
        <f t="shared" si="84"/>
        <v>0</v>
      </c>
      <c r="BG92" s="187">
        <f t="shared" si="85"/>
        <v>0</v>
      </c>
      <c r="BH92" s="187">
        <f t="shared" si="86"/>
        <v>2</v>
      </c>
      <c r="BI92" s="187">
        <f t="shared" si="87"/>
        <v>0</v>
      </c>
      <c r="BJ92" s="273">
        <f t="shared" si="88"/>
        <v>87</v>
      </c>
      <c r="BK92" s="167">
        <f t="shared" ref="BK92:BK93" si="92">BJ92</f>
        <v>87</v>
      </c>
      <c r="BL92" s="167"/>
      <c r="BM92" s="644"/>
      <c r="BN92" s="644"/>
      <c r="BO92" s="644"/>
      <c r="BP92" s="644"/>
      <c r="BQ92" s="644"/>
      <c r="BR92" s="644"/>
      <c r="BS92" s="644"/>
      <c r="BT92" s="644"/>
      <c r="BU92" s="644"/>
      <c r="BV92" s="644"/>
      <c r="BW92" s="644"/>
      <c r="BX92" s="644"/>
      <c r="BY92" s="644"/>
      <c r="BZ92" s="644"/>
      <c r="CA92" s="644"/>
      <c r="CB92" s="644"/>
      <c r="CC92" s="644"/>
      <c r="CD92" s="644"/>
      <c r="CE92" s="644"/>
      <c r="CF92" s="644"/>
      <c r="CG92" s="644"/>
      <c r="CH92" s="644"/>
      <c r="CI92" s="644"/>
      <c r="CJ92" s="301" t="s">
        <v>814</v>
      </c>
      <c r="CK92" s="180"/>
      <c r="CL92" s="136"/>
    </row>
    <row r="93" spans="1:90">
      <c r="A93" s="181" t="s">
        <v>205</v>
      </c>
      <c r="B93" s="182"/>
      <c r="C93" s="183"/>
      <c r="D93" s="184">
        <v>1</v>
      </c>
      <c r="E93" s="184"/>
      <c r="F93" s="184"/>
      <c r="G93" s="184"/>
      <c r="H93" s="182"/>
      <c r="I93" s="182">
        <v>1</v>
      </c>
      <c r="J93" s="182"/>
      <c r="K93" s="182"/>
      <c r="L93" s="182">
        <v>1</v>
      </c>
      <c r="M93" s="182"/>
      <c r="N93" s="182"/>
      <c r="O93" s="182"/>
      <c r="P93" s="182"/>
      <c r="Q93" s="182"/>
      <c r="R93" s="182"/>
      <c r="S93" s="302">
        <v>1</v>
      </c>
      <c r="T93" s="182"/>
      <c r="U93" s="182"/>
      <c r="V93" s="182">
        <v>1</v>
      </c>
      <c r="W93" s="182">
        <v>1</v>
      </c>
      <c r="X93" s="182">
        <v>1</v>
      </c>
      <c r="Y93" s="182">
        <v>1</v>
      </c>
      <c r="Z93" s="182"/>
      <c r="AA93" s="182"/>
      <c r="AB93" s="182"/>
      <c r="AC93" s="182"/>
      <c r="AD93" s="302">
        <v>1</v>
      </c>
      <c r="AE93" s="182"/>
      <c r="AF93" s="182">
        <v>1</v>
      </c>
      <c r="AG93" s="182"/>
      <c r="AH93" s="167">
        <v>10</v>
      </c>
      <c r="AI93" s="337" t="s">
        <v>828</v>
      </c>
      <c r="AJ93" s="186">
        <v>42370</v>
      </c>
      <c r="AK93" s="187"/>
      <c r="AL93" s="187">
        <f t="shared" si="64"/>
        <v>0</v>
      </c>
      <c r="AM93" s="187">
        <f t="shared" si="65"/>
        <v>13</v>
      </c>
      <c r="AN93" s="187">
        <f t="shared" si="66"/>
        <v>0</v>
      </c>
      <c r="AO93" s="187">
        <f t="shared" si="67"/>
        <v>0</v>
      </c>
      <c r="AP93" s="187">
        <f t="shared" si="68"/>
        <v>0</v>
      </c>
      <c r="AQ93" s="187">
        <f t="shared" si="69"/>
        <v>0</v>
      </c>
      <c r="AR93" s="187">
        <f t="shared" si="70"/>
        <v>0</v>
      </c>
      <c r="AS93" s="187">
        <f t="shared" si="71"/>
        <v>19</v>
      </c>
      <c r="AT93" s="187">
        <f t="shared" si="72"/>
        <v>0</v>
      </c>
      <c r="AU93" s="187">
        <f t="shared" si="73"/>
        <v>0</v>
      </c>
      <c r="AV93" s="187">
        <f t="shared" si="74"/>
        <v>0</v>
      </c>
      <c r="AW93" s="187">
        <f t="shared" si="75"/>
        <v>8</v>
      </c>
      <c r="AX93" s="187">
        <f t="shared" si="76"/>
        <v>0</v>
      </c>
      <c r="AY93" s="187">
        <f t="shared" si="77"/>
        <v>0</v>
      </c>
      <c r="AZ93" s="187">
        <f t="shared" si="78"/>
        <v>8</v>
      </c>
      <c r="BA93" s="187">
        <f t="shared" si="79"/>
        <v>16</v>
      </c>
      <c r="BB93" s="187">
        <f t="shared" si="80"/>
        <v>13</v>
      </c>
      <c r="BC93" s="187">
        <f t="shared" si="81"/>
        <v>10</v>
      </c>
      <c r="BD93" s="187">
        <f t="shared" si="82"/>
        <v>0</v>
      </c>
      <c r="BE93" s="187">
        <f t="shared" si="83"/>
        <v>0</v>
      </c>
      <c r="BF93" s="187">
        <f t="shared" si="84"/>
        <v>0</v>
      </c>
      <c r="BG93" s="187">
        <f t="shared" si="85"/>
        <v>8</v>
      </c>
      <c r="BH93" s="187">
        <f t="shared" si="86"/>
        <v>0</v>
      </c>
      <c r="BI93" s="187">
        <f t="shared" si="87"/>
        <v>3</v>
      </c>
      <c r="BJ93" s="273">
        <f t="shared" si="88"/>
        <v>95</v>
      </c>
      <c r="BK93" s="167">
        <f t="shared" si="92"/>
        <v>95</v>
      </c>
      <c r="BL93" s="167"/>
      <c r="BM93" s="644"/>
      <c r="BN93" s="644"/>
      <c r="BO93" s="644"/>
      <c r="BP93" s="644"/>
      <c r="BQ93" s="644"/>
      <c r="BR93" s="644"/>
      <c r="BS93" s="644"/>
      <c r="BT93" s="644"/>
      <c r="BU93" s="644"/>
      <c r="BV93" s="644"/>
      <c r="BW93" s="644"/>
      <c r="BX93" s="644"/>
      <c r="BY93" s="644"/>
      <c r="BZ93" s="644"/>
      <c r="CA93" s="644"/>
      <c r="CB93" s="644"/>
      <c r="CC93" s="644"/>
      <c r="CD93" s="644"/>
      <c r="CE93" s="644"/>
      <c r="CF93" s="644"/>
      <c r="CG93" s="644"/>
      <c r="CH93" s="644"/>
      <c r="CI93" s="644"/>
      <c r="CJ93" s="301" t="s">
        <v>829</v>
      </c>
      <c r="CK93" s="180"/>
      <c r="CL93" s="136"/>
    </row>
    <row r="94" spans="1:90">
      <c r="A94" s="181" t="s">
        <v>209</v>
      </c>
      <c r="B94" s="182"/>
      <c r="C94" s="183"/>
      <c r="D94" s="184">
        <v>1</v>
      </c>
      <c r="E94" s="184"/>
      <c r="F94" s="184"/>
      <c r="G94" s="184"/>
      <c r="H94" s="182"/>
      <c r="I94" s="182"/>
      <c r="J94" s="182"/>
      <c r="K94" s="182"/>
      <c r="L94" s="182">
        <v>1</v>
      </c>
      <c r="M94" s="182"/>
      <c r="N94" s="182"/>
      <c r="O94" s="182">
        <v>1</v>
      </c>
      <c r="P94" s="182"/>
      <c r="Q94" s="182"/>
      <c r="R94" s="182"/>
      <c r="S94" s="302">
        <v>1</v>
      </c>
      <c r="T94" s="182"/>
      <c r="U94" s="182"/>
      <c r="V94" s="182">
        <v>1</v>
      </c>
      <c r="W94" s="182">
        <v>1</v>
      </c>
      <c r="X94" s="182">
        <v>1</v>
      </c>
      <c r="Y94" s="302">
        <v>1</v>
      </c>
      <c r="Z94" s="182"/>
      <c r="AA94" s="182"/>
      <c r="AB94" s="182"/>
      <c r="AC94" s="182"/>
      <c r="AD94" s="182">
        <v>1</v>
      </c>
      <c r="AE94" s="182"/>
      <c r="AF94" s="182">
        <v>1</v>
      </c>
      <c r="AG94" s="182"/>
      <c r="AH94" s="167">
        <v>10</v>
      </c>
      <c r="AI94" s="300" t="s">
        <v>830</v>
      </c>
      <c r="AJ94" s="186">
        <v>42368</v>
      </c>
      <c r="AK94" s="187"/>
      <c r="AL94" s="187">
        <f t="shared" si="64"/>
        <v>0</v>
      </c>
      <c r="AM94" s="187">
        <f t="shared" si="65"/>
        <v>13</v>
      </c>
      <c r="AN94" s="187">
        <f t="shared" si="66"/>
        <v>0</v>
      </c>
      <c r="AO94" s="187">
        <f t="shared" si="67"/>
        <v>0</v>
      </c>
      <c r="AP94" s="187">
        <f t="shared" si="68"/>
        <v>0</v>
      </c>
      <c r="AQ94" s="187">
        <f t="shared" si="69"/>
        <v>0</v>
      </c>
      <c r="AR94" s="187">
        <f t="shared" si="70"/>
        <v>0</v>
      </c>
      <c r="AS94" s="187">
        <f t="shared" si="71"/>
        <v>19</v>
      </c>
      <c r="AT94" s="187">
        <f t="shared" si="72"/>
        <v>13</v>
      </c>
      <c r="AU94" s="187">
        <f t="shared" si="73"/>
        <v>0</v>
      </c>
      <c r="AV94" s="187">
        <f t="shared" si="74"/>
        <v>0</v>
      </c>
      <c r="AW94" s="187">
        <f t="shared" si="75"/>
        <v>8</v>
      </c>
      <c r="AX94" s="187">
        <f t="shared" si="76"/>
        <v>0</v>
      </c>
      <c r="AY94" s="187">
        <f t="shared" si="77"/>
        <v>0</v>
      </c>
      <c r="AZ94" s="187">
        <f t="shared" si="78"/>
        <v>8</v>
      </c>
      <c r="BA94" s="187">
        <f t="shared" si="79"/>
        <v>16</v>
      </c>
      <c r="BB94" s="187">
        <f t="shared" si="80"/>
        <v>13</v>
      </c>
      <c r="BC94" s="187">
        <f t="shared" si="81"/>
        <v>10</v>
      </c>
      <c r="BD94" s="187">
        <f t="shared" si="82"/>
        <v>0</v>
      </c>
      <c r="BE94" s="187">
        <f t="shared" si="83"/>
        <v>0</v>
      </c>
      <c r="BF94" s="187">
        <f t="shared" si="84"/>
        <v>0</v>
      </c>
      <c r="BG94" s="187">
        <f t="shared" si="85"/>
        <v>8</v>
      </c>
      <c r="BH94" s="187">
        <f t="shared" si="86"/>
        <v>0</v>
      </c>
      <c r="BI94" s="187">
        <f t="shared" si="87"/>
        <v>3</v>
      </c>
      <c r="BJ94" s="273">
        <f t="shared" si="88"/>
        <v>100</v>
      </c>
      <c r="BK94" s="167">
        <f t="shared" ref="BK94:BK95" si="93">BJ94</f>
        <v>100</v>
      </c>
      <c r="BL94" s="167"/>
      <c r="BM94" s="644"/>
      <c r="BN94" s="644"/>
      <c r="BO94" s="644"/>
      <c r="BP94" s="644"/>
      <c r="BQ94" s="644"/>
      <c r="BR94" s="644"/>
      <c r="BS94" s="644"/>
      <c r="BT94" s="644"/>
      <c r="BU94" s="644"/>
      <c r="BV94" s="644"/>
      <c r="BW94" s="644"/>
      <c r="BX94" s="644"/>
      <c r="BY94" s="644"/>
      <c r="BZ94" s="644"/>
      <c r="CA94" s="644"/>
      <c r="CB94" s="644"/>
      <c r="CC94" s="644"/>
      <c r="CD94" s="644"/>
      <c r="CE94" s="644"/>
      <c r="CF94" s="644"/>
      <c r="CG94" s="644"/>
      <c r="CH94" s="644"/>
      <c r="CI94" s="644"/>
      <c r="CJ94" s="301" t="s">
        <v>746</v>
      </c>
      <c r="CK94" s="180"/>
      <c r="CL94" s="136"/>
    </row>
    <row r="95" spans="1:90" s="344" customFormat="1">
      <c r="A95" s="335" t="s">
        <v>211</v>
      </c>
      <c r="B95" s="182"/>
      <c r="C95" s="183"/>
      <c r="D95" s="184"/>
      <c r="E95" s="184"/>
      <c r="F95" s="184"/>
      <c r="G95" s="184"/>
      <c r="H95" s="182"/>
      <c r="I95" s="182"/>
      <c r="J95" s="182"/>
      <c r="K95" s="182"/>
      <c r="L95" s="182">
        <v>1</v>
      </c>
      <c r="M95" s="182"/>
      <c r="N95" s="182"/>
      <c r="O95" s="182">
        <v>1</v>
      </c>
      <c r="P95" s="182"/>
      <c r="Q95" s="182">
        <v>1</v>
      </c>
      <c r="R95" s="182"/>
      <c r="S95" s="302">
        <v>1</v>
      </c>
      <c r="T95" s="182">
        <v>1</v>
      </c>
      <c r="U95" s="182"/>
      <c r="V95" s="302">
        <v>1</v>
      </c>
      <c r="W95" s="182"/>
      <c r="X95" s="182">
        <v>1</v>
      </c>
      <c r="Y95" s="302">
        <v>1</v>
      </c>
      <c r="Z95" s="182"/>
      <c r="AA95" s="182"/>
      <c r="AB95" s="182"/>
      <c r="AC95" s="182"/>
      <c r="AD95" s="182">
        <v>1</v>
      </c>
      <c r="AE95" s="182">
        <v>1</v>
      </c>
      <c r="AF95" s="182"/>
      <c r="AG95" s="182"/>
      <c r="AH95" s="339">
        <v>10</v>
      </c>
      <c r="AI95" s="340" t="s">
        <v>786</v>
      </c>
      <c r="AJ95" s="341">
        <v>42375</v>
      </c>
      <c r="AK95" s="187"/>
      <c r="AL95" s="187">
        <f t="shared" si="64"/>
        <v>0</v>
      </c>
      <c r="AM95" s="187">
        <f t="shared" si="65"/>
        <v>0</v>
      </c>
      <c r="AN95" s="187">
        <f t="shared" si="66"/>
        <v>0</v>
      </c>
      <c r="AO95" s="187">
        <f t="shared" si="67"/>
        <v>0</v>
      </c>
      <c r="AP95" s="187">
        <f t="shared" si="68"/>
        <v>0</v>
      </c>
      <c r="AQ95" s="187">
        <f t="shared" si="69"/>
        <v>0</v>
      </c>
      <c r="AR95" s="187">
        <f t="shared" si="70"/>
        <v>0</v>
      </c>
      <c r="AS95" s="187">
        <f t="shared" si="71"/>
        <v>19</v>
      </c>
      <c r="AT95" s="187">
        <f t="shared" si="72"/>
        <v>13</v>
      </c>
      <c r="AU95" s="187">
        <f t="shared" si="73"/>
        <v>0</v>
      </c>
      <c r="AV95" s="187">
        <f t="shared" si="74"/>
        <v>3</v>
      </c>
      <c r="AW95" s="187">
        <f t="shared" si="75"/>
        <v>8</v>
      </c>
      <c r="AX95" s="187">
        <f t="shared" si="76"/>
        <v>4</v>
      </c>
      <c r="AY95" s="187">
        <f t="shared" si="77"/>
        <v>0</v>
      </c>
      <c r="AZ95" s="187">
        <f t="shared" si="78"/>
        <v>8</v>
      </c>
      <c r="BA95" s="187">
        <f t="shared" si="79"/>
        <v>0</v>
      </c>
      <c r="BB95" s="187">
        <f t="shared" si="80"/>
        <v>13</v>
      </c>
      <c r="BC95" s="187">
        <f t="shared" si="81"/>
        <v>10</v>
      </c>
      <c r="BD95" s="187">
        <f t="shared" si="82"/>
        <v>0</v>
      </c>
      <c r="BE95" s="187">
        <f t="shared" si="83"/>
        <v>0</v>
      </c>
      <c r="BF95" s="187">
        <f t="shared" si="84"/>
        <v>0</v>
      </c>
      <c r="BG95" s="187">
        <f t="shared" si="85"/>
        <v>8</v>
      </c>
      <c r="BH95" s="187">
        <f t="shared" si="86"/>
        <v>2</v>
      </c>
      <c r="BI95" s="187">
        <f t="shared" si="87"/>
        <v>0</v>
      </c>
      <c r="BJ95" s="273">
        <f t="shared" si="88"/>
        <v>83</v>
      </c>
      <c r="BK95" s="167">
        <f t="shared" si="93"/>
        <v>83</v>
      </c>
      <c r="BL95" s="167"/>
      <c r="BM95" s="644"/>
      <c r="BN95" s="644"/>
      <c r="BO95" s="644"/>
      <c r="BP95" s="644"/>
      <c r="BQ95" s="644"/>
      <c r="BR95" s="644"/>
      <c r="BS95" s="644"/>
      <c r="BT95" s="644"/>
      <c r="BU95" s="644"/>
      <c r="BV95" s="644"/>
      <c r="BW95" s="644"/>
      <c r="BX95" s="644"/>
      <c r="BY95" s="644"/>
      <c r="BZ95" s="644"/>
      <c r="CA95" s="644"/>
      <c r="CB95" s="644"/>
      <c r="CC95" s="644"/>
      <c r="CD95" s="644"/>
      <c r="CE95" s="644"/>
      <c r="CF95" s="644"/>
      <c r="CG95" s="644"/>
      <c r="CH95" s="644"/>
      <c r="CI95" s="644"/>
      <c r="CJ95" s="301" t="s">
        <v>787</v>
      </c>
      <c r="CK95" s="342"/>
      <c r="CL95" s="343"/>
    </row>
    <row r="96" spans="1:90">
      <c r="A96" s="181" t="s">
        <v>831</v>
      </c>
      <c r="B96" s="182"/>
      <c r="C96" s="183"/>
      <c r="D96" s="314">
        <v>1</v>
      </c>
      <c r="E96" s="314">
        <v>1</v>
      </c>
      <c r="F96" s="184"/>
      <c r="G96" s="184">
        <v>1</v>
      </c>
      <c r="H96" s="182"/>
      <c r="I96" s="182"/>
      <c r="J96" s="182"/>
      <c r="K96" s="182"/>
      <c r="L96" s="182">
        <v>1</v>
      </c>
      <c r="M96" s="182"/>
      <c r="N96" s="182"/>
      <c r="O96" s="182"/>
      <c r="P96" s="182"/>
      <c r="Q96" s="182"/>
      <c r="R96" s="182"/>
      <c r="S96" s="182">
        <v>1</v>
      </c>
      <c r="T96" s="182"/>
      <c r="U96" s="182">
        <v>1</v>
      </c>
      <c r="V96" s="182"/>
      <c r="W96" s="182">
        <v>1</v>
      </c>
      <c r="X96" s="182">
        <v>1</v>
      </c>
      <c r="Y96" s="182"/>
      <c r="Z96" s="182">
        <v>1</v>
      </c>
      <c r="AA96" s="182"/>
      <c r="AB96" s="182"/>
      <c r="AC96" s="182"/>
      <c r="AD96" s="182">
        <v>1</v>
      </c>
      <c r="AE96" s="182"/>
      <c r="AF96" s="182"/>
      <c r="AG96" s="182"/>
      <c r="AH96" s="167">
        <v>10</v>
      </c>
      <c r="AI96" s="334" t="s">
        <v>832</v>
      </c>
      <c r="AJ96" s="186">
        <v>42357</v>
      </c>
      <c r="AK96" s="187"/>
      <c r="AL96" s="187">
        <f t="shared" si="64"/>
        <v>0</v>
      </c>
      <c r="AM96" s="187">
        <f t="shared" si="65"/>
        <v>13</v>
      </c>
      <c r="AN96" s="187">
        <f t="shared" si="66"/>
        <v>8</v>
      </c>
      <c r="AO96" s="187">
        <f t="shared" si="67"/>
        <v>8</v>
      </c>
      <c r="AP96" s="187">
        <f t="shared" si="68"/>
        <v>0</v>
      </c>
      <c r="AQ96" s="187">
        <f t="shared" si="69"/>
        <v>0</v>
      </c>
      <c r="AR96" s="187">
        <f t="shared" si="70"/>
        <v>0</v>
      </c>
      <c r="AS96" s="187">
        <f t="shared" si="71"/>
        <v>19</v>
      </c>
      <c r="AT96" s="187">
        <f t="shared" si="72"/>
        <v>0</v>
      </c>
      <c r="AU96" s="187">
        <f t="shared" si="73"/>
        <v>0</v>
      </c>
      <c r="AV96" s="187">
        <f t="shared" si="74"/>
        <v>0</v>
      </c>
      <c r="AW96" s="187">
        <f t="shared" si="75"/>
        <v>8</v>
      </c>
      <c r="AX96" s="187">
        <f t="shared" si="76"/>
        <v>0</v>
      </c>
      <c r="AY96" s="187">
        <f t="shared" si="77"/>
        <v>2</v>
      </c>
      <c r="AZ96" s="187">
        <f t="shared" si="78"/>
        <v>0</v>
      </c>
      <c r="BA96" s="187">
        <f t="shared" si="79"/>
        <v>16</v>
      </c>
      <c r="BB96" s="187">
        <f t="shared" si="80"/>
        <v>13</v>
      </c>
      <c r="BC96" s="187">
        <f t="shared" si="81"/>
        <v>0</v>
      </c>
      <c r="BD96" s="187">
        <f t="shared" si="82"/>
        <v>2</v>
      </c>
      <c r="BE96" s="187">
        <f t="shared" si="83"/>
        <v>0</v>
      </c>
      <c r="BF96" s="187">
        <f t="shared" si="84"/>
        <v>0</v>
      </c>
      <c r="BG96" s="187">
        <f t="shared" si="85"/>
        <v>8</v>
      </c>
      <c r="BH96" s="187">
        <f t="shared" si="86"/>
        <v>0</v>
      </c>
      <c r="BI96" s="187">
        <f t="shared" si="87"/>
        <v>0</v>
      </c>
      <c r="BJ96" s="273">
        <f t="shared" si="88"/>
        <v>93</v>
      </c>
      <c r="BK96" s="167">
        <f t="shared" si="38"/>
        <v>93</v>
      </c>
      <c r="BL96" s="167"/>
      <c r="BM96" s="644"/>
      <c r="BN96" s="644"/>
      <c r="BO96" s="644"/>
      <c r="BP96" s="644"/>
      <c r="BQ96" s="644"/>
      <c r="BR96" s="644"/>
      <c r="BS96" s="644"/>
      <c r="BT96" s="644"/>
      <c r="BU96" s="644"/>
      <c r="BV96" s="644"/>
      <c r="BW96" s="644"/>
      <c r="BX96" s="644"/>
      <c r="BY96" s="644"/>
      <c r="BZ96" s="644"/>
      <c r="CA96" s="644"/>
      <c r="CB96" s="644"/>
      <c r="CC96" s="644"/>
      <c r="CD96" s="644"/>
      <c r="CE96" s="644"/>
      <c r="CF96" s="644"/>
      <c r="CG96" s="644"/>
      <c r="CH96" s="644"/>
      <c r="CI96" s="644"/>
      <c r="CJ96" s="301" t="s">
        <v>789</v>
      </c>
      <c r="CK96" s="180"/>
      <c r="CL96" s="136"/>
    </row>
    <row r="97" spans="1:90" s="344" customFormat="1">
      <c r="A97" s="335" t="s">
        <v>212</v>
      </c>
      <c r="B97" s="182"/>
      <c r="C97" s="182"/>
      <c r="D97" s="302">
        <v>1</v>
      </c>
      <c r="E97" s="182"/>
      <c r="F97" s="182"/>
      <c r="G97" s="182"/>
      <c r="H97" s="182"/>
      <c r="I97" s="182"/>
      <c r="J97" s="182"/>
      <c r="K97" s="182"/>
      <c r="L97" s="182">
        <v>1</v>
      </c>
      <c r="M97" s="182"/>
      <c r="N97" s="182"/>
      <c r="O97" s="182"/>
      <c r="P97" s="182"/>
      <c r="Q97" s="182"/>
      <c r="R97" s="182"/>
      <c r="S97" s="182">
        <v>1</v>
      </c>
      <c r="T97" s="182"/>
      <c r="U97" s="182"/>
      <c r="V97" s="182"/>
      <c r="W97" s="182">
        <v>1</v>
      </c>
      <c r="X97" s="182">
        <v>1</v>
      </c>
      <c r="Y97" s="302">
        <v>1</v>
      </c>
      <c r="Z97" s="182"/>
      <c r="AA97" s="182">
        <v>1</v>
      </c>
      <c r="AB97" s="182"/>
      <c r="AC97" s="182"/>
      <c r="AD97" s="182">
        <v>1</v>
      </c>
      <c r="AE97" s="182"/>
      <c r="AF97" s="182"/>
      <c r="AG97" s="182"/>
      <c r="AH97" s="339">
        <v>8</v>
      </c>
      <c r="AI97" s="350" t="s">
        <v>115</v>
      </c>
      <c r="AJ97" s="341">
        <v>42361</v>
      </c>
      <c r="AK97" s="187"/>
      <c r="AL97" s="187">
        <f t="shared" si="64"/>
        <v>0</v>
      </c>
      <c r="AM97" s="187">
        <f t="shared" si="65"/>
        <v>13</v>
      </c>
      <c r="AN97" s="187">
        <f t="shared" si="66"/>
        <v>0</v>
      </c>
      <c r="AO97" s="187">
        <f t="shared" si="67"/>
        <v>0</v>
      </c>
      <c r="AP97" s="187">
        <f t="shared" si="68"/>
        <v>0</v>
      </c>
      <c r="AQ97" s="187">
        <f t="shared" si="69"/>
        <v>0</v>
      </c>
      <c r="AR97" s="187">
        <f t="shared" si="70"/>
        <v>0</v>
      </c>
      <c r="AS97" s="187">
        <f t="shared" si="71"/>
        <v>19</v>
      </c>
      <c r="AT97" s="187">
        <f t="shared" si="72"/>
        <v>0</v>
      </c>
      <c r="AU97" s="187">
        <f t="shared" si="73"/>
        <v>0</v>
      </c>
      <c r="AV97" s="187">
        <f t="shared" si="74"/>
        <v>0</v>
      </c>
      <c r="AW97" s="187">
        <f t="shared" si="75"/>
        <v>8</v>
      </c>
      <c r="AX97" s="187">
        <f t="shared" si="76"/>
        <v>0</v>
      </c>
      <c r="AY97" s="187">
        <f t="shared" si="77"/>
        <v>0</v>
      </c>
      <c r="AZ97" s="187">
        <f t="shared" si="78"/>
        <v>0</v>
      </c>
      <c r="BA97" s="187">
        <f t="shared" si="79"/>
        <v>16</v>
      </c>
      <c r="BB97" s="187">
        <f t="shared" si="80"/>
        <v>13</v>
      </c>
      <c r="BC97" s="187">
        <f t="shared" si="81"/>
        <v>10</v>
      </c>
      <c r="BD97" s="187">
        <f t="shared" si="82"/>
        <v>0</v>
      </c>
      <c r="BE97" s="187">
        <f t="shared" si="83"/>
        <v>6</v>
      </c>
      <c r="BF97" s="187">
        <f t="shared" si="84"/>
        <v>0</v>
      </c>
      <c r="BG97" s="187">
        <f t="shared" si="85"/>
        <v>8</v>
      </c>
      <c r="BH97" s="187">
        <f t="shared" si="86"/>
        <v>0</v>
      </c>
      <c r="BI97" s="187">
        <f t="shared" si="87"/>
        <v>0</v>
      </c>
      <c r="BJ97" s="273">
        <f t="shared" si="88"/>
        <v>93</v>
      </c>
      <c r="BK97" s="167">
        <f t="shared" ref="BK97" si="94">BJ97</f>
        <v>93</v>
      </c>
      <c r="BL97" s="167"/>
      <c r="BM97" s="644"/>
      <c r="BN97" s="644"/>
      <c r="BO97" s="644"/>
      <c r="BP97" s="644"/>
      <c r="BQ97" s="644"/>
      <c r="BR97" s="644"/>
      <c r="BS97" s="644"/>
      <c r="BT97" s="644"/>
      <c r="BU97" s="644"/>
      <c r="BV97" s="644"/>
      <c r="BW97" s="644"/>
      <c r="BX97" s="644"/>
      <c r="BY97" s="644"/>
      <c r="BZ97" s="644"/>
      <c r="CA97" s="644"/>
      <c r="CB97" s="644"/>
      <c r="CC97" s="644"/>
      <c r="CD97" s="644"/>
      <c r="CE97" s="644"/>
      <c r="CF97" s="644"/>
      <c r="CG97" s="644"/>
      <c r="CH97" s="644"/>
      <c r="CI97" s="644"/>
      <c r="CJ97" s="301" t="s">
        <v>756</v>
      </c>
      <c r="CK97" s="342"/>
      <c r="CL97" s="343"/>
    </row>
    <row r="98" spans="1:90" s="344" customFormat="1">
      <c r="A98" s="335" t="s">
        <v>213</v>
      </c>
      <c r="B98" s="182"/>
      <c r="C98" s="182"/>
      <c r="D98" s="182">
        <v>1</v>
      </c>
      <c r="E98" s="182">
        <v>1</v>
      </c>
      <c r="F98" s="182"/>
      <c r="G98" s="182">
        <v>1</v>
      </c>
      <c r="H98" s="182"/>
      <c r="I98" s="182"/>
      <c r="J98" s="182"/>
      <c r="K98" s="182"/>
      <c r="L98" s="182">
        <v>1</v>
      </c>
      <c r="M98" s="182"/>
      <c r="N98" s="182"/>
      <c r="O98" s="182"/>
      <c r="P98" s="182"/>
      <c r="Q98" s="182"/>
      <c r="R98" s="182"/>
      <c r="S98" s="182"/>
      <c r="T98" s="182"/>
      <c r="U98" s="182"/>
      <c r="V98" s="182"/>
      <c r="W98" s="182">
        <v>1</v>
      </c>
      <c r="X98" s="182">
        <v>1</v>
      </c>
      <c r="Y98" s="182">
        <v>1</v>
      </c>
      <c r="Z98" s="182"/>
      <c r="AA98" s="182"/>
      <c r="AB98" s="182"/>
      <c r="AC98" s="182"/>
      <c r="AD98" s="182">
        <v>1</v>
      </c>
      <c r="AE98" s="182"/>
      <c r="AF98" s="182"/>
      <c r="AG98" s="182"/>
      <c r="AH98" s="339">
        <v>8</v>
      </c>
      <c r="AI98" s="336" t="s">
        <v>833</v>
      </c>
      <c r="AJ98" s="341">
        <v>42364</v>
      </c>
      <c r="AK98" s="187"/>
      <c r="AL98" s="187">
        <f t="shared" si="64"/>
        <v>0</v>
      </c>
      <c r="AM98" s="187">
        <f t="shared" si="65"/>
        <v>13</v>
      </c>
      <c r="AN98" s="187">
        <f t="shared" si="66"/>
        <v>8</v>
      </c>
      <c r="AO98" s="187">
        <f t="shared" si="67"/>
        <v>8</v>
      </c>
      <c r="AP98" s="187">
        <f t="shared" si="68"/>
        <v>0</v>
      </c>
      <c r="AQ98" s="187">
        <f t="shared" si="69"/>
        <v>0</v>
      </c>
      <c r="AR98" s="187">
        <f t="shared" si="70"/>
        <v>0</v>
      </c>
      <c r="AS98" s="187">
        <f t="shared" si="71"/>
        <v>19</v>
      </c>
      <c r="AT98" s="187">
        <f t="shared" si="72"/>
        <v>0</v>
      </c>
      <c r="AU98" s="187">
        <f t="shared" si="73"/>
        <v>0</v>
      </c>
      <c r="AV98" s="187">
        <f t="shared" si="74"/>
        <v>0</v>
      </c>
      <c r="AW98" s="187">
        <f t="shared" si="75"/>
        <v>0</v>
      </c>
      <c r="AX98" s="187">
        <f t="shared" si="76"/>
        <v>0</v>
      </c>
      <c r="AY98" s="187">
        <f t="shared" si="77"/>
        <v>0</v>
      </c>
      <c r="AZ98" s="187">
        <f t="shared" si="78"/>
        <v>0</v>
      </c>
      <c r="BA98" s="187">
        <f t="shared" si="79"/>
        <v>16</v>
      </c>
      <c r="BB98" s="187">
        <f t="shared" si="80"/>
        <v>13</v>
      </c>
      <c r="BC98" s="187">
        <f t="shared" si="81"/>
        <v>10</v>
      </c>
      <c r="BD98" s="187">
        <f t="shared" si="82"/>
        <v>0</v>
      </c>
      <c r="BE98" s="187">
        <f t="shared" si="83"/>
        <v>0</v>
      </c>
      <c r="BF98" s="187">
        <f t="shared" si="84"/>
        <v>0</v>
      </c>
      <c r="BG98" s="187">
        <f t="shared" si="85"/>
        <v>8</v>
      </c>
      <c r="BH98" s="187">
        <f t="shared" si="86"/>
        <v>0</v>
      </c>
      <c r="BI98" s="187">
        <f t="shared" si="87"/>
        <v>0</v>
      </c>
      <c r="BJ98" s="273">
        <f t="shared" si="88"/>
        <v>95</v>
      </c>
      <c r="BK98" s="167">
        <f t="shared" ref="BK98" si="95">BJ98</f>
        <v>95</v>
      </c>
      <c r="BL98" s="167"/>
      <c r="BM98" s="644"/>
      <c r="BN98" s="644"/>
      <c r="BO98" s="644"/>
      <c r="BP98" s="644"/>
      <c r="BQ98" s="644"/>
      <c r="BR98" s="644"/>
      <c r="BS98" s="644"/>
      <c r="BT98" s="644"/>
      <c r="BU98" s="644"/>
      <c r="BV98" s="644"/>
      <c r="BW98" s="644"/>
      <c r="BX98" s="644"/>
      <c r="BY98" s="644"/>
      <c r="BZ98" s="644"/>
      <c r="CA98" s="644"/>
      <c r="CB98" s="644"/>
      <c r="CC98" s="644"/>
      <c r="CD98" s="644"/>
      <c r="CE98" s="644"/>
      <c r="CF98" s="644"/>
      <c r="CG98" s="644"/>
      <c r="CH98" s="644"/>
      <c r="CI98" s="644"/>
      <c r="CJ98" s="301" t="s">
        <v>740</v>
      </c>
      <c r="CK98" s="342"/>
      <c r="CL98" s="343"/>
    </row>
    <row r="99" spans="1:90" s="344" customFormat="1">
      <c r="A99" s="335" t="s">
        <v>214</v>
      </c>
      <c r="B99" s="182"/>
      <c r="C99" s="182"/>
      <c r="D99" s="182">
        <v>1</v>
      </c>
      <c r="E99" s="182"/>
      <c r="F99" s="182"/>
      <c r="G99" s="182"/>
      <c r="H99" s="182"/>
      <c r="I99" s="182"/>
      <c r="J99" s="182"/>
      <c r="K99" s="182"/>
      <c r="L99" s="182">
        <v>1</v>
      </c>
      <c r="M99" s="182"/>
      <c r="N99" s="182"/>
      <c r="O99" s="182">
        <v>1</v>
      </c>
      <c r="P99" s="182"/>
      <c r="Q99" s="182"/>
      <c r="R99" s="182"/>
      <c r="S99" s="182"/>
      <c r="T99" s="182"/>
      <c r="U99" s="182"/>
      <c r="V99" s="182"/>
      <c r="W99" s="182">
        <v>1</v>
      </c>
      <c r="X99" s="182">
        <v>1</v>
      </c>
      <c r="Y99" s="320"/>
      <c r="Z99" s="182"/>
      <c r="AA99" s="182"/>
      <c r="AB99" s="182"/>
      <c r="AC99" s="182"/>
      <c r="AD99" s="182"/>
      <c r="AE99" s="182"/>
      <c r="AF99" s="182"/>
      <c r="AG99" s="182"/>
      <c r="AH99" s="339">
        <v>5</v>
      </c>
      <c r="AI99" s="336" t="s">
        <v>834</v>
      </c>
      <c r="AJ99" s="341">
        <v>42364</v>
      </c>
      <c r="AK99" s="187"/>
      <c r="AL99" s="187">
        <f t="shared" si="64"/>
        <v>0</v>
      </c>
      <c r="AM99" s="187">
        <f t="shared" si="65"/>
        <v>13</v>
      </c>
      <c r="AN99" s="187">
        <f t="shared" si="66"/>
        <v>0</v>
      </c>
      <c r="AO99" s="187">
        <f t="shared" si="67"/>
        <v>0</v>
      </c>
      <c r="AP99" s="187">
        <f t="shared" si="68"/>
        <v>0</v>
      </c>
      <c r="AQ99" s="187">
        <f t="shared" si="69"/>
        <v>0</v>
      </c>
      <c r="AR99" s="187">
        <f t="shared" si="70"/>
        <v>0</v>
      </c>
      <c r="AS99" s="187">
        <f t="shared" si="71"/>
        <v>19</v>
      </c>
      <c r="AT99" s="187">
        <f t="shared" si="72"/>
        <v>13</v>
      </c>
      <c r="AU99" s="187">
        <f t="shared" si="73"/>
        <v>0</v>
      </c>
      <c r="AV99" s="187">
        <f t="shared" si="74"/>
        <v>0</v>
      </c>
      <c r="AW99" s="187">
        <f t="shared" si="75"/>
        <v>0</v>
      </c>
      <c r="AX99" s="187">
        <f t="shared" si="76"/>
        <v>0</v>
      </c>
      <c r="AY99" s="187">
        <f t="shared" si="77"/>
        <v>0</v>
      </c>
      <c r="AZ99" s="187">
        <f t="shared" si="78"/>
        <v>0</v>
      </c>
      <c r="BA99" s="187">
        <f t="shared" si="79"/>
        <v>16</v>
      </c>
      <c r="BB99" s="187">
        <f t="shared" si="80"/>
        <v>13</v>
      </c>
      <c r="BC99" s="187">
        <f t="shared" si="81"/>
        <v>0</v>
      </c>
      <c r="BD99" s="187">
        <f t="shared" si="82"/>
        <v>0</v>
      </c>
      <c r="BE99" s="187">
        <f t="shared" si="83"/>
        <v>0</v>
      </c>
      <c r="BF99" s="187">
        <f t="shared" si="84"/>
        <v>0</v>
      </c>
      <c r="BG99" s="187">
        <f t="shared" si="85"/>
        <v>0</v>
      </c>
      <c r="BH99" s="187">
        <f t="shared" si="86"/>
        <v>0</v>
      </c>
      <c r="BI99" s="187">
        <f t="shared" si="87"/>
        <v>0</v>
      </c>
      <c r="BJ99" s="273">
        <f t="shared" si="88"/>
        <v>74</v>
      </c>
      <c r="BK99" s="167">
        <f t="shared" ref="BK99" si="96">BJ99</f>
        <v>74</v>
      </c>
      <c r="BL99" s="167"/>
      <c r="BM99" s="644"/>
      <c r="BN99" s="644"/>
      <c r="BO99" s="644"/>
      <c r="BP99" s="644"/>
      <c r="BQ99" s="644"/>
      <c r="BR99" s="644"/>
      <c r="BS99" s="644"/>
      <c r="BT99" s="644"/>
      <c r="BU99" s="644"/>
      <c r="BV99" s="644"/>
      <c r="BW99" s="644"/>
      <c r="BX99" s="644"/>
      <c r="BY99" s="644"/>
      <c r="BZ99" s="644"/>
      <c r="CA99" s="644"/>
      <c r="CB99" s="644"/>
      <c r="CC99" s="644"/>
      <c r="CD99" s="644"/>
      <c r="CE99" s="644"/>
      <c r="CF99" s="644"/>
      <c r="CG99" s="644"/>
      <c r="CH99" s="644"/>
      <c r="CI99" s="644"/>
      <c r="CJ99" s="301" t="s">
        <v>814</v>
      </c>
      <c r="CK99" s="342"/>
      <c r="CL99" s="343"/>
    </row>
    <row r="100" spans="1:90" s="344" customFormat="1">
      <c r="A100" s="335" t="s">
        <v>215</v>
      </c>
      <c r="B100" s="182"/>
      <c r="C100" s="182"/>
      <c r="D100" s="182">
        <v>1</v>
      </c>
      <c r="E100" s="182">
        <v>1</v>
      </c>
      <c r="F100" s="182"/>
      <c r="G100" s="182">
        <v>1</v>
      </c>
      <c r="H100" s="182"/>
      <c r="I100" s="182"/>
      <c r="J100" s="182"/>
      <c r="K100" s="182"/>
      <c r="L100" s="182">
        <v>1</v>
      </c>
      <c r="M100" s="182"/>
      <c r="N100" s="182"/>
      <c r="O100" s="182"/>
      <c r="P100" s="182"/>
      <c r="Q100" s="182"/>
      <c r="R100" s="182"/>
      <c r="S100" s="182"/>
      <c r="T100" s="182"/>
      <c r="U100" s="182"/>
      <c r="V100" s="182"/>
      <c r="W100" s="182">
        <v>1</v>
      </c>
      <c r="X100" s="182">
        <v>1</v>
      </c>
      <c r="Y100" s="182"/>
      <c r="Z100" s="182"/>
      <c r="AA100" s="182"/>
      <c r="AB100" s="182"/>
      <c r="AC100" s="182"/>
      <c r="AD100" s="182"/>
      <c r="AE100" s="182"/>
      <c r="AF100" s="182">
        <v>1</v>
      </c>
      <c r="AG100" s="182"/>
      <c r="AH100" s="339">
        <v>7</v>
      </c>
      <c r="AI100" s="353" t="s">
        <v>835</v>
      </c>
      <c r="AJ100" s="341">
        <v>42374</v>
      </c>
      <c r="AK100" s="187"/>
      <c r="AL100" s="187">
        <f t="shared" si="64"/>
        <v>0</v>
      </c>
      <c r="AM100" s="187">
        <f t="shared" si="65"/>
        <v>13</v>
      </c>
      <c r="AN100" s="187">
        <f t="shared" si="66"/>
        <v>8</v>
      </c>
      <c r="AO100" s="187">
        <f t="shared" si="67"/>
        <v>8</v>
      </c>
      <c r="AP100" s="187">
        <f t="shared" si="68"/>
        <v>0</v>
      </c>
      <c r="AQ100" s="187">
        <f t="shared" si="69"/>
        <v>0</v>
      </c>
      <c r="AR100" s="187">
        <f t="shared" si="70"/>
        <v>0</v>
      </c>
      <c r="AS100" s="187">
        <f t="shared" si="71"/>
        <v>19</v>
      </c>
      <c r="AT100" s="187">
        <f t="shared" si="72"/>
        <v>0</v>
      </c>
      <c r="AU100" s="187">
        <f t="shared" si="73"/>
        <v>0</v>
      </c>
      <c r="AV100" s="187">
        <f t="shared" si="74"/>
        <v>0</v>
      </c>
      <c r="AW100" s="187">
        <f t="shared" si="75"/>
        <v>0</v>
      </c>
      <c r="AX100" s="187">
        <f t="shared" si="76"/>
        <v>0</v>
      </c>
      <c r="AY100" s="187">
        <f t="shared" si="77"/>
        <v>0</v>
      </c>
      <c r="AZ100" s="187">
        <f t="shared" si="78"/>
        <v>0</v>
      </c>
      <c r="BA100" s="187">
        <f t="shared" si="79"/>
        <v>16</v>
      </c>
      <c r="BB100" s="187">
        <f t="shared" si="80"/>
        <v>13</v>
      </c>
      <c r="BC100" s="187">
        <f t="shared" si="81"/>
        <v>0</v>
      </c>
      <c r="BD100" s="187">
        <f t="shared" si="82"/>
        <v>0</v>
      </c>
      <c r="BE100" s="187">
        <f t="shared" si="83"/>
        <v>0</v>
      </c>
      <c r="BF100" s="187">
        <f t="shared" si="84"/>
        <v>0</v>
      </c>
      <c r="BG100" s="187">
        <f t="shared" si="85"/>
        <v>0</v>
      </c>
      <c r="BH100" s="187">
        <f t="shared" si="86"/>
        <v>0</v>
      </c>
      <c r="BI100" s="187">
        <f t="shared" si="87"/>
        <v>3</v>
      </c>
      <c r="BJ100" s="273">
        <f t="shared" si="88"/>
        <v>80</v>
      </c>
      <c r="BK100" s="167">
        <f t="shared" ref="BK100:BK101" si="97">BJ100</f>
        <v>80</v>
      </c>
      <c r="BL100" s="167"/>
      <c r="BM100" s="644"/>
      <c r="BN100" s="644"/>
      <c r="BO100" s="644"/>
      <c r="BP100" s="644"/>
      <c r="BQ100" s="644"/>
      <c r="BR100" s="644"/>
      <c r="BS100" s="644"/>
      <c r="BT100" s="644"/>
      <c r="BU100" s="644"/>
      <c r="BV100" s="644"/>
      <c r="BW100" s="644"/>
      <c r="BX100" s="644"/>
      <c r="BY100" s="644"/>
      <c r="BZ100" s="644"/>
      <c r="CA100" s="644"/>
      <c r="CB100" s="644"/>
      <c r="CC100" s="644"/>
      <c r="CD100" s="644"/>
      <c r="CE100" s="644"/>
      <c r="CF100" s="644"/>
      <c r="CG100" s="644"/>
      <c r="CH100" s="644"/>
      <c r="CI100" s="644"/>
      <c r="CJ100" s="301" t="s">
        <v>740</v>
      </c>
      <c r="CK100" s="342"/>
      <c r="CL100" s="343"/>
    </row>
    <row r="101" spans="1:90" s="344" customFormat="1">
      <c r="A101" s="335" t="s">
        <v>217</v>
      </c>
      <c r="B101" s="182"/>
      <c r="C101" s="182"/>
      <c r="D101" s="182"/>
      <c r="E101" s="182"/>
      <c r="F101" s="182"/>
      <c r="G101" s="182"/>
      <c r="H101" s="182"/>
      <c r="I101" s="182"/>
      <c r="J101" s="182"/>
      <c r="K101" s="182"/>
      <c r="L101" s="182">
        <v>1</v>
      </c>
      <c r="M101" s="182"/>
      <c r="N101" s="182"/>
      <c r="O101" s="182">
        <v>1</v>
      </c>
      <c r="P101" s="182"/>
      <c r="Q101" s="495">
        <v>1</v>
      </c>
      <c r="R101" s="182"/>
      <c r="S101" s="182">
        <v>1</v>
      </c>
      <c r="T101" s="182"/>
      <c r="U101" s="182"/>
      <c r="V101" s="182"/>
      <c r="W101" s="182">
        <v>1</v>
      </c>
      <c r="X101" s="182">
        <v>1</v>
      </c>
      <c r="Y101" s="182"/>
      <c r="Z101" s="182"/>
      <c r="AA101" s="182">
        <v>1</v>
      </c>
      <c r="AB101" s="182"/>
      <c r="AC101" s="182"/>
      <c r="AD101" s="182"/>
      <c r="AE101" s="182"/>
      <c r="AF101" s="182"/>
      <c r="AG101" s="182"/>
      <c r="AH101" s="339">
        <v>6</v>
      </c>
      <c r="AI101" s="340" t="s">
        <v>786</v>
      </c>
      <c r="AJ101" s="341">
        <v>42375</v>
      </c>
      <c r="AK101" s="187"/>
      <c r="AL101" s="187">
        <f t="shared" si="64"/>
        <v>0</v>
      </c>
      <c r="AM101" s="187">
        <f t="shared" si="65"/>
        <v>0</v>
      </c>
      <c r="AN101" s="187">
        <f t="shared" si="66"/>
        <v>0</v>
      </c>
      <c r="AO101" s="187">
        <f t="shared" si="67"/>
        <v>0</v>
      </c>
      <c r="AP101" s="187">
        <f t="shared" si="68"/>
        <v>0</v>
      </c>
      <c r="AQ101" s="187">
        <f t="shared" si="69"/>
        <v>0</v>
      </c>
      <c r="AR101" s="187">
        <f t="shared" si="70"/>
        <v>0</v>
      </c>
      <c r="AS101" s="187">
        <f t="shared" si="71"/>
        <v>19</v>
      </c>
      <c r="AT101" s="187">
        <f t="shared" si="72"/>
        <v>13</v>
      </c>
      <c r="AU101" s="187">
        <f t="shared" si="73"/>
        <v>0</v>
      </c>
      <c r="AV101" s="187">
        <f t="shared" si="74"/>
        <v>3</v>
      </c>
      <c r="AW101" s="187">
        <f t="shared" si="75"/>
        <v>8</v>
      </c>
      <c r="AX101" s="187">
        <f t="shared" si="76"/>
        <v>0</v>
      </c>
      <c r="AY101" s="187">
        <f t="shared" si="77"/>
        <v>0</v>
      </c>
      <c r="AZ101" s="187">
        <f t="shared" si="78"/>
        <v>0</v>
      </c>
      <c r="BA101" s="187">
        <f t="shared" si="79"/>
        <v>16</v>
      </c>
      <c r="BB101" s="187">
        <f t="shared" si="80"/>
        <v>13</v>
      </c>
      <c r="BC101" s="187">
        <f t="shared" si="81"/>
        <v>0</v>
      </c>
      <c r="BD101" s="187">
        <f t="shared" si="82"/>
        <v>0</v>
      </c>
      <c r="BE101" s="187">
        <f t="shared" si="83"/>
        <v>6</v>
      </c>
      <c r="BF101" s="187">
        <f t="shared" si="84"/>
        <v>0</v>
      </c>
      <c r="BG101" s="187">
        <f t="shared" si="85"/>
        <v>0</v>
      </c>
      <c r="BH101" s="187">
        <f t="shared" si="86"/>
        <v>0</v>
      </c>
      <c r="BI101" s="187">
        <f t="shared" si="87"/>
        <v>0</v>
      </c>
      <c r="BJ101" s="273">
        <f t="shared" si="88"/>
        <v>78</v>
      </c>
      <c r="BK101" s="167">
        <f t="shared" si="97"/>
        <v>78</v>
      </c>
      <c r="BL101" s="167"/>
      <c r="BM101" s="644"/>
      <c r="BN101" s="644"/>
      <c r="BO101" s="644"/>
      <c r="BP101" s="644"/>
      <c r="BQ101" s="644"/>
      <c r="BR101" s="644"/>
      <c r="BS101" s="644"/>
      <c r="BT101" s="644"/>
      <c r="BU101" s="644"/>
      <c r="BV101" s="644"/>
      <c r="BW101" s="644"/>
      <c r="BX101" s="644"/>
      <c r="BY101" s="644"/>
      <c r="BZ101" s="644"/>
      <c r="CA101" s="644"/>
      <c r="CB101" s="644"/>
      <c r="CC101" s="644"/>
      <c r="CD101" s="644"/>
      <c r="CE101" s="644"/>
      <c r="CF101" s="644"/>
      <c r="CG101" s="644"/>
      <c r="CH101" s="644"/>
      <c r="CI101" s="644"/>
      <c r="CJ101" s="301" t="s">
        <v>787</v>
      </c>
      <c r="CK101" s="342"/>
      <c r="CL101" s="343"/>
    </row>
    <row r="102" spans="1:90">
      <c r="A102" s="181" t="s">
        <v>218</v>
      </c>
      <c r="B102" s="182"/>
      <c r="C102" s="183"/>
      <c r="D102" s="184">
        <v>1</v>
      </c>
      <c r="E102" s="184"/>
      <c r="F102" s="184"/>
      <c r="G102" s="184"/>
      <c r="H102" s="182"/>
      <c r="I102" s="182"/>
      <c r="J102" s="182"/>
      <c r="K102" s="182"/>
      <c r="L102" s="182">
        <v>1</v>
      </c>
      <c r="M102" s="182"/>
      <c r="N102" s="182"/>
      <c r="O102" s="182">
        <v>1</v>
      </c>
      <c r="P102" s="182"/>
      <c r="Q102" s="182"/>
      <c r="R102" s="182"/>
      <c r="S102" s="302">
        <v>1</v>
      </c>
      <c r="T102" s="182">
        <v>1</v>
      </c>
      <c r="U102" s="182"/>
      <c r="V102" s="182"/>
      <c r="W102" s="182">
        <v>1</v>
      </c>
      <c r="X102" s="182">
        <v>1</v>
      </c>
      <c r="Y102" s="182">
        <v>1</v>
      </c>
      <c r="Z102" s="182"/>
      <c r="AA102" s="302">
        <v>1</v>
      </c>
      <c r="AB102" s="182"/>
      <c r="AC102" s="182"/>
      <c r="AD102" s="302">
        <v>1</v>
      </c>
      <c r="AE102" s="182"/>
      <c r="AF102" s="182"/>
      <c r="AG102" s="182"/>
      <c r="AH102" s="167">
        <v>10</v>
      </c>
      <c r="AI102" s="336" t="s">
        <v>836</v>
      </c>
      <c r="AJ102" s="186">
        <v>42358</v>
      </c>
      <c r="AK102" s="187"/>
      <c r="AL102" s="187">
        <f t="shared" si="64"/>
        <v>0</v>
      </c>
      <c r="AM102" s="187">
        <f t="shared" si="65"/>
        <v>13</v>
      </c>
      <c r="AN102" s="187">
        <f t="shared" si="66"/>
        <v>0</v>
      </c>
      <c r="AO102" s="187">
        <f t="shared" si="67"/>
        <v>0</v>
      </c>
      <c r="AP102" s="187">
        <f t="shared" si="68"/>
        <v>0</v>
      </c>
      <c r="AQ102" s="187">
        <f t="shared" si="69"/>
        <v>0</v>
      </c>
      <c r="AR102" s="187">
        <f t="shared" si="70"/>
        <v>0</v>
      </c>
      <c r="AS102" s="187">
        <f t="shared" si="71"/>
        <v>19</v>
      </c>
      <c r="AT102" s="187">
        <f t="shared" si="72"/>
        <v>13</v>
      </c>
      <c r="AU102" s="187">
        <f t="shared" si="73"/>
        <v>0</v>
      </c>
      <c r="AV102" s="187">
        <f t="shared" si="74"/>
        <v>0</v>
      </c>
      <c r="AW102" s="187">
        <f t="shared" si="75"/>
        <v>8</v>
      </c>
      <c r="AX102" s="187">
        <f t="shared" si="76"/>
        <v>4</v>
      </c>
      <c r="AY102" s="187">
        <f t="shared" si="77"/>
        <v>0</v>
      </c>
      <c r="AZ102" s="187">
        <f t="shared" si="78"/>
        <v>0</v>
      </c>
      <c r="BA102" s="187">
        <f t="shared" si="79"/>
        <v>16</v>
      </c>
      <c r="BB102" s="187">
        <f t="shared" si="80"/>
        <v>13</v>
      </c>
      <c r="BC102" s="187">
        <f t="shared" si="81"/>
        <v>10</v>
      </c>
      <c r="BD102" s="187">
        <f t="shared" si="82"/>
        <v>0</v>
      </c>
      <c r="BE102" s="187">
        <f t="shared" si="83"/>
        <v>6</v>
      </c>
      <c r="BF102" s="187">
        <f t="shared" si="84"/>
        <v>0</v>
      </c>
      <c r="BG102" s="187">
        <f t="shared" si="85"/>
        <v>8</v>
      </c>
      <c r="BH102" s="187">
        <f t="shared" si="86"/>
        <v>0</v>
      </c>
      <c r="BI102" s="187">
        <f t="shared" si="87"/>
        <v>0</v>
      </c>
      <c r="BJ102" s="273">
        <f t="shared" si="88"/>
        <v>100</v>
      </c>
      <c r="BK102" s="167">
        <f t="shared" ref="BK102:BK103" si="98">BJ102</f>
        <v>100</v>
      </c>
      <c r="BL102" s="167"/>
      <c r="BM102" s="644"/>
      <c r="BN102" s="644"/>
      <c r="BO102" s="644"/>
      <c r="BP102" s="644"/>
      <c r="BQ102" s="644"/>
      <c r="BR102" s="644"/>
      <c r="BS102" s="644"/>
      <c r="BT102" s="644"/>
      <c r="BU102" s="644"/>
      <c r="BV102" s="644"/>
      <c r="BW102" s="644"/>
      <c r="BX102" s="644"/>
      <c r="BY102" s="644"/>
      <c r="BZ102" s="644"/>
      <c r="CA102" s="644"/>
      <c r="CB102" s="644"/>
      <c r="CC102" s="644"/>
      <c r="CD102" s="644"/>
      <c r="CE102" s="644"/>
      <c r="CF102" s="644"/>
      <c r="CG102" s="644"/>
      <c r="CH102" s="644"/>
      <c r="CI102" s="644"/>
      <c r="CJ102" s="301" t="s">
        <v>768</v>
      </c>
      <c r="CK102" s="180"/>
      <c r="CL102" s="136"/>
    </row>
    <row r="103" spans="1:90" s="344" customFormat="1">
      <c r="A103" s="335" t="s">
        <v>219</v>
      </c>
      <c r="B103" s="182"/>
      <c r="C103" s="183"/>
      <c r="D103" s="184">
        <v>1</v>
      </c>
      <c r="E103" s="184"/>
      <c r="F103" s="184"/>
      <c r="G103" s="184"/>
      <c r="H103" s="182"/>
      <c r="I103" s="182"/>
      <c r="J103" s="182"/>
      <c r="K103" s="182"/>
      <c r="L103" s="182">
        <v>1</v>
      </c>
      <c r="M103" s="182"/>
      <c r="N103" s="182"/>
      <c r="O103" s="182">
        <v>1</v>
      </c>
      <c r="P103" s="182"/>
      <c r="Q103" s="182">
        <v>1</v>
      </c>
      <c r="R103" s="182"/>
      <c r="S103" s="182"/>
      <c r="T103" s="182"/>
      <c r="U103" s="182"/>
      <c r="V103" s="182"/>
      <c r="W103" s="182">
        <v>1</v>
      </c>
      <c r="X103" s="302">
        <v>1</v>
      </c>
      <c r="Y103" s="302">
        <v>1</v>
      </c>
      <c r="Z103" s="302">
        <v>1</v>
      </c>
      <c r="AA103" s="182">
        <v>1</v>
      </c>
      <c r="AB103" s="182"/>
      <c r="AC103" s="182"/>
      <c r="AD103" s="302">
        <v>1</v>
      </c>
      <c r="AE103" s="182"/>
      <c r="AF103" s="182"/>
      <c r="AG103" s="182"/>
      <c r="AH103" s="339">
        <v>10</v>
      </c>
      <c r="AI103" s="334" t="s">
        <v>760</v>
      </c>
      <c r="AJ103" s="186">
        <v>42373</v>
      </c>
      <c r="AK103" s="187"/>
      <c r="AL103" s="187">
        <f t="shared" si="64"/>
        <v>0</v>
      </c>
      <c r="AM103" s="187">
        <f t="shared" si="65"/>
        <v>13</v>
      </c>
      <c r="AN103" s="187">
        <f t="shared" si="66"/>
        <v>0</v>
      </c>
      <c r="AO103" s="187">
        <f t="shared" si="67"/>
        <v>0</v>
      </c>
      <c r="AP103" s="187">
        <f t="shared" si="68"/>
        <v>0</v>
      </c>
      <c r="AQ103" s="187">
        <f t="shared" si="69"/>
        <v>0</v>
      </c>
      <c r="AR103" s="187">
        <f t="shared" si="70"/>
        <v>0</v>
      </c>
      <c r="AS103" s="187">
        <f t="shared" si="71"/>
        <v>19</v>
      </c>
      <c r="AT103" s="187">
        <f t="shared" si="72"/>
        <v>13</v>
      </c>
      <c r="AU103" s="187">
        <f t="shared" si="73"/>
        <v>0</v>
      </c>
      <c r="AV103" s="187">
        <f t="shared" si="74"/>
        <v>3</v>
      </c>
      <c r="AW103" s="187">
        <f t="shared" si="75"/>
        <v>0</v>
      </c>
      <c r="AX103" s="187">
        <f t="shared" si="76"/>
        <v>0</v>
      </c>
      <c r="AY103" s="187">
        <f t="shared" si="77"/>
        <v>0</v>
      </c>
      <c r="AZ103" s="187">
        <f t="shared" si="78"/>
        <v>0</v>
      </c>
      <c r="BA103" s="187">
        <f t="shared" si="79"/>
        <v>16</v>
      </c>
      <c r="BB103" s="187">
        <f t="shared" si="80"/>
        <v>13</v>
      </c>
      <c r="BC103" s="187">
        <f t="shared" si="81"/>
        <v>10</v>
      </c>
      <c r="BD103" s="187">
        <f t="shared" si="82"/>
        <v>2</v>
      </c>
      <c r="BE103" s="187">
        <f t="shared" si="83"/>
        <v>6</v>
      </c>
      <c r="BF103" s="187">
        <f t="shared" si="84"/>
        <v>0</v>
      </c>
      <c r="BG103" s="187">
        <f t="shared" si="85"/>
        <v>8</v>
      </c>
      <c r="BH103" s="187">
        <f t="shared" si="86"/>
        <v>0</v>
      </c>
      <c r="BI103" s="187">
        <f t="shared" si="87"/>
        <v>0</v>
      </c>
      <c r="BJ103" s="273">
        <f t="shared" si="88"/>
        <v>98</v>
      </c>
      <c r="BK103" s="167">
        <f t="shared" si="98"/>
        <v>98</v>
      </c>
      <c r="BL103" s="167"/>
      <c r="BM103" s="644"/>
      <c r="BN103" s="644"/>
      <c r="BO103" s="644"/>
      <c r="BP103" s="644"/>
      <c r="BQ103" s="644"/>
      <c r="BR103" s="644"/>
      <c r="BS103" s="644"/>
      <c r="BT103" s="644"/>
      <c r="BU103" s="644"/>
      <c r="BV103" s="644"/>
      <c r="BW103" s="644"/>
      <c r="BX103" s="644"/>
      <c r="BY103" s="644"/>
      <c r="BZ103" s="644"/>
      <c r="CA103" s="644"/>
      <c r="CB103" s="644"/>
      <c r="CC103" s="644"/>
      <c r="CD103" s="644"/>
      <c r="CE103" s="644"/>
      <c r="CF103" s="644"/>
      <c r="CG103" s="644"/>
      <c r="CH103" s="644"/>
      <c r="CI103" s="644"/>
      <c r="CJ103" s="301" t="s">
        <v>752</v>
      </c>
      <c r="CK103" s="342"/>
      <c r="CL103" s="343"/>
    </row>
    <row r="104" spans="1:90" s="344" customFormat="1">
      <c r="A104" s="335" t="s">
        <v>220</v>
      </c>
      <c r="B104" s="182"/>
      <c r="C104" s="183"/>
      <c r="D104" s="184">
        <v>1</v>
      </c>
      <c r="E104" s="184">
        <v>1</v>
      </c>
      <c r="F104" s="184"/>
      <c r="G104" s="184">
        <v>1</v>
      </c>
      <c r="H104" s="182"/>
      <c r="I104" s="182"/>
      <c r="J104" s="182"/>
      <c r="K104" s="182"/>
      <c r="L104" s="182">
        <v>1</v>
      </c>
      <c r="M104" s="182"/>
      <c r="N104" s="182"/>
      <c r="O104" s="182">
        <v>1</v>
      </c>
      <c r="P104" s="182"/>
      <c r="Q104" s="182"/>
      <c r="R104" s="182"/>
      <c r="S104" s="182"/>
      <c r="T104" s="182"/>
      <c r="U104" s="182"/>
      <c r="V104" s="182"/>
      <c r="W104" s="182">
        <v>1</v>
      </c>
      <c r="X104" s="182">
        <v>1</v>
      </c>
      <c r="Y104" s="182"/>
      <c r="Z104" s="182"/>
      <c r="AA104" s="182">
        <v>1</v>
      </c>
      <c r="AB104" s="182"/>
      <c r="AC104" s="182"/>
      <c r="AD104" s="182">
        <v>1</v>
      </c>
      <c r="AE104" s="182">
        <v>1</v>
      </c>
      <c r="AF104" s="182"/>
      <c r="AG104" s="182"/>
      <c r="AH104" s="339">
        <v>10</v>
      </c>
      <c r="AI104" s="334" t="s">
        <v>760</v>
      </c>
      <c r="AJ104" s="186">
        <v>42373</v>
      </c>
      <c r="AK104" s="187"/>
      <c r="AL104" s="187">
        <f t="shared" si="64"/>
        <v>0</v>
      </c>
      <c r="AM104" s="187">
        <f t="shared" si="65"/>
        <v>13</v>
      </c>
      <c r="AN104" s="187">
        <f t="shared" si="66"/>
        <v>8</v>
      </c>
      <c r="AO104" s="187">
        <f t="shared" si="67"/>
        <v>8</v>
      </c>
      <c r="AP104" s="187">
        <f t="shared" si="68"/>
        <v>0</v>
      </c>
      <c r="AQ104" s="187">
        <f t="shared" si="69"/>
        <v>0</v>
      </c>
      <c r="AR104" s="187">
        <f t="shared" si="70"/>
        <v>0</v>
      </c>
      <c r="AS104" s="187">
        <f t="shared" si="71"/>
        <v>19</v>
      </c>
      <c r="AT104" s="187">
        <f t="shared" si="72"/>
        <v>13</v>
      </c>
      <c r="AU104" s="187">
        <f t="shared" si="73"/>
        <v>0</v>
      </c>
      <c r="AV104" s="187">
        <f t="shared" si="74"/>
        <v>0</v>
      </c>
      <c r="AW104" s="187">
        <f t="shared" si="75"/>
        <v>0</v>
      </c>
      <c r="AX104" s="187">
        <f t="shared" si="76"/>
        <v>0</v>
      </c>
      <c r="AY104" s="187">
        <f t="shared" si="77"/>
        <v>0</v>
      </c>
      <c r="AZ104" s="187">
        <f t="shared" si="78"/>
        <v>0</v>
      </c>
      <c r="BA104" s="187">
        <f t="shared" si="79"/>
        <v>16</v>
      </c>
      <c r="BB104" s="187">
        <f t="shared" si="80"/>
        <v>13</v>
      </c>
      <c r="BC104" s="187">
        <f t="shared" si="81"/>
        <v>0</v>
      </c>
      <c r="BD104" s="187">
        <f t="shared" si="82"/>
        <v>0</v>
      </c>
      <c r="BE104" s="187">
        <f t="shared" si="83"/>
        <v>6</v>
      </c>
      <c r="BF104" s="187">
        <f t="shared" si="84"/>
        <v>0</v>
      </c>
      <c r="BG104" s="187">
        <f t="shared" si="85"/>
        <v>8</v>
      </c>
      <c r="BH104" s="187">
        <f t="shared" si="86"/>
        <v>2</v>
      </c>
      <c r="BI104" s="187">
        <f t="shared" si="87"/>
        <v>0</v>
      </c>
      <c r="BJ104" s="273">
        <f t="shared" si="88"/>
        <v>98</v>
      </c>
      <c r="BK104" s="167">
        <f t="shared" ref="BK104" si="99">BJ104</f>
        <v>98</v>
      </c>
      <c r="BL104" s="167"/>
      <c r="BM104" s="644"/>
      <c r="BN104" s="644"/>
      <c r="BO104" s="644"/>
      <c r="BP104" s="644"/>
      <c r="BQ104" s="644"/>
      <c r="BR104" s="644"/>
      <c r="BS104" s="644"/>
      <c r="BT104" s="644"/>
      <c r="BU104" s="644"/>
      <c r="BV104" s="644"/>
      <c r="BW104" s="644"/>
      <c r="BX104" s="644"/>
      <c r="BY104" s="644"/>
      <c r="BZ104" s="644"/>
      <c r="CA104" s="644"/>
      <c r="CB104" s="644"/>
      <c r="CC104" s="644"/>
      <c r="CD104" s="644"/>
      <c r="CE104" s="644"/>
      <c r="CF104" s="644"/>
      <c r="CG104" s="644"/>
      <c r="CH104" s="644"/>
      <c r="CI104" s="644"/>
      <c r="CJ104" s="301" t="s">
        <v>837</v>
      </c>
      <c r="CK104" s="342"/>
      <c r="CL104" s="343"/>
    </row>
    <row r="105" spans="1:90">
      <c r="A105" s="181" t="s">
        <v>221</v>
      </c>
      <c r="B105" s="182"/>
      <c r="C105" s="183"/>
      <c r="D105" s="184">
        <v>1</v>
      </c>
      <c r="E105" s="184">
        <v>1</v>
      </c>
      <c r="F105" s="184"/>
      <c r="G105" s="184">
        <v>1</v>
      </c>
      <c r="H105" s="182"/>
      <c r="I105" s="182"/>
      <c r="J105" s="182"/>
      <c r="K105" s="182"/>
      <c r="L105" s="182">
        <v>1</v>
      </c>
      <c r="M105" s="182"/>
      <c r="N105" s="182"/>
      <c r="O105" s="182"/>
      <c r="P105" s="182"/>
      <c r="Q105" s="182"/>
      <c r="R105" s="182"/>
      <c r="S105" s="302">
        <v>1</v>
      </c>
      <c r="T105" s="182"/>
      <c r="U105" s="302">
        <v>1</v>
      </c>
      <c r="V105" s="182">
        <v>1</v>
      </c>
      <c r="W105" s="182">
        <v>1</v>
      </c>
      <c r="X105" s="182"/>
      <c r="Y105" s="182">
        <v>1</v>
      </c>
      <c r="Z105" s="182"/>
      <c r="AA105" s="182"/>
      <c r="AB105" s="182"/>
      <c r="AC105" s="182"/>
      <c r="AD105" s="182"/>
      <c r="AE105" s="182"/>
      <c r="AF105" s="182"/>
      <c r="AG105" s="182"/>
      <c r="AH105" s="167">
        <v>9</v>
      </c>
      <c r="AI105" s="300" t="s">
        <v>838</v>
      </c>
      <c r="AJ105" s="186">
        <v>42353</v>
      </c>
      <c r="AK105" s="187"/>
      <c r="AL105" s="187">
        <f t="shared" si="64"/>
        <v>0</v>
      </c>
      <c r="AM105" s="187">
        <f t="shared" si="65"/>
        <v>13</v>
      </c>
      <c r="AN105" s="187">
        <f t="shared" si="66"/>
        <v>8</v>
      </c>
      <c r="AO105" s="187">
        <f t="shared" si="67"/>
        <v>8</v>
      </c>
      <c r="AP105" s="187">
        <f t="shared" si="68"/>
        <v>0</v>
      </c>
      <c r="AQ105" s="187">
        <f t="shared" si="69"/>
        <v>0</v>
      </c>
      <c r="AR105" s="187">
        <f t="shared" si="70"/>
        <v>0</v>
      </c>
      <c r="AS105" s="187">
        <f t="shared" si="71"/>
        <v>19</v>
      </c>
      <c r="AT105" s="187">
        <f t="shared" si="72"/>
        <v>0</v>
      </c>
      <c r="AU105" s="187">
        <f t="shared" si="73"/>
        <v>0</v>
      </c>
      <c r="AV105" s="187">
        <f t="shared" si="74"/>
        <v>0</v>
      </c>
      <c r="AW105" s="187">
        <f t="shared" si="75"/>
        <v>8</v>
      </c>
      <c r="AX105" s="187">
        <f t="shared" si="76"/>
        <v>0</v>
      </c>
      <c r="AY105" s="187">
        <f t="shared" si="77"/>
        <v>2</v>
      </c>
      <c r="AZ105" s="187">
        <f t="shared" si="78"/>
        <v>8</v>
      </c>
      <c r="BA105" s="187">
        <f t="shared" si="79"/>
        <v>16</v>
      </c>
      <c r="BB105" s="187">
        <f t="shared" si="80"/>
        <v>0</v>
      </c>
      <c r="BC105" s="187">
        <f t="shared" si="81"/>
        <v>10</v>
      </c>
      <c r="BD105" s="187">
        <f t="shared" si="82"/>
        <v>0</v>
      </c>
      <c r="BE105" s="187">
        <f t="shared" si="83"/>
        <v>0</v>
      </c>
      <c r="BF105" s="187">
        <f t="shared" si="84"/>
        <v>0</v>
      </c>
      <c r="BG105" s="187">
        <f t="shared" si="85"/>
        <v>0</v>
      </c>
      <c r="BH105" s="187">
        <f t="shared" si="86"/>
        <v>0</v>
      </c>
      <c r="BI105" s="187">
        <f t="shared" si="87"/>
        <v>0</v>
      </c>
      <c r="BJ105" s="273">
        <f t="shared" si="88"/>
        <v>90</v>
      </c>
      <c r="BK105" s="167">
        <f t="shared" si="38"/>
        <v>90</v>
      </c>
      <c r="BL105" s="167"/>
      <c r="BM105" s="644"/>
      <c r="BN105" s="644"/>
      <c r="BO105" s="644"/>
      <c r="BP105" s="644"/>
      <c r="BQ105" s="644"/>
      <c r="BR105" s="644"/>
      <c r="BS105" s="644"/>
      <c r="BT105" s="644"/>
      <c r="BU105" s="644"/>
      <c r="BV105" s="644"/>
      <c r="BW105" s="644"/>
      <c r="BX105" s="644"/>
      <c r="BY105" s="644"/>
      <c r="BZ105" s="644"/>
      <c r="CA105" s="644"/>
      <c r="CB105" s="644"/>
      <c r="CC105" s="644"/>
      <c r="CD105" s="644"/>
      <c r="CE105" s="644"/>
      <c r="CF105" s="644"/>
      <c r="CG105" s="644"/>
      <c r="CH105" s="644"/>
      <c r="CI105" s="644"/>
      <c r="CJ105" s="301" t="s">
        <v>756</v>
      </c>
      <c r="CK105" s="180"/>
      <c r="CL105" s="136"/>
    </row>
    <row r="106" spans="1:90">
      <c r="A106" s="181" t="s">
        <v>222</v>
      </c>
      <c r="B106" s="182"/>
      <c r="C106" s="183"/>
      <c r="D106" s="184">
        <v>1</v>
      </c>
      <c r="E106" s="184"/>
      <c r="F106" s="184"/>
      <c r="G106" s="184"/>
      <c r="H106" s="182"/>
      <c r="I106" s="182"/>
      <c r="J106" s="182"/>
      <c r="K106" s="182"/>
      <c r="L106" s="182">
        <v>1</v>
      </c>
      <c r="M106" s="182"/>
      <c r="N106" s="182"/>
      <c r="O106" s="182"/>
      <c r="P106" s="182"/>
      <c r="Q106" s="302">
        <v>1</v>
      </c>
      <c r="R106" s="182"/>
      <c r="S106" s="182">
        <v>1</v>
      </c>
      <c r="T106" s="182"/>
      <c r="U106" s="182"/>
      <c r="V106" s="182"/>
      <c r="W106" s="182">
        <v>1</v>
      </c>
      <c r="X106" s="182">
        <v>1</v>
      </c>
      <c r="Y106" s="182">
        <v>1</v>
      </c>
      <c r="Z106" s="302">
        <v>1</v>
      </c>
      <c r="AA106" s="182"/>
      <c r="AB106" s="182"/>
      <c r="AC106" s="182"/>
      <c r="AD106" s="182">
        <v>1</v>
      </c>
      <c r="AE106" s="182">
        <v>1</v>
      </c>
      <c r="AF106" s="182"/>
      <c r="AG106" s="182"/>
      <c r="AH106" s="167">
        <v>10</v>
      </c>
      <c r="AI106" s="334" t="s">
        <v>839</v>
      </c>
      <c r="AJ106" s="186">
        <v>42373</v>
      </c>
      <c r="AK106" s="187"/>
      <c r="AL106" s="187">
        <f t="shared" si="64"/>
        <v>0</v>
      </c>
      <c r="AM106" s="187">
        <f t="shared" si="65"/>
        <v>13</v>
      </c>
      <c r="AN106" s="187">
        <f t="shared" si="66"/>
        <v>0</v>
      </c>
      <c r="AO106" s="187">
        <f t="shared" si="67"/>
        <v>0</v>
      </c>
      <c r="AP106" s="187">
        <f t="shared" si="68"/>
        <v>0</v>
      </c>
      <c r="AQ106" s="187">
        <f t="shared" si="69"/>
        <v>0</v>
      </c>
      <c r="AR106" s="187">
        <f t="shared" si="70"/>
        <v>0</v>
      </c>
      <c r="AS106" s="187">
        <f t="shared" si="71"/>
        <v>19</v>
      </c>
      <c r="AT106" s="187">
        <f t="shared" si="72"/>
        <v>0</v>
      </c>
      <c r="AU106" s="187">
        <f t="shared" si="73"/>
        <v>0</v>
      </c>
      <c r="AV106" s="187">
        <f t="shared" si="74"/>
        <v>3</v>
      </c>
      <c r="AW106" s="187">
        <f t="shared" si="75"/>
        <v>8</v>
      </c>
      <c r="AX106" s="187">
        <f t="shared" si="76"/>
        <v>0</v>
      </c>
      <c r="AY106" s="187">
        <f t="shared" si="77"/>
        <v>0</v>
      </c>
      <c r="AZ106" s="187">
        <f t="shared" si="78"/>
        <v>0</v>
      </c>
      <c r="BA106" s="187">
        <f t="shared" si="79"/>
        <v>16</v>
      </c>
      <c r="BB106" s="187">
        <f t="shared" si="80"/>
        <v>13</v>
      </c>
      <c r="BC106" s="187">
        <f t="shared" si="81"/>
        <v>10</v>
      </c>
      <c r="BD106" s="187">
        <f t="shared" si="82"/>
        <v>2</v>
      </c>
      <c r="BE106" s="187">
        <f t="shared" si="83"/>
        <v>0</v>
      </c>
      <c r="BF106" s="187">
        <f t="shared" si="84"/>
        <v>0</v>
      </c>
      <c r="BG106" s="187">
        <f t="shared" si="85"/>
        <v>8</v>
      </c>
      <c r="BH106" s="187">
        <f t="shared" si="86"/>
        <v>2</v>
      </c>
      <c r="BI106" s="187">
        <f t="shared" si="87"/>
        <v>0</v>
      </c>
      <c r="BJ106" s="273">
        <f t="shared" si="88"/>
        <v>90</v>
      </c>
      <c r="BK106" s="167">
        <f t="shared" ref="BK106:BK107" si="100">BJ106</f>
        <v>90</v>
      </c>
      <c r="BL106" s="167"/>
      <c r="BM106" s="644"/>
      <c r="BN106" s="644"/>
      <c r="BO106" s="644"/>
      <c r="BP106" s="644"/>
      <c r="BQ106" s="644"/>
      <c r="BR106" s="644"/>
      <c r="BS106" s="644"/>
      <c r="BT106" s="644"/>
      <c r="BU106" s="644"/>
      <c r="BV106" s="644"/>
      <c r="BW106" s="644"/>
      <c r="BX106" s="644"/>
      <c r="BY106" s="644"/>
      <c r="BZ106" s="644"/>
      <c r="CA106" s="644"/>
      <c r="CB106" s="644"/>
      <c r="CC106" s="644"/>
      <c r="CD106" s="644"/>
      <c r="CE106" s="644"/>
      <c r="CF106" s="644"/>
      <c r="CG106" s="644"/>
      <c r="CH106" s="644"/>
      <c r="CI106" s="644"/>
      <c r="CJ106" s="301" t="s">
        <v>756</v>
      </c>
      <c r="CK106" s="180"/>
      <c r="CL106" s="136"/>
    </row>
    <row r="107" spans="1:90">
      <c r="A107" s="181" t="s">
        <v>228</v>
      </c>
      <c r="B107" s="182"/>
      <c r="C107" s="183"/>
      <c r="D107" s="184">
        <v>1</v>
      </c>
      <c r="E107" s="314">
        <v>1</v>
      </c>
      <c r="F107" s="314"/>
      <c r="G107" s="314">
        <v>1</v>
      </c>
      <c r="H107" s="182"/>
      <c r="I107" s="182"/>
      <c r="J107" s="182"/>
      <c r="K107" s="182"/>
      <c r="L107" s="182">
        <v>1</v>
      </c>
      <c r="M107" s="182"/>
      <c r="N107" s="182"/>
      <c r="O107" s="182">
        <v>1</v>
      </c>
      <c r="P107" s="182"/>
      <c r="Q107" s="182"/>
      <c r="R107" s="182"/>
      <c r="S107" s="182">
        <v>1</v>
      </c>
      <c r="T107" s="182"/>
      <c r="U107" s="182"/>
      <c r="V107" s="182">
        <v>1</v>
      </c>
      <c r="W107" s="182">
        <v>1</v>
      </c>
      <c r="X107" s="182">
        <v>1</v>
      </c>
      <c r="Y107" s="182">
        <v>1</v>
      </c>
      <c r="Z107" s="182"/>
      <c r="AA107" s="182"/>
      <c r="AB107" s="182"/>
      <c r="AC107" s="182"/>
      <c r="AD107" s="182"/>
      <c r="AE107" s="182"/>
      <c r="AF107" s="182"/>
      <c r="AG107" s="182"/>
      <c r="AH107" s="167">
        <v>10</v>
      </c>
      <c r="AI107" s="334" t="s">
        <v>840</v>
      </c>
      <c r="AJ107" s="186">
        <v>42375</v>
      </c>
      <c r="AK107" s="187"/>
      <c r="AL107" s="187">
        <f t="shared" si="64"/>
        <v>0</v>
      </c>
      <c r="AM107" s="187">
        <f t="shared" si="65"/>
        <v>13</v>
      </c>
      <c r="AN107" s="187">
        <f t="shared" si="66"/>
        <v>8</v>
      </c>
      <c r="AO107" s="187">
        <f t="shared" si="67"/>
        <v>8</v>
      </c>
      <c r="AP107" s="187">
        <f t="shared" si="68"/>
        <v>0</v>
      </c>
      <c r="AQ107" s="187">
        <f t="shared" si="69"/>
        <v>0</v>
      </c>
      <c r="AR107" s="187">
        <f t="shared" si="70"/>
        <v>0</v>
      </c>
      <c r="AS107" s="187">
        <f t="shared" si="71"/>
        <v>19</v>
      </c>
      <c r="AT107" s="187">
        <f t="shared" si="72"/>
        <v>13</v>
      </c>
      <c r="AU107" s="187">
        <f t="shared" si="73"/>
        <v>0</v>
      </c>
      <c r="AV107" s="187">
        <f t="shared" si="74"/>
        <v>0</v>
      </c>
      <c r="AW107" s="187">
        <f t="shared" si="75"/>
        <v>8</v>
      </c>
      <c r="AX107" s="187">
        <f t="shared" si="76"/>
        <v>0</v>
      </c>
      <c r="AY107" s="187">
        <f t="shared" si="77"/>
        <v>0</v>
      </c>
      <c r="AZ107" s="187">
        <f t="shared" si="78"/>
        <v>8</v>
      </c>
      <c r="BA107" s="187">
        <f t="shared" si="79"/>
        <v>16</v>
      </c>
      <c r="BB107" s="187">
        <f t="shared" si="80"/>
        <v>13</v>
      </c>
      <c r="BC107" s="187">
        <f t="shared" si="81"/>
        <v>10</v>
      </c>
      <c r="BD107" s="187">
        <f t="shared" si="82"/>
        <v>0</v>
      </c>
      <c r="BE107" s="187">
        <f t="shared" si="83"/>
        <v>0</v>
      </c>
      <c r="BF107" s="187">
        <f t="shared" si="84"/>
        <v>0</v>
      </c>
      <c r="BG107" s="187">
        <f t="shared" si="85"/>
        <v>0</v>
      </c>
      <c r="BH107" s="187">
        <f t="shared" si="86"/>
        <v>0</v>
      </c>
      <c r="BI107" s="187">
        <f t="shared" si="87"/>
        <v>0</v>
      </c>
      <c r="BJ107" s="273">
        <f t="shared" si="88"/>
        <v>100</v>
      </c>
      <c r="BK107" s="167">
        <f t="shared" si="100"/>
        <v>100</v>
      </c>
      <c r="BL107" s="167"/>
      <c r="BM107" s="644"/>
      <c r="BN107" s="644"/>
      <c r="BO107" s="644"/>
      <c r="BP107" s="644"/>
      <c r="BQ107" s="644"/>
      <c r="BR107" s="644"/>
      <c r="BS107" s="644"/>
      <c r="BT107" s="644"/>
      <c r="BU107" s="644"/>
      <c r="BV107" s="644"/>
      <c r="BW107" s="644"/>
      <c r="BX107" s="644"/>
      <c r="BY107" s="644"/>
      <c r="BZ107" s="644"/>
      <c r="CA107" s="644"/>
      <c r="CB107" s="644"/>
      <c r="CC107" s="644"/>
      <c r="CD107" s="644"/>
      <c r="CE107" s="644"/>
      <c r="CF107" s="644"/>
      <c r="CG107" s="644"/>
      <c r="CH107" s="644"/>
      <c r="CI107" s="644"/>
      <c r="CJ107" s="301" t="s">
        <v>841</v>
      </c>
      <c r="CK107" s="180"/>
      <c r="CL107" s="136"/>
    </row>
    <row r="108" spans="1:90">
      <c r="A108" s="181" t="s">
        <v>231</v>
      </c>
      <c r="B108" s="182"/>
      <c r="C108" s="183"/>
      <c r="D108" s="184">
        <v>1</v>
      </c>
      <c r="E108" s="184">
        <v>1</v>
      </c>
      <c r="F108" s="184"/>
      <c r="G108" s="184">
        <v>1</v>
      </c>
      <c r="H108" s="182"/>
      <c r="I108" s="182"/>
      <c r="J108" s="182"/>
      <c r="K108" s="182"/>
      <c r="L108" s="182">
        <v>1</v>
      </c>
      <c r="M108" s="182"/>
      <c r="N108" s="182"/>
      <c r="O108" s="182">
        <v>1</v>
      </c>
      <c r="P108" s="182"/>
      <c r="Q108" s="182"/>
      <c r="R108" s="182"/>
      <c r="S108" s="182"/>
      <c r="T108" s="302">
        <v>1</v>
      </c>
      <c r="U108" s="182"/>
      <c r="V108" s="302">
        <v>1</v>
      </c>
      <c r="W108" s="182">
        <v>1</v>
      </c>
      <c r="X108" s="302">
        <v>1</v>
      </c>
      <c r="Y108" s="302">
        <v>1</v>
      </c>
      <c r="Z108" s="182"/>
      <c r="AA108" s="182"/>
      <c r="AB108" s="182"/>
      <c r="AC108" s="182"/>
      <c r="AD108" s="182"/>
      <c r="AE108" s="182"/>
      <c r="AF108" s="182"/>
      <c r="AG108" s="182"/>
      <c r="AH108" s="167">
        <v>10</v>
      </c>
      <c r="AI108" s="334" t="s">
        <v>842</v>
      </c>
      <c r="AJ108" s="186">
        <v>42360</v>
      </c>
      <c r="AK108" s="187"/>
      <c r="AL108" s="187">
        <f t="shared" si="64"/>
        <v>0</v>
      </c>
      <c r="AM108" s="187">
        <f t="shared" si="65"/>
        <v>13</v>
      </c>
      <c r="AN108" s="187">
        <f t="shared" si="66"/>
        <v>8</v>
      </c>
      <c r="AO108" s="187">
        <f t="shared" si="67"/>
        <v>8</v>
      </c>
      <c r="AP108" s="187">
        <f t="shared" si="68"/>
        <v>0</v>
      </c>
      <c r="AQ108" s="187">
        <f t="shared" si="69"/>
        <v>0</v>
      </c>
      <c r="AR108" s="187">
        <f t="shared" si="70"/>
        <v>0</v>
      </c>
      <c r="AS108" s="187">
        <f t="shared" si="71"/>
        <v>19</v>
      </c>
      <c r="AT108" s="187">
        <f t="shared" si="72"/>
        <v>13</v>
      </c>
      <c r="AU108" s="187">
        <f t="shared" si="73"/>
        <v>0</v>
      </c>
      <c r="AV108" s="187">
        <f t="shared" si="74"/>
        <v>0</v>
      </c>
      <c r="AW108" s="187">
        <f t="shared" si="75"/>
        <v>0</v>
      </c>
      <c r="AX108" s="187">
        <f t="shared" si="76"/>
        <v>4</v>
      </c>
      <c r="AY108" s="187">
        <f t="shared" si="77"/>
        <v>0</v>
      </c>
      <c r="AZ108" s="187">
        <f t="shared" si="78"/>
        <v>8</v>
      </c>
      <c r="BA108" s="187">
        <f t="shared" si="79"/>
        <v>16</v>
      </c>
      <c r="BB108" s="187">
        <f t="shared" si="80"/>
        <v>13</v>
      </c>
      <c r="BC108" s="187">
        <f t="shared" si="81"/>
        <v>10</v>
      </c>
      <c r="BD108" s="187">
        <f t="shared" si="82"/>
        <v>0</v>
      </c>
      <c r="BE108" s="187">
        <f t="shared" si="83"/>
        <v>0</v>
      </c>
      <c r="BF108" s="187">
        <f t="shared" si="84"/>
        <v>0</v>
      </c>
      <c r="BG108" s="187">
        <f t="shared" si="85"/>
        <v>0</v>
      </c>
      <c r="BH108" s="187">
        <f t="shared" si="86"/>
        <v>0</v>
      </c>
      <c r="BI108" s="187">
        <f t="shared" si="87"/>
        <v>0</v>
      </c>
      <c r="BJ108" s="273">
        <f t="shared" si="88"/>
        <v>100</v>
      </c>
      <c r="BK108" s="167">
        <f t="shared" ref="BK108:BK109" si="101">BJ108</f>
        <v>100</v>
      </c>
      <c r="BL108" s="167"/>
      <c r="BM108" s="644"/>
      <c r="BN108" s="644"/>
      <c r="BO108" s="644"/>
      <c r="BP108" s="644"/>
      <c r="BQ108" s="644"/>
      <c r="BR108" s="644"/>
      <c r="BS108" s="644"/>
      <c r="BT108" s="644"/>
      <c r="BU108" s="644"/>
      <c r="BV108" s="644"/>
      <c r="BW108" s="644"/>
      <c r="BX108" s="644"/>
      <c r="BY108" s="644"/>
      <c r="BZ108" s="644"/>
      <c r="CA108" s="644"/>
      <c r="CB108" s="644"/>
      <c r="CC108" s="644"/>
      <c r="CD108" s="644"/>
      <c r="CE108" s="644"/>
      <c r="CF108" s="644"/>
      <c r="CG108" s="644"/>
      <c r="CH108" s="644"/>
      <c r="CI108" s="644"/>
      <c r="CJ108" s="301" t="s">
        <v>843</v>
      </c>
      <c r="CK108" s="180"/>
      <c r="CL108" s="136"/>
    </row>
    <row r="109" spans="1:90">
      <c r="A109" s="181" t="s">
        <v>235</v>
      </c>
      <c r="B109" s="182"/>
      <c r="C109" s="183"/>
      <c r="D109" s="184"/>
      <c r="E109" s="184"/>
      <c r="F109" s="184"/>
      <c r="G109" s="184"/>
      <c r="H109" s="182"/>
      <c r="I109" s="182"/>
      <c r="J109" s="182"/>
      <c r="K109" s="182"/>
      <c r="L109" s="182">
        <v>1</v>
      </c>
      <c r="M109" s="182"/>
      <c r="N109" s="182"/>
      <c r="O109" s="182"/>
      <c r="P109" s="182"/>
      <c r="Q109" s="182"/>
      <c r="R109" s="182"/>
      <c r="S109" s="182"/>
      <c r="T109" s="182"/>
      <c r="U109" s="182"/>
      <c r="V109" s="182"/>
      <c r="W109" s="182">
        <v>1</v>
      </c>
      <c r="X109" s="182"/>
      <c r="Y109" s="182"/>
      <c r="Z109" s="182"/>
      <c r="AA109" s="182"/>
      <c r="AB109" s="182"/>
      <c r="AC109" s="182"/>
      <c r="AD109" s="182"/>
      <c r="AE109" s="182"/>
      <c r="AF109" s="182"/>
      <c r="AG109" s="182"/>
      <c r="AH109" s="167">
        <v>2</v>
      </c>
      <c r="AI109" s="334" t="s">
        <v>844</v>
      </c>
      <c r="AJ109" s="186">
        <v>42370</v>
      </c>
      <c r="AK109" s="187"/>
      <c r="AL109" s="187">
        <f t="shared" si="64"/>
        <v>0</v>
      </c>
      <c r="AM109" s="187">
        <f t="shared" si="65"/>
        <v>0</v>
      </c>
      <c r="AN109" s="187">
        <f t="shared" si="66"/>
        <v>0</v>
      </c>
      <c r="AO109" s="187">
        <f t="shared" si="67"/>
        <v>0</v>
      </c>
      <c r="AP109" s="187">
        <f t="shared" si="68"/>
        <v>0</v>
      </c>
      <c r="AQ109" s="187">
        <f t="shared" si="69"/>
        <v>0</v>
      </c>
      <c r="AR109" s="187">
        <f t="shared" si="70"/>
        <v>0</v>
      </c>
      <c r="AS109" s="187">
        <f t="shared" si="71"/>
        <v>19</v>
      </c>
      <c r="AT109" s="187">
        <f t="shared" si="72"/>
        <v>0</v>
      </c>
      <c r="AU109" s="187">
        <f t="shared" si="73"/>
        <v>0</v>
      </c>
      <c r="AV109" s="187">
        <f t="shared" si="74"/>
        <v>0</v>
      </c>
      <c r="AW109" s="187">
        <f t="shared" si="75"/>
        <v>0</v>
      </c>
      <c r="AX109" s="187">
        <f t="shared" si="76"/>
        <v>0</v>
      </c>
      <c r="AY109" s="187">
        <f t="shared" si="77"/>
        <v>0</v>
      </c>
      <c r="AZ109" s="187">
        <f t="shared" si="78"/>
        <v>0</v>
      </c>
      <c r="BA109" s="187">
        <f t="shared" si="79"/>
        <v>16</v>
      </c>
      <c r="BB109" s="187">
        <f t="shared" si="80"/>
        <v>0</v>
      </c>
      <c r="BC109" s="187">
        <f t="shared" si="81"/>
        <v>0</v>
      </c>
      <c r="BD109" s="187">
        <f t="shared" si="82"/>
        <v>0</v>
      </c>
      <c r="BE109" s="187">
        <f t="shared" si="83"/>
        <v>0</v>
      </c>
      <c r="BF109" s="187">
        <f t="shared" si="84"/>
        <v>0</v>
      </c>
      <c r="BG109" s="187">
        <f t="shared" si="85"/>
        <v>0</v>
      </c>
      <c r="BH109" s="187">
        <f t="shared" si="86"/>
        <v>0</v>
      </c>
      <c r="BI109" s="187">
        <f t="shared" si="87"/>
        <v>0</v>
      </c>
      <c r="BJ109" s="273">
        <f t="shared" si="88"/>
        <v>35</v>
      </c>
      <c r="BK109" s="167">
        <f t="shared" si="101"/>
        <v>35</v>
      </c>
      <c r="BL109" s="167"/>
      <c r="BM109" s="644"/>
      <c r="BN109" s="644"/>
      <c r="BO109" s="644"/>
      <c r="BP109" s="644"/>
      <c r="BQ109" s="644"/>
      <c r="BR109" s="644"/>
      <c r="BS109" s="644"/>
      <c r="BT109" s="644"/>
      <c r="BU109" s="644"/>
      <c r="BV109" s="644"/>
      <c r="BW109" s="644"/>
      <c r="BX109" s="644"/>
      <c r="BY109" s="644"/>
      <c r="BZ109" s="644"/>
      <c r="CA109" s="644"/>
      <c r="CB109" s="644"/>
      <c r="CC109" s="644"/>
      <c r="CD109" s="644"/>
      <c r="CE109" s="644"/>
      <c r="CF109" s="644"/>
      <c r="CG109" s="644"/>
      <c r="CH109" s="644"/>
      <c r="CI109" s="644"/>
      <c r="CJ109" s="301" t="s">
        <v>756</v>
      </c>
      <c r="CK109" s="180"/>
      <c r="CL109" s="136"/>
    </row>
    <row r="110" spans="1:90">
      <c r="A110" s="181" t="s">
        <v>581</v>
      </c>
      <c r="B110" s="182"/>
      <c r="C110" s="183"/>
      <c r="D110" s="184"/>
      <c r="E110" s="184">
        <v>1</v>
      </c>
      <c r="F110" s="184"/>
      <c r="G110" s="184">
        <v>1</v>
      </c>
      <c r="H110" s="182"/>
      <c r="I110" s="182"/>
      <c r="J110" s="182"/>
      <c r="K110" s="182"/>
      <c r="L110" s="182">
        <v>1</v>
      </c>
      <c r="M110" s="182"/>
      <c r="N110" s="182"/>
      <c r="O110" s="182"/>
      <c r="P110" s="182"/>
      <c r="Q110" s="182"/>
      <c r="R110" s="182"/>
      <c r="S110" s="182"/>
      <c r="T110" s="182"/>
      <c r="U110" s="182"/>
      <c r="V110" s="182"/>
      <c r="W110" s="302">
        <v>1</v>
      </c>
      <c r="X110" s="182">
        <v>1</v>
      </c>
      <c r="Y110" s="182"/>
      <c r="Z110" s="182"/>
      <c r="AA110" s="182"/>
      <c r="AB110" s="182"/>
      <c r="AC110" s="182"/>
      <c r="AD110" s="182"/>
      <c r="AE110" s="182"/>
      <c r="AF110" s="302">
        <v>1</v>
      </c>
      <c r="AG110" s="182"/>
      <c r="AH110" s="167">
        <v>6</v>
      </c>
      <c r="AI110" s="300" t="str">
        <f>HYPERLINK("http://bit.ly/1P0gPpj","Column+clarified@FB")</f>
        <v>Column+clarified@FB</v>
      </c>
      <c r="AJ110" s="186">
        <v>42351</v>
      </c>
      <c r="AK110" s="187"/>
      <c r="AL110" s="187">
        <f t="shared" si="64"/>
        <v>0</v>
      </c>
      <c r="AM110" s="187">
        <f t="shared" si="65"/>
        <v>0</v>
      </c>
      <c r="AN110" s="187">
        <f t="shared" si="66"/>
        <v>8</v>
      </c>
      <c r="AO110" s="187">
        <f t="shared" si="67"/>
        <v>8</v>
      </c>
      <c r="AP110" s="187">
        <f t="shared" si="68"/>
        <v>0</v>
      </c>
      <c r="AQ110" s="187">
        <f t="shared" si="69"/>
        <v>0</v>
      </c>
      <c r="AR110" s="187">
        <f t="shared" si="70"/>
        <v>0</v>
      </c>
      <c r="AS110" s="187">
        <f t="shared" si="71"/>
        <v>19</v>
      </c>
      <c r="AT110" s="187">
        <f t="shared" si="72"/>
        <v>0</v>
      </c>
      <c r="AU110" s="187">
        <f t="shared" si="73"/>
        <v>0</v>
      </c>
      <c r="AV110" s="187">
        <f t="shared" si="74"/>
        <v>0</v>
      </c>
      <c r="AW110" s="187">
        <f t="shared" si="75"/>
        <v>0</v>
      </c>
      <c r="AX110" s="187">
        <f t="shared" si="76"/>
        <v>0</v>
      </c>
      <c r="AY110" s="187">
        <f t="shared" si="77"/>
        <v>0</v>
      </c>
      <c r="AZ110" s="187">
        <f t="shared" si="78"/>
        <v>0</v>
      </c>
      <c r="BA110" s="187">
        <f t="shared" si="79"/>
        <v>16</v>
      </c>
      <c r="BB110" s="187">
        <f t="shared" si="80"/>
        <v>13</v>
      </c>
      <c r="BC110" s="187">
        <f t="shared" si="81"/>
        <v>0</v>
      </c>
      <c r="BD110" s="187">
        <f t="shared" si="82"/>
        <v>0</v>
      </c>
      <c r="BE110" s="187">
        <f t="shared" si="83"/>
        <v>0</v>
      </c>
      <c r="BF110" s="187">
        <f t="shared" si="84"/>
        <v>0</v>
      </c>
      <c r="BG110" s="187">
        <f t="shared" si="85"/>
        <v>0</v>
      </c>
      <c r="BH110" s="187">
        <f t="shared" si="86"/>
        <v>0</v>
      </c>
      <c r="BI110" s="187">
        <f t="shared" si="87"/>
        <v>3</v>
      </c>
      <c r="BJ110" s="273">
        <f t="shared" si="88"/>
        <v>67</v>
      </c>
      <c r="BK110" s="167">
        <f t="shared" si="38"/>
        <v>67</v>
      </c>
      <c r="BL110" s="167"/>
      <c r="BM110" s="644"/>
      <c r="BN110" s="644"/>
      <c r="BO110" s="644"/>
      <c r="BP110" s="644"/>
      <c r="BQ110" s="644"/>
      <c r="BR110" s="644"/>
      <c r="BS110" s="644"/>
      <c r="BT110" s="644"/>
      <c r="BU110" s="644"/>
      <c r="BV110" s="644"/>
      <c r="BW110" s="644"/>
      <c r="BX110" s="644"/>
      <c r="BY110" s="644"/>
      <c r="BZ110" s="644"/>
      <c r="CA110" s="644"/>
      <c r="CB110" s="644"/>
      <c r="CC110" s="644"/>
      <c r="CD110" s="644"/>
      <c r="CE110" s="644"/>
      <c r="CF110" s="644"/>
      <c r="CG110" s="644"/>
      <c r="CH110" s="644"/>
      <c r="CI110" s="644"/>
      <c r="CJ110" s="301" t="s">
        <v>764</v>
      </c>
      <c r="CK110" s="180"/>
      <c r="CL110" s="136"/>
    </row>
    <row r="111" spans="1:90">
      <c r="A111" s="181" t="s">
        <v>236</v>
      </c>
      <c r="B111" s="182"/>
      <c r="C111" s="183"/>
      <c r="D111" s="302">
        <v>1</v>
      </c>
      <c r="E111" s="184">
        <v>1</v>
      </c>
      <c r="F111" s="184"/>
      <c r="G111" s="184">
        <v>1</v>
      </c>
      <c r="H111" s="182"/>
      <c r="I111" s="182"/>
      <c r="J111" s="182"/>
      <c r="K111" s="182"/>
      <c r="L111" s="182">
        <v>1</v>
      </c>
      <c r="M111" s="182"/>
      <c r="N111" s="182"/>
      <c r="O111" s="182">
        <v>1</v>
      </c>
      <c r="P111" s="182"/>
      <c r="Q111" s="182"/>
      <c r="R111" s="182"/>
      <c r="S111" s="182">
        <v>1</v>
      </c>
      <c r="T111" s="182"/>
      <c r="U111" s="182"/>
      <c r="V111" s="182">
        <v>1</v>
      </c>
      <c r="W111" s="182">
        <v>1</v>
      </c>
      <c r="X111" s="182">
        <v>1</v>
      </c>
      <c r="Y111" s="182"/>
      <c r="Z111" s="182"/>
      <c r="AA111" s="182"/>
      <c r="AB111" s="182"/>
      <c r="AC111" s="182"/>
      <c r="AD111" s="182"/>
      <c r="AE111" s="182">
        <v>1</v>
      </c>
      <c r="AF111" s="182"/>
      <c r="AG111" s="182"/>
      <c r="AH111" s="167">
        <v>10</v>
      </c>
      <c r="AI111" s="300" t="s">
        <v>845</v>
      </c>
      <c r="AJ111" s="186">
        <v>42359</v>
      </c>
      <c r="AK111" s="187"/>
      <c r="AL111" s="187">
        <f t="shared" si="64"/>
        <v>0</v>
      </c>
      <c r="AM111" s="187">
        <f t="shared" si="65"/>
        <v>13</v>
      </c>
      <c r="AN111" s="187">
        <f t="shared" si="66"/>
        <v>8</v>
      </c>
      <c r="AO111" s="187">
        <f t="shared" si="67"/>
        <v>8</v>
      </c>
      <c r="AP111" s="187">
        <f t="shared" si="68"/>
        <v>0</v>
      </c>
      <c r="AQ111" s="187">
        <f t="shared" si="69"/>
        <v>0</v>
      </c>
      <c r="AR111" s="187">
        <f t="shared" si="70"/>
        <v>0</v>
      </c>
      <c r="AS111" s="187">
        <f t="shared" si="71"/>
        <v>19</v>
      </c>
      <c r="AT111" s="187">
        <f t="shared" si="72"/>
        <v>13</v>
      </c>
      <c r="AU111" s="187">
        <f t="shared" si="73"/>
        <v>0</v>
      </c>
      <c r="AV111" s="187">
        <f t="shared" si="74"/>
        <v>0</v>
      </c>
      <c r="AW111" s="187">
        <f t="shared" si="75"/>
        <v>8</v>
      </c>
      <c r="AX111" s="187">
        <f t="shared" si="76"/>
        <v>0</v>
      </c>
      <c r="AY111" s="187">
        <f t="shared" si="77"/>
        <v>0</v>
      </c>
      <c r="AZ111" s="187">
        <f t="shared" si="78"/>
        <v>8</v>
      </c>
      <c r="BA111" s="187">
        <f t="shared" si="79"/>
        <v>16</v>
      </c>
      <c r="BB111" s="187">
        <f t="shared" si="80"/>
        <v>13</v>
      </c>
      <c r="BC111" s="187">
        <f t="shared" si="81"/>
        <v>0</v>
      </c>
      <c r="BD111" s="187">
        <f t="shared" si="82"/>
        <v>0</v>
      </c>
      <c r="BE111" s="187">
        <f t="shared" si="83"/>
        <v>0</v>
      </c>
      <c r="BF111" s="187">
        <f t="shared" si="84"/>
        <v>0</v>
      </c>
      <c r="BG111" s="187">
        <f t="shared" si="85"/>
        <v>0</v>
      </c>
      <c r="BH111" s="187">
        <f t="shared" si="86"/>
        <v>2</v>
      </c>
      <c r="BI111" s="187">
        <f t="shared" si="87"/>
        <v>0</v>
      </c>
      <c r="BJ111" s="273">
        <f t="shared" si="88"/>
        <v>98</v>
      </c>
      <c r="BK111" s="167">
        <f t="shared" ref="BK111" si="102">BJ111</f>
        <v>98</v>
      </c>
      <c r="BL111" s="167"/>
      <c r="BM111" s="644"/>
      <c r="BN111" s="644"/>
      <c r="BO111" s="644"/>
      <c r="BP111" s="644"/>
      <c r="BQ111" s="644"/>
      <c r="BR111" s="644"/>
      <c r="BS111" s="644"/>
      <c r="BT111" s="644"/>
      <c r="BU111" s="644"/>
      <c r="BV111" s="644"/>
      <c r="BW111" s="644"/>
      <c r="BX111" s="644"/>
      <c r="BY111" s="644"/>
      <c r="BZ111" s="644"/>
      <c r="CA111" s="644"/>
      <c r="CB111" s="644"/>
      <c r="CC111" s="644"/>
      <c r="CD111" s="644"/>
      <c r="CE111" s="644"/>
      <c r="CF111" s="644"/>
      <c r="CG111" s="644"/>
      <c r="CH111" s="644"/>
      <c r="CI111" s="644"/>
      <c r="CJ111" s="301" t="s">
        <v>756</v>
      </c>
      <c r="CK111" s="180"/>
      <c r="CL111" s="136"/>
    </row>
    <row r="112" spans="1:90" s="344" customFormat="1">
      <c r="A112" s="335" t="s">
        <v>237</v>
      </c>
      <c r="B112" s="182"/>
      <c r="C112" s="183"/>
      <c r="D112" s="182"/>
      <c r="E112" s="314">
        <v>1</v>
      </c>
      <c r="F112" s="184"/>
      <c r="G112" s="184"/>
      <c r="H112" s="182"/>
      <c r="I112" s="182"/>
      <c r="J112" s="182"/>
      <c r="K112" s="182"/>
      <c r="L112" s="182">
        <v>1</v>
      </c>
      <c r="M112" s="182"/>
      <c r="N112" s="182"/>
      <c r="O112" s="182">
        <v>1</v>
      </c>
      <c r="P112" s="182"/>
      <c r="Q112" s="182"/>
      <c r="R112" s="182"/>
      <c r="S112" s="182"/>
      <c r="T112" s="182">
        <v>1</v>
      </c>
      <c r="U112" s="182"/>
      <c r="V112" s="302">
        <v>1</v>
      </c>
      <c r="W112" s="182"/>
      <c r="X112" s="182">
        <v>1</v>
      </c>
      <c r="Y112" s="182">
        <v>1</v>
      </c>
      <c r="Z112" s="182"/>
      <c r="AA112" s="182"/>
      <c r="AB112" s="182"/>
      <c r="AC112" s="182"/>
      <c r="AD112" s="182">
        <v>1</v>
      </c>
      <c r="AE112" s="182"/>
      <c r="AF112" s="182"/>
      <c r="AG112" s="182"/>
      <c r="AH112" s="339">
        <v>8</v>
      </c>
      <c r="AI112" s="355" t="s">
        <v>846</v>
      </c>
      <c r="AJ112" s="341">
        <v>42367</v>
      </c>
      <c r="AK112" s="187"/>
      <c r="AL112" s="187">
        <f t="shared" si="64"/>
        <v>0</v>
      </c>
      <c r="AM112" s="187">
        <f t="shared" si="65"/>
        <v>0</v>
      </c>
      <c r="AN112" s="187">
        <f t="shared" si="66"/>
        <v>8</v>
      </c>
      <c r="AO112" s="187">
        <f t="shared" si="67"/>
        <v>0</v>
      </c>
      <c r="AP112" s="187">
        <f t="shared" si="68"/>
        <v>0</v>
      </c>
      <c r="AQ112" s="187">
        <f t="shared" si="69"/>
        <v>0</v>
      </c>
      <c r="AR112" s="187">
        <f t="shared" si="70"/>
        <v>0</v>
      </c>
      <c r="AS112" s="187">
        <f t="shared" si="71"/>
        <v>19</v>
      </c>
      <c r="AT112" s="187">
        <f t="shared" si="72"/>
        <v>13</v>
      </c>
      <c r="AU112" s="187">
        <f t="shared" si="73"/>
        <v>0</v>
      </c>
      <c r="AV112" s="187">
        <f t="shared" si="74"/>
        <v>0</v>
      </c>
      <c r="AW112" s="187">
        <f t="shared" si="75"/>
        <v>0</v>
      </c>
      <c r="AX112" s="187">
        <f t="shared" si="76"/>
        <v>4</v>
      </c>
      <c r="AY112" s="187">
        <f t="shared" si="77"/>
        <v>0</v>
      </c>
      <c r="AZ112" s="187">
        <f t="shared" si="78"/>
        <v>8</v>
      </c>
      <c r="BA112" s="187">
        <f t="shared" si="79"/>
        <v>0</v>
      </c>
      <c r="BB112" s="187">
        <f t="shared" si="80"/>
        <v>13</v>
      </c>
      <c r="BC112" s="187">
        <f t="shared" si="81"/>
        <v>10</v>
      </c>
      <c r="BD112" s="187">
        <f t="shared" si="82"/>
        <v>0</v>
      </c>
      <c r="BE112" s="187">
        <f t="shared" si="83"/>
        <v>0</v>
      </c>
      <c r="BF112" s="187">
        <f t="shared" si="84"/>
        <v>0</v>
      </c>
      <c r="BG112" s="187">
        <f t="shared" si="85"/>
        <v>8</v>
      </c>
      <c r="BH112" s="187">
        <f t="shared" si="86"/>
        <v>0</v>
      </c>
      <c r="BI112" s="187">
        <f t="shared" si="87"/>
        <v>0</v>
      </c>
      <c r="BJ112" s="273">
        <f t="shared" si="88"/>
        <v>83</v>
      </c>
      <c r="BK112" s="167">
        <f t="shared" ref="BK112" si="103">BJ112</f>
        <v>83</v>
      </c>
      <c r="BL112" s="167"/>
      <c r="BM112" s="644"/>
      <c r="BN112" s="644"/>
      <c r="BO112" s="644"/>
      <c r="BP112" s="644"/>
      <c r="BQ112" s="644"/>
      <c r="BR112" s="644"/>
      <c r="BS112" s="644"/>
      <c r="BT112" s="644"/>
      <c r="BU112" s="644"/>
      <c r="BV112" s="644"/>
      <c r="BW112" s="644"/>
      <c r="BX112" s="644"/>
      <c r="BY112" s="644"/>
      <c r="BZ112" s="644"/>
      <c r="CA112" s="644"/>
      <c r="CB112" s="644"/>
      <c r="CC112" s="644"/>
      <c r="CD112" s="644"/>
      <c r="CE112" s="644"/>
      <c r="CF112" s="644"/>
      <c r="CG112" s="644"/>
      <c r="CH112" s="644"/>
      <c r="CI112" s="644"/>
      <c r="CJ112" s="301" t="s">
        <v>756</v>
      </c>
      <c r="CK112" s="342"/>
      <c r="CL112" s="343"/>
    </row>
    <row r="113" spans="1:90">
      <c r="A113" s="181" t="s">
        <v>847</v>
      </c>
      <c r="B113" s="182"/>
      <c r="C113" s="183"/>
      <c r="D113" s="184">
        <v>1</v>
      </c>
      <c r="E113" s="184"/>
      <c r="F113" s="184"/>
      <c r="G113" s="184"/>
      <c r="H113" s="182"/>
      <c r="I113" s="182"/>
      <c r="J113" s="182"/>
      <c r="K113" s="182"/>
      <c r="L113" s="182">
        <v>1</v>
      </c>
      <c r="M113" s="182"/>
      <c r="N113" s="182"/>
      <c r="O113" s="182">
        <v>1</v>
      </c>
      <c r="P113" s="182"/>
      <c r="Q113" s="182"/>
      <c r="R113" s="182"/>
      <c r="S113" s="182">
        <v>1</v>
      </c>
      <c r="T113" s="302">
        <v>1</v>
      </c>
      <c r="U113" s="320"/>
      <c r="V113" s="182"/>
      <c r="W113" s="182">
        <v>1</v>
      </c>
      <c r="X113" s="182">
        <v>1</v>
      </c>
      <c r="Y113" s="182"/>
      <c r="Z113" s="182"/>
      <c r="AA113" s="182">
        <v>1</v>
      </c>
      <c r="AB113" s="182"/>
      <c r="AC113" s="182"/>
      <c r="AD113" s="182"/>
      <c r="AE113" s="182"/>
      <c r="AF113" s="182"/>
      <c r="AG113" s="182"/>
      <c r="AH113" s="167">
        <v>8</v>
      </c>
      <c r="AI113" s="328" t="s">
        <v>115</v>
      </c>
      <c r="AJ113" s="186">
        <v>42356</v>
      </c>
      <c r="AK113" s="187"/>
      <c r="AL113" s="187">
        <f t="shared" si="64"/>
        <v>0</v>
      </c>
      <c r="AM113" s="187">
        <f t="shared" si="65"/>
        <v>13</v>
      </c>
      <c r="AN113" s="187">
        <f t="shared" si="66"/>
        <v>0</v>
      </c>
      <c r="AO113" s="187">
        <f t="shared" si="67"/>
        <v>0</v>
      </c>
      <c r="AP113" s="187">
        <f t="shared" si="68"/>
        <v>0</v>
      </c>
      <c r="AQ113" s="187">
        <f t="shared" si="69"/>
        <v>0</v>
      </c>
      <c r="AR113" s="187">
        <f t="shared" si="70"/>
        <v>0</v>
      </c>
      <c r="AS113" s="187">
        <f t="shared" si="71"/>
        <v>19</v>
      </c>
      <c r="AT113" s="187">
        <f t="shared" si="72"/>
        <v>13</v>
      </c>
      <c r="AU113" s="187">
        <f t="shared" si="73"/>
        <v>0</v>
      </c>
      <c r="AV113" s="187">
        <f t="shared" si="74"/>
        <v>0</v>
      </c>
      <c r="AW113" s="187">
        <f t="shared" si="75"/>
        <v>8</v>
      </c>
      <c r="AX113" s="187">
        <f t="shared" si="76"/>
        <v>4</v>
      </c>
      <c r="AY113" s="187">
        <f t="shared" si="77"/>
        <v>0</v>
      </c>
      <c r="AZ113" s="187">
        <f t="shared" si="78"/>
        <v>0</v>
      </c>
      <c r="BA113" s="187">
        <f t="shared" si="79"/>
        <v>16</v>
      </c>
      <c r="BB113" s="187">
        <f t="shared" si="80"/>
        <v>13</v>
      </c>
      <c r="BC113" s="187">
        <f t="shared" si="81"/>
        <v>0</v>
      </c>
      <c r="BD113" s="187">
        <f t="shared" si="82"/>
        <v>0</v>
      </c>
      <c r="BE113" s="187">
        <f t="shared" si="83"/>
        <v>6</v>
      </c>
      <c r="BF113" s="187">
        <f t="shared" si="84"/>
        <v>0</v>
      </c>
      <c r="BG113" s="187">
        <f t="shared" si="85"/>
        <v>0</v>
      </c>
      <c r="BH113" s="187">
        <f t="shared" si="86"/>
        <v>0</v>
      </c>
      <c r="BI113" s="187">
        <f t="shared" si="87"/>
        <v>0</v>
      </c>
      <c r="BJ113" s="273">
        <f t="shared" si="88"/>
        <v>92</v>
      </c>
      <c r="BK113" s="167">
        <f t="shared" si="38"/>
        <v>92</v>
      </c>
      <c r="BL113" s="167"/>
      <c r="BM113" s="644"/>
      <c r="BN113" s="644"/>
      <c r="BO113" s="644"/>
      <c r="BP113" s="644"/>
      <c r="BQ113" s="644"/>
      <c r="BR113" s="644"/>
      <c r="BS113" s="644"/>
      <c r="BT113" s="644"/>
      <c r="BU113" s="644"/>
      <c r="BV113" s="644"/>
      <c r="BW113" s="644"/>
      <c r="BX113" s="644"/>
      <c r="BY113" s="644"/>
      <c r="BZ113" s="644"/>
      <c r="CA113" s="644"/>
      <c r="CB113" s="644"/>
      <c r="CC113" s="644"/>
      <c r="CD113" s="644"/>
      <c r="CE113" s="644"/>
      <c r="CF113" s="644"/>
      <c r="CG113" s="644"/>
      <c r="CH113" s="644"/>
      <c r="CI113" s="644"/>
      <c r="CJ113" s="301" t="s">
        <v>769</v>
      </c>
      <c r="CK113" s="180"/>
      <c r="CL113" s="136"/>
    </row>
    <row r="114" spans="1:90">
      <c r="A114" s="181" t="s">
        <v>239</v>
      </c>
      <c r="B114" s="182"/>
      <c r="C114" s="183"/>
      <c r="D114" s="184">
        <v>1</v>
      </c>
      <c r="E114" s="184"/>
      <c r="F114" s="184"/>
      <c r="G114" s="184"/>
      <c r="H114" s="182"/>
      <c r="I114" s="182"/>
      <c r="J114" s="182"/>
      <c r="K114" s="182"/>
      <c r="L114" s="182">
        <v>1</v>
      </c>
      <c r="M114" s="182"/>
      <c r="N114" s="182"/>
      <c r="O114" s="182"/>
      <c r="P114" s="182"/>
      <c r="Q114" s="182"/>
      <c r="R114" s="182"/>
      <c r="S114" s="182"/>
      <c r="T114" s="182"/>
      <c r="U114" s="182"/>
      <c r="V114" s="302">
        <v>1</v>
      </c>
      <c r="W114" s="182">
        <v>1</v>
      </c>
      <c r="X114" s="182">
        <v>1</v>
      </c>
      <c r="Y114" s="182">
        <v>1</v>
      </c>
      <c r="Z114" s="182"/>
      <c r="AA114" s="182"/>
      <c r="AB114" s="182"/>
      <c r="AC114" s="182"/>
      <c r="AD114" s="182"/>
      <c r="AE114" s="182"/>
      <c r="AF114" s="182"/>
      <c r="AG114" s="182"/>
      <c r="AH114" s="167">
        <v>6</v>
      </c>
      <c r="AI114" s="328" t="s">
        <v>113</v>
      </c>
      <c r="AJ114" s="186">
        <v>42371</v>
      </c>
      <c r="AK114" s="187"/>
      <c r="AL114" s="187">
        <f t="shared" si="64"/>
        <v>0</v>
      </c>
      <c r="AM114" s="187">
        <f t="shared" si="65"/>
        <v>13</v>
      </c>
      <c r="AN114" s="187">
        <f t="shared" si="66"/>
        <v>0</v>
      </c>
      <c r="AO114" s="187">
        <f t="shared" si="67"/>
        <v>0</v>
      </c>
      <c r="AP114" s="187">
        <f t="shared" si="68"/>
        <v>0</v>
      </c>
      <c r="AQ114" s="187">
        <f t="shared" si="69"/>
        <v>0</v>
      </c>
      <c r="AR114" s="187">
        <f t="shared" si="70"/>
        <v>0</v>
      </c>
      <c r="AS114" s="187">
        <f t="shared" si="71"/>
        <v>19</v>
      </c>
      <c r="AT114" s="187">
        <f t="shared" si="72"/>
        <v>0</v>
      </c>
      <c r="AU114" s="187">
        <f t="shared" si="73"/>
        <v>0</v>
      </c>
      <c r="AV114" s="187">
        <f t="shared" si="74"/>
        <v>0</v>
      </c>
      <c r="AW114" s="187">
        <f t="shared" si="75"/>
        <v>0</v>
      </c>
      <c r="AX114" s="187">
        <f t="shared" si="76"/>
        <v>0</v>
      </c>
      <c r="AY114" s="187">
        <f t="shared" si="77"/>
        <v>0</v>
      </c>
      <c r="AZ114" s="187">
        <f t="shared" si="78"/>
        <v>8</v>
      </c>
      <c r="BA114" s="187">
        <f t="shared" si="79"/>
        <v>16</v>
      </c>
      <c r="BB114" s="187">
        <f t="shared" si="80"/>
        <v>13</v>
      </c>
      <c r="BC114" s="187">
        <f t="shared" si="81"/>
        <v>10</v>
      </c>
      <c r="BD114" s="187">
        <f t="shared" si="82"/>
        <v>0</v>
      </c>
      <c r="BE114" s="187">
        <f t="shared" si="83"/>
        <v>0</v>
      </c>
      <c r="BF114" s="187">
        <f t="shared" si="84"/>
        <v>0</v>
      </c>
      <c r="BG114" s="187">
        <f t="shared" si="85"/>
        <v>0</v>
      </c>
      <c r="BH114" s="187">
        <f t="shared" si="86"/>
        <v>0</v>
      </c>
      <c r="BI114" s="187">
        <f t="shared" si="87"/>
        <v>0</v>
      </c>
      <c r="BJ114" s="273">
        <f t="shared" si="88"/>
        <v>79</v>
      </c>
      <c r="BK114" s="167">
        <f t="shared" ref="BK114" si="104">BJ114</f>
        <v>79</v>
      </c>
      <c r="BL114" s="167"/>
      <c r="BM114" s="644"/>
      <c r="BN114" s="644"/>
      <c r="BO114" s="644"/>
      <c r="BP114" s="644"/>
      <c r="BQ114" s="644"/>
      <c r="BR114" s="644"/>
      <c r="BS114" s="644"/>
      <c r="BT114" s="644"/>
      <c r="BU114" s="644"/>
      <c r="BV114" s="644"/>
      <c r="BW114" s="644"/>
      <c r="BX114" s="644"/>
      <c r="BY114" s="644"/>
      <c r="BZ114" s="644"/>
      <c r="CA114" s="644"/>
      <c r="CB114" s="644"/>
      <c r="CC114" s="644"/>
      <c r="CD114" s="644"/>
      <c r="CE114" s="644"/>
      <c r="CF114" s="644"/>
      <c r="CG114" s="644"/>
      <c r="CH114" s="644"/>
      <c r="CI114" s="644"/>
      <c r="CJ114" s="301" t="s">
        <v>740</v>
      </c>
      <c r="CK114" s="180"/>
      <c r="CL114" s="136"/>
    </row>
    <row r="115" spans="1:90">
      <c r="A115" s="181" t="s">
        <v>240</v>
      </c>
      <c r="B115" s="182"/>
      <c r="C115" s="183"/>
      <c r="D115" s="314">
        <v>1</v>
      </c>
      <c r="E115" s="184">
        <v>1</v>
      </c>
      <c r="F115" s="184"/>
      <c r="G115" s="184">
        <v>1</v>
      </c>
      <c r="H115" s="182"/>
      <c r="I115" s="182"/>
      <c r="J115" s="182"/>
      <c r="K115" s="182"/>
      <c r="L115" s="182">
        <v>1</v>
      </c>
      <c r="M115" s="182"/>
      <c r="N115" s="182"/>
      <c r="O115" s="182">
        <v>1</v>
      </c>
      <c r="P115" s="182"/>
      <c r="Q115" s="182"/>
      <c r="R115" s="182"/>
      <c r="S115" s="182"/>
      <c r="T115" s="182"/>
      <c r="U115" s="320"/>
      <c r="V115" s="320"/>
      <c r="W115" s="182">
        <v>1</v>
      </c>
      <c r="X115" s="302">
        <v>1</v>
      </c>
      <c r="Y115" s="302">
        <v>1</v>
      </c>
      <c r="Z115" s="182">
        <v>1</v>
      </c>
      <c r="AA115" s="302">
        <v>1</v>
      </c>
      <c r="AB115" s="182"/>
      <c r="AC115" s="182"/>
      <c r="AD115" s="182"/>
      <c r="AE115" s="182"/>
      <c r="AF115" s="182"/>
      <c r="AG115" s="182"/>
      <c r="AH115" s="167">
        <v>10</v>
      </c>
      <c r="AI115" s="336" t="s">
        <v>848</v>
      </c>
      <c r="AJ115" s="186">
        <v>42369</v>
      </c>
      <c r="AK115" s="187"/>
      <c r="AL115" s="187">
        <f t="shared" si="64"/>
        <v>0</v>
      </c>
      <c r="AM115" s="187">
        <f t="shared" si="65"/>
        <v>13</v>
      </c>
      <c r="AN115" s="187">
        <f t="shared" si="66"/>
        <v>8</v>
      </c>
      <c r="AO115" s="187">
        <f t="shared" si="67"/>
        <v>8</v>
      </c>
      <c r="AP115" s="187">
        <f t="shared" si="68"/>
        <v>0</v>
      </c>
      <c r="AQ115" s="187">
        <f t="shared" si="69"/>
        <v>0</v>
      </c>
      <c r="AR115" s="187">
        <f t="shared" si="70"/>
        <v>0</v>
      </c>
      <c r="AS115" s="187">
        <f t="shared" si="71"/>
        <v>19</v>
      </c>
      <c r="AT115" s="187">
        <f t="shared" si="72"/>
        <v>13</v>
      </c>
      <c r="AU115" s="187">
        <f t="shared" si="73"/>
        <v>0</v>
      </c>
      <c r="AV115" s="187">
        <f t="shared" si="74"/>
        <v>0</v>
      </c>
      <c r="AW115" s="187">
        <f t="shared" si="75"/>
        <v>0</v>
      </c>
      <c r="AX115" s="187">
        <f t="shared" si="76"/>
        <v>0</v>
      </c>
      <c r="AY115" s="187">
        <f t="shared" si="77"/>
        <v>0</v>
      </c>
      <c r="AZ115" s="187">
        <f t="shared" si="78"/>
        <v>0</v>
      </c>
      <c r="BA115" s="187">
        <f t="shared" si="79"/>
        <v>16</v>
      </c>
      <c r="BB115" s="187">
        <f t="shared" si="80"/>
        <v>13</v>
      </c>
      <c r="BC115" s="187">
        <f t="shared" si="81"/>
        <v>10</v>
      </c>
      <c r="BD115" s="187">
        <f t="shared" si="82"/>
        <v>2</v>
      </c>
      <c r="BE115" s="187">
        <f t="shared" si="83"/>
        <v>6</v>
      </c>
      <c r="BF115" s="187">
        <f t="shared" si="84"/>
        <v>0</v>
      </c>
      <c r="BG115" s="187">
        <f t="shared" si="85"/>
        <v>0</v>
      </c>
      <c r="BH115" s="187">
        <f t="shared" si="86"/>
        <v>0</v>
      </c>
      <c r="BI115" s="187">
        <f t="shared" si="87"/>
        <v>0</v>
      </c>
      <c r="BJ115" s="273">
        <f t="shared" si="88"/>
        <v>100</v>
      </c>
      <c r="BK115" s="167">
        <f t="shared" ref="BK115" si="105">BJ115</f>
        <v>100</v>
      </c>
      <c r="BL115" s="167"/>
      <c r="BM115" s="644"/>
      <c r="BN115" s="644"/>
      <c r="BO115" s="644"/>
      <c r="BP115" s="644"/>
      <c r="BQ115" s="644"/>
      <c r="BR115" s="644"/>
      <c r="BS115" s="644"/>
      <c r="BT115" s="644"/>
      <c r="BU115" s="644"/>
      <c r="BV115" s="644"/>
      <c r="BW115" s="644"/>
      <c r="BX115" s="644"/>
      <c r="BY115" s="644"/>
      <c r="BZ115" s="644"/>
      <c r="CA115" s="644"/>
      <c r="CB115" s="644"/>
      <c r="CC115" s="644"/>
      <c r="CD115" s="644"/>
      <c r="CE115" s="644"/>
      <c r="CF115" s="644"/>
      <c r="CG115" s="644"/>
      <c r="CH115" s="644"/>
      <c r="CI115" s="644"/>
      <c r="CJ115" s="301" t="s">
        <v>743</v>
      </c>
      <c r="CK115" s="180"/>
      <c r="CL115" s="136"/>
    </row>
    <row r="116" spans="1:90">
      <c r="A116" s="181" t="s">
        <v>241</v>
      </c>
      <c r="B116" s="182"/>
      <c r="C116" s="183"/>
      <c r="D116" s="184">
        <v>1</v>
      </c>
      <c r="E116" s="184">
        <v>1</v>
      </c>
      <c r="F116" s="184"/>
      <c r="G116" s="184">
        <v>1</v>
      </c>
      <c r="H116" s="182"/>
      <c r="I116" s="182"/>
      <c r="J116" s="182"/>
      <c r="K116" s="182"/>
      <c r="L116" s="182">
        <v>1</v>
      </c>
      <c r="M116" s="182"/>
      <c r="N116" s="182"/>
      <c r="O116" s="182">
        <v>1</v>
      </c>
      <c r="P116" s="182"/>
      <c r="Q116" s="182"/>
      <c r="R116" s="182"/>
      <c r="S116" s="182"/>
      <c r="T116" s="182"/>
      <c r="U116" s="182">
        <v>1</v>
      </c>
      <c r="V116" s="182"/>
      <c r="W116" s="182">
        <v>1</v>
      </c>
      <c r="X116" s="302">
        <v>1</v>
      </c>
      <c r="Y116" s="182">
        <v>1</v>
      </c>
      <c r="Z116" s="182"/>
      <c r="AA116" s="182"/>
      <c r="AB116" s="182">
        <v>1</v>
      </c>
      <c r="AC116" s="182"/>
      <c r="AD116" s="182"/>
      <c r="AE116" s="182"/>
      <c r="AF116" s="182"/>
      <c r="AG116" s="182"/>
      <c r="AH116" s="167">
        <v>10</v>
      </c>
      <c r="AI116" s="336" t="s">
        <v>834</v>
      </c>
      <c r="AJ116" s="341">
        <v>42364</v>
      </c>
      <c r="AK116" s="187"/>
      <c r="AL116" s="187">
        <f t="shared" si="64"/>
        <v>0</v>
      </c>
      <c r="AM116" s="187">
        <f t="shared" si="65"/>
        <v>13</v>
      </c>
      <c r="AN116" s="187">
        <f t="shared" si="66"/>
        <v>8</v>
      </c>
      <c r="AO116" s="187">
        <f t="shared" si="67"/>
        <v>8</v>
      </c>
      <c r="AP116" s="187">
        <f t="shared" si="68"/>
        <v>0</v>
      </c>
      <c r="AQ116" s="187">
        <f t="shared" si="69"/>
        <v>0</v>
      </c>
      <c r="AR116" s="187">
        <f t="shared" si="70"/>
        <v>0</v>
      </c>
      <c r="AS116" s="187">
        <f t="shared" si="71"/>
        <v>19</v>
      </c>
      <c r="AT116" s="187">
        <f t="shared" si="72"/>
        <v>13</v>
      </c>
      <c r="AU116" s="187">
        <f t="shared" si="73"/>
        <v>0</v>
      </c>
      <c r="AV116" s="187">
        <f t="shared" si="74"/>
        <v>0</v>
      </c>
      <c r="AW116" s="187">
        <f t="shared" si="75"/>
        <v>0</v>
      </c>
      <c r="AX116" s="187">
        <f t="shared" si="76"/>
        <v>0</v>
      </c>
      <c r="AY116" s="187">
        <f t="shared" si="77"/>
        <v>2</v>
      </c>
      <c r="AZ116" s="187">
        <f t="shared" si="78"/>
        <v>0</v>
      </c>
      <c r="BA116" s="187">
        <f t="shared" si="79"/>
        <v>16</v>
      </c>
      <c r="BB116" s="187">
        <f t="shared" si="80"/>
        <v>13</v>
      </c>
      <c r="BC116" s="187">
        <f t="shared" si="81"/>
        <v>10</v>
      </c>
      <c r="BD116" s="187">
        <f t="shared" si="82"/>
        <v>0</v>
      </c>
      <c r="BE116" s="187">
        <f t="shared" si="83"/>
        <v>0</v>
      </c>
      <c r="BF116" s="187">
        <f t="shared" si="84"/>
        <v>1</v>
      </c>
      <c r="BG116" s="187">
        <f t="shared" si="85"/>
        <v>0</v>
      </c>
      <c r="BH116" s="187">
        <f t="shared" si="86"/>
        <v>0</v>
      </c>
      <c r="BI116" s="187">
        <f t="shared" si="87"/>
        <v>0</v>
      </c>
      <c r="BJ116" s="273">
        <f t="shared" si="88"/>
        <v>100</v>
      </c>
      <c r="BK116" s="167">
        <f t="shared" si="38"/>
        <v>100</v>
      </c>
      <c r="BL116" s="167"/>
      <c r="BM116" s="644"/>
      <c r="BN116" s="644"/>
      <c r="BO116" s="644"/>
      <c r="BP116" s="644"/>
      <c r="BQ116" s="644"/>
      <c r="BR116" s="644"/>
      <c r="BS116" s="644"/>
      <c r="BT116" s="644"/>
      <c r="BU116" s="644"/>
      <c r="BV116" s="644"/>
      <c r="BW116" s="644"/>
      <c r="BX116" s="644"/>
      <c r="BY116" s="644"/>
      <c r="BZ116" s="644"/>
      <c r="CA116" s="644"/>
      <c r="CB116" s="644"/>
      <c r="CC116" s="644"/>
      <c r="CD116" s="644"/>
      <c r="CE116" s="644"/>
      <c r="CF116" s="644"/>
      <c r="CG116" s="644"/>
      <c r="CH116" s="644"/>
      <c r="CI116" s="644"/>
      <c r="CJ116" s="301" t="s">
        <v>814</v>
      </c>
      <c r="CK116" s="180"/>
      <c r="CL116" s="136"/>
    </row>
    <row r="117" spans="1:90">
      <c r="A117" s="181" t="s">
        <v>242</v>
      </c>
      <c r="B117" s="182"/>
      <c r="C117" s="183"/>
      <c r="D117" s="184">
        <v>1</v>
      </c>
      <c r="E117" s="184"/>
      <c r="F117" s="184"/>
      <c r="G117" s="184"/>
      <c r="H117" s="182"/>
      <c r="I117" s="182"/>
      <c r="J117" s="182"/>
      <c r="K117" s="182"/>
      <c r="L117" s="182">
        <v>1</v>
      </c>
      <c r="M117" s="182"/>
      <c r="N117" s="182"/>
      <c r="O117" s="182"/>
      <c r="P117" s="182"/>
      <c r="Q117" s="182"/>
      <c r="R117" s="182"/>
      <c r="S117" s="182">
        <v>1</v>
      </c>
      <c r="T117" s="182"/>
      <c r="U117" s="182"/>
      <c r="V117" s="182">
        <v>1</v>
      </c>
      <c r="W117" s="182">
        <v>1</v>
      </c>
      <c r="X117" s="182">
        <v>1</v>
      </c>
      <c r="Y117" s="182">
        <v>1</v>
      </c>
      <c r="Z117" s="182"/>
      <c r="AA117" s="182"/>
      <c r="AB117" s="182"/>
      <c r="AC117" s="182"/>
      <c r="AD117" s="182"/>
      <c r="AE117" s="182"/>
      <c r="AF117" s="182"/>
      <c r="AG117" s="182"/>
      <c r="AH117" s="167">
        <v>7</v>
      </c>
      <c r="AI117" s="300" t="s">
        <v>849</v>
      </c>
      <c r="AJ117" s="186">
        <v>42356</v>
      </c>
      <c r="AK117" s="187"/>
      <c r="AL117" s="187">
        <f t="shared" si="64"/>
        <v>0</v>
      </c>
      <c r="AM117" s="187">
        <f t="shared" si="65"/>
        <v>13</v>
      </c>
      <c r="AN117" s="187">
        <f t="shared" si="66"/>
        <v>0</v>
      </c>
      <c r="AO117" s="187">
        <f t="shared" si="67"/>
        <v>0</v>
      </c>
      <c r="AP117" s="187">
        <f t="shared" si="68"/>
        <v>0</v>
      </c>
      <c r="AQ117" s="187">
        <f t="shared" si="69"/>
        <v>0</v>
      </c>
      <c r="AR117" s="187">
        <f t="shared" si="70"/>
        <v>0</v>
      </c>
      <c r="AS117" s="187">
        <f t="shared" si="71"/>
        <v>19</v>
      </c>
      <c r="AT117" s="187">
        <f t="shared" si="72"/>
        <v>0</v>
      </c>
      <c r="AU117" s="187">
        <f t="shared" si="73"/>
        <v>0</v>
      </c>
      <c r="AV117" s="187">
        <f t="shared" si="74"/>
        <v>0</v>
      </c>
      <c r="AW117" s="187">
        <f t="shared" si="75"/>
        <v>8</v>
      </c>
      <c r="AX117" s="187">
        <f t="shared" si="76"/>
        <v>0</v>
      </c>
      <c r="AY117" s="187">
        <f t="shared" si="77"/>
        <v>0</v>
      </c>
      <c r="AZ117" s="187">
        <f t="shared" si="78"/>
        <v>8</v>
      </c>
      <c r="BA117" s="187">
        <f t="shared" si="79"/>
        <v>16</v>
      </c>
      <c r="BB117" s="187">
        <f t="shared" si="80"/>
        <v>13</v>
      </c>
      <c r="BC117" s="187">
        <f t="shared" si="81"/>
        <v>10</v>
      </c>
      <c r="BD117" s="187">
        <f t="shared" si="82"/>
        <v>0</v>
      </c>
      <c r="BE117" s="187">
        <f t="shared" si="83"/>
        <v>0</v>
      </c>
      <c r="BF117" s="187">
        <f t="shared" si="84"/>
        <v>0</v>
      </c>
      <c r="BG117" s="187">
        <f t="shared" si="85"/>
        <v>0</v>
      </c>
      <c r="BH117" s="187">
        <f t="shared" si="86"/>
        <v>0</v>
      </c>
      <c r="BI117" s="187">
        <f t="shared" si="87"/>
        <v>0</v>
      </c>
      <c r="BJ117" s="273">
        <f t="shared" si="88"/>
        <v>87</v>
      </c>
      <c r="BK117" s="167">
        <f t="shared" si="38"/>
        <v>87</v>
      </c>
      <c r="BL117" s="167"/>
      <c r="BM117" s="644"/>
      <c r="BN117" s="644"/>
      <c r="BO117" s="644"/>
      <c r="BP117" s="644"/>
      <c r="BQ117" s="644"/>
      <c r="BR117" s="644"/>
      <c r="BS117" s="644"/>
      <c r="BT117" s="644"/>
      <c r="BU117" s="644"/>
      <c r="BV117" s="644"/>
      <c r="BW117" s="644"/>
      <c r="BX117" s="644"/>
      <c r="BY117" s="644"/>
      <c r="BZ117" s="644"/>
      <c r="CA117" s="644"/>
      <c r="CB117" s="644"/>
      <c r="CC117" s="644"/>
      <c r="CD117" s="644"/>
      <c r="CE117" s="644"/>
      <c r="CF117" s="644"/>
      <c r="CG117" s="644"/>
      <c r="CH117" s="644"/>
      <c r="CI117" s="644"/>
      <c r="CJ117" s="301" t="s">
        <v>740</v>
      </c>
      <c r="CK117" s="180"/>
      <c r="CL117" s="136"/>
    </row>
    <row r="118" spans="1:90">
      <c r="A118" s="181" t="s">
        <v>850</v>
      </c>
      <c r="B118" s="182"/>
      <c r="C118" s="183"/>
      <c r="D118" s="184"/>
      <c r="E118" s="184"/>
      <c r="F118" s="184"/>
      <c r="G118" s="184"/>
      <c r="H118" s="182"/>
      <c r="I118" s="182"/>
      <c r="J118" s="182"/>
      <c r="K118" s="182"/>
      <c r="L118" s="182">
        <v>1</v>
      </c>
      <c r="M118" s="182"/>
      <c r="N118" s="182"/>
      <c r="O118" s="182"/>
      <c r="P118" s="182"/>
      <c r="Q118" s="182"/>
      <c r="R118" s="182"/>
      <c r="S118" s="182">
        <v>1</v>
      </c>
      <c r="T118" s="182"/>
      <c r="U118" s="182"/>
      <c r="V118" s="182"/>
      <c r="W118" s="182">
        <v>1</v>
      </c>
      <c r="X118" s="182">
        <v>1</v>
      </c>
      <c r="Y118" s="182"/>
      <c r="Z118" s="182"/>
      <c r="AA118" s="182"/>
      <c r="AB118" s="182"/>
      <c r="AC118" s="182"/>
      <c r="AD118" s="302">
        <v>1</v>
      </c>
      <c r="AE118" s="182">
        <v>1</v>
      </c>
      <c r="AF118" s="182"/>
      <c r="AG118" s="182"/>
      <c r="AH118" s="167">
        <v>6</v>
      </c>
      <c r="AI118" s="328" t="s">
        <v>113</v>
      </c>
      <c r="AJ118" s="186">
        <v>42349</v>
      </c>
      <c r="AK118" s="187"/>
      <c r="AL118" s="187">
        <f t="shared" si="64"/>
        <v>0</v>
      </c>
      <c r="AM118" s="187">
        <f t="shared" si="65"/>
        <v>0</v>
      </c>
      <c r="AN118" s="187">
        <f t="shared" si="66"/>
        <v>0</v>
      </c>
      <c r="AO118" s="187">
        <f t="shared" si="67"/>
        <v>0</v>
      </c>
      <c r="AP118" s="187">
        <f t="shared" si="68"/>
        <v>0</v>
      </c>
      <c r="AQ118" s="187">
        <f t="shared" si="69"/>
        <v>0</v>
      </c>
      <c r="AR118" s="187">
        <f t="shared" si="70"/>
        <v>0</v>
      </c>
      <c r="AS118" s="187">
        <f t="shared" si="71"/>
        <v>19</v>
      </c>
      <c r="AT118" s="187">
        <f t="shared" si="72"/>
        <v>0</v>
      </c>
      <c r="AU118" s="187">
        <f t="shared" si="73"/>
        <v>0</v>
      </c>
      <c r="AV118" s="187">
        <f t="shared" si="74"/>
        <v>0</v>
      </c>
      <c r="AW118" s="187">
        <f t="shared" si="75"/>
        <v>8</v>
      </c>
      <c r="AX118" s="187">
        <f t="shared" si="76"/>
        <v>0</v>
      </c>
      <c r="AY118" s="187">
        <f t="shared" si="77"/>
        <v>0</v>
      </c>
      <c r="AZ118" s="187">
        <f t="shared" si="78"/>
        <v>0</v>
      </c>
      <c r="BA118" s="187">
        <f t="shared" si="79"/>
        <v>16</v>
      </c>
      <c r="BB118" s="187">
        <f t="shared" si="80"/>
        <v>13</v>
      </c>
      <c r="BC118" s="187">
        <f t="shared" si="81"/>
        <v>0</v>
      </c>
      <c r="BD118" s="187">
        <f t="shared" si="82"/>
        <v>0</v>
      </c>
      <c r="BE118" s="187">
        <f t="shared" si="83"/>
        <v>0</v>
      </c>
      <c r="BF118" s="187">
        <f t="shared" si="84"/>
        <v>0</v>
      </c>
      <c r="BG118" s="187">
        <f t="shared" si="85"/>
        <v>8</v>
      </c>
      <c r="BH118" s="187">
        <f t="shared" si="86"/>
        <v>2</v>
      </c>
      <c r="BI118" s="187">
        <f t="shared" si="87"/>
        <v>0</v>
      </c>
      <c r="BJ118" s="273">
        <f t="shared" si="88"/>
        <v>66</v>
      </c>
      <c r="BK118" s="167">
        <f t="shared" si="38"/>
        <v>66</v>
      </c>
      <c r="BL118" s="167"/>
      <c r="BM118" s="644"/>
      <c r="BN118" s="644"/>
      <c r="BO118" s="644"/>
      <c r="BP118" s="644"/>
      <c r="BQ118" s="644"/>
      <c r="BR118" s="644"/>
      <c r="BS118" s="644"/>
      <c r="BT118" s="644"/>
      <c r="BU118" s="644"/>
      <c r="BV118" s="644"/>
      <c r="BW118" s="644"/>
      <c r="BX118" s="644"/>
      <c r="BY118" s="644"/>
      <c r="BZ118" s="644"/>
      <c r="CA118" s="644"/>
      <c r="CB118" s="644"/>
      <c r="CC118" s="644"/>
      <c r="CD118" s="644"/>
      <c r="CE118" s="644"/>
      <c r="CF118" s="644"/>
      <c r="CG118" s="644"/>
      <c r="CH118" s="644"/>
      <c r="CI118" s="644"/>
      <c r="CJ118" s="301" t="s">
        <v>756</v>
      </c>
      <c r="CK118" s="180"/>
      <c r="CL118" s="136"/>
    </row>
    <row r="119" spans="1:90">
      <c r="A119" s="181" t="s">
        <v>243</v>
      </c>
      <c r="B119" s="182"/>
      <c r="C119" s="183"/>
      <c r="D119" s="184"/>
      <c r="E119" s="184">
        <v>1</v>
      </c>
      <c r="F119" s="184"/>
      <c r="G119" s="184">
        <v>1</v>
      </c>
      <c r="H119" s="182"/>
      <c r="I119" s="182"/>
      <c r="J119" s="182"/>
      <c r="K119" s="182"/>
      <c r="L119" s="182">
        <v>1</v>
      </c>
      <c r="M119" s="182"/>
      <c r="N119" s="182"/>
      <c r="O119" s="182">
        <v>1</v>
      </c>
      <c r="P119" s="182"/>
      <c r="Q119" s="182"/>
      <c r="R119" s="182"/>
      <c r="S119" s="302">
        <v>1</v>
      </c>
      <c r="T119" s="182"/>
      <c r="U119" s="182">
        <v>1</v>
      </c>
      <c r="V119" s="182"/>
      <c r="W119" s="182">
        <v>1</v>
      </c>
      <c r="X119" s="182"/>
      <c r="Y119" s="182">
        <v>1</v>
      </c>
      <c r="Z119" s="182"/>
      <c r="AA119" s="182"/>
      <c r="AB119" s="182">
        <v>1</v>
      </c>
      <c r="AC119" s="182"/>
      <c r="AD119" s="182"/>
      <c r="AE119" s="182"/>
      <c r="AF119" s="182"/>
      <c r="AG119" s="182"/>
      <c r="AH119" s="167">
        <v>9</v>
      </c>
      <c r="AI119" s="328" t="s">
        <v>851</v>
      </c>
      <c r="AJ119" s="186">
        <v>42374</v>
      </c>
      <c r="AK119" s="187"/>
      <c r="AL119" s="187">
        <f t="shared" si="64"/>
        <v>0</v>
      </c>
      <c r="AM119" s="187">
        <f t="shared" si="65"/>
        <v>0</v>
      </c>
      <c r="AN119" s="187">
        <f t="shared" si="66"/>
        <v>8</v>
      </c>
      <c r="AO119" s="187">
        <f t="shared" si="67"/>
        <v>8</v>
      </c>
      <c r="AP119" s="187">
        <f t="shared" si="68"/>
        <v>0</v>
      </c>
      <c r="AQ119" s="187">
        <f t="shared" si="69"/>
        <v>0</v>
      </c>
      <c r="AR119" s="187">
        <f t="shared" si="70"/>
        <v>0</v>
      </c>
      <c r="AS119" s="187">
        <f t="shared" si="71"/>
        <v>19</v>
      </c>
      <c r="AT119" s="187">
        <f t="shared" si="72"/>
        <v>13</v>
      </c>
      <c r="AU119" s="187">
        <f t="shared" si="73"/>
        <v>0</v>
      </c>
      <c r="AV119" s="187">
        <f t="shared" si="74"/>
        <v>0</v>
      </c>
      <c r="AW119" s="187">
        <f t="shared" si="75"/>
        <v>8</v>
      </c>
      <c r="AX119" s="187">
        <f t="shared" si="76"/>
        <v>0</v>
      </c>
      <c r="AY119" s="187">
        <f t="shared" si="77"/>
        <v>2</v>
      </c>
      <c r="AZ119" s="187">
        <f t="shared" si="78"/>
        <v>0</v>
      </c>
      <c r="BA119" s="187">
        <f t="shared" si="79"/>
        <v>16</v>
      </c>
      <c r="BB119" s="187">
        <f t="shared" si="80"/>
        <v>0</v>
      </c>
      <c r="BC119" s="187">
        <f t="shared" si="81"/>
        <v>10</v>
      </c>
      <c r="BD119" s="187">
        <f t="shared" si="82"/>
        <v>0</v>
      </c>
      <c r="BE119" s="187">
        <f t="shared" si="83"/>
        <v>0</v>
      </c>
      <c r="BF119" s="187">
        <f t="shared" si="84"/>
        <v>1</v>
      </c>
      <c r="BG119" s="187">
        <f t="shared" si="85"/>
        <v>0</v>
      </c>
      <c r="BH119" s="187">
        <f t="shared" si="86"/>
        <v>0</v>
      </c>
      <c r="BI119" s="187">
        <f t="shared" si="87"/>
        <v>0</v>
      </c>
      <c r="BJ119" s="273">
        <f t="shared" si="88"/>
        <v>84</v>
      </c>
      <c r="BK119" s="167">
        <f t="shared" ref="BK119" si="106">BJ119</f>
        <v>84</v>
      </c>
      <c r="BL119" s="167"/>
      <c r="BM119" s="644"/>
      <c r="BN119" s="644"/>
      <c r="BO119" s="644"/>
      <c r="BP119" s="644"/>
      <c r="BQ119" s="644"/>
      <c r="BR119" s="644"/>
      <c r="BS119" s="644"/>
      <c r="BT119" s="644"/>
      <c r="BU119" s="644"/>
      <c r="BV119" s="644"/>
      <c r="BW119" s="644"/>
      <c r="BX119" s="644"/>
      <c r="BY119" s="644"/>
      <c r="BZ119" s="644"/>
      <c r="CA119" s="644"/>
      <c r="CB119" s="644"/>
      <c r="CC119" s="644"/>
      <c r="CD119" s="644"/>
      <c r="CE119" s="644"/>
      <c r="CF119" s="644"/>
      <c r="CG119" s="644"/>
      <c r="CH119" s="644"/>
      <c r="CI119" s="644"/>
      <c r="CJ119" s="301" t="s">
        <v>752</v>
      </c>
      <c r="CK119" s="180"/>
      <c r="CL119" s="136"/>
    </row>
    <row r="120" spans="1:90">
      <c r="A120" s="181" t="s">
        <v>247</v>
      </c>
      <c r="B120" s="182"/>
      <c r="C120" s="183"/>
      <c r="D120" s="184">
        <v>1</v>
      </c>
      <c r="E120" s="320"/>
      <c r="F120" s="320"/>
      <c r="G120" s="320"/>
      <c r="H120" s="182"/>
      <c r="I120" s="182"/>
      <c r="J120" s="182"/>
      <c r="K120" s="182"/>
      <c r="L120" s="182">
        <v>1</v>
      </c>
      <c r="M120" s="182"/>
      <c r="N120" s="182"/>
      <c r="O120" s="182">
        <v>1</v>
      </c>
      <c r="P120" s="182"/>
      <c r="Q120" s="182"/>
      <c r="R120" s="182"/>
      <c r="S120" s="302">
        <v>1</v>
      </c>
      <c r="T120" s="182"/>
      <c r="U120" s="182"/>
      <c r="V120" s="182">
        <v>1</v>
      </c>
      <c r="W120" s="302">
        <v>1</v>
      </c>
      <c r="X120" s="302">
        <v>1</v>
      </c>
      <c r="Y120" s="182">
        <v>1</v>
      </c>
      <c r="Z120" s="182"/>
      <c r="AA120" s="182"/>
      <c r="AB120" s="182"/>
      <c r="AC120" s="182"/>
      <c r="AD120" s="182">
        <v>1</v>
      </c>
      <c r="AE120" s="182">
        <v>1</v>
      </c>
      <c r="AF120" s="182"/>
      <c r="AG120" s="182"/>
      <c r="AH120" s="167">
        <v>10</v>
      </c>
      <c r="AI120" s="300" t="s">
        <v>852</v>
      </c>
      <c r="AJ120" s="186">
        <v>42356</v>
      </c>
      <c r="AK120" s="187"/>
      <c r="AL120" s="187">
        <f t="shared" si="64"/>
        <v>0</v>
      </c>
      <c r="AM120" s="187">
        <f t="shared" si="65"/>
        <v>13</v>
      </c>
      <c r="AN120" s="187">
        <f t="shared" si="66"/>
        <v>0</v>
      </c>
      <c r="AO120" s="187">
        <f t="shared" si="67"/>
        <v>0</v>
      </c>
      <c r="AP120" s="187">
        <f t="shared" si="68"/>
        <v>0</v>
      </c>
      <c r="AQ120" s="187">
        <f t="shared" si="69"/>
        <v>0</v>
      </c>
      <c r="AR120" s="187">
        <f t="shared" si="70"/>
        <v>0</v>
      </c>
      <c r="AS120" s="187">
        <f t="shared" si="71"/>
        <v>19</v>
      </c>
      <c r="AT120" s="187">
        <f t="shared" si="72"/>
        <v>13</v>
      </c>
      <c r="AU120" s="187">
        <f t="shared" si="73"/>
        <v>0</v>
      </c>
      <c r="AV120" s="187">
        <f t="shared" si="74"/>
        <v>0</v>
      </c>
      <c r="AW120" s="187">
        <f t="shared" si="75"/>
        <v>8</v>
      </c>
      <c r="AX120" s="187">
        <f t="shared" si="76"/>
        <v>0</v>
      </c>
      <c r="AY120" s="187">
        <f t="shared" si="77"/>
        <v>0</v>
      </c>
      <c r="AZ120" s="187">
        <f t="shared" si="78"/>
        <v>8</v>
      </c>
      <c r="BA120" s="187">
        <f t="shared" si="79"/>
        <v>16</v>
      </c>
      <c r="BB120" s="187">
        <f t="shared" si="80"/>
        <v>13</v>
      </c>
      <c r="BC120" s="187">
        <f t="shared" si="81"/>
        <v>10</v>
      </c>
      <c r="BD120" s="187">
        <f t="shared" si="82"/>
        <v>0</v>
      </c>
      <c r="BE120" s="187">
        <f t="shared" si="83"/>
        <v>0</v>
      </c>
      <c r="BF120" s="187">
        <f t="shared" si="84"/>
        <v>0</v>
      </c>
      <c r="BG120" s="187">
        <f t="shared" si="85"/>
        <v>8</v>
      </c>
      <c r="BH120" s="187">
        <f t="shared" si="86"/>
        <v>2</v>
      </c>
      <c r="BI120" s="187">
        <f t="shared" si="87"/>
        <v>0</v>
      </c>
      <c r="BJ120" s="273">
        <f t="shared" si="88"/>
        <v>100</v>
      </c>
      <c r="BK120" s="167">
        <f t="shared" si="38"/>
        <v>100</v>
      </c>
      <c r="BL120" s="167"/>
      <c r="BM120" s="644"/>
      <c r="BN120" s="644"/>
      <c r="BO120" s="644"/>
      <c r="BP120" s="644"/>
      <c r="BQ120" s="644"/>
      <c r="BR120" s="644"/>
      <c r="BS120" s="644"/>
      <c r="BT120" s="644"/>
      <c r="BU120" s="644"/>
      <c r="BV120" s="644"/>
      <c r="BW120" s="644"/>
      <c r="BX120" s="644"/>
      <c r="BY120" s="644"/>
      <c r="BZ120" s="644"/>
      <c r="CA120" s="644"/>
      <c r="CB120" s="644"/>
      <c r="CC120" s="644"/>
      <c r="CD120" s="644"/>
      <c r="CE120" s="644"/>
      <c r="CF120" s="644"/>
      <c r="CG120" s="644"/>
      <c r="CH120" s="644"/>
      <c r="CI120" s="644"/>
      <c r="CJ120" s="301" t="s">
        <v>853</v>
      </c>
      <c r="CK120" s="180"/>
      <c r="CL120" s="136"/>
    </row>
    <row r="121" spans="1:90">
      <c r="A121" s="181" t="s">
        <v>250</v>
      </c>
      <c r="B121" s="182"/>
      <c r="C121" s="183"/>
      <c r="D121" s="184">
        <v>1</v>
      </c>
      <c r="E121" s="182">
        <v>1</v>
      </c>
      <c r="F121" s="182"/>
      <c r="G121" s="182">
        <v>1</v>
      </c>
      <c r="H121" s="182"/>
      <c r="I121" s="182"/>
      <c r="J121" s="182"/>
      <c r="K121" s="182"/>
      <c r="L121" s="182">
        <v>1</v>
      </c>
      <c r="M121" s="182"/>
      <c r="N121" s="182"/>
      <c r="O121" s="182">
        <v>1</v>
      </c>
      <c r="P121" s="182"/>
      <c r="Q121" s="182"/>
      <c r="R121" s="182"/>
      <c r="S121" s="182"/>
      <c r="T121" s="182"/>
      <c r="U121" s="182"/>
      <c r="V121" s="302">
        <v>1</v>
      </c>
      <c r="W121" s="182">
        <v>1</v>
      </c>
      <c r="X121" s="182">
        <v>1</v>
      </c>
      <c r="Y121" s="182">
        <v>1</v>
      </c>
      <c r="Z121" s="182"/>
      <c r="AA121" s="182"/>
      <c r="AB121" s="182"/>
      <c r="AC121" s="182"/>
      <c r="AD121" s="302">
        <v>1</v>
      </c>
      <c r="AE121" s="182"/>
      <c r="AF121" s="182"/>
      <c r="AG121" s="182"/>
      <c r="AH121" s="167">
        <v>10</v>
      </c>
      <c r="AI121" s="353" t="s">
        <v>854</v>
      </c>
      <c r="AJ121" s="186">
        <v>42366</v>
      </c>
      <c r="AK121" s="187"/>
      <c r="AL121" s="187">
        <f t="shared" si="64"/>
        <v>0</v>
      </c>
      <c r="AM121" s="187">
        <f t="shared" si="65"/>
        <v>13</v>
      </c>
      <c r="AN121" s="187">
        <f t="shared" si="66"/>
        <v>8</v>
      </c>
      <c r="AO121" s="187">
        <f t="shared" si="67"/>
        <v>8</v>
      </c>
      <c r="AP121" s="187">
        <f t="shared" si="68"/>
        <v>0</v>
      </c>
      <c r="AQ121" s="187">
        <f t="shared" si="69"/>
        <v>0</v>
      </c>
      <c r="AR121" s="187">
        <f t="shared" si="70"/>
        <v>0</v>
      </c>
      <c r="AS121" s="187">
        <f t="shared" si="71"/>
        <v>19</v>
      </c>
      <c r="AT121" s="187">
        <f t="shared" si="72"/>
        <v>13</v>
      </c>
      <c r="AU121" s="187">
        <f t="shared" si="73"/>
        <v>0</v>
      </c>
      <c r="AV121" s="187">
        <f t="shared" si="74"/>
        <v>0</v>
      </c>
      <c r="AW121" s="187">
        <f t="shared" si="75"/>
        <v>0</v>
      </c>
      <c r="AX121" s="187">
        <f t="shared" si="76"/>
        <v>0</v>
      </c>
      <c r="AY121" s="187">
        <f t="shared" si="77"/>
        <v>0</v>
      </c>
      <c r="AZ121" s="187">
        <f t="shared" si="78"/>
        <v>8</v>
      </c>
      <c r="BA121" s="187">
        <f t="shared" si="79"/>
        <v>16</v>
      </c>
      <c r="BB121" s="187">
        <f t="shared" si="80"/>
        <v>13</v>
      </c>
      <c r="BC121" s="187">
        <f t="shared" si="81"/>
        <v>10</v>
      </c>
      <c r="BD121" s="187">
        <f t="shared" si="82"/>
        <v>0</v>
      </c>
      <c r="BE121" s="187">
        <f t="shared" si="83"/>
        <v>0</v>
      </c>
      <c r="BF121" s="187">
        <f t="shared" si="84"/>
        <v>0</v>
      </c>
      <c r="BG121" s="187">
        <f t="shared" si="85"/>
        <v>8</v>
      </c>
      <c r="BH121" s="187">
        <f t="shared" si="86"/>
        <v>0</v>
      </c>
      <c r="BI121" s="187">
        <f t="shared" si="87"/>
        <v>0</v>
      </c>
      <c r="BJ121" s="273">
        <f t="shared" si="88"/>
        <v>100</v>
      </c>
      <c r="BK121" s="167">
        <f t="shared" si="38"/>
        <v>100</v>
      </c>
      <c r="BL121" s="167"/>
      <c r="BM121" s="644"/>
      <c r="BN121" s="644"/>
      <c r="BO121" s="644"/>
      <c r="BP121" s="644"/>
      <c r="BQ121" s="644"/>
      <c r="BR121" s="644"/>
      <c r="BS121" s="644"/>
      <c r="BT121" s="644"/>
      <c r="BU121" s="644"/>
      <c r="BV121" s="644"/>
      <c r="BW121" s="644"/>
      <c r="BX121" s="644"/>
      <c r="BY121" s="644"/>
      <c r="BZ121" s="644"/>
      <c r="CA121" s="644"/>
      <c r="CB121" s="644"/>
      <c r="CC121" s="644"/>
      <c r="CD121" s="644"/>
      <c r="CE121" s="644"/>
      <c r="CF121" s="644"/>
      <c r="CG121" s="644"/>
      <c r="CH121" s="644"/>
      <c r="CI121" s="644"/>
      <c r="CJ121" s="301" t="s">
        <v>752</v>
      </c>
      <c r="CK121" s="180"/>
      <c r="CL121" s="136"/>
    </row>
    <row r="122" spans="1:90">
      <c r="A122" s="181" t="s">
        <v>591</v>
      </c>
      <c r="B122" s="182"/>
      <c r="C122" s="183"/>
      <c r="D122" s="184"/>
      <c r="E122" s="184"/>
      <c r="F122" s="184"/>
      <c r="G122" s="184"/>
      <c r="H122" s="182"/>
      <c r="I122" s="182"/>
      <c r="J122" s="182"/>
      <c r="K122" s="182"/>
      <c r="L122" s="182">
        <v>1</v>
      </c>
      <c r="M122" s="182"/>
      <c r="N122" s="182"/>
      <c r="O122" s="182">
        <v>1</v>
      </c>
      <c r="P122" s="182"/>
      <c r="Q122" s="182">
        <v>1</v>
      </c>
      <c r="R122" s="182"/>
      <c r="S122" s="182"/>
      <c r="T122" s="302">
        <v>1</v>
      </c>
      <c r="U122" s="182"/>
      <c r="V122" s="182">
        <v>1</v>
      </c>
      <c r="W122" s="182"/>
      <c r="X122" s="182">
        <v>1</v>
      </c>
      <c r="Y122" s="182">
        <v>1</v>
      </c>
      <c r="Z122" s="320"/>
      <c r="AA122" s="182"/>
      <c r="AB122" s="182"/>
      <c r="AC122" s="182"/>
      <c r="AD122" s="182">
        <v>1</v>
      </c>
      <c r="AE122" s="182"/>
      <c r="AF122" s="182"/>
      <c r="AG122" s="182"/>
      <c r="AH122" s="167">
        <v>7</v>
      </c>
      <c r="AI122" s="334" t="s">
        <v>855</v>
      </c>
      <c r="AJ122" s="186">
        <v>42354</v>
      </c>
      <c r="AK122" s="187"/>
      <c r="AL122" s="187">
        <f t="shared" si="64"/>
        <v>0</v>
      </c>
      <c r="AM122" s="187">
        <f t="shared" si="65"/>
        <v>0</v>
      </c>
      <c r="AN122" s="187">
        <f t="shared" si="66"/>
        <v>0</v>
      </c>
      <c r="AO122" s="187">
        <f t="shared" si="67"/>
        <v>0</v>
      </c>
      <c r="AP122" s="187">
        <f t="shared" si="68"/>
        <v>0</v>
      </c>
      <c r="AQ122" s="187">
        <f t="shared" si="69"/>
        <v>0</v>
      </c>
      <c r="AR122" s="187">
        <f t="shared" si="70"/>
        <v>0</v>
      </c>
      <c r="AS122" s="187">
        <f t="shared" si="71"/>
        <v>19</v>
      </c>
      <c r="AT122" s="187">
        <f t="shared" si="72"/>
        <v>13</v>
      </c>
      <c r="AU122" s="187">
        <f t="shared" si="73"/>
        <v>0</v>
      </c>
      <c r="AV122" s="187">
        <f t="shared" si="74"/>
        <v>3</v>
      </c>
      <c r="AW122" s="187">
        <f t="shared" si="75"/>
        <v>0</v>
      </c>
      <c r="AX122" s="187">
        <f t="shared" si="76"/>
        <v>4</v>
      </c>
      <c r="AY122" s="187">
        <f t="shared" si="77"/>
        <v>0</v>
      </c>
      <c r="AZ122" s="187">
        <f t="shared" si="78"/>
        <v>8</v>
      </c>
      <c r="BA122" s="187">
        <f t="shared" si="79"/>
        <v>0</v>
      </c>
      <c r="BB122" s="187">
        <f t="shared" si="80"/>
        <v>13</v>
      </c>
      <c r="BC122" s="187">
        <f t="shared" si="81"/>
        <v>10</v>
      </c>
      <c r="BD122" s="187">
        <f t="shared" si="82"/>
        <v>0</v>
      </c>
      <c r="BE122" s="187">
        <f t="shared" si="83"/>
        <v>0</v>
      </c>
      <c r="BF122" s="187">
        <f t="shared" si="84"/>
        <v>0</v>
      </c>
      <c r="BG122" s="187">
        <f t="shared" si="85"/>
        <v>8</v>
      </c>
      <c r="BH122" s="187">
        <f t="shared" si="86"/>
        <v>0</v>
      </c>
      <c r="BI122" s="187">
        <f t="shared" si="87"/>
        <v>0</v>
      </c>
      <c r="BJ122" s="273">
        <f t="shared" si="88"/>
        <v>78</v>
      </c>
      <c r="BK122" s="167">
        <f t="shared" si="38"/>
        <v>78</v>
      </c>
      <c r="BL122" s="167"/>
      <c r="BM122" s="644"/>
      <c r="BN122" s="644"/>
      <c r="BO122" s="644"/>
      <c r="BP122" s="644"/>
      <c r="BQ122" s="644"/>
      <c r="BR122" s="644"/>
      <c r="BS122" s="644"/>
      <c r="BT122" s="644"/>
      <c r="BU122" s="644"/>
      <c r="BV122" s="644"/>
      <c r="BW122" s="644"/>
      <c r="BX122" s="644"/>
      <c r="BY122" s="644"/>
      <c r="BZ122" s="644"/>
      <c r="CA122" s="644"/>
      <c r="CB122" s="644"/>
      <c r="CC122" s="644"/>
      <c r="CD122" s="644"/>
      <c r="CE122" s="644"/>
      <c r="CF122" s="644"/>
      <c r="CG122" s="644"/>
      <c r="CH122" s="644"/>
      <c r="CI122" s="644"/>
      <c r="CJ122" s="301" t="s">
        <v>805</v>
      </c>
      <c r="CK122" s="180"/>
      <c r="CL122" s="136"/>
    </row>
    <row r="123" spans="1:90" s="344" customFormat="1">
      <c r="A123" s="335" t="s">
        <v>251</v>
      </c>
      <c r="B123" s="182"/>
      <c r="C123" s="183"/>
      <c r="D123" s="184"/>
      <c r="E123" s="184"/>
      <c r="F123" s="184"/>
      <c r="G123" s="184"/>
      <c r="H123" s="182"/>
      <c r="I123" s="182"/>
      <c r="J123" s="182"/>
      <c r="K123" s="182"/>
      <c r="L123" s="182">
        <v>1</v>
      </c>
      <c r="M123" s="182"/>
      <c r="N123" s="182"/>
      <c r="O123" s="182">
        <v>1</v>
      </c>
      <c r="P123" s="182"/>
      <c r="Q123" s="302">
        <v>1</v>
      </c>
      <c r="R123" s="182"/>
      <c r="S123" s="182">
        <v>1</v>
      </c>
      <c r="T123" s="302">
        <v>1</v>
      </c>
      <c r="U123" s="182"/>
      <c r="V123" s="182">
        <v>1</v>
      </c>
      <c r="W123" s="182">
        <v>1</v>
      </c>
      <c r="X123" s="182">
        <v>1</v>
      </c>
      <c r="Y123" s="182"/>
      <c r="Z123" s="182">
        <v>1</v>
      </c>
      <c r="AA123" s="182"/>
      <c r="AB123" s="182"/>
      <c r="AC123" s="182"/>
      <c r="AD123" s="182"/>
      <c r="AE123" s="182">
        <v>1</v>
      </c>
      <c r="AF123" s="182"/>
      <c r="AG123" s="182"/>
      <c r="AH123" s="339">
        <v>10</v>
      </c>
      <c r="AI123" s="300" t="s">
        <v>856</v>
      </c>
      <c r="AJ123" s="341">
        <v>42375</v>
      </c>
      <c r="AK123" s="187"/>
      <c r="AL123" s="187">
        <f t="shared" si="64"/>
        <v>0</v>
      </c>
      <c r="AM123" s="187">
        <f t="shared" si="65"/>
        <v>0</v>
      </c>
      <c r="AN123" s="187">
        <f t="shared" si="66"/>
        <v>0</v>
      </c>
      <c r="AO123" s="187">
        <f t="shared" si="67"/>
        <v>0</v>
      </c>
      <c r="AP123" s="187">
        <f t="shared" si="68"/>
        <v>0</v>
      </c>
      <c r="AQ123" s="187">
        <f t="shared" si="69"/>
        <v>0</v>
      </c>
      <c r="AR123" s="187">
        <f t="shared" si="70"/>
        <v>0</v>
      </c>
      <c r="AS123" s="187">
        <f t="shared" si="71"/>
        <v>19</v>
      </c>
      <c r="AT123" s="187">
        <f t="shared" si="72"/>
        <v>13</v>
      </c>
      <c r="AU123" s="187">
        <f t="shared" si="73"/>
        <v>0</v>
      </c>
      <c r="AV123" s="187">
        <f t="shared" si="74"/>
        <v>3</v>
      </c>
      <c r="AW123" s="187">
        <f t="shared" si="75"/>
        <v>8</v>
      </c>
      <c r="AX123" s="187">
        <f t="shared" si="76"/>
        <v>4</v>
      </c>
      <c r="AY123" s="187">
        <f t="shared" si="77"/>
        <v>0</v>
      </c>
      <c r="AZ123" s="187">
        <f t="shared" si="78"/>
        <v>8</v>
      </c>
      <c r="BA123" s="187">
        <f t="shared" si="79"/>
        <v>16</v>
      </c>
      <c r="BB123" s="187">
        <f t="shared" si="80"/>
        <v>13</v>
      </c>
      <c r="BC123" s="187">
        <f t="shared" si="81"/>
        <v>0</v>
      </c>
      <c r="BD123" s="187">
        <f t="shared" si="82"/>
        <v>2</v>
      </c>
      <c r="BE123" s="187">
        <f t="shared" si="83"/>
        <v>0</v>
      </c>
      <c r="BF123" s="187">
        <f t="shared" si="84"/>
        <v>0</v>
      </c>
      <c r="BG123" s="187">
        <f t="shared" si="85"/>
        <v>0</v>
      </c>
      <c r="BH123" s="187">
        <f t="shared" si="86"/>
        <v>2</v>
      </c>
      <c r="BI123" s="187">
        <f t="shared" si="87"/>
        <v>0</v>
      </c>
      <c r="BJ123" s="273">
        <f t="shared" si="88"/>
        <v>84</v>
      </c>
      <c r="BK123" s="167">
        <f t="shared" ref="BK123:BK124" si="107">BJ123</f>
        <v>84</v>
      </c>
      <c r="BL123" s="167"/>
      <c r="BM123" s="644"/>
      <c r="BN123" s="644"/>
      <c r="BO123" s="644"/>
      <c r="BP123" s="644"/>
      <c r="BQ123" s="644"/>
      <c r="BR123" s="644"/>
      <c r="BS123" s="644"/>
      <c r="BT123" s="644"/>
      <c r="BU123" s="644"/>
      <c r="BV123" s="644"/>
      <c r="BW123" s="644"/>
      <c r="BX123" s="644"/>
      <c r="BY123" s="644"/>
      <c r="BZ123" s="644"/>
      <c r="CA123" s="644"/>
      <c r="CB123" s="644"/>
      <c r="CC123" s="644"/>
      <c r="CD123" s="644"/>
      <c r="CE123" s="644"/>
      <c r="CF123" s="644"/>
      <c r="CG123" s="644"/>
      <c r="CH123" s="644"/>
      <c r="CI123" s="644"/>
      <c r="CJ123" s="301" t="s">
        <v>756</v>
      </c>
      <c r="CK123" s="342"/>
      <c r="CL123" s="343"/>
    </row>
    <row r="124" spans="1:90" s="344" customFormat="1">
      <c r="A124" s="335" t="s">
        <v>253</v>
      </c>
      <c r="B124" s="182"/>
      <c r="C124" s="183"/>
      <c r="D124" s="184"/>
      <c r="E124" s="184">
        <v>1</v>
      </c>
      <c r="F124" s="184"/>
      <c r="G124" s="184">
        <v>1</v>
      </c>
      <c r="H124" s="182"/>
      <c r="I124" s="182"/>
      <c r="J124" s="182"/>
      <c r="K124" s="182"/>
      <c r="L124" s="182">
        <v>1</v>
      </c>
      <c r="M124" s="182"/>
      <c r="N124" s="182"/>
      <c r="O124" s="182">
        <v>1</v>
      </c>
      <c r="P124" s="182"/>
      <c r="Q124" s="182"/>
      <c r="R124" s="182"/>
      <c r="S124" s="182"/>
      <c r="T124" s="182"/>
      <c r="U124" s="302">
        <v>1</v>
      </c>
      <c r="V124" s="182">
        <v>1</v>
      </c>
      <c r="W124" s="182">
        <v>1</v>
      </c>
      <c r="X124" s="182"/>
      <c r="Y124" s="182"/>
      <c r="Z124" s="182">
        <v>1</v>
      </c>
      <c r="AA124" s="182"/>
      <c r="AB124" s="182">
        <v>1</v>
      </c>
      <c r="AC124" s="182"/>
      <c r="AD124" s="182"/>
      <c r="AE124" s="182"/>
      <c r="AF124" s="182"/>
      <c r="AG124" s="182"/>
      <c r="AH124" s="339">
        <v>9</v>
      </c>
      <c r="AI124" s="300" t="s">
        <v>856</v>
      </c>
      <c r="AJ124" s="341">
        <v>42375</v>
      </c>
      <c r="AK124" s="187"/>
      <c r="AL124" s="187">
        <f t="shared" si="64"/>
        <v>0</v>
      </c>
      <c r="AM124" s="187">
        <f t="shared" si="65"/>
        <v>0</v>
      </c>
      <c r="AN124" s="187">
        <f t="shared" si="66"/>
        <v>8</v>
      </c>
      <c r="AO124" s="187">
        <f t="shared" si="67"/>
        <v>8</v>
      </c>
      <c r="AP124" s="187">
        <f t="shared" si="68"/>
        <v>0</v>
      </c>
      <c r="AQ124" s="187">
        <f t="shared" si="69"/>
        <v>0</v>
      </c>
      <c r="AR124" s="187">
        <f t="shared" si="70"/>
        <v>0</v>
      </c>
      <c r="AS124" s="187">
        <f t="shared" si="71"/>
        <v>19</v>
      </c>
      <c r="AT124" s="187">
        <f t="shared" si="72"/>
        <v>13</v>
      </c>
      <c r="AU124" s="187">
        <f t="shared" si="73"/>
        <v>0</v>
      </c>
      <c r="AV124" s="187">
        <f t="shared" si="74"/>
        <v>0</v>
      </c>
      <c r="AW124" s="187">
        <f t="shared" si="75"/>
        <v>0</v>
      </c>
      <c r="AX124" s="187">
        <f t="shared" si="76"/>
        <v>0</v>
      </c>
      <c r="AY124" s="187">
        <f t="shared" si="77"/>
        <v>2</v>
      </c>
      <c r="AZ124" s="187">
        <f t="shared" si="78"/>
        <v>8</v>
      </c>
      <c r="BA124" s="187">
        <f t="shared" si="79"/>
        <v>16</v>
      </c>
      <c r="BB124" s="187">
        <f t="shared" si="80"/>
        <v>0</v>
      </c>
      <c r="BC124" s="187">
        <f t="shared" si="81"/>
        <v>0</v>
      </c>
      <c r="BD124" s="187">
        <f t="shared" si="82"/>
        <v>2</v>
      </c>
      <c r="BE124" s="187">
        <f t="shared" si="83"/>
        <v>0</v>
      </c>
      <c r="BF124" s="187">
        <f t="shared" si="84"/>
        <v>1</v>
      </c>
      <c r="BG124" s="187">
        <f t="shared" si="85"/>
        <v>0</v>
      </c>
      <c r="BH124" s="187">
        <f t="shared" si="86"/>
        <v>0</v>
      </c>
      <c r="BI124" s="187">
        <f t="shared" si="87"/>
        <v>0</v>
      </c>
      <c r="BJ124" s="273">
        <f t="shared" si="88"/>
        <v>76</v>
      </c>
      <c r="BK124" s="167">
        <f t="shared" si="107"/>
        <v>76</v>
      </c>
      <c r="BL124" s="167"/>
      <c r="BM124" s="644"/>
      <c r="BN124" s="644"/>
      <c r="BO124" s="644"/>
      <c r="BP124" s="644"/>
      <c r="BQ124" s="644"/>
      <c r="BR124" s="644"/>
      <c r="BS124" s="644"/>
      <c r="BT124" s="644"/>
      <c r="BU124" s="644"/>
      <c r="BV124" s="644"/>
      <c r="BW124" s="644"/>
      <c r="BX124" s="644"/>
      <c r="BY124" s="644"/>
      <c r="BZ124" s="644"/>
      <c r="CA124" s="644"/>
      <c r="CB124" s="644"/>
      <c r="CC124" s="644"/>
      <c r="CD124" s="644"/>
      <c r="CE124" s="644"/>
      <c r="CF124" s="644"/>
      <c r="CG124" s="644"/>
      <c r="CH124" s="644"/>
      <c r="CI124" s="644"/>
      <c r="CJ124" s="301" t="s">
        <v>756</v>
      </c>
      <c r="CK124" s="342"/>
      <c r="CL124" s="343"/>
    </row>
    <row r="125" spans="1:90">
      <c r="A125" s="181" t="s">
        <v>254</v>
      </c>
      <c r="B125" s="182"/>
      <c r="C125" s="183"/>
      <c r="D125" s="184">
        <v>1</v>
      </c>
      <c r="E125" s="184">
        <v>1</v>
      </c>
      <c r="F125" s="184"/>
      <c r="G125" s="184">
        <v>1</v>
      </c>
      <c r="H125" s="182"/>
      <c r="I125" s="182"/>
      <c r="J125" s="182"/>
      <c r="K125" s="182"/>
      <c r="L125" s="182">
        <v>1</v>
      </c>
      <c r="M125" s="182"/>
      <c r="N125" s="182"/>
      <c r="O125" s="182">
        <v>1</v>
      </c>
      <c r="P125" s="182"/>
      <c r="Q125" s="182"/>
      <c r="R125" s="182"/>
      <c r="S125" s="302">
        <v>1</v>
      </c>
      <c r="T125" s="182"/>
      <c r="U125" s="182"/>
      <c r="V125" s="182">
        <v>1</v>
      </c>
      <c r="W125" s="182">
        <v>1</v>
      </c>
      <c r="X125" s="182">
        <v>1</v>
      </c>
      <c r="Y125" s="302">
        <v>1</v>
      </c>
      <c r="Z125" s="182"/>
      <c r="AA125" s="182"/>
      <c r="AB125" s="182"/>
      <c r="AC125" s="182"/>
      <c r="AD125" s="182"/>
      <c r="AE125" s="182"/>
      <c r="AF125" s="182"/>
      <c r="AG125" s="182"/>
      <c r="AH125" s="167">
        <v>10</v>
      </c>
      <c r="AI125" s="336" t="s">
        <v>857</v>
      </c>
      <c r="AJ125" s="186">
        <v>42371</v>
      </c>
      <c r="AK125" s="187"/>
      <c r="AL125" s="187">
        <f t="shared" si="64"/>
        <v>0</v>
      </c>
      <c r="AM125" s="187">
        <f t="shared" si="65"/>
        <v>13</v>
      </c>
      <c r="AN125" s="187">
        <f t="shared" si="66"/>
        <v>8</v>
      </c>
      <c r="AO125" s="187">
        <f t="shared" si="67"/>
        <v>8</v>
      </c>
      <c r="AP125" s="187">
        <f t="shared" si="68"/>
        <v>0</v>
      </c>
      <c r="AQ125" s="187">
        <f t="shared" si="69"/>
        <v>0</v>
      </c>
      <c r="AR125" s="187">
        <f t="shared" si="70"/>
        <v>0</v>
      </c>
      <c r="AS125" s="187">
        <f t="shared" si="71"/>
        <v>19</v>
      </c>
      <c r="AT125" s="187">
        <f t="shared" si="72"/>
        <v>13</v>
      </c>
      <c r="AU125" s="187">
        <f t="shared" si="73"/>
        <v>0</v>
      </c>
      <c r="AV125" s="187">
        <f t="shared" si="74"/>
        <v>0</v>
      </c>
      <c r="AW125" s="187">
        <f t="shared" si="75"/>
        <v>8</v>
      </c>
      <c r="AX125" s="187">
        <f t="shared" si="76"/>
        <v>0</v>
      </c>
      <c r="AY125" s="187">
        <f t="shared" si="77"/>
        <v>0</v>
      </c>
      <c r="AZ125" s="187">
        <f t="shared" si="78"/>
        <v>8</v>
      </c>
      <c r="BA125" s="187">
        <f t="shared" si="79"/>
        <v>16</v>
      </c>
      <c r="BB125" s="187">
        <f t="shared" si="80"/>
        <v>13</v>
      </c>
      <c r="BC125" s="187">
        <f t="shared" si="81"/>
        <v>10</v>
      </c>
      <c r="BD125" s="187">
        <f t="shared" si="82"/>
        <v>0</v>
      </c>
      <c r="BE125" s="187">
        <f t="shared" si="83"/>
        <v>0</v>
      </c>
      <c r="BF125" s="187">
        <f t="shared" si="84"/>
        <v>0</v>
      </c>
      <c r="BG125" s="187">
        <f t="shared" si="85"/>
        <v>0</v>
      </c>
      <c r="BH125" s="187">
        <f t="shared" si="86"/>
        <v>0</v>
      </c>
      <c r="BI125" s="187">
        <f t="shared" si="87"/>
        <v>0</v>
      </c>
      <c r="BJ125" s="273">
        <f t="shared" si="88"/>
        <v>100</v>
      </c>
      <c r="BK125" s="167">
        <f t="shared" ref="BK125" si="108">BJ125</f>
        <v>100</v>
      </c>
      <c r="BL125" s="167"/>
      <c r="BM125" s="644"/>
      <c r="BN125" s="644"/>
      <c r="BO125" s="644"/>
      <c r="BP125" s="644"/>
      <c r="BQ125" s="644"/>
      <c r="BR125" s="644"/>
      <c r="BS125" s="644"/>
      <c r="BT125" s="644"/>
      <c r="BU125" s="644"/>
      <c r="BV125" s="644"/>
      <c r="BW125" s="644"/>
      <c r="BX125" s="644"/>
      <c r="BY125" s="644"/>
      <c r="BZ125" s="644"/>
      <c r="CA125" s="644"/>
      <c r="CB125" s="644"/>
      <c r="CC125" s="644"/>
      <c r="CD125" s="644"/>
      <c r="CE125" s="644"/>
      <c r="CF125" s="644"/>
      <c r="CG125" s="644"/>
      <c r="CH125" s="644"/>
      <c r="CI125" s="644"/>
      <c r="CJ125" s="301" t="s">
        <v>756</v>
      </c>
      <c r="CK125" s="180"/>
      <c r="CL125" s="136"/>
    </row>
    <row r="126" spans="1:90">
      <c r="A126" s="181" t="s">
        <v>443</v>
      </c>
      <c r="B126" s="182"/>
      <c r="C126" s="183"/>
      <c r="D126" s="184"/>
      <c r="E126" s="184">
        <v>1</v>
      </c>
      <c r="F126" s="184"/>
      <c r="G126" s="184">
        <v>1</v>
      </c>
      <c r="H126" s="182"/>
      <c r="I126" s="182"/>
      <c r="J126" s="182"/>
      <c r="K126" s="182"/>
      <c r="L126" s="182">
        <v>1</v>
      </c>
      <c r="M126" s="182"/>
      <c r="N126" s="182"/>
      <c r="O126" s="182">
        <v>1</v>
      </c>
      <c r="P126" s="182"/>
      <c r="Q126" s="182"/>
      <c r="R126" s="182"/>
      <c r="S126" s="182"/>
      <c r="T126" s="182"/>
      <c r="U126" s="182">
        <v>1</v>
      </c>
      <c r="V126" s="182"/>
      <c r="W126" s="182">
        <v>1</v>
      </c>
      <c r="X126" s="182">
        <v>1</v>
      </c>
      <c r="Y126" s="182">
        <v>1</v>
      </c>
      <c r="Z126" s="182"/>
      <c r="AA126" s="182"/>
      <c r="AB126" s="182"/>
      <c r="AC126" s="182"/>
      <c r="AD126" s="182">
        <v>1</v>
      </c>
      <c r="AE126" s="182"/>
      <c r="AF126" s="182"/>
      <c r="AG126" s="182"/>
      <c r="AH126" s="167">
        <v>9</v>
      </c>
      <c r="AI126" s="336" t="s">
        <v>858</v>
      </c>
      <c r="AJ126" s="186">
        <v>42369</v>
      </c>
      <c r="AK126" s="187"/>
      <c r="AL126" s="187">
        <f t="shared" si="64"/>
        <v>0</v>
      </c>
      <c r="AM126" s="187">
        <f t="shared" si="65"/>
        <v>0</v>
      </c>
      <c r="AN126" s="187">
        <f t="shared" si="66"/>
        <v>8</v>
      </c>
      <c r="AO126" s="187">
        <f t="shared" si="67"/>
        <v>8</v>
      </c>
      <c r="AP126" s="187">
        <f t="shared" si="68"/>
        <v>0</v>
      </c>
      <c r="AQ126" s="187">
        <f t="shared" si="69"/>
        <v>0</v>
      </c>
      <c r="AR126" s="187">
        <f t="shared" si="70"/>
        <v>0</v>
      </c>
      <c r="AS126" s="187">
        <f t="shared" si="71"/>
        <v>19</v>
      </c>
      <c r="AT126" s="187">
        <f t="shared" si="72"/>
        <v>13</v>
      </c>
      <c r="AU126" s="187">
        <f t="shared" si="73"/>
        <v>0</v>
      </c>
      <c r="AV126" s="187">
        <f t="shared" si="74"/>
        <v>0</v>
      </c>
      <c r="AW126" s="187">
        <f t="shared" si="75"/>
        <v>0</v>
      </c>
      <c r="AX126" s="187">
        <f t="shared" si="76"/>
        <v>0</v>
      </c>
      <c r="AY126" s="187">
        <f t="shared" si="77"/>
        <v>2</v>
      </c>
      <c r="AZ126" s="187">
        <f t="shared" si="78"/>
        <v>0</v>
      </c>
      <c r="BA126" s="187">
        <f t="shared" si="79"/>
        <v>16</v>
      </c>
      <c r="BB126" s="187">
        <f t="shared" si="80"/>
        <v>13</v>
      </c>
      <c r="BC126" s="187">
        <f t="shared" si="81"/>
        <v>10</v>
      </c>
      <c r="BD126" s="187">
        <f t="shared" si="82"/>
        <v>0</v>
      </c>
      <c r="BE126" s="187">
        <f t="shared" si="83"/>
        <v>0</v>
      </c>
      <c r="BF126" s="187">
        <f t="shared" si="84"/>
        <v>0</v>
      </c>
      <c r="BG126" s="187">
        <f t="shared" si="85"/>
        <v>8</v>
      </c>
      <c r="BH126" s="187">
        <f t="shared" si="86"/>
        <v>0</v>
      </c>
      <c r="BI126" s="187">
        <f t="shared" si="87"/>
        <v>0</v>
      </c>
      <c r="BJ126" s="273">
        <f t="shared" si="88"/>
        <v>95</v>
      </c>
      <c r="BK126" s="167">
        <f t="shared" ref="BK126" si="109">BJ126</f>
        <v>95</v>
      </c>
      <c r="BL126" s="167"/>
      <c r="BM126" s="644"/>
      <c r="BN126" s="644"/>
      <c r="BO126" s="644"/>
      <c r="BP126" s="644"/>
      <c r="BQ126" s="644"/>
      <c r="BR126" s="644"/>
      <c r="BS126" s="644"/>
      <c r="BT126" s="644"/>
      <c r="BU126" s="644"/>
      <c r="BV126" s="644"/>
      <c r="BW126" s="644"/>
      <c r="BX126" s="644"/>
      <c r="BY126" s="644"/>
      <c r="BZ126" s="644"/>
      <c r="CA126" s="644"/>
      <c r="CB126" s="644"/>
      <c r="CC126" s="644"/>
      <c r="CD126" s="644"/>
      <c r="CE126" s="644"/>
      <c r="CF126" s="644"/>
      <c r="CG126" s="644"/>
      <c r="CH126" s="644"/>
      <c r="CI126" s="644"/>
      <c r="CJ126" s="301" t="s">
        <v>859</v>
      </c>
      <c r="CK126" s="180"/>
      <c r="CL126" s="136"/>
    </row>
    <row r="127" spans="1:90">
      <c r="A127" s="181" t="s">
        <v>860</v>
      </c>
      <c r="B127" s="182"/>
      <c r="C127" s="183"/>
      <c r="D127" s="314">
        <v>1</v>
      </c>
      <c r="E127" s="184"/>
      <c r="F127" s="184"/>
      <c r="G127" s="184"/>
      <c r="H127" s="182"/>
      <c r="I127" s="182">
        <v>1</v>
      </c>
      <c r="J127" s="182"/>
      <c r="K127" s="182"/>
      <c r="L127" s="182">
        <v>1</v>
      </c>
      <c r="M127" s="182"/>
      <c r="N127" s="182"/>
      <c r="O127" s="182">
        <v>1</v>
      </c>
      <c r="P127" s="182"/>
      <c r="Q127" s="182"/>
      <c r="R127" s="182"/>
      <c r="S127" s="182"/>
      <c r="T127" s="182"/>
      <c r="U127" s="182"/>
      <c r="V127" s="182">
        <v>1</v>
      </c>
      <c r="W127" s="182">
        <v>1</v>
      </c>
      <c r="X127" s="182">
        <v>1</v>
      </c>
      <c r="Y127" s="182">
        <v>1</v>
      </c>
      <c r="Z127" s="320"/>
      <c r="AA127" s="182"/>
      <c r="AB127" s="182"/>
      <c r="AC127" s="182"/>
      <c r="AD127" s="182"/>
      <c r="AE127" s="182"/>
      <c r="AF127" s="182"/>
      <c r="AG127" s="182"/>
      <c r="AH127" s="167">
        <v>8</v>
      </c>
      <c r="AI127" s="336" t="s">
        <v>861</v>
      </c>
      <c r="AJ127" s="186">
        <v>42374</v>
      </c>
      <c r="AK127" s="187"/>
      <c r="AL127" s="187">
        <f t="shared" si="64"/>
        <v>0</v>
      </c>
      <c r="AM127" s="187">
        <f t="shared" si="65"/>
        <v>13</v>
      </c>
      <c r="AN127" s="187">
        <f t="shared" si="66"/>
        <v>0</v>
      </c>
      <c r="AO127" s="187">
        <f t="shared" si="67"/>
        <v>0</v>
      </c>
      <c r="AP127" s="187">
        <f t="shared" si="68"/>
        <v>0</v>
      </c>
      <c r="AQ127" s="187">
        <f t="shared" si="69"/>
        <v>0</v>
      </c>
      <c r="AR127" s="187">
        <f t="shared" si="70"/>
        <v>0</v>
      </c>
      <c r="AS127" s="187">
        <f t="shared" si="71"/>
        <v>19</v>
      </c>
      <c r="AT127" s="187">
        <f t="shared" si="72"/>
        <v>13</v>
      </c>
      <c r="AU127" s="187">
        <f t="shared" si="73"/>
        <v>0</v>
      </c>
      <c r="AV127" s="187">
        <f t="shared" si="74"/>
        <v>0</v>
      </c>
      <c r="AW127" s="187">
        <f t="shared" si="75"/>
        <v>0</v>
      </c>
      <c r="AX127" s="187">
        <f t="shared" si="76"/>
        <v>0</v>
      </c>
      <c r="AY127" s="187">
        <f t="shared" si="77"/>
        <v>0</v>
      </c>
      <c r="AZ127" s="187">
        <f t="shared" si="78"/>
        <v>8</v>
      </c>
      <c r="BA127" s="187">
        <f t="shared" si="79"/>
        <v>16</v>
      </c>
      <c r="BB127" s="187">
        <f t="shared" si="80"/>
        <v>13</v>
      </c>
      <c r="BC127" s="187">
        <f t="shared" si="81"/>
        <v>10</v>
      </c>
      <c r="BD127" s="187">
        <f t="shared" si="82"/>
        <v>0</v>
      </c>
      <c r="BE127" s="187">
        <f t="shared" si="83"/>
        <v>0</v>
      </c>
      <c r="BF127" s="187">
        <f t="shared" si="84"/>
        <v>0</v>
      </c>
      <c r="BG127" s="187">
        <f t="shared" si="85"/>
        <v>0</v>
      </c>
      <c r="BH127" s="187">
        <f t="shared" si="86"/>
        <v>0</v>
      </c>
      <c r="BI127" s="187">
        <f t="shared" si="87"/>
        <v>0</v>
      </c>
      <c r="BJ127" s="273">
        <f t="shared" si="88"/>
        <v>92</v>
      </c>
      <c r="BK127" s="167">
        <f t="shared" ref="BK127" si="110">BJ127</f>
        <v>92</v>
      </c>
      <c r="BL127" s="167"/>
      <c r="BM127" s="644"/>
      <c r="BN127" s="644"/>
      <c r="BO127" s="644"/>
      <c r="BP127" s="644"/>
      <c r="BQ127" s="644"/>
      <c r="BR127" s="644"/>
      <c r="BS127" s="644"/>
      <c r="BT127" s="644"/>
      <c r="BU127" s="644"/>
      <c r="BV127" s="644"/>
      <c r="BW127" s="644"/>
      <c r="BX127" s="644"/>
      <c r="BY127" s="644"/>
      <c r="BZ127" s="644"/>
      <c r="CA127" s="644"/>
      <c r="CB127" s="644"/>
      <c r="CC127" s="644"/>
      <c r="CD127" s="644"/>
      <c r="CE127" s="644"/>
      <c r="CF127" s="644"/>
      <c r="CG127" s="644"/>
      <c r="CH127" s="644"/>
      <c r="CI127" s="644"/>
      <c r="CJ127" s="301" t="s">
        <v>764</v>
      </c>
      <c r="CK127" s="180"/>
      <c r="CL127" s="136"/>
    </row>
    <row r="128" spans="1:90">
      <c r="A128" s="181" t="s">
        <v>862</v>
      </c>
      <c r="B128" s="182"/>
      <c r="C128" s="183"/>
      <c r="D128" s="184"/>
      <c r="E128" s="184"/>
      <c r="F128" s="184"/>
      <c r="G128" s="184"/>
      <c r="H128" s="182"/>
      <c r="I128" s="182"/>
      <c r="J128" s="182"/>
      <c r="K128" s="182"/>
      <c r="L128" s="182">
        <v>1</v>
      </c>
      <c r="M128" s="182"/>
      <c r="N128" s="182"/>
      <c r="O128" s="182">
        <v>1</v>
      </c>
      <c r="P128" s="182"/>
      <c r="Q128" s="182"/>
      <c r="R128" s="182"/>
      <c r="S128" s="182"/>
      <c r="T128" s="182"/>
      <c r="U128" s="182"/>
      <c r="V128" s="182"/>
      <c r="W128" s="182"/>
      <c r="X128" s="302">
        <v>1</v>
      </c>
      <c r="Y128" s="182"/>
      <c r="Z128" s="182"/>
      <c r="AA128" s="182"/>
      <c r="AB128" s="182"/>
      <c r="AC128" s="182"/>
      <c r="AD128" s="182"/>
      <c r="AE128" s="182"/>
      <c r="AF128" s="182"/>
      <c r="AG128" s="182"/>
      <c r="AH128" s="167">
        <v>3</v>
      </c>
      <c r="AI128" s="328" t="s">
        <v>115</v>
      </c>
      <c r="AJ128" s="186">
        <v>42360</v>
      </c>
      <c r="AK128" s="187"/>
      <c r="AL128" s="187">
        <f t="shared" si="64"/>
        <v>0</v>
      </c>
      <c r="AM128" s="187">
        <f t="shared" si="65"/>
        <v>0</v>
      </c>
      <c r="AN128" s="187">
        <f t="shared" si="66"/>
        <v>0</v>
      </c>
      <c r="AO128" s="187">
        <f t="shared" si="67"/>
        <v>0</v>
      </c>
      <c r="AP128" s="187">
        <f t="shared" si="68"/>
        <v>0</v>
      </c>
      <c r="AQ128" s="187">
        <f t="shared" si="69"/>
        <v>0</v>
      </c>
      <c r="AR128" s="187">
        <f t="shared" si="70"/>
        <v>0</v>
      </c>
      <c r="AS128" s="187">
        <f t="shared" si="71"/>
        <v>19</v>
      </c>
      <c r="AT128" s="187">
        <f t="shared" si="72"/>
        <v>13</v>
      </c>
      <c r="AU128" s="187">
        <f t="shared" si="73"/>
        <v>0</v>
      </c>
      <c r="AV128" s="187">
        <f t="shared" si="74"/>
        <v>0</v>
      </c>
      <c r="AW128" s="187">
        <f t="shared" si="75"/>
        <v>0</v>
      </c>
      <c r="AX128" s="187">
        <f t="shared" si="76"/>
        <v>0</v>
      </c>
      <c r="AY128" s="187">
        <f t="shared" si="77"/>
        <v>0</v>
      </c>
      <c r="AZ128" s="187">
        <f t="shared" si="78"/>
        <v>0</v>
      </c>
      <c r="BA128" s="187">
        <f t="shared" si="79"/>
        <v>0</v>
      </c>
      <c r="BB128" s="187">
        <f t="shared" si="80"/>
        <v>13</v>
      </c>
      <c r="BC128" s="187">
        <f t="shared" si="81"/>
        <v>0</v>
      </c>
      <c r="BD128" s="187">
        <f t="shared" si="82"/>
        <v>0</v>
      </c>
      <c r="BE128" s="187">
        <f t="shared" si="83"/>
        <v>0</v>
      </c>
      <c r="BF128" s="187">
        <f t="shared" si="84"/>
        <v>0</v>
      </c>
      <c r="BG128" s="187">
        <f t="shared" si="85"/>
        <v>0</v>
      </c>
      <c r="BH128" s="187">
        <f t="shared" si="86"/>
        <v>0</v>
      </c>
      <c r="BI128" s="187">
        <f t="shared" si="87"/>
        <v>0</v>
      </c>
      <c r="BJ128" s="273">
        <f t="shared" si="88"/>
        <v>45</v>
      </c>
      <c r="BK128" s="167">
        <f t="shared" ref="BK128" si="111">BJ128</f>
        <v>45</v>
      </c>
      <c r="BL128" s="167"/>
      <c r="BM128" s="644"/>
      <c r="BN128" s="644"/>
      <c r="BO128" s="644"/>
      <c r="BP128" s="644"/>
      <c r="BQ128" s="644"/>
      <c r="BR128" s="644"/>
      <c r="BS128" s="644"/>
      <c r="BT128" s="644"/>
      <c r="BU128" s="644"/>
      <c r="BV128" s="644"/>
      <c r="BW128" s="644"/>
      <c r="BX128" s="644"/>
      <c r="BY128" s="644"/>
      <c r="BZ128" s="644"/>
      <c r="CA128" s="644"/>
      <c r="CB128" s="644"/>
      <c r="CC128" s="644"/>
      <c r="CD128" s="644"/>
      <c r="CE128" s="644"/>
      <c r="CF128" s="644"/>
      <c r="CG128" s="644"/>
      <c r="CH128" s="644"/>
      <c r="CI128" s="644"/>
      <c r="CJ128" s="301" t="s">
        <v>752</v>
      </c>
      <c r="CK128" s="180"/>
      <c r="CL128" s="136"/>
    </row>
    <row r="129" spans="1:90" s="344" customFormat="1">
      <c r="A129" s="335" t="s">
        <v>863</v>
      </c>
      <c r="B129" s="182"/>
      <c r="C129" s="183"/>
      <c r="D129" s="184">
        <v>1</v>
      </c>
      <c r="E129" s="184"/>
      <c r="F129" s="184"/>
      <c r="G129" s="184"/>
      <c r="H129" s="182"/>
      <c r="I129" s="182"/>
      <c r="J129" s="182"/>
      <c r="K129" s="182"/>
      <c r="L129" s="182">
        <v>1</v>
      </c>
      <c r="M129" s="182"/>
      <c r="N129" s="182"/>
      <c r="O129" s="182"/>
      <c r="P129" s="182"/>
      <c r="Q129" s="182"/>
      <c r="R129" s="182"/>
      <c r="S129" s="302">
        <v>1</v>
      </c>
      <c r="T129" s="182"/>
      <c r="U129" s="182"/>
      <c r="V129" s="182">
        <v>1</v>
      </c>
      <c r="W129" s="182">
        <v>1</v>
      </c>
      <c r="X129" s="182">
        <v>1</v>
      </c>
      <c r="Y129" s="182">
        <v>1</v>
      </c>
      <c r="Z129" s="302">
        <v>1</v>
      </c>
      <c r="AA129" s="182"/>
      <c r="AB129" s="182"/>
      <c r="AC129" s="182"/>
      <c r="AD129" s="182">
        <v>1</v>
      </c>
      <c r="AE129" s="182"/>
      <c r="AF129" s="182">
        <v>1</v>
      </c>
      <c r="AG129" s="182"/>
      <c r="AH129" s="339">
        <v>10</v>
      </c>
      <c r="AI129" s="336" t="s">
        <v>864</v>
      </c>
      <c r="AJ129" s="341">
        <v>42372</v>
      </c>
      <c r="AK129" s="187"/>
      <c r="AL129" s="187">
        <f t="shared" si="64"/>
        <v>0</v>
      </c>
      <c r="AM129" s="187">
        <f t="shared" si="65"/>
        <v>13</v>
      </c>
      <c r="AN129" s="187">
        <f t="shared" si="66"/>
        <v>0</v>
      </c>
      <c r="AO129" s="187">
        <f t="shared" si="67"/>
        <v>0</v>
      </c>
      <c r="AP129" s="187">
        <f t="shared" si="68"/>
        <v>0</v>
      </c>
      <c r="AQ129" s="187">
        <f t="shared" si="69"/>
        <v>0</v>
      </c>
      <c r="AR129" s="187">
        <f t="shared" si="70"/>
        <v>0</v>
      </c>
      <c r="AS129" s="187">
        <f t="shared" si="71"/>
        <v>19</v>
      </c>
      <c r="AT129" s="187">
        <f t="shared" si="72"/>
        <v>0</v>
      </c>
      <c r="AU129" s="187">
        <f t="shared" si="73"/>
        <v>0</v>
      </c>
      <c r="AV129" s="187">
        <f t="shared" si="74"/>
        <v>0</v>
      </c>
      <c r="AW129" s="187">
        <f t="shared" si="75"/>
        <v>8</v>
      </c>
      <c r="AX129" s="187">
        <f t="shared" si="76"/>
        <v>0</v>
      </c>
      <c r="AY129" s="187">
        <f t="shared" si="77"/>
        <v>0</v>
      </c>
      <c r="AZ129" s="187">
        <f t="shared" si="78"/>
        <v>8</v>
      </c>
      <c r="BA129" s="187">
        <f t="shared" si="79"/>
        <v>16</v>
      </c>
      <c r="BB129" s="187">
        <f t="shared" si="80"/>
        <v>13</v>
      </c>
      <c r="BC129" s="187">
        <f t="shared" si="81"/>
        <v>10</v>
      </c>
      <c r="BD129" s="187">
        <f t="shared" si="82"/>
        <v>2</v>
      </c>
      <c r="BE129" s="187">
        <f t="shared" si="83"/>
        <v>0</v>
      </c>
      <c r="BF129" s="187">
        <f t="shared" si="84"/>
        <v>0</v>
      </c>
      <c r="BG129" s="187">
        <f t="shared" si="85"/>
        <v>8</v>
      </c>
      <c r="BH129" s="187">
        <f t="shared" si="86"/>
        <v>0</v>
      </c>
      <c r="BI129" s="187">
        <f t="shared" si="87"/>
        <v>3</v>
      </c>
      <c r="BJ129" s="273">
        <f t="shared" si="88"/>
        <v>95</v>
      </c>
      <c r="BK129" s="167">
        <f t="shared" ref="BK129:BK131" si="112">BJ129</f>
        <v>95</v>
      </c>
      <c r="BL129" s="167"/>
      <c r="BM129" s="644"/>
      <c r="BN129" s="644"/>
      <c r="BO129" s="644"/>
      <c r="BP129" s="644"/>
      <c r="BQ129" s="644"/>
      <c r="BR129" s="644"/>
      <c r="BS129" s="644"/>
      <c r="BT129" s="644"/>
      <c r="BU129" s="644"/>
      <c r="BV129" s="644"/>
      <c r="BW129" s="644"/>
      <c r="BX129" s="644"/>
      <c r="BY129" s="644"/>
      <c r="BZ129" s="644"/>
      <c r="CA129" s="644"/>
      <c r="CB129" s="644"/>
      <c r="CC129" s="644"/>
      <c r="CD129" s="644"/>
      <c r="CE129" s="644"/>
      <c r="CF129" s="644"/>
      <c r="CG129" s="644"/>
      <c r="CH129" s="644"/>
      <c r="CI129" s="644"/>
      <c r="CJ129" s="301" t="s">
        <v>865</v>
      </c>
      <c r="CK129" s="342"/>
      <c r="CL129" s="343"/>
    </row>
    <row r="130" spans="1:90" s="344" customFormat="1">
      <c r="A130" s="335" t="s">
        <v>258</v>
      </c>
      <c r="B130" s="182"/>
      <c r="C130" s="183"/>
      <c r="D130" s="184">
        <v>1</v>
      </c>
      <c r="E130" s="184"/>
      <c r="F130" s="184"/>
      <c r="G130" s="184"/>
      <c r="H130" s="182"/>
      <c r="I130" s="182"/>
      <c r="J130" s="182"/>
      <c r="K130" s="182"/>
      <c r="L130" s="182">
        <v>1</v>
      </c>
      <c r="M130" s="182"/>
      <c r="N130" s="182"/>
      <c r="O130" s="182">
        <v>1</v>
      </c>
      <c r="P130" s="182"/>
      <c r="Q130" s="182"/>
      <c r="R130" s="182"/>
      <c r="S130" s="182">
        <v>1</v>
      </c>
      <c r="T130" s="302">
        <v>1</v>
      </c>
      <c r="U130" s="182"/>
      <c r="V130" s="302">
        <v>1</v>
      </c>
      <c r="W130" s="182">
        <v>1</v>
      </c>
      <c r="X130" s="182">
        <v>1</v>
      </c>
      <c r="Y130" s="182"/>
      <c r="Z130" s="182"/>
      <c r="AA130" s="182">
        <v>1</v>
      </c>
      <c r="AB130" s="182"/>
      <c r="AC130" s="182"/>
      <c r="AD130" s="182">
        <v>1</v>
      </c>
      <c r="AE130" s="182"/>
      <c r="AF130" s="182"/>
      <c r="AG130" s="182"/>
      <c r="AH130" s="339">
        <v>10</v>
      </c>
      <c r="AI130" s="358" t="s">
        <v>866</v>
      </c>
      <c r="AJ130" s="341">
        <v>42375</v>
      </c>
      <c r="AK130" s="187"/>
      <c r="AL130" s="187">
        <f t="shared" si="64"/>
        <v>0</v>
      </c>
      <c r="AM130" s="187">
        <f t="shared" si="65"/>
        <v>13</v>
      </c>
      <c r="AN130" s="187">
        <f t="shared" si="66"/>
        <v>0</v>
      </c>
      <c r="AO130" s="187">
        <f t="shared" si="67"/>
        <v>0</v>
      </c>
      <c r="AP130" s="187">
        <f t="shared" si="68"/>
        <v>0</v>
      </c>
      <c r="AQ130" s="187">
        <f t="shared" si="69"/>
        <v>0</v>
      </c>
      <c r="AR130" s="187">
        <f t="shared" si="70"/>
        <v>0</v>
      </c>
      <c r="AS130" s="187">
        <f t="shared" si="71"/>
        <v>19</v>
      </c>
      <c r="AT130" s="187">
        <f t="shared" si="72"/>
        <v>13</v>
      </c>
      <c r="AU130" s="187">
        <f t="shared" si="73"/>
        <v>0</v>
      </c>
      <c r="AV130" s="187">
        <f t="shared" si="74"/>
        <v>0</v>
      </c>
      <c r="AW130" s="187">
        <f t="shared" si="75"/>
        <v>8</v>
      </c>
      <c r="AX130" s="187">
        <f t="shared" si="76"/>
        <v>4</v>
      </c>
      <c r="AY130" s="187">
        <f t="shared" si="77"/>
        <v>0</v>
      </c>
      <c r="AZ130" s="187">
        <f t="shared" si="78"/>
        <v>8</v>
      </c>
      <c r="BA130" s="187">
        <f t="shared" si="79"/>
        <v>16</v>
      </c>
      <c r="BB130" s="187">
        <f t="shared" si="80"/>
        <v>13</v>
      </c>
      <c r="BC130" s="187">
        <f t="shared" si="81"/>
        <v>0</v>
      </c>
      <c r="BD130" s="187">
        <f t="shared" si="82"/>
        <v>0</v>
      </c>
      <c r="BE130" s="187">
        <f t="shared" si="83"/>
        <v>6</v>
      </c>
      <c r="BF130" s="187">
        <f t="shared" si="84"/>
        <v>0</v>
      </c>
      <c r="BG130" s="187">
        <f t="shared" si="85"/>
        <v>8</v>
      </c>
      <c r="BH130" s="187">
        <f t="shared" si="86"/>
        <v>0</v>
      </c>
      <c r="BI130" s="187">
        <f t="shared" si="87"/>
        <v>0</v>
      </c>
      <c r="BJ130" s="273">
        <f t="shared" si="88"/>
        <v>98</v>
      </c>
      <c r="BK130" s="167">
        <f t="shared" si="112"/>
        <v>98</v>
      </c>
      <c r="BL130" s="167"/>
      <c r="BM130" s="644"/>
      <c r="BN130" s="644"/>
      <c r="BO130" s="644"/>
      <c r="BP130" s="644"/>
      <c r="BQ130" s="644"/>
      <c r="BR130" s="644"/>
      <c r="BS130" s="644"/>
      <c r="BT130" s="644"/>
      <c r="BU130" s="644"/>
      <c r="BV130" s="644"/>
      <c r="BW130" s="644"/>
      <c r="BX130" s="644"/>
      <c r="BY130" s="644"/>
      <c r="BZ130" s="644"/>
      <c r="CA130" s="644"/>
      <c r="CB130" s="644"/>
      <c r="CC130" s="644"/>
      <c r="CD130" s="644"/>
      <c r="CE130" s="644"/>
      <c r="CF130" s="644"/>
      <c r="CG130" s="644"/>
      <c r="CH130" s="644"/>
      <c r="CI130" s="644"/>
      <c r="CJ130" s="301" t="s">
        <v>749</v>
      </c>
      <c r="CK130" s="342"/>
      <c r="CL130" s="343"/>
    </row>
    <row r="131" spans="1:90" s="344" customFormat="1">
      <c r="A131" s="335" t="s">
        <v>259</v>
      </c>
      <c r="B131" s="182"/>
      <c r="C131" s="183"/>
      <c r="D131" s="184">
        <v>1</v>
      </c>
      <c r="E131" s="184">
        <v>1</v>
      </c>
      <c r="F131" s="184"/>
      <c r="G131" s="184">
        <v>1</v>
      </c>
      <c r="H131" s="182"/>
      <c r="I131" s="182"/>
      <c r="J131" s="182"/>
      <c r="K131" s="182"/>
      <c r="L131" s="182">
        <v>1</v>
      </c>
      <c r="M131" s="182"/>
      <c r="N131" s="182"/>
      <c r="O131" s="182"/>
      <c r="P131" s="182"/>
      <c r="Q131" s="182"/>
      <c r="R131" s="182"/>
      <c r="S131" s="302">
        <v>1</v>
      </c>
      <c r="T131" s="182"/>
      <c r="U131" s="182"/>
      <c r="V131" s="302">
        <v>1</v>
      </c>
      <c r="W131" s="182">
        <v>1</v>
      </c>
      <c r="X131" s="182">
        <v>1</v>
      </c>
      <c r="Y131" s="182">
        <v>1</v>
      </c>
      <c r="Z131" s="182"/>
      <c r="AA131" s="182"/>
      <c r="AB131" s="182"/>
      <c r="AC131" s="182"/>
      <c r="AD131" s="302">
        <v>1</v>
      </c>
      <c r="AE131" s="182"/>
      <c r="AF131" s="182"/>
      <c r="AG131" s="182"/>
      <c r="AH131" s="339">
        <v>10</v>
      </c>
      <c r="AI131" s="340" t="s">
        <v>786</v>
      </c>
      <c r="AJ131" s="341">
        <v>42375</v>
      </c>
      <c r="AK131" s="187"/>
      <c r="AL131" s="187">
        <f t="shared" si="64"/>
        <v>0</v>
      </c>
      <c r="AM131" s="187">
        <f t="shared" si="65"/>
        <v>13</v>
      </c>
      <c r="AN131" s="187">
        <f t="shared" si="66"/>
        <v>8</v>
      </c>
      <c r="AO131" s="187">
        <f t="shared" si="67"/>
        <v>8</v>
      </c>
      <c r="AP131" s="187">
        <f t="shared" si="68"/>
        <v>0</v>
      </c>
      <c r="AQ131" s="187">
        <f t="shared" si="69"/>
        <v>0</v>
      </c>
      <c r="AR131" s="187">
        <f t="shared" si="70"/>
        <v>0</v>
      </c>
      <c r="AS131" s="187">
        <f t="shared" si="71"/>
        <v>19</v>
      </c>
      <c r="AT131" s="187">
        <f t="shared" si="72"/>
        <v>0</v>
      </c>
      <c r="AU131" s="187">
        <f t="shared" si="73"/>
        <v>0</v>
      </c>
      <c r="AV131" s="187">
        <f t="shared" si="74"/>
        <v>0</v>
      </c>
      <c r="AW131" s="187">
        <f t="shared" si="75"/>
        <v>8</v>
      </c>
      <c r="AX131" s="187">
        <f t="shared" si="76"/>
        <v>0</v>
      </c>
      <c r="AY131" s="187">
        <f t="shared" si="77"/>
        <v>0</v>
      </c>
      <c r="AZ131" s="187">
        <f t="shared" si="78"/>
        <v>8</v>
      </c>
      <c r="BA131" s="187">
        <f t="shared" si="79"/>
        <v>16</v>
      </c>
      <c r="BB131" s="187">
        <f t="shared" si="80"/>
        <v>13</v>
      </c>
      <c r="BC131" s="187">
        <f t="shared" si="81"/>
        <v>10</v>
      </c>
      <c r="BD131" s="187">
        <f t="shared" si="82"/>
        <v>0</v>
      </c>
      <c r="BE131" s="187">
        <f t="shared" si="83"/>
        <v>0</v>
      </c>
      <c r="BF131" s="187">
        <f t="shared" si="84"/>
        <v>0</v>
      </c>
      <c r="BG131" s="187">
        <f t="shared" si="85"/>
        <v>8</v>
      </c>
      <c r="BH131" s="187">
        <f t="shared" si="86"/>
        <v>0</v>
      </c>
      <c r="BI131" s="187">
        <f t="shared" si="87"/>
        <v>0</v>
      </c>
      <c r="BJ131" s="273">
        <f t="shared" si="88"/>
        <v>95</v>
      </c>
      <c r="BK131" s="167">
        <f t="shared" si="112"/>
        <v>95</v>
      </c>
      <c r="BL131" s="167"/>
      <c r="BM131" s="644"/>
      <c r="BN131" s="644"/>
      <c r="BO131" s="644"/>
      <c r="BP131" s="644"/>
      <c r="BQ131" s="644"/>
      <c r="BR131" s="644"/>
      <c r="BS131" s="644"/>
      <c r="BT131" s="644"/>
      <c r="BU131" s="644"/>
      <c r="BV131" s="644"/>
      <c r="BW131" s="644"/>
      <c r="BX131" s="644"/>
      <c r="BY131" s="644"/>
      <c r="BZ131" s="644"/>
      <c r="CA131" s="644"/>
      <c r="CB131" s="644"/>
      <c r="CC131" s="644"/>
      <c r="CD131" s="644"/>
      <c r="CE131" s="644"/>
      <c r="CF131" s="644"/>
      <c r="CG131" s="644"/>
      <c r="CH131" s="644"/>
      <c r="CI131" s="644"/>
      <c r="CJ131" s="301" t="s">
        <v>787</v>
      </c>
      <c r="CK131" s="342"/>
      <c r="CL131" s="343"/>
    </row>
    <row r="132" spans="1:90">
      <c r="A132" s="181" t="s">
        <v>261</v>
      </c>
      <c r="B132" s="182"/>
      <c r="C132" s="183"/>
      <c r="D132" s="302">
        <v>1</v>
      </c>
      <c r="E132" s="184">
        <v>1</v>
      </c>
      <c r="F132" s="184"/>
      <c r="G132" s="184">
        <v>1</v>
      </c>
      <c r="H132" s="182"/>
      <c r="I132" s="182"/>
      <c r="J132" s="182"/>
      <c r="K132" s="182"/>
      <c r="L132" s="182">
        <v>1</v>
      </c>
      <c r="M132" s="182"/>
      <c r="N132" s="182"/>
      <c r="O132" s="182">
        <v>1</v>
      </c>
      <c r="P132" s="182"/>
      <c r="Q132" s="182"/>
      <c r="R132" s="182"/>
      <c r="S132" s="182"/>
      <c r="T132" s="182"/>
      <c r="U132" s="182"/>
      <c r="V132" s="182"/>
      <c r="W132" s="182">
        <v>1</v>
      </c>
      <c r="X132" s="182">
        <v>1</v>
      </c>
      <c r="Y132" s="182"/>
      <c r="Z132" s="182">
        <v>1</v>
      </c>
      <c r="AA132" s="182"/>
      <c r="AB132" s="182"/>
      <c r="AC132" s="182"/>
      <c r="AD132" s="182">
        <v>1</v>
      </c>
      <c r="AE132" s="182"/>
      <c r="AF132" s="302">
        <v>1</v>
      </c>
      <c r="AG132" s="182"/>
      <c r="AH132" s="167">
        <v>10</v>
      </c>
      <c r="AI132" s="336" t="s">
        <v>867</v>
      </c>
      <c r="AJ132" s="186">
        <v>42356</v>
      </c>
      <c r="AK132" s="187"/>
      <c r="AL132" s="187">
        <f t="shared" si="64"/>
        <v>0</v>
      </c>
      <c r="AM132" s="187">
        <f t="shared" si="65"/>
        <v>13</v>
      </c>
      <c r="AN132" s="187">
        <f t="shared" si="66"/>
        <v>8</v>
      </c>
      <c r="AO132" s="187">
        <f t="shared" si="67"/>
        <v>8</v>
      </c>
      <c r="AP132" s="187">
        <f t="shared" si="68"/>
        <v>0</v>
      </c>
      <c r="AQ132" s="187">
        <f t="shared" si="69"/>
        <v>0</v>
      </c>
      <c r="AR132" s="187">
        <f t="shared" si="70"/>
        <v>0</v>
      </c>
      <c r="AS132" s="187">
        <f t="shared" si="71"/>
        <v>19</v>
      </c>
      <c r="AT132" s="187">
        <f t="shared" si="72"/>
        <v>13</v>
      </c>
      <c r="AU132" s="187">
        <f t="shared" si="73"/>
        <v>0</v>
      </c>
      <c r="AV132" s="187">
        <f t="shared" si="74"/>
        <v>0</v>
      </c>
      <c r="AW132" s="187">
        <f t="shared" si="75"/>
        <v>0</v>
      </c>
      <c r="AX132" s="187">
        <f t="shared" si="76"/>
        <v>0</v>
      </c>
      <c r="AY132" s="187">
        <f t="shared" si="77"/>
        <v>0</v>
      </c>
      <c r="AZ132" s="187">
        <f t="shared" si="78"/>
        <v>0</v>
      </c>
      <c r="BA132" s="187">
        <f t="shared" si="79"/>
        <v>16</v>
      </c>
      <c r="BB132" s="187">
        <f t="shared" si="80"/>
        <v>13</v>
      </c>
      <c r="BC132" s="187">
        <f t="shared" si="81"/>
        <v>0</v>
      </c>
      <c r="BD132" s="187">
        <f t="shared" si="82"/>
        <v>2</v>
      </c>
      <c r="BE132" s="187">
        <f t="shared" si="83"/>
        <v>0</v>
      </c>
      <c r="BF132" s="187">
        <f t="shared" si="84"/>
        <v>0</v>
      </c>
      <c r="BG132" s="187">
        <f t="shared" si="85"/>
        <v>8</v>
      </c>
      <c r="BH132" s="187">
        <f t="shared" si="86"/>
        <v>0</v>
      </c>
      <c r="BI132" s="187">
        <f t="shared" si="87"/>
        <v>3</v>
      </c>
      <c r="BJ132" s="273">
        <f t="shared" si="88"/>
        <v>98</v>
      </c>
      <c r="BK132" s="167">
        <f t="shared" si="38"/>
        <v>98</v>
      </c>
      <c r="BL132" s="167"/>
      <c r="BM132" s="644"/>
      <c r="BN132" s="644"/>
      <c r="BO132" s="644"/>
      <c r="BP132" s="644"/>
      <c r="BQ132" s="644"/>
      <c r="BR132" s="644"/>
      <c r="BS132" s="644"/>
      <c r="BT132" s="644"/>
      <c r="BU132" s="644"/>
      <c r="BV132" s="644"/>
      <c r="BW132" s="644"/>
      <c r="BX132" s="644"/>
      <c r="BY132" s="644"/>
      <c r="BZ132" s="644"/>
      <c r="CA132" s="644"/>
      <c r="CB132" s="644"/>
      <c r="CC132" s="644"/>
      <c r="CD132" s="644"/>
      <c r="CE132" s="644"/>
      <c r="CF132" s="644"/>
      <c r="CG132" s="644"/>
      <c r="CH132" s="644"/>
      <c r="CI132" s="644"/>
      <c r="CJ132" s="301" t="s">
        <v>749</v>
      </c>
      <c r="CK132" s="180"/>
      <c r="CL132" s="136"/>
    </row>
    <row r="133" spans="1:90">
      <c r="A133" s="181" t="s">
        <v>262</v>
      </c>
      <c r="B133" s="182"/>
      <c r="C133" s="183"/>
      <c r="D133" s="184">
        <v>1</v>
      </c>
      <c r="E133" s="302">
        <v>1</v>
      </c>
      <c r="F133" s="184"/>
      <c r="G133" s="302">
        <v>1</v>
      </c>
      <c r="H133" s="182"/>
      <c r="I133" s="182"/>
      <c r="J133" s="182"/>
      <c r="K133" s="182"/>
      <c r="L133" s="182">
        <v>1</v>
      </c>
      <c r="M133" s="182"/>
      <c r="N133" s="182"/>
      <c r="O133" s="182">
        <v>1</v>
      </c>
      <c r="P133" s="182"/>
      <c r="Q133" s="182"/>
      <c r="R133" s="182"/>
      <c r="S133" s="182">
        <v>1</v>
      </c>
      <c r="T133" s="182"/>
      <c r="U133" s="182"/>
      <c r="V133" s="182"/>
      <c r="W133" s="182">
        <v>1</v>
      </c>
      <c r="X133" s="302">
        <v>1</v>
      </c>
      <c r="Y133" s="182">
        <v>1</v>
      </c>
      <c r="Z133" s="182"/>
      <c r="AA133" s="182"/>
      <c r="AB133" s="182"/>
      <c r="AC133" s="182"/>
      <c r="AD133" s="182">
        <v>1</v>
      </c>
      <c r="AE133" s="182"/>
      <c r="AF133" s="320"/>
      <c r="AG133" s="182"/>
      <c r="AH133" s="167">
        <v>10</v>
      </c>
      <c r="AI133" s="300" t="s">
        <v>868</v>
      </c>
      <c r="AJ133" s="186">
        <v>42353</v>
      </c>
      <c r="AK133" s="187"/>
      <c r="AL133" s="187">
        <f t="shared" si="64"/>
        <v>0</v>
      </c>
      <c r="AM133" s="187">
        <f t="shared" si="65"/>
        <v>13</v>
      </c>
      <c r="AN133" s="187">
        <f t="shared" si="66"/>
        <v>8</v>
      </c>
      <c r="AO133" s="187">
        <f t="shared" si="67"/>
        <v>8</v>
      </c>
      <c r="AP133" s="187">
        <f t="shared" si="68"/>
        <v>0</v>
      </c>
      <c r="AQ133" s="187">
        <f t="shared" si="69"/>
        <v>0</v>
      </c>
      <c r="AR133" s="187">
        <f t="shared" si="70"/>
        <v>0</v>
      </c>
      <c r="AS133" s="187">
        <f t="shared" si="71"/>
        <v>19</v>
      </c>
      <c r="AT133" s="187">
        <f t="shared" si="72"/>
        <v>13</v>
      </c>
      <c r="AU133" s="187">
        <f t="shared" si="73"/>
        <v>0</v>
      </c>
      <c r="AV133" s="187">
        <f t="shared" si="74"/>
        <v>0</v>
      </c>
      <c r="AW133" s="187">
        <f t="shared" si="75"/>
        <v>8</v>
      </c>
      <c r="AX133" s="187">
        <f t="shared" si="76"/>
        <v>0</v>
      </c>
      <c r="AY133" s="187">
        <f t="shared" si="77"/>
        <v>0</v>
      </c>
      <c r="AZ133" s="187">
        <f t="shared" si="78"/>
        <v>0</v>
      </c>
      <c r="BA133" s="187">
        <f t="shared" si="79"/>
        <v>16</v>
      </c>
      <c r="BB133" s="187">
        <f t="shared" si="80"/>
        <v>13</v>
      </c>
      <c r="BC133" s="187">
        <f t="shared" si="81"/>
        <v>10</v>
      </c>
      <c r="BD133" s="187">
        <f t="shared" si="82"/>
        <v>0</v>
      </c>
      <c r="BE133" s="187">
        <f t="shared" si="83"/>
        <v>0</v>
      </c>
      <c r="BF133" s="187">
        <f t="shared" si="84"/>
        <v>0</v>
      </c>
      <c r="BG133" s="187">
        <f t="shared" si="85"/>
        <v>8</v>
      </c>
      <c r="BH133" s="187">
        <f t="shared" si="86"/>
        <v>0</v>
      </c>
      <c r="BI133" s="187">
        <f t="shared" si="87"/>
        <v>0</v>
      </c>
      <c r="BJ133" s="273">
        <f t="shared" si="88"/>
        <v>100</v>
      </c>
      <c r="BK133" s="167">
        <f t="shared" si="38"/>
        <v>100</v>
      </c>
      <c r="BL133" s="167"/>
      <c r="BM133" s="644"/>
      <c r="BN133" s="644"/>
      <c r="BO133" s="644"/>
      <c r="BP133" s="644"/>
      <c r="BQ133" s="644"/>
      <c r="BR133" s="644"/>
      <c r="BS133" s="644"/>
      <c r="BT133" s="644"/>
      <c r="BU133" s="644"/>
      <c r="BV133" s="644"/>
      <c r="BW133" s="644"/>
      <c r="BX133" s="644"/>
      <c r="BY133" s="644"/>
      <c r="BZ133" s="644"/>
      <c r="CA133" s="644"/>
      <c r="CB133" s="644"/>
      <c r="CC133" s="644"/>
      <c r="CD133" s="644"/>
      <c r="CE133" s="644"/>
      <c r="CF133" s="644"/>
      <c r="CG133" s="644"/>
      <c r="CH133" s="644"/>
      <c r="CI133" s="644"/>
      <c r="CJ133" s="301" t="s">
        <v>749</v>
      </c>
      <c r="CK133" s="180"/>
      <c r="CL133" s="136"/>
    </row>
    <row r="134" spans="1:90">
      <c r="A134" s="331" t="s">
        <v>263</v>
      </c>
      <c r="B134" s="182"/>
      <c r="C134" s="183"/>
      <c r="D134" s="184">
        <v>1</v>
      </c>
      <c r="E134" s="182">
        <v>1</v>
      </c>
      <c r="F134" s="184"/>
      <c r="G134" s="182">
        <v>1</v>
      </c>
      <c r="H134" s="182"/>
      <c r="I134" s="182"/>
      <c r="J134" s="182"/>
      <c r="K134" s="182"/>
      <c r="L134" s="182">
        <v>1</v>
      </c>
      <c r="M134" s="182"/>
      <c r="N134" s="182"/>
      <c r="O134" s="182"/>
      <c r="P134" s="182"/>
      <c r="Q134" s="182"/>
      <c r="R134" s="182"/>
      <c r="S134" s="182">
        <v>1</v>
      </c>
      <c r="T134" s="182"/>
      <c r="U134" s="182"/>
      <c r="V134" s="182">
        <v>1</v>
      </c>
      <c r="W134" s="182">
        <v>1</v>
      </c>
      <c r="X134" s="182">
        <v>1</v>
      </c>
      <c r="Y134" s="182">
        <v>1</v>
      </c>
      <c r="Z134" s="182"/>
      <c r="AA134" s="182"/>
      <c r="AB134" s="182"/>
      <c r="AC134" s="182"/>
      <c r="AD134" s="182"/>
      <c r="AE134" s="182">
        <v>1</v>
      </c>
      <c r="AF134" s="182"/>
      <c r="AG134" s="182"/>
      <c r="AH134" s="339">
        <v>10</v>
      </c>
      <c r="AI134" s="300" t="s">
        <v>869</v>
      </c>
      <c r="AJ134" s="186">
        <v>42369</v>
      </c>
      <c r="AK134" s="187"/>
      <c r="AL134" s="187">
        <f t="shared" si="64"/>
        <v>0</v>
      </c>
      <c r="AM134" s="187">
        <f t="shared" si="65"/>
        <v>13</v>
      </c>
      <c r="AN134" s="187">
        <f t="shared" si="66"/>
        <v>8</v>
      </c>
      <c r="AO134" s="187">
        <f t="shared" si="67"/>
        <v>8</v>
      </c>
      <c r="AP134" s="187">
        <f t="shared" si="68"/>
        <v>0</v>
      </c>
      <c r="AQ134" s="187">
        <f t="shared" si="69"/>
        <v>0</v>
      </c>
      <c r="AR134" s="187">
        <f t="shared" si="70"/>
        <v>0</v>
      </c>
      <c r="AS134" s="187">
        <f t="shared" si="71"/>
        <v>19</v>
      </c>
      <c r="AT134" s="187">
        <f t="shared" si="72"/>
        <v>0</v>
      </c>
      <c r="AU134" s="187">
        <f t="shared" si="73"/>
        <v>0</v>
      </c>
      <c r="AV134" s="187">
        <f t="shared" si="74"/>
        <v>0</v>
      </c>
      <c r="AW134" s="187">
        <f t="shared" si="75"/>
        <v>8</v>
      </c>
      <c r="AX134" s="187">
        <f t="shared" si="76"/>
        <v>0</v>
      </c>
      <c r="AY134" s="187">
        <f t="shared" si="77"/>
        <v>0</v>
      </c>
      <c r="AZ134" s="187">
        <f t="shared" si="78"/>
        <v>8</v>
      </c>
      <c r="BA134" s="187">
        <f t="shared" si="79"/>
        <v>16</v>
      </c>
      <c r="BB134" s="187">
        <f t="shared" si="80"/>
        <v>13</v>
      </c>
      <c r="BC134" s="187">
        <f t="shared" si="81"/>
        <v>10</v>
      </c>
      <c r="BD134" s="187">
        <f t="shared" si="82"/>
        <v>0</v>
      </c>
      <c r="BE134" s="187">
        <f t="shared" si="83"/>
        <v>0</v>
      </c>
      <c r="BF134" s="187">
        <f t="shared" si="84"/>
        <v>0</v>
      </c>
      <c r="BG134" s="187">
        <f t="shared" si="85"/>
        <v>0</v>
      </c>
      <c r="BH134" s="187">
        <f t="shared" si="86"/>
        <v>2</v>
      </c>
      <c r="BI134" s="187">
        <f t="shared" si="87"/>
        <v>0</v>
      </c>
      <c r="BJ134" s="273">
        <f t="shared" si="88"/>
        <v>95</v>
      </c>
      <c r="BK134" s="167">
        <f t="shared" ref="BK134" si="113">BJ134</f>
        <v>95</v>
      </c>
      <c r="BL134" s="167"/>
      <c r="BM134" s="644"/>
      <c r="BN134" s="644"/>
      <c r="BO134" s="644"/>
      <c r="BP134" s="644"/>
      <c r="BQ134" s="644"/>
      <c r="BR134" s="644"/>
      <c r="BS134" s="644"/>
      <c r="BT134" s="644"/>
      <c r="BU134" s="644"/>
      <c r="BV134" s="644"/>
      <c r="BW134" s="644"/>
      <c r="BX134" s="644"/>
      <c r="BY134" s="644"/>
      <c r="BZ134" s="644"/>
      <c r="CA134" s="644"/>
      <c r="CB134" s="644"/>
      <c r="CC134" s="644"/>
      <c r="CD134" s="644"/>
      <c r="CE134" s="644"/>
      <c r="CF134" s="644"/>
      <c r="CG134" s="644"/>
      <c r="CH134" s="644"/>
      <c r="CI134" s="644"/>
      <c r="CJ134" s="301" t="s">
        <v>740</v>
      </c>
      <c r="CK134" s="180"/>
      <c r="CL134" s="136"/>
    </row>
    <row r="135" spans="1:90" s="344" customFormat="1">
      <c r="A135" s="335" t="s">
        <v>601</v>
      </c>
      <c r="B135" s="182"/>
      <c r="C135" s="183"/>
      <c r="D135" s="184">
        <v>1</v>
      </c>
      <c r="E135" s="182">
        <v>1</v>
      </c>
      <c r="F135" s="184"/>
      <c r="G135" s="182">
        <v>1</v>
      </c>
      <c r="H135" s="182"/>
      <c r="I135" s="182"/>
      <c r="J135" s="182"/>
      <c r="K135" s="182"/>
      <c r="L135" s="182">
        <v>1</v>
      </c>
      <c r="M135" s="182"/>
      <c r="N135" s="182"/>
      <c r="O135" s="182">
        <v>1</v>
      </c>
      <c r="P135" s="182"/>
      <c r="Q135" s="182">
        <v>1</v>
      </c>
      <c r="R135" s="182"/>
      <c r="S135" s="182"/>
      <c r="T135" s="182"/>
      <c r="U135" s="182">
        <v>1</v>
      </c>
      <c r="V135" s="182"/>
      <c r="W135" s="302">
        <v>1</v>
      </c>
      <c r="X135" s="302">
        <v>1</v>
      </c>
      <c r="Y135" s="182"/>
      <c r="Z135" s="182"/>
      <c r="AA135" s="182">
        <v>1</v>
      </c>
      <c r="AB135" s="182"/>
      <c r="AC135" s="182"/>
      <c r="AD135" s="182"/>
      <c r="AE135" s="182"/>
      <c r="AF135" s="182"/>
      <c r="AG135" s="182"/>
      <c r="AH135" s="339">
        <v>10</v>
      </c>
      <c r="AI135" s="340" t="s">
        <v>870</v>
      </c>
      <c r="AJ135" s="341">
        <v>42374</v>
      </c>
      <c r="AK135" s="187"/>
      <c r="AL135" s="187">
        <f t="shared" si="64"/>
        <v>0</v>
      </c>
      <c r="AM135" s="187">
        <f t="shared" si="65"/>
        <v>13</v>
      </c>
      <c r="AN135" s="187">
        <f t="shared" si="66"/>
        <v>8</v>
      </c>
      <c r="AO135" s="187">
        <f t="shared" si="67"/>
        <v>8</v>
      </c>
      <c r="AP135" s="187">
        <f t="shared" si="68"/>
        <v>0</v>
      </c>
      <c r="AQ135" s="187">
        <f t="shared" si="69"/>
        <v>0</v>
      </c>
      <c r="AR135" s="187">
        <f t="shared" si="70"/>
        <v>0</v>
      </c>
      <c r="AS135" s="187">
        <f t="shared" si="71"/>
        <v>19</v>
      </c>
      <c r="AT135" s="187">
        <f t="shared" si="72"/>
        <v>13</v>
      </c>
      <c r="AU135" s="187">
        <f t="shared" si="73"/>
        <v>0</v>
      </c>
      <c r="AV135" s="187">
        <f t="shared" si="74"/>
        <v>3</v>
      </c>
      <c r="AW135" s="187">
        <f t="shared" si="75"/>
        <v>0</v>
      </c>
      <c r="AX135" s="187">
        <f t="shared" si="76"/>
        <v>0</v>
      </c>
      <c r="AY135" s="187">
        <f t="shared" si="77"/>
        <v>2</v>
      </c>
      <c r="AZ135" s="187">
        <f t="shared" si="78"/>
        <v>0</v>
      </c>
      <c r="BA135" s="187">
        <f t="shared" si="79"/>
        <v>16</v>
      </c>
      <c r="BB135" s="187">
        <f t="shared" si="80"/>
        <v>13</v>
      </c>
      <c r="BC135" s="187">
        <f t="shared" si="81"/>
        <v>0</v>
      </c>
      <c r="BD135" s="187">
        <f t="shared" si="82"/>
        <v>0</v>
      </c>
      <c r="BE135" s="187">
        <f t="shared" si="83"/>
        <v>6</v>
      </c>
      <c r="BF135" s="187">
        <f t="shared" si="84"/>
        <v>0</v>
      </c>
      <c r="BG135" s="187">
        <f t="shared" si="85"/>
        <v>0</v>
      </c>
      <c r="BH135" s="187">
        <f t="shared" si="86"/>
        <v>0</v>
      </c>
      <c r="BI135" s="187">
        <f t="shared" si="87"/>
        <v>0</v>
      </c>
      <c r="BJ135" s="273">
        <f t="shared" si="88"/>
        <v>96</v>
      </c>
      <c r="BK135" s="167">
        <f t="shared" ref="BK135" si="114">BJ135</f>
        <v>96</v>
      </c>
      <c r="BL135" s="167"/>
      <c r="BM135" s="644"/>
      <c r="BN135" s="644"/>
      <c r="BO135" s="644"/>
      <c r="BP135" s="644"/>
      <c r="BQ135" s="644"/>
      <c r="BR135" s="644"/>
      <c r="BS135" s="644"/>
      <c r="BT135" s="644"/>
      <c r="BU135" s="644"/>
      <c r="BV135" s="644"/>
      <c r="BW135" s="644"/>
      <c r="BX135" s="644"/>
      <c r="BY135" s="644"/>
      <c r="BZ135" s="644"/>
      <c r="CA135" s="644"/>
      <c r="CB135" s="644"/>
      <c r="CC135" s="644"/>
      <c r="CD135" s="644"/>
      <c r="CE135" s="644"/>
      <c r="CF135" s="644"/>
      <c r="CG135" s="644"/>
      <c r="CH135" s="644"/>
      <c r="CI135" s="644"/>
      <c r="CJ135" s="301" t="s">
        <v>740</v>
      </c>
      <c r="CK135" s="342"/>
      <c r="CL135" s="343"/>
    </row>
    <row r="136" spans="1:90">
      <c r="A136" s="181" t="s">
        <v>871</v>
      </c>
      <c r="B136" s="182"/>
      <c r="C136" s="183"/>
      <c r="D136" s="184">
        <v>1</v>
      </c>
      <c r="E136" s="182">
        <v>1</v>
      </c>
      <c r="F136" s="182"/>
      <c r="G136" s="182">
        <v>1</v>
      </c>
      <c r="H136" s="182"/>
      <c r="I136" s="182"/>
      <c r="J136" s="182"/>
      <c r="K136" s="182"/>
      <c r="L136" s="182">
        <v>1</v>
      </c>
      <c r="M136" s="182"/>
      <c r="N136" s="182"/>
      <c r="O136" s="182">
        <v>1</v>
      </c>
      <c r="P136" s="182"/>
      <c r="Q136" s="182"/>
      <c r="R136" s="182"/>
      <c r="S136" s="302">
        <v>1</v>
      </c>
      <c r="T136" s="182"/>
      <c r="U136" s="182"/>
      <c r="V136" s="302">
        <v>1</v>
      </c>
      <c r="W136" s="182">
        <v>1</v>
      </c>
      <c r="X136" s="182">
        <v>1</v>
      </c>
      <c r="Y136" s="182">
        <v>1</v>
      </c>
      <c r="Z136" s="182"/>
      <c r="AA136" s="182"/>
      <c r="AB136" s="182"/>
      <c r="AC136" s="182"/>
      <c r="AD136" s="182"/>
      <c r="AE136" s="182"/>
      <c r="AF136" s="182"/>
      <c r="AG136" s="182"/>
      <c r="AH136" s="167">
        <v>10</v>
      </c>
      <c r="AI136" s="300" t="s">
        <v>872</v>
      </c>
      <c r="AJ136" s="186">
        <v>42359</v>
      </c>
      <c r="AK136" s="187"/>
      <c r="AL136" s="187">
        <f t="shared" si="64"/>
        <v>0</v>
      </c>
      <c r="AM136" s="187">
        <f t="shared" si="65"/>
        <v>13</v>
      </c>
      <c r="AN136" s="187">
        <f t="shared" si="66"/>
        <v>8</v>
      </c>
      <c r="AO136" s="187">
        <f t="shared" si="67"/>
        <v>8</v>
      </c>
      <c r="AP136" s="187">
        <f t="shared" si="68"/>
        <v>0</v>
      </c>
      <c r="AQ136" s="187">
        <f t="shared" si="69"/>
        <v>0</v>
      </c>
      <c r="AR136" s="187">
        <f t="shared" si="70"/>
        <v>0</v>
      </c>
      <c r="AS136" s="187">
        <f t="shared" si="71"/>
        <v>19</v>
      </c>
      <c r="AT136" s="187">
        <f t="shared" si="72"/>
        <v>13</v>
      </c>
      <c r="AU136" s="187">
        <f t="shared" si="73"/>
        <v>0</v>
      </c>
      <c r="AV136" s="187">
        <f t="shared" si="74"/>
        <v>0</v>
      </c>
      <c r="AW136" s="187">
        <f t="shared" si="75"/>
        <v>8</v>
      </c>
      <c r="AX136" s="187">
        <f t="shared" si="76"/>
        <v>0</v>
      </c>
      <c r="AY136" s="187">
        <f t="shared" si="77"/>
        <v>0</v>
      </c>
      <c r="AZ136" s="187">
        <f t="shared" si="78"/>
        <v>8</v>
      </c>
      <c r="BA136" s="187">
        <f t="shared" si="79"/>
        <v>16</v>
      </c>
      <c r="BB136" s="187">
        <f t="shared" si="80"/>
        <v>13</v>
      </c>
      <c r="BC136" s="187">
        <f t="shared" si="81"/>
        <v>10</v>
      </c>
      <c r="BD136" s="187">
        <f t="shared" si="82"/>
        <v>0</v>
      </c>
      <c r="BE136" s="187">
        <f t="shared" si="83"/>
        <v>0</v>
      </c>
      <c r="BF136" s="187">
        <f t="shared" si="84"/>
        <v>0</v>
      </c>
      <c r="BG136" s="187">
        <f t="shared" si="85"/>
        <v>0</v>
      </c>
      <c r="BH136" s="187">
        <f t="shared" si="86"/>
        <v>0</v>
      </c>
      <c r="BI136" s="187">
        <f t="shared" si="87"/>
        <v>0</v>
      </c>
      <c r="BJ136" s="273">
        <f t="shared" si="88"/>
        <v>100</v>
      </c>
      <c r="BK136" s="167">
        <f t="shared" ref="BK136" si="115">BJ136</f>
        <v>100</v>
      </c>
      <c r="BL136" s="167"/>
      <c r="BM136" s="644"/>
      <c r="BN136" s="644"/>
      <c r="BO136" s="644"/>
      <c r="BP136" s="644"/>
      <c r="BQ136" s="644"/>
      <c r="BR136" s="644"/>
      <c r="BS136" s="644"/>
      <c r="BT136" s="644"/>
      <c r="BU136" s="644"/>
      <c r="BV136" s="644"/>
      <c r="BW136" s="644"/>
      <c r="BX136" s="644"/>
      <c r="BY136" s="644"/>
      <c r="BZ136" s="644"/>
      <c r="CA136" s="644"/>
      <c r="CB136" s="644"/>
      <c r="CC136" s="644"/>
      <c r="CD136" s="644"/>
      <c r="CE136" s="644"/>
      <c r="CF136" s="644"/>
      <c r="CG136" s="644"/>
      <c r="CH136" s="644"/>
      <c r="CI136" s="644"/>
      <c r="CJ136" s="301" t="s">
        <v>756</v>
      </c>
      <c r="CK136" s="180"/>
      <c r="CL136" s="136"/>
    </row>
    <row r="137" spans="1:90">
      <c r="A137" s="181" t="s">
        <v>269</v>
      </c>
      <c r="B137" s="182"/>
      <c r="C137" s="183"/>
      <c r="D137" s="184">
        <v>1</v>
      </c>
      <c r="E137" s="184">
        <v>1</v>
      </c>
      <c r="F137" s="184"/>
      <c r="G137" s="184">
        <v>1</v>
      </c>
      <c r="H137" s="182"/>
      <c r="I137" s="182"/>
      <c r="J137" s="182"/>
      <c r="K137" s="182"/>
      <c r="L137" s="182">
        <v>1</v>
      </c>
      <c r="M137" s="182"/>
      <c r="N137" s="182"/>
      <c r="O137" s="182"/>
      <c r="P137" s="182"/>
      <c r="Q137" s="182"/>
      <c r="R137" s="182"/>
      <c r="S137" s="182"/>
      <c r="T137" s="182"/>
      <c r="U137" s="182"/>
      <c r="V137" s="182"/>
      <c r="W137" s="182">
        <v>1</v>
      </c>
      <c r="X137" s="182">
        <v>1</v>
      </c>
      <c r="Y137" s="182"/>
      <c r="Z137" s="182"/>
      <c r="AA137" s="182"/>
      <c r="AB137" s="182">
        <v>1</v>
      </c>
      <c r="AC137" s="182"/>
      <c r="AD137" s="182"/>
      <c r="AE137" s="182"/>
      <c r="AF137" s="182"/>
      <c r="AG137" s="182"/>
      <c r="AH137" s="167">
        <v>7</v>
      </c>
      <c r="AI137" s="300" t="s">
        <v>873</v>
      </c>
      <c r="AJ137" s="186">
        <v>42335</v>
      </c>
      <c r="AK137" s="187"/>
      <c r="AL137" s="187">
        <f t="shared" si="64"/>
        <v>0</v>
      </c>
      <c r="AM137" s="187">
        <f t="shared" si="65"/>
        <v>13</v>
      </c>
      <c r="AN137" s="187">
        <f t="shared" si="66"/>
        <v>8</v>
      </c>
      <c r="AO137" s="187">
        <f t="shared" si="67"/>
        <v>8</v>
      </c>
      <c r="AP137" s="187">
        <f t="shared" si="68"/>
        <v>0</v>
      </c>
      <c r="AQ137" s="187">
        <f t="shared" si="69"/>
        <v>0</v>
      </c>
      <c r="AR137" s="187">
        <f t="shared" si="70"/>
        <v>0</v>
      </c>
      <c r="AS137" s="187">
        <f t="shared" si="71"/>
        <v>19</v>
      </c>
      <c r="AT137" s="187">
        <f t="shared" si="72"/>
        <v>0</v>
      </c>
      <c r="AU137" s="187">
        <f t="shared" si="73"/>
        <v>0</v>
      </c>
      <c r="AV137" s="187">
        <f t="shared" si="74"/>
        <v>0</v>
      </c>
      <c r="AW137" s="187">
        <f t="shared" si="75"/>
        <v>0</v>
      </c>
      <c r="AX137" s="187">
        <f t="shared" si="76"/>
        <v>0</v>
      </c>
      <c r="AY137" s="187">
        <f t="shared" si="77"/>
        <v>0</v>
      </c>
      <c r="AZ137" s="187">
        <f t="shared" si="78"/>
        <v>0</v>
      </c>
      <c r="BA137" s="187">
        <f t="shared" si="79"/>
        <v>16</v>
      </c>
      <c r="BB137" s="187">
        <f t="shared" si="80"/>
        <v>13</v>
      </c>
      <c r="BC137" s="187">
        <f t="shared" si="81"/>
        <v>0</v>
      </c>
      <c r="BD137" s="187">
        <f t="shared" si="82"/>
        <v>0</v>
      </c>
      <c r="BE137" s="187">
        <f t="shared" si="83"/>
        <v>0</v>
      </c>
      <c r="BF137" s="187">
        <f t="shared" si="84"/>
        <v>1</v>
      </c>
      <c r="BG137" s="187">
        <f t="shared" si="85"/>
        <v>0</v>
      </c>
      <c r="BH137" s="187">
        <f t="shared" si="86"/>
        <v>0</v>
      </c>
      <c r="BI137" s="187">
        <f t="shared" si="87"/>
        <v>0</v>
      </c>
      <c r="BJ137" s="273">
        <f t="shared" si="88"/>
        <v>78</v>
      </c>
      <c r="BK137" s="167">
        <f t="shared" si="38"/>
        <v>78</v>
      </c>
      <c r="BL137" s="167"/>
      <c r="BM137" s="644"/>
      <c r="BN137" s="644"/>
      <c r="BO137" s="644"/>
      <c r="BP137" s="644"/>
      <c r="BQ137" s="644"/>
      <c r="BR137" s="644"/>
      <c r="BS137" s="644"/>
      <c r="BT137" s="644"/>
      <c r="BU137" s="644"/>
      <c r="BV137" s="644"/>
      <c r="BW137" s="644"/>
      <c r="BX137" s="644"/>
      <c r="BY137" s="644"/>
      <c r="BZ137" s="644"/>
      <c r="CA137" s="644"/>
      <c r="CB137" s="644"/>
      <c r="CC137" s="644"/>
      <c r="CD137" s="644"/>
      <c r="CE137" s="644"/>
      <c r="CF137" s="644"/>
      <c r="CG137" s="644"/>
      <c r="CH137" s="644"/>
      <c r="CI137" s="644"/>
      <c r="CJ137" s="301" t="s">
        <v>814</v>
      </c>
      <c r="CK137" s="180"/>
      <c r="CL137" s="136"/>
    </row>
    <row r="138" spans="1:90">
      <c r="A138" s="181" t="s">
        <v>271</v>
      </c>
      <c r="B138" s="182"/>
      <c r="C138" s="183"/>
      <c r="D138" s="184">
        <v>1</v>
      </c>
      <c r="E138" s="184"/>
      <c r="F138" s="184"/>
      <c r="G138" s="184"/>
      <c r="H138" s="182"/>
      <c r="I138" s="182"/>
      <c r="J138" s="182"/>
      <c r="K138" s="182"/>
      <c r="L138" s="182">
        <v>1</v>
      </c>
      <c r="M138" s="182"/>
      <c r="N138" s="182"/>
      <c r="O138" s="182">
        <v>1</v>
      </c>
      <c r="P138" s="182"/>
      <c r="Q138" s="182"/>
      <c r="R138" s="182"/>
      <c r="S138" s="302">
        <v>1</v>
      </c>
      <c r="T138" s="182">
        <v>1</v>
      </c>
      <c r="U138" s="182"/>
      <c r="V138" s="182">
        <v>1</v>
      </c>
      <c r="W138" s="182">
        <v>1</v>
      </c>
      <c r="X138" s="182"/>
      <c r="Y138" s="302">
        <v>1</v>
      </c>
      <c r="Z138" s="182"/>
      <c r="AA138" s="182"/>
      <c r="AB138" s="182"/>
      <c r="AC138" s="182"/>
      <c r="AD138" s="182">
        <v>1</v>
      </c>
      <c r="AE138" s="182"/>
      <c r="AF138" s="182"/>
      <c r="AG138" s="182"/>
      <c r="AH138" s="167">
        <v>9</v>
      </c>
      <c r="AI138" s="300" t="s">
        <v>874</v>
      </c>
      <c r="AJ138" s="186">
        <v>42324</v>
      </c>
      <c r="AK138" s="187"/>
      <c r="AL138" s="187">
        <f t="shared" si="64"/>
        <v>0</v>
      </c>
      <c r="AM138" s="187">
        <f t="shared" si="65"/>
        <v>13</v>
      </c>
      <c r="AN138" s="187">
        <f t="shared" si="66"/>
        <v>0</v>
      </c>
      <c r="AO138" s="187">
        <f t="shared" si="67"/>
        <v>0</v>
      </c>
      <c r="AP138" s="187">
        <f t="shared" si="68"/>
        <v>0</v>
      </c>
      <c r="AQ138" s="187">
        <f t="shared" si="69"/>
        <v>0</v>
      </c>
      <c r="AR138" s="187">
        <f t="shared" si="70"/>
        <v>0</v>
      </c>
      <c r="AS138" s="187">
        <f t="shared" si="71"/>
        <v>19</v>
      </c>
      <c r="AT138" s="187">
        <f t="shared" si="72"/>
        <v>13</v>
      </c>
      <c r="AU138" s="187">
        <f t="shared" si="73"/>
        <v>0</v>
      </c>
      <c r="AV138" s="187">
        <f t="shared" si="74"/>
        <v>0</v>
      </c>
      <c r="AW138" s="187">
        <f t="shared" si="75"/>
        <v>8</v>
      </c>
      <c r="AX138" s="187">
        <f t="shared" si="76"/>
        <v>4</v>
      </c>
      <c r="AY138" s="187">
        <f t="shared" si="77"/>
        <v>0</v>
      </c>
      <c r="AZ138" s="187">
        <f t="shared" si="78"/>
        <v>8</v>
      </c>
      <c r="BA138" s="187">
        <f t="shared" si="79"/>
        <v>16</v>
      </c>
      <c r="BB138" s="187">
        <f t="shared" si="80"/>
        <v>0</v>
      </c>
      <c r="BC138" s="187">
        <f t="shared" si="81"/>
        <v>10</v>
      </c>
      <c r="BD138" s="187">
        <f t="shared" si="82"/>
        <v>0</v>
      </c>
      <c r="BE138" s="187">
        <f t="shared" si="83"/>
        <v>0</v>
      </c>
      <c r="BF138" s="187">
        <f t="shared" si="84"/>
        <v>0</v>
      </c>
      <c r="BG138" s="187">
        <f t="shared" si="85"/>
        <v>8</v>
      </c>
      <c r="BH138" s="187">
        <f t="shared" si="86"/>
        <v>0</v>
      </c>
      <c r="BI138" s="187">
        <f t="shared" si="87"/>
        <v>0</v>
      </c>
      <c r="BJ138" s="273">
        <f t="shared" si="88"/>
        <v>95</v>
      </c>
      <c r="BK138" s="167">
        <f t="shared" si="38"/>
        <v>95</v>
      </c>
      <c r="BL138" s="167"/>
      <c r="BM138" s="644"/>
      <c r="BN138" s="644"/>
      <c r="BO138" s="644"/>
      <c r="BP138" s="644"/>
      <c r="BQ138" s="644"/>
      <c r="BR138" s="644"/>
      <c r="BS138" s="644"/>
      <c r="BT138" s="644"/>
      <c r="BU138" s="644"/>
      <c r="BV138" s="644"/>
      <c r="BW138" s="644"/>
      <c r="BX138" s="644"/>
      <c r="BY138" s="644"/>
      <c r="BZ138" s="644"/>
      <c r="CA138" s="644"/>
      <c r="CB138" s="644"/>
      <c r="CC138" s="644"/>
      <c r="CD138" s="644"/>
      <c r="CE138" s="644"/>
      <c r="CF138" s="644"/>
      <c r="CG138" s="644"/>
      <c r="CH138" s="644"/>
      <c r="CI138" s="644"/>
      <c r="CJ138" s="301" t="s">
        <v>749</v>
      </c>
      <c r="CK138" s="180"/>
      <c r="CL138" s="136"/>
    </row>
    <row r="139" spans="1:90">
      <c r="A139" s="181" t="s">
        <v>272</v>
      </c>
      <c r="B139" s="182"/>
      <c r="C139" s="183"/>
      <c r="D139" s="314">
        <v>1</v>
      </c>
      <c r="E139" s="184">
        <v>1</v>
      </c>
      <c r="F139" s="184"/>
      <c r="G139" s="184">
        <v>1</v>
      </c>
      <c r="H139" s="182"/>
      <c r="I139" s="182"/>
      <c r="J139" s="182"/>
      <c r="K139" s="182"/>
      <c r="L139" s="182">
        <v>1</v>
      </c>
      <c r="M139" s="182"/>
      <c r="N139" s="182"/>
      <c r="O139" s="182">
        <v>1</v>
      </c>
      <c r="P139" s="182"/>
      <c r="Q139" s="182"/>
      <c r="R139" s="182"/>
      <c r="S139" s="182"/>
      <c r="T139" s="182"/>
      <c r="U139" s="182">
        <v>1</v>
      </c>
      <c r="V139" s="182"/>
      <c r="W139" s="182">
        <v>1</v>
      </c>
      <c r="X139" s="182"/>
      <c r="Y139" s="182">
        <v>1</v>
      </c>
      <c r="Z139" s="302">
        <v>1</v>
      </c>
      <c r="AA139" s="182"/>
      <c r="AB139" s="182">
        <v>1</v>
      </c>
      <c r="AC139" s="182"/>
      <c r="AD139" s="182"/>
      <c r="AE139" s="182"/>
      <c r="AF139" s="182"/>
      <c r="AG139" s="182"/>
      <c r="AH139" s="167">
        <v>10</v>
      </c>
      <c r="AI139" s="300" t="s">
        <v>875</v>
      </c>
      <c r="AJ139" s="186">
        <v>42373</v>
      </c>
      <c r="AK139" s="187"/>
      <c r="AL139" s="187">
        <f t="shared" si="64"/>
        <v>0</v>
      </c>
      <c r="AM139" s="187">
        <f t="shared" si="65"/>
        <v>13</v>
      </c>
      <c r="AN139" s="187">
        <f t="shared" si="66"/>
        <v>8</v>
      </c>
      <c r="AO139" s="187">
        <f t="shared" si="67"/>
        <v>8</v>
      </c>
      <c r="AP139" s="187">
        <f t="shared" si="68"/>
        <v>0</v>
      </c>
      <c r="AQ139" s="187">
        <f t="shared" si="69"/>
        <v>0</v>
      </c>
      <c r="AR139" s="187">
        <f t="shared" si="70"/>
        <v>0</v>
      </c>
      <c r="AS139" s="187">
        <f t="shared" si="71"/>
        <v>19</v>
      </c>
      <c r="AT139" s="187">
        <f t="shared" si="72"/>
        <v>13</v>
      </c>
      <c r="AU139" s="187">
        <f t="shared" si="73"/>
        <v>0</v>
      </c>
      <c r="AV139" s="187">
        <f t="shared" si="74"/>
        <v>0</v>
      </c>
      <c r="AW139" s="187">
        <f t="shared" si="75"/>
        <v>0</v>
      </c>
      <c r="AX139" s="187">
        <f t="shared" si="76"/>
        <v>0</v>
      </c>
      <c r="AY139" s="187">
        <f t="shared" si="77"/>
        <v>2</v>
      </c>
      <c r="AZ139" s="187">
        <f t="shared" si="78"/>
        <v>0</v>
      </c>
      <c r="BA139" s="187">
        <f t="shared" si="79"/>
        <v>16</v>
      </c>
      <c r="BB139" s="187">
        <f t="shared" si="80"/>
        <v>0</v>
      </c>
      <c r="BC139" s="187">
        <f t="shared" si="81"/>
        <v>10</v>
      </c>
      <c r="BD139" s="187">
        <f t="shared" si="82"/>
        <v>2</v>
      </c>
      <c r="BE139" s="187">
        <f t="shared" si="83"/>
        <v>0</v>
      </c>
      <c r="BF139" s="187">
        <f t="shared" si="84"/>
        <v>1</v>
      </c>
      <c r="BG139" s="187">
        <f t="shared" si="85"/>
        <v>0</v>
      </c>
      <c r="BH139" s="187">
        <f t="shared" si="86"/>
        <v>0</v>
      </c>
      <c r="BI139" s="187">
        <f t="shared" si="87"/>
        <v>0</v>
      </c>
      <c r="BJ139" s="273">
        <f t="shared" si="88"/>
        <v>89</v>
      </c>
      <c r="BK139" s="167">
        <f t="shared" ref="BK139" si="116">BJ139</f>
        <v>89</v>
      </c>
      <c r="BL139" s="167"/>
      <c r="BM139" s="644"/>
      <c r="BN139" s="644"/>
      <c r="BO139" s="644"/>
      <c r="BP139" s="644"/>
      <c r="BQ139" s="644"/>
      <c r="BR139" s="644"/>
      <c r="BS139" s="644"/>
      <c r="BT139" s="644"/>
      <c r="BU139" s="644"/>
      <c r="BV139" s="644"/>
      <c r="BW139" s="644"/>
      <c r="BX139" s="644"/>
      <c r="BY139" s="644"/>
      <c r="BZ139" s="644"/>
      <c r="CA139" s="644"/>
      <c r="CB139" s="644"/>
      <c r="CC139" s="644"/>
      <c r="CD139" s="644"/>
      <c r="CE139" s="644"/>
      <c r="CF139" s="644"/>
      <c r="CG139" s="644"/>
      <c r="CH139" s="644"/>
      <c r="CI139" s="644"/>
      <c r="CJ139" s="301" t="s">
        <v>769</v>
      </c>
      <c r="CK139" s="180"/>
      <c r="CL139" s="136"/>
    </row>
    <row r="140" spans="1:90" s="344" customFormat="1">
      <c r="A140" s="335" t="s">
        <v>273</v>
      </c>
      <c r="B140" s="182"/>
      <c r="C140" s="183"/>
      <c r="D140" s="184">
        <v>1</v>
      </c>
      <c r="E140" s="184">
        <v>1</v>
      </c>
      <c r="F140" s="184"/>
      <c r="G140" s="184">
        <v>1</v>
      </c>
      <c r="H140" s="182"/>
      <c r="I140" s="182"/>
      <c r="J140" s="182"/>
      <c r="K140" s="182"/>
      <c r="L140" s="182">
        <v>1</v>
      </c>
      <c r="M140" s="182"/>
      <c r="N140" s="182"/>
      <c r="O140" s="182">
        <v>1</v>
      </c>
      <c r="P140" s="182"/>
      <c r="Q140" s="182"/>
      <c r="R140" s="182"/>
      <c r="S140" s="302">
        <v>1</v>
      </c>
      <c r="T140" s="182"/>
      <c r="U140" s="182"/>
      <c r="V140" s="182"/>
      <c r="W140" s="182">
        <v>1</v>
      </c>
      <c r="X140" s="182">
        <v>1</v>
      </c>
      <c r="Y140" s="182">
        <v>1</v>
      </c>
      <c r="Z140" s="182"/>
      <c r="AA140" s="302">
        <v>1</v>
      </c>
      <c r="AB140" s="182"/>
      <c r="AC140" s="182"/>
      <c r="AD140" s="182"/>
      <c r="AE140" s="182"/>
      <c r="AF140" s="182"/>
      <c r="AG140" s="182"/>
      <c r="AH140" s="339">
        <v>10</v>
      </c>
      <c r="AI140" s="340" t="s">
        <v>876</v>
      </c>
      <c r="AJ140" s="341">
        <v>42375</v>
      </c>
      <c r="AK140" s="187"/>
      <c r="AL140" s="187">
        <f t="shared" si="64"/>
        <v>0</v>
      </c>
      <c r="AM140" s="187">
        <f t="shared" si="65"/>
        <v>13</v>
      </c>
      <c r="AN140" s="187">
        <f t="shared" si="66"/>
        <v>8</v>
      </c>
      <c r="AO140" s="187">
        <f t="shared" si="67"/>
        <v>8</v>
      </c>
      <c r="AP140" s="187">
        <f t="shared" si="68"/>
        <v>0</v>
      </c>
      <c r="AQ140" s="187">
        <f t="shared" si="69"/>
        <v>0</v>
      </c>
      <c r="AR140" s="187">
        <f t="shared" si="70"/>
        <v>0</v>
      </c>
      <c r="AS140" s="187">
        <f t="shared" si="71"/>
        <v>19</v>
      </c>
      <c r="AT140" s="187">
        <f t="shared" si="72"/>
        <v>13</v>
      </c>
      <c r="AU140" s="187">
        <f t="shared" si="73"/>
        <v>0</v>
      </c>
      <c r="AV140" s="187">
        <f t="shared" si="74"/>
        <v>0</v>
      </c>
      <c r="AW140" s="187">
        <f t="shared" si="75"/>
        <v>8</v>
      </c>
      <c r="AX140" s="187">
        <f t="shared" si="76"/>
        <v>0</v>
      </c>
      <c r="AY140" s="187">
        <f t="shared" si="77"/>
        <v>0</v>
      </c>
      <c r="AZ140" s="187">
        <f t="shared" si="78"/>
        <v>0</v>
      </c>
      <c r="BA140" s="187">
        <f t="shared" si="79"/>
        <v>16</v>
      </c>
      <c r="BB140" s="187">
        <f t="shared" si="80"/>
        <v>13</v>
      </c>
      <c r="BC140" s="187">
        <f t="shared" si="81"/>
        <v>10</v>
      </c>
      <c r="BD140" s="187">
        <f t="shared" si="82"/>
        <v>0</v>
      </c>
      <c r="BE140" s="187">
        <f t="shared" si="83"/>
        <v>6</v>
      </c>
      <c r="BF140" s="187">
        <f t="shared" si="84"/>
        <v>0</v>
      </c>
      <c r="BG140" s="187">
        <f t="shared" si="85"/>
        <v>0</v>
      </c>
      <c r="BH140" s="187">
        <f t="shared" si="86"/>
        <v>0</v>
      </c>
      <c r="BI140" s="187">
        <f t="shared" si="87"/>
        <v>0</v>
      </c>
      <c r="BJ140" s="273">
        <f t="shared" si="88"/>
        <v>100</v>
      </c>
      <c r="BK140" s="167">
        <f t="shared" ref="BK140" si="117">BJ140</f>
        <v>100</v>
      </c>
      <c r="BL140" s="167"/>
      <c r="BM140" s="644"/>
      <c r="BN140" s="644"/>
      <c r="BO140" s="644"/>
      <c r="BP140" s="644"/>
      <c r="BQ140" s="644"/>
      <c r="BR140" s="644"/>
      <c r="BS140" s="644"/>
      <c r="BT140" s="644"/>
      <c r="BU140" s="644"/>
      <c r="BV140" s="644"/>
      <c r="BW140" s="644"/>
      <c r="BX140" s="644"/>
      <c r="BY140" s="644"/>
      <c r="BZ140" s="644"/>
      <c r="CA140" s="644"/>
      <c r="CB140" s="644"/>
      <c r="CC140" s="644"/>
      <c r="CD140" s="644"/>
      <c r="CE140" s="644"/>
      <c r="CF140" s="644"/>
      <c r="CG140" s="644"/>
      <c r="CH140" s="644"/>
      <c r="CI140" s="644"/>
      <c r="CJ140" s="301"/>
      <c r="CK140" s="342"/>
      <c r="CL140" s="343"/>
    </row>
    <row r="141" spans="1:90" s="344" customFormat="1">
      <c r="A141" s="335" t="s">
        <v>274</v>
      </c>
      <c r="B141" s="182"/>
      <c r="C141" s="183"/>
      <c r="D141" s="184">
        <v>1</v>
      </c>
      <c r="E141" s="184">
        <v>1</v>
      </c>
      <c r="F141" s="184"/>
      <c r="G141" s="184">
        <v>1</v>
      </c>
      <c r="H141" s="182"/>
      <c r="I141" s="182"/>
      <c r="J141" s="182"/>
      <c r="K141" s="182"/>
      <c r="L141" s="182">
        <v>1</v>
      </c>
      <c r="M141" s="182"/>
      <c r="N141" s="182"/>
      <c r="O141" s="182">
        <v>1</v>
      </c>
      <c r="P141" s="182"/>
      <c r="Q141" s="182"/>
      <c r="R141" s="182"/>
      <c r="S141" s="182"/>
      <c r="T141" s="182"/>
      <c r="U141" s="182"/>
      <c r="V141" s="182"/>
      <c r="W141" s="182">
        <v>1</v>
      </c>
      <c r="X141" s="302">
        <v>1</v>
      </c>
      <c r="Y141" s="182"/>
      <c r="Z141" s="320"/>
      <c r="AA141" s="182"/>
      <c r="AB141" s="182"/>
      <c r="AC141" s="182"/>
      <c r="AD141" s="182">
        <v>1</v>
      </c>
      <c r="AE141" s="182"/>
      <c r="AF141" s="182">
        <v>1</v>
      </c>
      <c r="AG141" s="182"/>
      <c r="AH141" s="339">
        <v>9</v>
      </c>
      <c r="AI141" s="340" t="s">
        <v>877</v>
      </c>
      <c r="AJ141" s="341">
        <v>42375</v>
      </c>
      <c r="AK141" s="187"/>
      <c r="AL141" s="187">
        <f t="shared" si="64"/>
        <v>0</v>
      </c>
      <c r="AM141" s="187">
        <f t="shared" si="65"/>
        <v>13</v>
      </c>
      <c r="AN141" s="187">
        <f t="shared" si="66"/>
        <v>8</v>
      </c>
      <c r="AO141" s="187">
        <f t="shared" si="67"/>
        <v>8</v>
      </c>
      <c r="AP141" s="187">
        <f t="shared" si="68"/>
        <v>0</v>
      </c>
      <c r="AQ141" s="187">
        <f t="shared" si="69"/>
        <v>0</v>
      </c>
      <c r="AR141" s="187">
        <f t="shared" si="70"/>
        <v>0</v>
      </c>
      <c r="AS141" s="187">
        <f t="shared" si="71"/>
        <v>19</v>
      </c>
      <c r="AT141" s="187">
        <f t="shared" si="72"/>
        <v>13</v>
      </c>
      <c r="AU141" s="187">
        <f t="shared" si="73"/>
        <v>0</v>
      </c>
      <c r="AV141" s="187">
        <f t="shared" si="74"/>
        <v>0</v>
      </c>
      <c r="AW141" s="187">
        <f t="shared" si="75"/>
        <v>0</v>
      </c>
      <c r="AX141" s="187">
        <f t="shared" si="76"/>
        <v>0</v>
      </c>
      <c r="AY141" s="187">
        <f t="shared" si="77"/>
        <v>0</v>
      </c>
      <c r="AZ141" s="187">
        <f t="shared" si="78"/>
        <v>0</v>
      </c>
      <c r="BA141" s="187">
        <f t="shared" si="79"/>
        <v>16</v>
      </c>
      <c r="BB141" s="187">
        <f t="shared" si="80"/>
        <v>13</v>
      </c>
      <c r="BC141" s="187">
        <f t="shared" si="81"/>
        <v>0</v>
      </c>
      <c r="BD141" s="187">
        <f t="shared" si="82"/>
        <v>0</v>
      </c>
      <c r="BE141" s="187">
        <f t="shared" si="83"/>
        <v>0</v>
      </c>
      <c r="BF141" s="187">
        <f t="shared" si="84"/>
        <v>0</v>
      </c>
      <c r="BG141" s="187">
        <f t="shared" si="85"/>
        <v>8</v>
      </c>
      <c r="BH141" s="187">
        <f t="shared" si="86"/>
        <v>0</v>
      </c>
      <c r="BI141" s="187">
        <f t="shared" si="87"/>
        <v>3</v>
      </c>
      <c r="BJ141" s="273">
        <f t="shared" si="88"/>
        <v>98</v>
      </c>
      <c r="BK141" s="167">
        <f t="shared" ref="BK141:BK142" si="118">BJ141</f>
        <v>98</v>
      </c>
      <c r="BL141" s="339"/>
      <c r="BM141" s="182"/>
      <c r="BN141" s="182"/>
      <c r="BO141" s="182"/>
      <c r="BP141" s="182"/>
      <c r="BQ141" s="182"/>
      <c r="BR141" s="182"/>
      <c r="BS141" s="182"/>
      <c r="BT141" s="182"/>
      <c r="BU141" s="182"/>
      <c r="BV141" s="182"/>
      <c r="BW141" s="182"/>
      <c r="BX141" s="182"/>
      <c r="BY141" s="182"/>
      <c r="BZ141" s="182"/>
      <c r="CA141" s="182"/>
      <c r="CB141" s="182"/>
      <c r="CC141" s="182"/>
      <c r="CD141" s="182"/>
      <c r="CE141" s="182"/>
      <c r="CF141" s="182"/>
      <c r="CG141" s="182"/>
      <c r="CH141" s="182"/>
      <c r="CI141" s="182"/>
      <c r="CJ141" s="635"/>
      <c r="CK141" s="342"/>
      <c r="CL141" s="343"/>
    </row>
    <row r="142" spans="1:90" s="344" customFormat="1">
      <c r="A142" s="181" t="s">
        <v>275</v>
      </c>
      <c r="B142" s="182"/>
      <c r="C142" s="183"/>
      <c r="D142" s="184">
        <v>1</v>
      </c>
      <c r="E142" s="184"/>
      <c r="F142" s="184"/>
      <c r="G142" s="184"/>
      <c r="H142" s="182"/>
      <c r="I142" s="182"/>
      <c r="J142" s="182"/>
      <c r="K142" s="182"/>
      <c r="L142" s="182">
        <v>1</v>
      </c>
      <c r="M142" s="182"/>
      <c r="N142" s="182"/>
      <c r="O142" s="182"/>
      <c r="P142" s="182"/>
      <c r="Q142" s="182"/>
      <c r="R142" s="182"/>
      <c r="S142" s="182">
        <v>1</v>
      </c>
      <c r="T142" s="182"/>
      <c r="U142" s="182"/>
      <c r="V142" s="182">
        <v>1</v>
      </c>
      <c r="W142" s="182">
        <v>1</v>
      </c>
      <c r="X142" s="182">
        <v>1</v>
      </c>
      <c r="Y142" s="182">
        <v>1</v>
      </c>
      <c r="Z142" s="182"/>
      <c r="AA142" s="182"/>
      <c r="AB142" s="182"/>
      <c r="AC142" s="182"/>
      <c r="AD142" s="302">
        <v>1</v>
      </c>
      <c r="AE142" s="182"/>
      <c r="AF142" s="182"/>
      <c r="AG142" s="182"/>
      <c r="AH142" s="167">
        <v>8</v>
      </c>
      <c r="AI142" s="300" t="s">
        <v>878</v>
      </c>
      <c r="AJ142" s="186">
        <v>42375</v>
      </c>
      <c r="AK142" s="187"/>
      <c r="AL142" s="187">
        <f t="shared" si="64"/>
        <v>0</v>
      </c>
      <c r="AM142" s="187">
        <f t="shared" si="65"/>
        <v>13</v>
      </c>
      <c r="AN142" s="187">
        <f t="shared" si="66"/>
        <v>0</v>
      </c>
      <c r="AO142" s="187">
        <f t="shared" si="67"/>
        <v>0</v>
      </c>
      <c r="AP142" s="187">
        <f t="shared" si="68"/>
        <v>0</v>
      </c>
      <c r="AQ142" s="187">
        <f t="shared" si="69"/>
        <v>0</v>
      </c>
      <c r="AR142" s="187">
        <f t="shared" si="70"/>
        <v>0</v>
      </c>
      <c r="AS142" s="187">
        <f t="shared" si="71"/>
        <v>19</v>
      </c>
      <c r="AT142" s="187">
        <f t="shared" si="72"/>
        <v>0</v>
      </c>
      <c r="AU142" s="187">
        <f t="shared" si="73"/>
        <v>0</v>
      </c>
      <c r="AV142" s="187">
        <f t="shared" si="74"/>
        <v>0</v>
      </c>
      <c r="AW142" s="187">
        <f t="shared" si="75"/>
        <v>8</v>
      </c>
      <c r="AX142" s="187">
        <f t="shared" si="76"/>
        <v>0</v>
      </c>
      <c r="AY142" s="187">
        <f t="shared" si="77"/>
        <v>0</v>
      </c>
      <c r="AZ142" s="187">
        <f t="shared" si="78"/>
        <v>8</v>
      </c>
      <c r="BA142" s="187">
        <f t="shared" si="79"/>
        <v>16</v>
      </c>
      <c r="BB142" s="187">
        <f t="shared" si="80"/>
        <v>13</v>
      </c>
      <c r="BC142" s="187">
        <f t="shared" si="81"/>
        <v>10</v>
      </c>
      <c r="BD142" s="187">
        <f t="shared" si="82"/>
        <v>0</v>
      </c>
      <c r="BE142" s="187">
        <f t="shared" si="83"/>
        <v>0</v>
      </c>
      <c r="BF142" s="187">
        <f t="shared" si="84"/>
        <v>0</v>
      </c>
      <c r="BG142" s="187">
        <f t="shared" si="85"/>
        <v>8</v>
      </c>
      <c r="BH142" s="187">
        <f t="shared" si="86"/>
        <v>0</v>
      </c>
      <c r="BI142" s="187">
        <f t="shared" si="87"/>
        <v>0</v>
      </c>
      <c r="BJ142" s="273">
        <f t="shared" si="88"/>
        <v>95</v>
      </c>
      <c r="BK142" s="167">
        <f t="shared" si="118"/>
        <v>95</v>
      </c>
      <c r="BL142" s="167"/>
      <c r="BM142" s="644"/>
      <c r="BN142" s="644"/>
      <c r="BO142" s="644"/>
      <c r="BP142" s="644"/>
      <c r="BQ142" s="644"/>
      <c r="BR142" s="644"/>
      <c r="BS142" s="644"/>
      <c r="BT142" s="644"/>
      <c r="BU142" s="644"/>
      <c r="BV142" s="644"/>
      <c r="BW142" s="644"/>
      <c r="BX142" s="644"/>
      <c r="BY142" s="644"/>
      <c r="BZ142" s="644"/>
      <c r="CA142" s="644"/>
      <c r="CB142" s="644"/>
      <c r="CC142" s="644"/>
      <c r="CD142" s="644"/>
      <c r="CE142" s="644"/>
      <c r="CF142" s="644"/>
      <c r="CG142" s="644"/>
      <c r="CH142" s="644"/>
      <c r="CI142" s="644"/>
      <c r="CJ142" s="301"/>
      <c r="CK142" s="342"/>
      <c r="CL142" s="343"/>
    </row>
    <row r="143" spans="1:90" s="344" customFormat="1">
      <c r="A143" s="335" t="s">
        <v>276</v>
      </c>
      <c r="B143" s="182"/>
      <c r="C143" s="183"/>
      <c r="D143" s="184"/>
      <c r="E143" s="184"/>
      <c r="F143" s="184"/>
      <c r="G143" s="184"/>
      <c r="H143" s="182"/>
      <c r="I143" s="182"/>
      <c r="J143" s="182"/>
      <c r="K143" s="182"/>
      <c r="L143" s="182">
        <v>1</v>
      </c>
      <c r="M143" s="182"/>
      <c r="N143" s="182"/>
      <c r="O143" s="182">
        <v>1</v>
      </c>
      <c r="P143" s="182"/>
      <c r="Q143" s="182"/>
      <c r="R143" s="182"/>
      <c r="S143" s="182"/>
      <c r="T143" s="182"/>
      <c r="U143" s="182"/>
      <c r="V143" s="182"/>
      <c r="W143" s="182"/>
      <c r="X143" s="182"/>
      <c r="Y143" s="182"/>
      <c r="Z143" s="182"/>
      <c r="AA143" s="182"/>
      <c r="AB143" s="182"/>
      <c r="AC143" s="182"/>
      <c r="AD143" s="182"/>
      <c r="AE143" s="182"/>
      <c r="AF143" s="182"/>
      <c r="AG143" s="182"/>
      <c r="AH143" s="339">
        <v>2</v>
      </c>
      <c r="AI143" s="351" t="s">
        <v>879</v>
      </c>
      <c r="AJ143" s="341">
        <v>42370</v>
      </c>
      <c r="AK143" s="187"/>
      <c r="AL143" s="187">
        <f t="shared" si="64"/>
        <v>0</v>
      </c>
      <c r="AM143" s="187">
        <f t="shared" si="65"/>
        <v>0</v>
      </c>
      <c r="AN143" s="187">
        <f t="shared" si="66"/>
        <v>0</v>
      </c>
      <c r="AO143" s="187">
        <f t="shared" si="67"/>
        <v>0</v>
      </c>
      <c r="AP143" s="187">
        <f t="shared" si="68"/>
        <v>0</v>
      </c>
      <c r="AQ143" s="187">
        <f t="shared" si="69"/>
        <v>0</v>
      </c>
      <c r="AR143" s="187">
        <f t="shared" si="70"/>
        <v>0</v>
      </c>
      <c r="AS143" s="187">
        <f t="shared" si="71"/>
        <v>19</v>
      </c>
      <c r="AT143" s="187">
        <f t="shared" si="72"/>
        <v>13</v>
      </c>
      <c r="AU143" s="187">
        <f t="shared" si="73"/>
        <v>0</v>
      </c>
      <c r="AV143" s="187">
        <f t="shared" si="74"/>
        <v>0</v>
      </c>
      <c r="AW143" s="187">
        <f t="shared" si="75"/>
        <v>0</v>
      </c>
      <c r="AX143" s="187">
        <f t="shared" si="76"/>
        <v>0</v>
      </c>
      <c r="AY143" s="187">
        <f t="shared" si="77"/>
        <v>0</v>
      </c>
      <c r="AZ143" s="187">
        <f t="shared" si="78"/>
        <v>0</v>
      </c>
      <c r="BA143" s="187">
        <f t="shared" si="79"/>
        <v>0</v>
      </c>
      <c r="BB143" s="187">
        <f t="shared" si="80"/>
        <v>0</v>
      </c>
      <c r="BC143" s="187">
        <f t="shared" si="81"/>
        <v>0</v>
      </c>
      <c r="BD143" s="187">
        <f t="shared" si="82"/>
        <v>0</v>
      </c>
      <c r="BE143" s="187">
        <f t="shared" si="83"/>
        <v>0</v>
      </c>
      <c r="BF143" s="187">
        <f t="shared" si="84"/>
        <v>0</v>
      </c>
      <c r="BG143" s="187">
        <f t="shared" si="85"/>
        <v>0</v>
      </c>
      <c r="BH143" s="187">
        <f t="shared" si="86"/>
        <v>0</v>
      </c>
      <c r="BI143" s="187">
        <f t="shared" si="87"/>
        <v>0</v>
      </c>
      <c r="BJ143" s="273">
        <f t="shared" si="88"/>
        <v>32</v>
      </c>
      <c r="BK143" s="167">
        <f t="shared" ref="BK143:BK146" si="119">BJ143</f>
        <v>32</v>
      </c>
      <c r="BL143" s="167"/>
      <c r="BM143" s="644"/>
      <c r="BN143" s="644"/>
      <c r="BO143" s="644"/>
      <c r="BP143" s="644"/>
      <c r="BQ143" s="644"/>
      <c r="BR143" s="644"/>
      <c r="BS143" s="644"/>
      <c r="BT143" s="644"/>
      <c r="BU143" s="644"/>
      <c r="BV143" s="644"/>
      <c r="BW143" s="644"/>
      <c r="BX143" s="644"/>
      <c r="BY143" s="644"/>
      <c r="BZ143" s="644"/>
      <c r="CA143" s="644"/>
      <c r="CB143" s="644"/>
      <c r="CC143" s="644"/>
      <c r="CD143" s="644"/>
      <c r="CE143" s="644"/>
      <c r="CF143" s="644"/>
      <c r="CG143" s="644"/>
      <c r="CH143" s="644"/>
      <c r="CI143" s="644"/>
      <c r="CJ143" s="301" t="s">
        <v>756</v>
      </c>
      <c r="CK143" s="342"/>
      <c r="CL143" s="343"/>
    </row>
    <row r="144" spans="1:90" s="344" customFormat="1">
      <c r="A144" s="335" t="s">
        <v>880</v>
      </c>
      <c r="B144" s="182"/>
      <c r="C144" s="183"/>
      <c r="D144" s="184"/>
      <c r="E144" s="184">
        <v>1</v>
      </c>
      <c r="F144" s="184"/>
      <c r="G144" s="184">
        <v>1</v>
      </c>
      <c r="H144" s="182"/>
      <c r="I144" s="182"/>
      <c r="J144" s="182"/>
      <c r="K144" s="182"/>
      <c r="L144" s="182">
        <v>1</v>
      </c>
      <c r="M144" s="182"/>
      <c r="N144" s="182"/>
      <c r="O144" s="182"/>
      <c r="P144" s="182"/>
      <c r="Q144" s="182"/>
      <c r="R144" s="182"/>
      <c r="S144" s="182">
        <v>1</v>
      </c>
      <c r="T144" s="182"/>
      <c r="U144" s="182"/>
      <c r="V144" s="182"/>
      <c r="W144" s="182"/>
      <c r="X144" s="182"/>
      <c r="Y144" s="182"/>
      <c r="Z144" s="182"/>
      <c r="AA144" s="182"/>
      <c r="AB144" s="182"/>
      <c r="AC144" s="182"/>
      <c r="AD144" s="182"/>
      <c r="AE144" s="182"/>
      <c r="AF144" s="182"/>
      <c r="AG144" s="182"/>
      <c r="AH144" s="339">
        <v>4</v>
      </c>
      <c r="AI144" s="351" t="s">
        <v>881</v>
      </c>
      <c r="AJ144" s="341"/>
      <c r="AK144" s="187"/>
      <c r="AL144" s="187">
        <f t="shared" si="64"/>
        <v>0</v>
      </c>
      <c r="AM144" s="187">
        <f t="shared" si="65"/>
        <v>0</v>
      </c>
      <c r="AN144" s="187">
        <f t="shared" si="66"/>
        <v>8</v>
      </c>
      <c r="AO144" s="187">
        <f t="shared" si="67"/>
        <v>8</v>
      </c>
      <c r="AP144" s="187">
        <f t="shared" si="68"/>
        <v>0</v>
      </c>
      <c r="AQ144" s="187">
        <f t="shared" si="69"/>
        <v>0</v>
      </c>
      <c r="AR144" s="187">
        <f t="shared" si="70"/>
        <v>0</v>
      </c>
      <c r="AS144" s="187">
        <f t="shared" si="71"/>
        <v>19</v>
      </c>
      <c r="AT144" s="187">
        <f t="shared" si="72"/>
        <v>0</v>
      </c>
      <c r="AU144" s="187">
        <f t="shared" si="73"/>
        <v>0</v>
      </c>
      <c r="AV144" s="187">
        <f t="shared" si="74"/>
        <v>0</v>
      </c>
      <c r="AW144" s="187">
        <f t="shared" si="75"/>
        <v>8</v>
      </c>
      <c r="AX144" s="187">
        <f t="shared" si="76"/>
        <v>0</v>
      </c>
      <c r="AY144" s="187">
        <f t="shared" si="77"/>
        <v>0</v>
      </c>
      <c r="AZ144" s="187">
        <f t="shared" si="78"/>
        <v>0</v>
      </c>
      <c r="BA144" s="187">
        <f t="shared" si="79"/>
        <v>0</v>
      </c>
      <c r="BB144" s="187">
        <f t="shared" si="80"/>
        <v>0</v>
      </c>
      <c r="BC144" s="187">
        <f t="shared" si="81"/>
        <v>0</v>
      </c>
      <c r="BD144" s="187">
        <f t="shared" si="82"/>
        <v>0</v>
      </c>
      <c r="BE144" s="187">
        <f t="shared" si="83"/>
        <v>0</v>
      </c>
      <c r="BF144" s="187">
        <f t="shared" si="84"/>
        <v>0</v>
      </c>
      <c r="BG144" s="187">
        <f t="shared" si="85"/>
        <v>0</v>
      </c>
      <c r="BH144" s="187">
        <f t="shared" si="86"/>
        <v>0</v>
      </c>
      <c r="BI144" s="187">
        <f t="shared" si="87"/>
        <v>0</v>
      </c>
      <c r="BJ144" s="273">
        <f t="shared" si="88"/>
        <v>43</v>
      </c>
      <c r="BK144" s="167">
        <f t="shared" ref="BK144" si="120">BJ144</f>
        <v>43</v>
      </c>
      <c r="BL144" s="167"/>
      <c r="BM144" s="644"/>
      <c r="BN144" s="644"/>
      <c r="BO144" s="644"/>
      <c r="BP144" s="644"/>
      <c r="BQ144" s="644"/>
      <c r="BR144" s="644"/>
      <c r="BS144" s="644"/>
      <c r="BT144" s="644"/>
      <c r="BU144" s="644"/>
      <c r="BV144" s="644"/>
      <c r="BW144" s="644"/>
      <c r="BX144" s="644"/>
      <c r="BY144" s="644"/>
      <c r="BZ144" s="644"/>
      <c r="CA144" s="644"/>
      <c r="CB144" s="644"/>
      <c r="CC144" s="644"/>
      <c r="CD144" s="644"/>
      <c r="CE144" s="644"/>
      <c r="CF144" s="644"/>
      <c r="CG144" s="644"/>
      <c r="CH144" s="644"/>
      <c r="CI144" s="644"/>
      <c r="CJ144" s="301" t="s">
        <v>740</v>
      </c>
      <c r="CK144" s="342"/>
      <c r="CL144" s="343"/>
    </row>
    <row r="145" spans="1:90" s="344" customFormat="1">
      <c r="A145" s="373" t="s">
        <v>882</v>
      </c>
      <c r="B145" s="182"/>
      <c r="C145" s="183"/>
      <c r="D145" s="184">
        <v>1</v>
      </c>
      <c r="E145" s="184"/>
      <c r="F145" s="184"/>
      <c r="G145" s="184"/>
      <c r="H145" s="182"/>
      <c r="I145" s="182">
        <v>1</v>
      </c>
      <c r="J145" s="182"/>
      <c r="K145" s="182"/>
      <c r="L145" s="182">
        <v>1</v>
      </c>
      <c r="M145" s="182"/>
      <c r="N145" s="182"/>
      <c r="O145" s="182">
        <v>1</v>
      </c>
      <c r="P145" s="182"/>
      <c r="Q145" s="182"/>
      <c r="R145" s="182"/>
      <c r="S145" s="182">
        <v>1</v>
      </c>
      <c r="T145" s="182"/>
      <c r="U145" s="182"/>
      <c r="V145" s="182">
        <v>1</v>
      </c>
      <c r="W145" s="182">
        <v>1</v>
      </c>
      <c r="X145" s="182">
        <v>1</v>
      </c>
      <c r="Y145" s="182">
        <v>1</v>
      </c>
      <c r="Z145" s="182"/>
      <c r="AA145" s="182"/>
      <c r="AB145" s="182"/>
      <c r="AC145" s="182"/>
      <c r="AD145" s="182"/>
      <c r="AE145" s="182"/>
      <c r="AF145" s="182">
        <v>1</v>
      </c>
      <c r="AG145" s="182"/>
      <c r="AH145" s="339">
        <v>10</v>
      </c>
      <c r="AI145" s="340" t="s">
        <v>786</v>
      </c>
      <c r="AJ145" s="341">
        <v>42375</v>
      </c>
      <c r="AK145" s="187"/>
      <c r="AL145" s="187">
        <f t="shared" si="64"/>
        <v>0</v>
      </c>
      <c r="AM145" s="187">
        <f t="shared" si="65"/>
        <v>13</v>
      </c>
      <c r="AN145" s="187">
        <f t="shared" si="66"/>
        <v>0</v>
      </c>
      <c r="AO145" s="187">
        <f t="shared" si="67"/>
        <v>0</v>
      </c>
      <c r="AP145" s="187">
        <f t="shared" si="68"/>
        <v>0</v>
      </c>
      <c r="AQ145" s="187">
        <f t="shared" si="69"/>
        <v>0</v>
      </c>
      <c r="AR145" s="187">
        <f t="shared" si="70"/>
        <v>0</v>
      </c>
      <c r="AS145" s="187">
        <f t="shared" si="71"/>
        <v>19</v>
      </c>
      <c r="AT145" s="187">
        <f t="shared" si="72"/>
        <v>13</v>
      </c>
      <c r="AU145" s="187">
        <f t="shared" si="73"/>
        <v>0</v>
      </c>
      <c r="AV145" s="187">
        <f t="shared" si="74"/>
        <v>0</v>
      </c>
      <c r="AW145" s="187">
        <f t="shared" si="75"/>
        <v>8</v>
      </c>
      <c r="AX145" s="187">
        <f t="shared" si="76"/>
        <v>0</v>
      </c>
      <c r="AY145" s="187">
        <f t="shared" si="77"/>
        <v>0</v>
      </c>
      <c r="AZ145" s="187">
        <f t="shared" si="78"/>
        <v>8</v>
      </c>
      <c r="BA145" s="187">
        <f t="shared" si="79"/>
        <v>16</v>
      </c>
      <c r="BB145" s="187">
        <f t="shared" si="80"/>
        <v>13</v>
      </c>
      <c r="BC145" s="187">
        <f t="shared" si="81"/>
        <v>10</v>
      </c>
      <c r="BD145" s="187">
        <f t="shared" si="82"/>
        <v>0</v>
      </c>
      <c r="BE145" s="187">
        <f t="shared" si="83"/>
        <v>0</v>
      </c>
      <c r="BF145" s="187">
        <f t="shared" si="84"/>
        <v>0</v>
      </c>
      <c r="BG145" s="187">
        <f t="shared" si="85"/>
        <v>0</v>
      </c>
      <c r="BH145" s="187">
        <f t="shared" si="86"/>
        <v>0</v>
      </c>
      <c r="BI145" s="187">
        <f t="shared" si="87"/>
        <v>3</v>
      </c>
      <c r="BJ145" s="273">
        <f t="shared" si="88"/>
        <v>100</v>
      </c>
      <c r="BK145" s="167">
        <f t="shared" si="119"/>
        <v>100</v>
      </c>
      <c r="BL145" s="167"/>
      <c r="BM145" s="644"/>
      <c r="BN145" s="644"/>
      <c r="BO145" s="644"/>
      <c r="BP145" s="644"/>
      <c r="BQ145" s="644"/>
      <c r="BR145" s="644"/>
      <c r="BS145" s="644"/>
      <c r="BT145" s="644"/>
      <c r="BU145" s="644"/>
      <c r="BV145" s="644"/>
      <c r="BW145" s="644"/>
      <c r="BX145" s="644"/>
      <c r="BY145" s="644"/>
      <c r="BZ145" s="644"/>
      <c r="CA145" s="644"/>
      <c r="CB145" s="644"/>
      <c r="CC145" s="644"/>
      <c r="CD145" s="644"/>
      <c r="CE145" s="644"/>
      <c r="CF145" s="644"/>
      <c r="CG145" s="644"/>
      <c r="CH145" s="644"/>
      <c r="CI145" s="644"/>
      <c r="CJ145" s="301" t="s">
        <v>787</v>
      </c>
      <c r="CK145" s="342"/>
      <c r="CL145" s="343"/>
    </row>
    <row r="146" spans="1:90" s="344" customFormat="1">
      <c r="A146" s="373" t="s">
        <v>883</v>
      </c>
      <c r="B146" s="182"/>
      <c r="C146" s="183"/>
      <c r="D146" s="184">
        <v>1</v>
      </c>
      <c r="E146" s="184"/>
      <c r="F146" s="184"/>
      <c r="G146" s="184"/>
      <c r="H146" s="182"/>
      <c r="I146" s="182"/>
      <c r="J146" s="182"/>
      <c r="K146" s="182"/>
      <c r="L146" s="182">
        <v>1</v>
      </c>
      <c r="M146" s="182"/>
      <c r="N146" s="182"/>
      <c r="O146" s="182"/>
      <c r="P146" s="182"/>
      <c r="Q146" s="182"/>
      <c r="R146" s="182"/>
      <c r="S146" s="182"/>
      <c r="T146" s="182"/>
      <c r="U146" s="182"/>
      <c r="V146" s="182"/>
      <c r="W146" s="182"/>
      <c r="X146" s="182"/>
      <c r="Y146" s="182">
        <v>1</v>
      </c>
      <c r="Z146" s="182"/>
      <c r="AA146" s="182"/>
      <c r="AB146" s="182"/>
      <c r="AC146" s="182"/>
      <c r="AD146" s="182"/>
      <c r="AE146" s="182"/>
      <c r="AF146" s="182"/>
      <c r="AG146" s="182"/>
      <c r="AH146" s="339">
        <v>3</v>
      </c>
      <c r="AI146" s="340" t="s">
        <v>884</v>
      </c>
      <c r="AJ146" s="341">
        <v>42375</v>
      </c>
      <c r="AK146" s="187"/>
      <c r="AL146" s="187">
        <f t="shared" si="64"/>
        <v>0</v>
      </c>
      <c r="AM146" s="187">
        <f t="shared" si="65"/>
        <v>13</v>
      </c>
      <c r="AN146" s="187">
        <f t="shared" si="66"/>
        <v>0</v>
      </c>
      <c r="AO146" s="187">
        <f t="shared" si="67"/>
        <v>0</v>
      </c>
      <c r="AP146" s="187">
        <f t="shared" si="68"/>
        <v>0</v>
      </c>
      <c r="AQ146" s="187">
        <f t="shared" si="69"/>
        <v>0</v>
      </c>
      <c r="AR146" s="187">
        <f t="shared" si="70"/>
        <v>0</v>
      </c>
      <c r="AS146" s="187">
        <f t="shared" si="71"/>
        <v>19</v>
      </c>
      <c r="AT146" s="187">
        <f t="shared" si="72"/>
        <v>0</v>
      </c>
      <c r="AU146" s="187">
        <f t="shared" si="73"/>
        <v>0</v>
      </c>
      <c r="AV146" s="187">
        <f t="shared" si="74"/>
        <v>0</v>
      </c>
      <c r="AW146" s="187">
        <f t="shared" si="75"/>
        <v>0</v>
      </c>
      <c r="AX146" s="187">
        <f t="shared" si="76"/>
        <v>0</v>
      </c>
      <c r="AY146" s="187">
        <f t="shared" si="77"/>
        <v>0</v>
      </c>
      <c r="AZ146" s="187">
        <f t="shared" si="78"/>
        <v>0</v>
      </c>
      <c r="BA146" s="187">
        <f t="shared" si="79"/>
        <v>0</v>
      </c>
      <c r="BB146" s="187">
        <f t="shared" si="80"/>
        <v>0</v>
      </c>
      <c r="BC146" s="187">
        <f t="shared" si="81"/>
        <v>10</v>
      </c>
      <c r="BD146" s="187">
        <f t="shared" si="82"/>
        <v>0</v>
      </c>
      <c r="BE146" s="187">
        <f t="shared" si="83"/>
        <v>0</v>
      </c>
      <c r="BF146" s="187">
        <f t="shared" si="84"/>
        <v>0</v>
      </c>
      <c r="BG146" s="187">
        <f t="shared" si="85"/>
        <v>0</v>
      </c>
      <c r="BH146" s="187">
        <f t="shared" si="86"/>
        <v>0</v>
      </c>
      <c r="BI146" s="187">
        <f t="shared" si="87"/>
        <v>0</v>
      </c>
      <c r="BJ146" s="273">
        <f t="shared" si="88"/>
        <v>42</v>
      </c>
      <c r="BK146" s="167">
        <f t="shared" si="119"/>
        <v>42</v>
      </c>
      <c r="BL146" s="167"/>
      <c r="BM146" s="644"/>
      <c r="BN146" s="644"/>
      <c r="BO146" s="644"/>
      <c r="BP146" s="644"/>
      <c r="BQ146" s="644"/>
      <c r="BR146" s="644"/>
      <c r="BS146" s="644"/>
      <c r="BT146" s="644"/>
      <c r="BU146" s="644"/>
      <c r="BV146" s="644"/>
      <c r="BW146" s="644"/>
      <c r="BX146" s="644"/>
      <c r="BY146" s="644"/>
      <c r="BZ146" s="644"/>
      <c r="CA146" s="644"/>
      <c r="CB146" s="644"/>
      <c r="CC146" s="644"/>
      <c r="CD146" s="644"/>
      <c r="CE146" s="644"/>
      <c r="CF146" s="644"/>
      <c r="CG146" s="644"/>
      <c r="CH146" s="644"/>
      <c r="CI146" s="644"/>
      <c r="CJ146" s="301" t="s">
        <v>740</v>
      </c>
      <c r="CK146" s="342"/>
      <c r="CL146" s="343"/>
    </row>
    <row r="147" spans="1:90">
      <c r="A147" s="332" t="s">
        <v>885</v>
      </c>
      <c r="B147" s="182"/>
      <c r="C147" s="183"/>
      <c r="D147" s="314">
        <v>1</v>
      </c>
      <c r="E147" s="184">
        <v>1</v>
      </c>
      <c r="F147" s="184"/>
      <c r="G147" s="184">
        <v>1</v>
      </c>
      <c r="H147" s="182"/>
      <c r="I147" s="182"/>
      <c r="J147" s="182"/>
      <c r="K147" s="182"/>
      <c r="L147" s="182">
        <v>1</v>
      </c>
      <c r="M147" s="182"/>
      <c r="N147" s="182"/>
      <c r="O147" s="182">
        <v>1</v>
      </c>
      <c r="P147" s="182"/>
      <c r="Q147" s="182"/>
      <c r="R147" s="182"/>
      <c r="S147" s="182"/>
      <c r="T147" s="182"/>
      <c r="U147" s="182">
        <v>1</v>
      </c>
      <c r="V147" s="182"/>
      <c r="W147" s="182">
        <v>1</v>
      </c>
      <c r="X147" s="182"/>
      <c r="Y147" s="182"/>
      <c r="Z147" s="182"/>
      <c r="AA147" s="302">
        <v>1</v>
      </c>
      <c r="AB147" s="182"/>
      <c r="AC147" s="182"/>
      <c r="AD147" s="182">
        <v>1</v>
      </c>
      <c r="AE147" s="182"/>
      <c r="AF147" s="182"/>
      <c r="AG147" s="182"/>
      <c r="AH147" s="167">
        <v>9</v>
      </c>
      <c r="AI147" s="300" t="s">
        <v>886</v>
      </c>
      <c r="AJ147" s="186">
        <v>42348</v>
      </c>
      <c r="AK147" s="187"/>
      <c r="AL147" s="187">
        <f t="shared" si="64"/>
        <v>0</v>
      </c>
      <c r="AM147" s="187">
        <f t="shared" si="65"/>
        <v>13</v>
      </c>
      <c r="AN147" s="187">
        <f t="shared" si="66"/>
        <v>8</v>
      </c>
      <c r="AO147" s="187">
        <f t="shared" si="67"/>
        <v>8</v>
      </c>
      <c r="AP147" s="187">
        <f t="shared" si="68"/>
        <v>0</v>
      </c>
      <c r="AQ147" s="187">
        <f t="shared" si="69"/>
        <v>0</v>
      </c>
      <c r="AR147" s="187">
        <f t="shared" si="70"/>
        <v>0</v>
      </c>
      <c r="AS147" s="187">
        <f t="shared" si="71"/>
        <v>19</v>
      </c>
      <c r="AT147" s="187">
        <f t="shared" si="72"/>
        <v>13</v>
      </c>
      <c r="AU147" s="187">
        <f t="shared" si="73"/>
        <v>0</v>
      </c>
      <c r="AV147" s="187">
        <f t="shared" si="74"/>
        <v>0</v>
      </c>
      <c r="AW147" s="187">
        <f t="shared" si="75"/>
        <v>0</v>
      </c>
      <c r="AX147" s="187">
        <f t="shared" si="76"/>
        <v>0</v>
      </c>
      <c r="AY147" s="187">
        <f t="shared" si="77"/>
        <v>2</v>
      </c>
      <c r="AZ147" s="187">
        <f t="shared" si="78"/>
        <v>0</v>
      </c>
      <c r="BA147" s="187">
        <f t="shared" si="79"/>
        <v>16</v>
      </c>
      <c r="BB147" s="187">
        <f t="shared" si="80"/>
        <v>0</v>
      </c>
      <c r="BC147" s="187">
        <f t="shared" si="81"/>
        <v>0</v>
      </c>
      <c r="BD147" s="187">
        <f t="shared" si="82"/>
        <v>0</v>
      </c>
      <c r="BE147" s="187">
        <f t="shared" si="83"/>
        <v>6</v>
      </c>
      <c r="BF147" s="187">
        <f t="shared" si="84"/>
        <v>0</v>
      </c>
      <c r="BG147" s="187">
        <f t="shared" si="85"/>
        <v>8</v>
      </c>
      <c r="BH147" s="187">
        <f t="shared" si="86"/>
        <v>0</v>
      </c>
      <c r="BI147" s="187">
        <f t="shared" si="87"/>
        <v>0</v>
      </c>
      <c r="BJ147" s="273">
        <f t="shared" si="88"/>
        <v>91</v>
      </c>
      <c r="BK147" s="167">
        <f t="shared" si="38"/>
        <v>91</v>
      </c>
      <c r="BL147" s="167"/>
      <c r="BM147" s="644"/>
      <c r="BN147" s="644"/>
      <c r="BO147" s="644"/>
      <c r="BP147" s="644"/>
      <c r="BQ147" s="644"/>
      <c r="BR147" s="644"/>
      <c r="BS147" s="644"/>
      <c r="BT147" s="644"/>
      <c r="BU147" s="644"/>
      <c r="BV147" s="644"/>
      <c r="BW147" s="644"/>
      <c r="BX147" s="644"/>
      <c r="BY147" s="644"/>
      <c r="BZ147" s="644"/>
      <c r="CA147" s="644"/>
      <c r="CB147" s="644"/>
      <c r="CC147" s="644"/>
      <c r="CD147" s="644"/>
      <c r="CE147" s="644"/>
      <c r="CF147" s="644"/>
      <c r="CG147" s="644"/>
      <c r="CH147" s="644"/>
      <c r="CI147" s="644"/>
      <c r="CJ147" s="301" t="s">
        <v>769</v>
      </c>
      <c r="CK147" s="180"/>
      <c r="CL147" s="136"/>
    </row>
    <row r="148" spans="1:90">
      <c r="A148" s="181" t="s">
        <v>283</v>
      </c>
      <c r="B148" s="182"/>
      <c r="C148" s="183"/>
      <c r="D148" s="184">
        <v>1</v>
      </c>
      <c r="E148" s="314">
        <v>1</v>
      </c>
      <c r="F148" s="314"/>
      <c r="G148" s="314">
        <v>1</v>
      </c>
      <c r="H148" s="182"/>
      <c r="I148" s="182"/>
      <c r="J148" s="182"/>
      <c r="K148" s="182"/>
      <c r="L148" s="182">
        <v>1</v>
      </c>
      <c r="M148" s="182"/>
      <c r="N148" s="182"/>
      <c r="O148" s="182"/>
      <c r="P148" s="182"/>
      <c r="Q148" s="302">
        <v>1</v>
      </c>
      <c r="R148" s="182"/>
      <c r="S148" s="182">
        <v>1</v>
      </c>
      <c r="T148" s="182"/>
      <c r="U148" s="182"/>
      <c r="V148" s="182">
        <v>1</v>
      </c>
      <c r="W148" s="182">
        <v>1</v>
      </c>
      <c r="X148" s="182">
        <v>1</v>
      </c>
      <c r="Y148" s="182">
        <v>1</v>
      </c>
      <c r="Z148" s="182"/>
      <c r="AA148" s="182"/>
      <c r="AB148" s="182"/>
      <c r="AC148" s="182"/>
      <c r="AD148" s="182"/>
      <c r="AE148" s="182"/>
      <c r="AF148" s="182"/>
      <c r="AG148" s="182"/>
      <c r="AH148" s="167">
        <v>10</v>
      </c>
      <c r="AI148" s="337" t="s">
        <v>887</v>
      </c>
      <c r="AJ148" s="186">
        <v>42374</v>
      </c>
      <c r="AK148" s="187"/>
      <c r="AL148" s="187">
        <f t="shared" si="64"/>
        <v>0</v>
      </c>
      <c r="AM148" s="187">
        <f t="shared" si="65"/>
        <v>13</v>
      </c>
      <c r="AN148" s="187">
        <f t="shared" si="66"/>
        <v>8</v>
      </c>
      <c r="AO148" s="187">
        <f t="shared" si="67"/>
        <v>8</v>
      </c>
      <c r="AP148" s="187">
        <f t="shared" si="68"/>
        <v>0</v>
      </c>
      <c r="AQ148" s="187">
        <f t="shared" si="69"/>
        <v>0</v>
      </c>
      <c r="AR148" s="187">
        <f t="shared" si="70"/>
        <v>0</v>
      </c>
      <c r="AS148" s="187">
        <f t="shared" si="71"/>
        <v>19</v>
      </c>
      <c r="AT148" s="187">
        <f t="shared" si="72"/>
        <v>0</v>
      </c>
      <c r="AU148" s="187">
        <f t="shared" si="73"/>
        <v>0</v>
      </c>
      <c r="AV148" s="187">
        <f t="shared" si="74"/>
        <v>3</v>
      </c>
      <c r="AW148" s="187">
        <f t="shared" si="75"/>
        <v>8</v>
      </c>
      <c r="AX148" s="187">
        <f t="shared" si="76"/>
        <v>0</v>
      </c>
      <c r="AY148" s="187">
        <f t="shared" si="77"/>
        <v>0</v>
      </c>
      <c r="AZ148" s="187">
        <f t="shared" si="78"/>
        <v>8</v>
      </c>
      <c r="BA148" s="187">
        <f t="shared" si="79"/>
        <v>16</v>
      </c>
      <c r="BB148" s="187">
        <f t="shared" si="80"/>
        <v>13</v>
      </c>
      <c r="BC148" s="187">
        <f t="shared" si="81"/>
        <v>10</v>
      </c>
      <c r="BD148" s="187">
        <f t="shared" si="82"/>
        <v>0</v>
      </c>
      <c r="BE148" s="187">
        <f t="shared" si="83"/>
        <v>0</v>
      </c>
      <c r="BF148" s="187">
        <f t="shared" si="84"/>
        <v>0</v>
      </c>
      <c r="BG148" s="187">
        <f t="shared" si="85"/>
        <v>0</v>
      </c>
      <c r="BH148" s="187">
        <f t="shared" si="86"/>
        <v>0</v>
      </c>
      <c r="BI148" s="187">
        <f t="shared" si="87"/>
        <v>0</v>
      </c>
      <c r="BJ148" s="273">
        <f t="shared" si="88"/>
        <v>95</v>
      </c>
      <c r="BK148" s="167">
        <f t="shared" si="38"/>
        <v>95</v>
      </c>
      <c r="BL148" s="167"/>
      <c r="BM148" s="644"/>
      <c r="BN148" s="644"/>
      <c r="BO148" s="644"/>
      <c r="BP148" s="644"/>
      <c r="BQ148" s="644"/>
      <c r="BR148" s="644"/>
      <c r="BS148" s="644"/>
      <c r="BT148" s="644"/>
      <c r="BU148" s="644"/>
      <c r="BV148" s="644"/>
      <c r="BW148" s="644"/>
      <c r="BX148" s="644"/>
      <c r="BY148" s="644"/>
      <c r="BZ148" s="644"/>
      <c r="CA148" s="644"/>
      <c r="CB148" s="644"/>
      <c r="CC148" s="644"/>
      <c r="CD148" s="644"/>
      <c r="CE148" s="644"/>
      <c r="CF148" s="644"/>
      <c r="CG148" s="644"/>
      <c r="CH148" s="644"/>
      <c r="CI148" s="644"/>
      <c r="CJ148" s="301" t="s">
        <v>756</v>
      </c>
      <c r="CK148" s="180"/>
      <c r="CL148" s="136"/>
    </row>
    <row r="149" spans="1:90">
      <c r="A149" s="181" t="s">
        <v>888</v>
      </c>
      <c r="B149" s="182"/>
      <c r="C149" s="183"/>
      <c r="D149" s="184">
        <v>1</v>
      </c>
      <c r="E149" s="184">
        <v>1</v>
      </c>
      <c r="F149" s="184"/>
      <c r="G149" s="184">
        <v>1</v>
      </c>
      <c r="H149" s="182"/>
      <c r="I149" s="182"/>
      <c r="J149" s="182"/>
      <c r="K149" s="182"/>
      <c r="L149" s="182">
        <v>1</v>
      </c>
      <c r="M149" s="182"/>
      <c r="N149" s="182"/>
      <c r="O149" s="182">
        <v>1</v>
      </c>
      <c r="P149" s="182"/>
      <c r="Q149" s="182">
        <v>1</v>
      </c>
      <c r="R149" s="182"/>
      <c r="S149" s="182"/>
      <c r="T149" s="182"/>
      <c r="U149" s="182"/>
      <c r="V149" s="182">
        <v>1</v>
      </c>
      <c r="W149" s="182">
        <v>1</v>
      </c>
      <c r="X149" s="182">
        <v>1</v>
      </c>
      <c r="Y149" s="182">
        <v>1</v>
      </c>
      <c r="Z149" s="182"/>
      <c r="AA149" s="182"/>
      <c r="AB149" s="182"/>
      <c r="AC149" s="182"/>
      <c r="AD149" s="182"/>
      <c r="AE149" s="182"/>
      <c r="AF149" s="182"/>
      <c r="AG149" s="182"/>
      <c r="AH149" s="167">
        <v>10</v>
      </c>
      <c r="AI149" s="300" t="s">
        <v>889</v>
      </c>
      <c r="AJ149" s="186">
        <v>42320</v>
      </c>
      <c r="AK149" s="187"/>
      <c r="AL149" s="187">
        <f t="shared" si="64"/>
        <v>0</v>
      </c>
      <c r="AM149" s="187">
        <f t="shared" si="65"/>
        <v>13</v>
      </c>
      <c r="AN149" s="187">
        <f t="shared" si="66"/>
        <v>8</v>
      </c>
      <c r="AO149" s="187">
        <f t="shared" si="67"/>
        <v>8</v>
      </c>
      <c r="AP149" s="187">
        <f t="shared" si="68"/>
        <v>0</v>
      </c>
      <c r="AQ149" s="187">
        <f t="shared" si="69"/>
        <v>0</v>
      </c>
      <c r="AR149" s="187">
        <f t="shared" si="70"/>
        <v>0</v>
      </c>
      <c r="AS149" s="187">
        <f t="shared" si="71"/>
        <v>19</v>
      </c>
      <c r="AT149" s="187">
        <f t="shared" si="72"/>
        <v>13</v>
      </c>
      <c r="AU149" s="187">
        <f t="shared" si="73"/>
        <v>0</v>
      </c>
      <c r="AV149" s="187">
        <f t="shared" si="74"/>
        <v>3</v>
      </c>
      <c r="AW149" s="187">
        <f t="shared" si="75"/>
        <v>0</v>
      </c>
      <c r="AX149" s="187">
        <f t="shared" si="76"/>
        <v>0</v>
      </c>
      <c r="AY149" s="187">
        <f t="shared" si="77"/>
        <v>0</v>
      </c>
      <c r="AZ149" s="187">
        <f t="shared" si="78"/>
        <v>8</v>
      </c>
      <c r="BA149" s="187">
        <f t="shared" si="79"/>
        <v>16</v>
      </c>
      <c r="BB149" s="187">
        <f t="shared" si="80"/>
        <v>13</v>
      </c>
      <c r="BC149" s="187">
        <f t="shared" si="81"/>
        <v>10</v>
      </c>
      <c r="BD149" s="187">
        <f t="shared" si="82"/>
        <v>0</v>
      </c>
      <c r="BE149" s="187">
        <f t="shared" si="83"/>
        <v>0</v>
      </c>
      <c r="BF149" s="187">
        <f t="shared" si="84"/>
        <v>0</v>
      </c>
      <c r="BG149" s="187">
        <f t="shared" si="85"/>
        <v>0</v>
      </c>
      <c r="BH149" s="187">
        <f t="shared" si="86"/>
        <v>0</v>
      </c>
      <c r="BI149" s="187">
        <f t="shared" si="87"/>
        <v>0</v>
      </c>
      <c r="BJ149" s="273">
        <f t="shared" si="88"/>
        <v>100</v>
      </c>
      <c r="BK149" s="167">
        <f t="shared" si="38"/>
        <v>100</v>
      </c>
      <c r="BL149" s="167"/>
      <c r="BM149" s="644"/>
      <c r="BN149" s="644"/>
      <c r="BO149" s="644"/>
      <c r="BP149" s="644"/>
      <c r="BQ149" s="644"/>
      <c r="BR149" s="644"/>
      <c r="BS149" s="644"/>
      <c r="BT149" s="644"/>
      <c r="BU149" s="644"/>
      <c r="BV149" s="644"/>
      <c r="BW149" s="644"/>
      <c r="BX149" s="644"/>
      <c r="BY149" s="644"/>
      <c r="BZ149" s="644"/>
      <c r="CA149" s="644"/>
      <c r="CB149" s="644"/>
      <c r="CC149" s="644"/>
      <c r="CD149" s="644"/>
      <c r="CE149" s="644"/>
      <c r="CF149" s="644"/>
      <c r="CG149" s="644"/>
      <c r="CH149" s="644"/>
      <c r="CI149" s="644"/>
      <c r="CJ149" s="301" t="s">
        <v>807</v>
      </c>
      <c r="CK149" s="180"/>
      <c r="CL149" s="136"/>
    </row>
    <row r="150" spans="1:90">
      <c r="A150" s="181" t="s">
        <v>452</v>
      </c>
      <c r="B150" s="182"/>
      <c r="C150" s="183"/>
      <c r="D150" s="184">
        <v>1</v>
      </c>
      <c r="E150" s="184"/>
      <c r="F150" s="184"/>
      <c r="G150" s="184"/>
      <c r="H150" s="182"/>
      <c r="I150" s="182"/>
      <c r="J150" s="182"/>
      <c r="K150" s="182"/>
      <c r="L150" s="182">
        <v>1</v>
      </c>
      <c r="M150" s="182"/>
      <c r="N150" s="182"/>
      <c r="O150" s="182">
        <v>1</v>
      </c>
      <c r="P150" s="182"/>
      <c r="Q150" s="182"/>
      <c r="R150" s="182"/>
      <c r="S150" s="182">
        <v>1</v>
      </c>
      <c r="T150" s="182">
        <v>1</v>
      </c>
      <c r="U150" s="182"/>
      <c r="V150" s="182"/>
      <c r="W150" s="302">
        <v>1</v>
      </c>
      <c r="X150" s="182"/>
      <c r="Y150" s="182"/>
      <c r="Z150" s="182"/>
      <c r="AA150" s="182">
        <v>1</v>
      </c>
      <c r="AB150" s="182"/>
      <c r="AC150" s="182"/>
      <c r="AD150" s="182"/>
      <c r="AE150" s="182"/>
      <c r="AF150" s="182"/>
      <c r="AG150" s="182"/>
      <c r="AH150" s="167">
        <v>7</v>
      </c>
      <c r="AI150" s="300" t="s">
        <v>890</v>
      </c>
      <c r="AJ150" s="186">
        <v>42374</v>
      </c>
      <c r="AK150" s="187"/>
      <c r="AL150" s="187">
        <f t="shared" si="64"/>
        <v>0</v>
      </c>
      <c r="AM150" s="187">
        <f t="shared" si="65"/>
        <v>13</v>
      </c>
      <c r="AN150" s="187">
        <f t="shared" si="66"/>
        <v>0</v>
      </c>
      <c r="AO150" s="187">
        <f t="shared" si="67"/>
        <v>0</v>
      </c>
      <c r="AP150" s="187">
        <f t="shared" si="68"/>
        <v>0</v>
      </c>
      <c r="AQ150" s="187">
        <f t="shared" si="69"/>
        <v>0</v>
      </c>
      <c r="AR150" s="187">
        <f t="shared" si="70"/>
        <v>0</v>
      </c>
      <c r="AS150" s="187">
        <f t="shared" si="71"/>
        <v>19</v>
      </c>
      <c r="AT150" s="187">
        <f t="shared" si="72"/>
        <v>13</v>
      </c>
      <c r="AU150" s="187">
        <f t="shared" si="73"/>
        <v>0</v>
      </c>
      <c r="AV150" s="187">
        <f t="shared" si="74"/>
        <v>0</v>
      </c>
      <c r="AW150" s="187">
        <f t="shared" si="75"/>
        <v>8</v>
      </c>
      <c r="AX150" s="187">
        <f t="shared" si="76"/>
        <v>4</v>
      </c>
      <c r="AY150" s="187">
        <f t="shared" si="77"/>
        <v>0</v>
      </c>
      <c r="AZ150" s="187">
        <f t="shared" si="78"/>
        <v>0</v>
      </c>
      <c r="BA150" s="187">
        <f t="shared" si="79"/>
        <v>16</v>
      </c>
      <c r="BB150" s="187">
        <f t="shared" si="80"/>
        <v>0</v>
      </c>
      <c r="BC150" s="187">
        <f t="shared" si="81"/>
        <v>0</v>
      </c>
      <c r="BD150" s="187">
        <f t="shared" si="82"/>
        <v>0</v>
      </c>
      <c r="BE150" s="187">
        <f t="shared" si="83"/>
        <v>6</v>
      </c>
      <c r="BF150" s="187">
        <f t="shared" si="84"/>
        <v>0</v>
      </c>
      <c r="BG150" s="187">
        <f t="shared" si="85"/>
        <v>0</v>
      </c>
      <c r="BH150" s="187">
        <f t="shared" si="86"/>
        <v>0</v>
      </c>
      <c r="BI150" s="187">
        <f t="shared" si="87"/>
        <v>0</v>
      </c>
      <c r="BJ150" s="273">
        <f t="shared" si="88"/>
        <v>79</v>
      </c>
      <c r="BK150" s="167">
        <f t="shared" ref="BK150" si="121">BJ150</f>
        <v>79</v>
      </c>
      <c r="BL150" s="167"/>
      <c r="BM150" s="644"/>
      <c r="BN150" s="644"/>
      <c r="BO150" s="644"/>
      <c r="BP150" s="644"/>
      <c r="BQ150" s="644"/>
      <c r="BR150" s="644"/>
      <c r="BS150" s="644"/>
      <c r="BT150" s="644"/>
      <c r="BU150" s="644"/>
      <c r="BV150" s="644"/>
      <c r="BW150" s="644"/>
      <c r="BX150" s="644"/>
      <c r="BY150" s="644"/>
      <c r="BZ150" s="644"/>
      <c r="CA150" s="644"/>
      <c r="CB150" s="644"/>
      <c r="CC150" s="644"/>
      <c r="CD150" s="644"/>
      <c r="CE150" s="644"/>
      <c r="CF150" s="644"/>
      <c r="CG150" s="644"/>
      <c r="CH150" s="644"/>
      <c r="CI150" s="644"/>
      <c r="CJ150" s="301" t="s">
        <v>807</v>
      </c>
      <c r="CK150" s="180"/>
      <c r="CL150" s="136"/>
    </row>
    <row r="151" spans="1:90">
      <c r="A151" s="181" t="s">
        <v>891</v>
      </c>
      <c r="B151" s="182"/>
      <c r="C151" s="183"/>
      <c r="D151" s="184">
        <v>1</v>
      </c>
      <c r="E151" s="184">
        <v>1</v>
      </c>
      <c r="F151" s="184"/>
      <c r="G151" s="184">
        <v>1</v>
      </c>
      <c r="H151" s="182"/>
      <c r="I151" s="182"/>
      <c r="J151" s="182"/>
      <c r="K151" s="182"/>
      <c r="L151" s="182">
        <v>1</v>
      </c>
      <c r="M151" s="182"/>
      <c r="N151" s="182"/>
      <c r="O151" s="182"/>
      <c r="P151" s="182"/>
      <c r="Q151" s="182"/>
      <c r="R151" s="182"/>
      <c r="S151" s="182"/>
      <c r="T151" s="182"/>
      <c r="U151" s="182"/>
      <c r="V151" s="182">
        <v>1</v>
      </c>
      <c r="W151" s="182">
        <v>1</v>
      </c>
      <c r="X151" s="182">
        <v>1</v>
      </c>
      <c r="Y151" s="182">
        <v>1</v>
      </c>
      <c r="Z151" s="182"/>
      <c r="AA151" s="182"/>
      <c r="AB151" s="182"/>
      <c r="AC151" s="182"/>
      <c r="AD151" s="302">
        <v>1</v>
      </c>
      <c r="AE151" s="182"/>
      <c r="AF151" s="302">
        <v>1</v>
      </c>
      <c r="AG151" s="182"/>
      <c r="AH151" s="167">
        <v>10</v>
      </c>
      <c r="AI151" s="317" t="s">
        <v>115</v>
      </c>
      <c r="AJ151" s="186">
        <v>42355</v>
      </c>
      <c r="AK151" s="187"/>
      <c r="AL151" s="187">
        <f t="shared" si="64"/>
        <v>0</v>
      </c>
      <c r="AM151" s="187">
        <f t="shared" si="65"/>
        <v>13</v>
      </c>
      <c r="AN151" s="187">
        <f t="shared" si="66"/>
        <v>8</v>
      </c>
      <c r="AO151" s="187">
        <f t="shared" si="67"/>
        <v>8</v>
      </c>
      <c r="AP151" s="187">
        <f t="shared" si="68"/>
        <v>0</v>
      </c>
      <c r="AQ151" s="187">
        <f t="shared" si="69"/>
        <v>0</v>
      </c>
      <c r="AR151" s="187">
        <f t="shared" si="70"/>
        <v>0</v>
      </c>
      <c r="AS151" s="187">
        <f t="shared" si="71"/>
        <v>19</v>
      </c>
      <c r="AT151" s="187">
        <f t="shared" si="72"/>
        <v>0</v>
      </c>
      <c r="AU151" s="187">
        <f t="shared" si="73"/>
        <v>0</v>
      </c>
      <c r="AV151" s="187">
        <f t="shared" si="74"/>
        <v>0</v>
      </c>
      <c r="AW151" s="187">
        <f t="shared" si="75"/>
        <v>0</v>
      </c>
      <c r="AX151" s="187">
        <f t="shared" si="76"/>
        <v>0</v>
      </c>
      <c r="AY151" s="187">
        <f t="shared" si="77"/>
        <v>0</v>
      </c>
      <c r="AZ151" s="187">
        <f t="shared" si="78"/>
        <v>8</v>
      </c>
      <c r="BA151" s="187">
        <f t="shared" si="79"/>
        <v>16</v>
      </c>
      <c r="BB151" s="187">
        <f t="shared" si="80"/>
        <v>13</v>
      </c>
      <c r="BC151" s="187">
        <f t="shared" si="81"/>
        <v>10</v>
      </c>
      <c r="BD151" s="187">
        <f t="shared" si="82"/>
        <v>0</v>
      </c>
      <c r="BE151" s="187">
        <f t="shared" si="83"/>
        <v>0</v>
      </c>
      <c r="BF151" s="187">
        <f t="shared" si="84"/>
        <v>0</v>
      </c>
      <c r="BG151" s="187">
        <f t="shared" si="85"/>
        <v>8</v>
      </c>
      <c r="BH151" s="187">
        <f t="shared" si="86"/>
        <v>0</v>
      </c>
      <c r="BI151" s="187">
        <f t="shared" si="87"/>
        <v>3</v>
      </c>
      <c r="BJ151" s="273">
        <f t="shared" si="88"/>
        <v>95</v>
      </c>
      <c r="BK151" s="167">
        <f t="shared" ref="BK151:BK152" si="122">BJ151</f>
        <v>95</v>
      </c>
      <c r="BL151" s="167"/>
      <c r="BM151" s="644"/>
      <c r="BN151" s="644"/>
      <c r="BO151" s="644"/>
      <c r="BP151" s="644"/>
      <c r="BQ151" s="644"/>
      <c r="BR151" s="644"/>
      <c r="BS151" s="644"/>
      <c r="BT151" s="644"/>
      <c r="BU151" s="644"/>
      <c r="BV151" s="644"/>
      <c r="BW151" s="644"/>
      <c r="BX151" s="644"/>
      <c r="BY151" s="644"/>
      <c r="BZ151" s="644"/>
      <c r="CA151" s="644"/>
      <c r="CB151" s="644"/>
      <c r="CC151" s="644"/>
      <c r="CD151" s="644"/>
      <c r="CE151" s="644"/>
      <c r="CF151" s="644"/>
      <c r="CG151" s="644"/>
      <c r="CH151" s="644"/>
      <c r="CI151" s="644"/>
      <c r="CJ151" s="301" t="s">
        <v>829</v>
      </c>
      <c r="CK151" s="180"/>
      <c r="CL151" s="136"/>
    </row>
    <row r="152" spans="1:90">
      <c r="A152" s="181" t="s">
        <v>289</v>
      </c>
      <c r="B152" s="182"/>
      <c r="C152" s="183"/>
      <c r="D152" s="184">
        <v>1</v>
      </c>
      <c r="E152" s="184"/>
      <c r="F152" s="184"/>
      <c r="G152" s="184"/>
      <c r="H152" s="182"/>
      <c r="I152" s="182"/>
      <c r="J152" s="182"/>
      <c r="K152" s="182"/>
      <c r="L152" s="182">
        <v>1</v>
      </c>
      <c r="M152" s="182"/>
      <c r="N152" s="182"/>
      <c r="O152" s="182">
        <v>1</v>
      </c>
      <c r="P152" s="182"/>
      <c r="Q152" s="182"/>
      <c r="R152" s="182"/>
      <c r="S152" s="302">
        <v>1</v>
      </c>
      <c r="T152" s="182"/>
      <c r="U152" s="182"/>
      <c r="V152" s="302">
        <v>1</v>
      </c>
      <c r="W152" s="182">
        <v>1</v>
      </c>
      <c r="X152" s="182">
        <v>1</v>
      </c>
      <c r="Y152" s="182">
        <v>1</v>
      </c>
      <c r="Z152" s="182"/>
      <c r="AA152" s="182">
        <v>1</v>
      </c>
      <c r="AB152" s="182"/>
      <c r="AC152" s="182"/>
      <c r="AD152" s="182">
        <v>1</v>
      </c>
      <c r="AE152" s="182"/>
      <c r="AF152" s="182"/>
      <c r="AG152" s="182"/>
      <c r="AH152" s="167">
        <v>10</v>
      </c>
      <c r="AI152" s="336" t="s">
        <v>834</v>
      </c>
      <c r="AJ152" s="341">
        <v>42364</v>
      </c>
      <c r="AK152" s="187"/>
      <c r="AL152" s="187">
        <f t="shared" ref="AL152:AL215" si="123">IF(B152=1,0,0)</f>
        <v>0</v>
      </c>
      <c r="AM152" s="187">
        <f t="shared" ref="AM152:AM215" si="124">IF(D152=1,13,0)</f>
        <v>13</v>
      </c>
      <c r="AN152" s="187">
        <f t="shared" ref="AN152:AN215" si="125">IF(E152=1,8,0)</f>
        <v>0</v>
      </c>
      <c r="AO152" s="187">
        <f t="shared" ref="AO152:AO215" si="126">IF(G152=1,8,0)</f>
        <v>0</v>
      </c>
      <c r="AP152" s="187">
        <f t="shared" ref="AP152:AP215" si="127">IF(I152=1,0,0)</f>
        <v>0</v>
      </c>
      <c r="AQ152" s="187">
        <f t="shared" ref="AQ152:AQ215" si="128">IF(J152=1,0,0)</f>
        <v>0</v>
      </c>
      <c r="AR152" s="187">
        <f t="shared" ref="AR152:AR215" si="129">IF(K152=1,0,0)</f>
        <v>0</v>
      </c>
      <c r="AS152" s="187">
        <f t="shared" ref="AS152:AS215" si="130">IF(L152=1,19,0)</f>
        <v>19</v>
      </c>
      <c r="AT152" s="187">
        <f t="shared" ref="AT152:AT215" si="131">IF(O152=1,13,0)</f>
        <v>13</v>
      </c>
      <c r="AU152" s="187">
        <f t="shared" ref="AU152:AU215" si="132">IF(P152=1,0,0)</f>
        <v>0</v>
      </c>
      <c r="AV152" s="187">
        <f t="shared" ref="AV152:AV215" si="133">IF(Q152=1,3,0)</f>
        <v>0</v>
      </c>
      <c r="AW152" s="187">
        <f t="shared" ref="AW152:AW215" si="134">IF(S152=1,8,0)</f>
        <v>8</v>
      </c>
      <c r="AX152" s="187">
        <f t="shared" ref="AX152:AX215" si="135">IF(T152=1,4,0)</f>
        <v>0</v>
      </c>
      <c r="AY152" s="187">
        <f t="shared" ref="AY152:AY215" si="136">IF(U152=1,2,0)</f>
        <v>0</v>
      </c>
      <c r="AZ152" s="187">
        <f t="shared" ref="AZ152:AZ215" si="137">IF(V152=1,8,0)</f>
        <v>8</v>
      </c>
      <c r="BA152" s="187">
        <f t="shared" ref="BA152:BA215" si="138">IF(W152=1,16,0)</f>
        <v>16</v>
      </c>
      <c r="BB152" s="187">
        <f t="shared" ref="BB152:BB215" si="139">IF(X152=1,13,0)</f>
        <v>13</v>
      </c>
      <c r="BC152" s="187">
        <f t="shared" ref="BC152:BC215" si="140">IF(Y152=1,10,0)</f>
        <v>10</v>
      </c>
      <c r="BD152" s="187">
        <f t="shared" ref="BD152:BD215" si="141">IF(Z152=1,2,0)</f>
        <v>0</v>
      </c>
      <c r="BE152" s="187">
        <f t="shared" ref="BE152:BE215" si="142">IF(AA152=1,6,0)</f>
        <v>6</v>
      </c>
      <c r="BF152" s="187">
        <f t="shared" ref="BF152:BF215" si="143">IF(AB152=1,1,0)</f>
        <v>0</v>
      </c>
      <c r="BG152" s="187">
        <f t="shared" ref="BG152:BG215" si="144">IF(AD152=1,8,0)</f>
        <v>8</v>
      </c>
      <c r="BH152" s="187">
        <f t="shared" ref="BH152:BH215" si="145">IF(AE152=1,2,0)</f>
        <v>0</v>
      </c>
      <c r="BI152" s="187">
        <f t="shared" ref="BI152:BI215" si="146">IF(AF152=1,3,0)</f>
        <v>0</v>
      </c>
      <c r="BJ152" s="273">
        <f t="shared" ref="BJ152:BJ215" si="147">LARGE(AL152:BI152,1)+LARGE(AL152:BI152,2)+LARGE(AL152:BI152,3)+LARGE(AL152:BI152,4)+LARGE(AL152:BI152,5)+LARGE(AL152:BI152,6)+LARGE(AL152:BI152,7)+LARGE(AL152:BI152,8)</f>
        <v>100</v>
      </c>
      <c r="BK152" s="167">
        <f t="shared" si="122"/>
        <v>100</v>
      </c>
      <c r="BL152" s="167"/>
      <c r="BM152" s="644"/>
      <c r="BN152" s="644"/>
      <c r="BO152" s="644"/>
      <c r="BP152" s="644"/>
      <c r="BQ152" s="644"/>
      <c r="BR152" s="644"/>
      <c r="BS152" s="644"/>
      <c r="BT152" s="644"/>
      <c r="BU152" s="644"/>
      <c r="BV152" s="644"/>
      <c r="BW152" s="644"/>
      <c r="BX152" s="644"/>
      <c r="BY152" s="644"/>
      <c r="BZ152" s="644"/>
      <c r="CA152" s="644"/>
      <c r="CB152" s="644"/>
      <c r="CC152" s="644"/>
      <c r="CD152" s="644"/>
      <c r="CE152" s="644"/>
      <c r="CF152" s="644"/>
      <c r="CG152" s="644"/>
      <c r="CH152" s="644"/>
      <c r="CI152" s="644"/>
      <c r="CJ152" s="301" t="s">
        <v>814</v>
      </c>
      <c r="CK152" s="180"/>
      <c r="CL152" s="136"/>
    </row>
    <row r="153" spans="1:90">
      <c r="A153" s="181" t="s">
        <v>892</v>
      </c>
      <c r="B153" s="182"/>
      <c r="C153" s="183"/>
      <c r="D153" s="184"/>
      <c r="E153" s="184">
        <v>1</v>
      </c>
      <c r="F153" s="184"/>
      <c r="G153" s="184">
        <v>1</v>
      </c>
      <c r="H153" s="182"/>
      <c r="I153" s="182"/>
      <c r="J153" s="182"/>
      <c r="K153" s="182"/>
      <c r="L153" s="182">
        <v>1</v>
      </c>
      <c r="M153" s="182"/>
      <c r="N153" s="182"/>
      <c r="O153" s="182">
        <v>1</v>
      </c>
      <c r="P153" s="182"/>
      <c r="Q153" s="182"/>
      <c r="R153" s="182"/>
      <c r="S153" s="182"/>
      <c r="T153" s="182"/>
      <c r="U153" s="182"/>
      <c r="V153" s="182"/>
      <c r="W153" s="182">
        <v>1</v>
      </c>
      <c r="X153" s="182"/>
      <c r="Y153" s="182"/>
      <c r="Z153" s="182"/>
      <c r="AA153" s="182"/>
      <c r="AB153" s="182"/>
      <c r="AC153" s="182"/>
      <c r="AD153" s="182">
        <v>1</v>
      </c>
      <c r="AE153" s="182"/>
      <c r="AF153" s="182"/>
      <c r="AG153" s="182"/>
      <c r="AH153" s="339">
        <v>6</v>
      </c>
      <c r="AI153" s="336" t="s">
        <v>893</v>
      </c>
      <c r="AJ153" s="341">
        <v>42367</v>
      </c>
      <c r="AK153" s="187"/>
      <c r="AL153" s="187">
        <f t="shared" si="123"/>
        <v>0</v>
      </c>
      <c r="AM153" s="187">
        <f t="shared" si="124"/>
        <v>0</v>
      </c>
      <c r="AN153" s="187">
        <f t="shared" si="125"/>
        <v>8</v>
      </c>
      <c r="AO153" s="187">
        <f t="shared" si="126"/>
        <v>8</v>
      </c>
      <c r="AP153" s="187">
        <f t="shared" si="127"/>
        <v>0</v>
      </c>
      <c r="AQ153" s="187">
        <f t="shared" si="128"/>
        <v>0</v>
      </c>
      <c r="AR153" s="187">
        <f t="shared" si="129"/>
        <v>0</v>
      </c>
      <c r="AS153" s="187">
        <f t="shared" si="130"/>
        <v>19</v>
      </c>
      <c r="AT153" s="187">
        <f t="shared" si="131"/>
        <v>13</v>
      </c>
      <c r="AU153" s="187">
        <f t="shared" si="132"/>
        <v>0</v>
      </c>
      <c r="AV153" s="187">
        <f t="shared" si="133"/>
        <v>0</v>
      </c>
      <c r="AW153" s="187">
        <f t="shared" si="134"/>
        <v>0</v>
      </c>
      <c r="AX153" s="187">
        <f t="shared" si="135"/>
        <v>0</v>
      </c>
      <c r="AY153" s="187">
        <f t="shared" si="136"/>
        <v>0</v>
      </c>
      <c r="AZ153" s="187">
        <f t="shared" si="137"/>
        <v>0</v>
      </c>
      <c r="BA153" s="187">
        <f t="shared" si="138"/>
        <v>16</v>
      </c>
      <c r="BB153" s="187">
        <f t="shared" si="139"/>
        <v>0</v>
      </c>
      <c r="BC153" s="187">
        <f t="shared" si="140"/>
        <v>0</v>
      </c>
      <c r="BD153" s="187">
        <f t="shared" si="141"/>
        <v>0</v>
      </c>
      <c r="BE153" s="187">
        <f t="shared" si="142"/>
        <v>0</v>
      </c>
      <c r="BF153" s="187">
        <f t="shared" si="143"/>
        <v>0</v>
      </c>
      <c r="BG153" s="187">
        <f t="shared" si="144"/>
        <v>8</v>
      </c>
      <c r="BH153" s="187">
        <f t="shared" si="145"/>
        <v>0</v>
      </c>
      <c r="BI153" s="187">
        <f t="shared" si="146"/>
        <v>0</v>
      </c>
      <c r="BJ153" s="273">
        <f t="shared" si="147"/>
        <v>72</v>
      </c>
      <c r="BK153" s="167">
        <f t="shared" ref="BK153" si="148">BJ153</f>
        <v>72</v>
      </c>
      <c r="BL153" s="167"/>
      <c r="BM153" s="644"/>
      <c r="BN153" s="644"/>
      <c r="BO153" s="644"/>
      <c r="BP153" s="644"/>
      <c r="BQ153" s="644"/>
      <c r="BR153" s="644"/>
      <c r="BS153" s="644"/>
      <c r="BT153" s="644"/>
      <c r="BU153" s="644"/>
      <c r="BV153" s="644"/>
      <c r="BW153" s="644"/>
      <c r="BX153" s="644"/>
      <c r="BY153" s="644"/>
      <c r="BZ153" s="644"/>
      <c r="CA153" s="644"/>
      <c r="CB153" s="644"/>
      <c r="CC153" s="644"/>
      <c r="CD153" s="644"/>
      <c r="CE153" s="644"/>
      <c r="CF153" s="644"/>
      <c r="CG153" s="644"/>
      <c r="CH153" s="644"/>
      <c r="CI153" s="644"/>
      <c r="CJ153" s="301" t="s">
        <v>768</v>
      </c>
      <c r="CK153" s="180"/>
      <c r="CL153" s="136"/>
    </row>
    <row r="154" spans="1:90">
      <c r="A154" s="181" t="s">
        <v>292</v>
      </c>
      <c r="B154" s="182"/>
      <c r="C154" s="183"/>
      <c r="D154" s="184">
        <v>1</v>
      </c>
      <c r="E154" s="184"/>
      <c r="F154" s="184"/>
      <c r="G154" s="184"/>
      <c r="H154" s="182"/>
      <c r="I154" s="182"/>
      <c r="J154" s="182"/>
      <c r="K154" s="182"/>
      <c r="L154" s="182">
        <v>1</v>
      </c>
      <c r="M154" s="182"/>
      <c r="N154" s="182"/>
      <c r="O154" s="182">
        <v>1</v>
      </c>
      <c r="P154" s="182"/>
      <c r="Q154" s="182"/>
      <c r="R154" s="182"/>
      <c r="S154" s="182"/>
      <c r="T154" s="182">
        <v>1</v>
      </c>
      <c r="U154" s="182"/>
      <c r="V154" s="182"/>
      <c r="W154" s="182">
        <v>1</v>
      </c>
      <c r="X154" s="182"/>
      <c r="Y154" s="320"/>
      <c r="Z154" s="182"/>
      <c r="AA154" s="182"/>
      <c r="AB154" s="182"/>
      <c r="AC154" s="182"/>
      <c r="AD154" s="182"/>
      <c r="AE154" s="182">
        <v>1</v>
      </c>
      <c r="AF154" s="182"/>
      <c r="AG154" s="182"/>
      <c r="AH154" s="167">
        <v>6</v>
      </c>
      <c r="AI154" s="300" t="s">
        <v>894</v>
      </c>
      <c r="AJ154" s="186">
        <v>42356</v>
      </c>
      <c r="AK154" s="187"/>
      <c r="AL154" s="187">
        <f t="shared" si="123"/>
        <v>0</v>
      </c>
      <c r="AM154" s="187">
        <f t="shared" si="124"/>
        <v>13</v>
      </c>
      <c r="AN154" s="187">
        <f t="shared" si="125"/>
        <v>0</v>
      </c>
      <c r="AO154" s="187">
        <f t="shared" si="126"/>
        <v>0</v>
      </c>
      <c r="AP154" s="187">
        <f t="shared" si="127"/>
        <v>0</v>
      </c>
      <c r="AQ154" s="187">
        <f t="shared" si="128"/>
        <v>0</v>
      </c>
      <c r="AR154" s="187">
        <f t="shared" si="129"/>
        <v>0</v>
      </c>
      <c r="AS154" s="187">
        <f t="shared" si="130"/>
        <v>19</v>
      </c>
      <c r="AT154" s="187">
        <f t="shared" si="131"/>
        <v>13</v>
      </c>
      <c r="AU154" s="187">
        <f t="shared" si="132"/>
        <v>0</v>
      </c>
      <c r="AV154" s="187">
        <f t="shared" si="133"/>
        <v>0</v>
      </c>
      <c r="AW154" s="187">
        <f t="shared" si="134"/>
        <v>0</v>
      </c>
      <c r="AX154" s="187">
        <f t="shared" si="135"/>
        <v>4</v>
      </c>
      <c r="AY154" s="187">
        <f t="shared" si="136"/>
        <v>0</v>
      </c>
      <c r="AZ154" s="187">
        <f t="shared" si="137"/>
        <v>0</v>
      </c>
      <c r="BA154" s="187">
        <f t="shared" si="138"/>
        <v>16</v>
      </c>
      <c r="BB154" s="187">
        <f t="shared" si="139"/>
        <v>0</v>
      </c>
      <c r="BC154" s="187">
        <f t="shared" si="140"/>
        <v>0</v>
      </c>
      <c r="BD154" s="187">
        <f t="shared" si="141"/>
        <v>0</v>
      </c>
      <c r="BE154" s="187">
        <f t="shared" si="142"/>
        <v>0</v>
      </c>
      <c r="BF154" s="187">
        <f t="shared" si="143"/>
        <v>0</v>
      </c>
      <c r="BG154" s="187">
        <f t="shared" si="144"/>
        <v>0</v>
      </c>
      <c r="BH154" s="187">
        <f t="shared" si="145"/>
        <v>2</v>
      </c>
      <c r="BI154" s="187">
        <f t="shared" si="146"/>
        <v>0</v>
      </c>
      <c r="BJ154" s="273">
        <f t="shared" si="147"/>
        <v>67</v>
      </c>
      <c r="BK154" s="167">
        <f t="shared" si="38"/>
        <v>67</v>
      </c>
      <c r="BL154" s="167"/>
      <c r="BM154" s="644"/>
      <c r="BN154" s="644"/>
      <c r="BO154" s="644"/>
      <c r="BP154" s="644"/>
      <c r="BQ154" s="644"/>
      <c r="BR154" s="644"/>
      <c r="BS154" s="644"/>
      <c r="BT154" s="644"/>
      <c r="BU154" s="644"/>
      <c r="BV154" s="644"/>
      <c r="BW154" s="644"/>
      <c r="BX154" s="644"/>
      <c r="BY154" s="644"/>
      <c r="BZ154" s="644"/>
      <c r="CA154" s="644"/>
      <c r="CB154" s="644"/>
      <c r="CC154" s="644"/>
      <c r="CD154" s="644"/>
      <c r="CE154" s="644"/>
      <c r="CF154" s="644"/>
      <c r="CG154" s="644"/>
      <c r="CH154" s="644"/>
      <c r="CI154" s="644"/>
      <c r="CJ154" s="301" t="s">
        <v>769</v>
      </c>
      <c r="CK154" s="180"/>
      <c r="CL154" s="136"/>
    </row>
    <row r="155" spans="1:90" s="344" customFormat="1">
      <c r="A155" s="335" t="s">
        <v>293</v>
      </c>
      <c r="B155" s="182"/>
      <c r="C155" s="183"/>
      <c r="D155" s="184"/>
      <c r="E155" s="184"/>
      <c r="F155" s="184"/>
      <c r="G155" s="184"/>
      <c r="H155" s="182"/>
      <c r="I155" s="182"/>
      <c r="J155" s="182"/>
      <c r="K155" s="182"/>
      <c r="L155" s="182">
        <v>1</v>
      </c>
      <c r="M155" s="182"/>
      <c r="N155" s="182"/>
      <c r="O155" s="182">
        <v>1</v>
      </c>
      <c r="P155" s="182"/>
      <c r="Q155" s="182">
        <v>1</v>
      </c>
      <c r="R155" s="182"/>
      <c r="S155" s="182"/>
      <c r="T155" s="182">
        <v>1</v>
      </c>
      <c r="U155" s="182"/>
      <c r="V155" s="182">
        <v>1</v>
      </c>
      <c r="W155" s="182"/>
      <c r="X155" s="182">
        <v>1</v>
      </c>
      <c r="Y155" s="182"/>
      <c r="Z155" s="182"/>
      <c r="AA155" s="182"/>
      <c r="AB155" s="182"/>
      <c r="AC155" s="182"/>
      <c r="AD155" s="182">
        <v>1</v>
      </c>
      <c r="AE155" s="182"/>
      <c r="AF155" s="182"/>
      <c r="AG155" s="182"/>
      <c r="AH155" s="339">
        <v>7</v>
      </c>
      <c r="AI155" s="351" t="s">
        <v>895</v>
      </c>
      <c r="AJ155" s="341">
        <v>42374</v>
      </c>
      <c r="AK155" s="187"/>
      <c r="AL155" s="187">
        <f t="shared" si="123"/>
        <v>0</v>
      </c>
      <c r="AM155" s="187">
        <f t="shared" si="124"/>
        <v>0</v>
      </c>
      <c r="AN155" s="187">
        <f t="shared" si="125"/>
        <v>0</v>
      </c>
      <c r="AO155" s="187">
        <f t="shared" si="126"/>
        <v>0</v>
      </c>
      <c r="AP155" s="187">
        <f t="shared" si="127"/>
        <v>0</v>
      </c>
      <c r="AQ155" s="187">
        <f t="shared" si="128"/>
        <v>0</v>
      </c>
      <c r="AR155" s="187">
        <f t="shared" si="129"/>
        <v>0</v>
      </c>
      <c r="AS155" s="187">
        <f t="shared" si="130"/>
        <v>19</v>
      </c>
      <c r="AT155" s="187">
        <f t="shared" si="131"/>
        <v>13</v>
      </c>
      <c r="AU155" s="187">
        <f t="shared" si="132"/>
        <v>0</v>
      </c>
      <c r="AV155" s="187">
        <f t="shared" si="133"/>
        <v>3</v>
      </c>
      <c r="AW155" s="187">
        <f t="shared" si="134"/>
        <v>0</v>
      </c>
      <c r="AX155" s="187">
        <f t="shared" si="135"/>
        <v>4</v>
      </c>
      <c r="AY155" s="187">
        <f t="shared" si="136"/>
        <v>0</v>
      </c>
      <c r="AZ155" s="187">
        <f t="shared" si="137"/>
        <v>8</v>
      </c>
      <c r="BA155" s="187">
        <f t="shared" si="138"/>
        <v>0</v>
      </c>
      <c r="BB155" s="187">
        <f t="shared" si="139"/>
        <v>13</v>
      </c>
      <c r="BC155" s="187">
        <f t="shared" si="140"/>
        <v>0</v>
      </c>
      <c r="BD155" s="187">
        <f t="shared" si="141"/>
        <v>0</v>
      </c>
      <c r="BE155" s="187">
        <f t="shared" si="142"/>
        <v>0</v>
      </c>
      <c r="BF155" s="187">
        <f t="shared" si="143"/>
        <v>0</v>
      </c>
      <c r="BG155" s="187">
        <f t="shared" si="144"/>
        <v>8</v>
      </c>
      <c r="BH155" s="187">
        <f t="shared" si="145"/>
        <v>0</v>
      </c>
      <c r="BI155" s="187">
        <f t="shared" si="146"/>
        <v>0</v>
      </c>
      <c r="BJ155" s="273">
        <f t="shared" si="147"/>
        <v>68</v>
      </c>
      <c r="BK155" s="167">
        <f t="shared" ref="BK155:BK156" si="149">BJ155</f>
        <v>68</v>
      </c>
      <c r="BL155" s="167"/>
      <c r="BM155" s="644"/>
      <c r="BN155" s="644"/>
      <c r="BO155" s="644"/>
      <c r="BP155" s="644"/>
      <c r="BQ155" s="644"/>
      <c r="BR155" s="644"/>
      <c r="BS155" s="644"/>
      <c r="BT155" s="644"/>
      <c r="BU155" s="644"/>
      <c r="BV155" s="644"/>
      <c r="BW155" s="644"/>
      <c r="BX155" s="644"/>
      <c r="BY155" s="644"/>
      <c r="BZ155" s="644"/>
      <c r="CA155" s="644"/>
      <c r="CB155" s="644"/>
      <c r="CC155" s="644"/>
      <c r="CD155" s="644"/>
      <c r="CE155" s="644"/>
      <c r="CF155" s="644"/>
      <c r="CG155" s="644"/>
      <c r="CH155" s="644"/>
      <c r="CI155" s="644"/>
      <c r="CJ155" s="301" t="s">
        <v>793</v>
      </c>
      <c r="CK155" s="342"/>
      <c r="CL155" s="343"/>
    </row>
    <row r="156" spans="1:90" s="344" customFormat="1">
      <c r="A156" s="335" t="s">
        <v>295</v>
      </c>
      <c r="B156" s="182"/>
      <c r="C156" s="183"/>
      <c r="D156" s="314">
        <v>1</v>
      </c>
      <c r="E156" s="314">
        <v>1</v>
      </c>
      <c r="F156" s="314"/>
      <c r="G156" s="314">
        <v>1</v>
      </c>
      <c r="H156" s="182"/>
      <c r="I156" s="182"/>
      <c r="J156" s="182"/>
      <c r="K156" s="182"/>
      <c r="L156" s="182">
        <v>1</v>
      </c>
      <c r="M156" s="182"/>
      <c r="N156" s="182"/>
      <c r="O156" s="182"/>
      <c r="P156" s="182"/>
      <c r="Q156" s="182"/>
      <c r="R156" s="182"/>
      <c r="S156" s="182">
        <v>1</v>
      </c>
      <c r="T156" s="182">
        <v>1</v>
      </c>
      <c r="U156" s="182"/>
      <c r="V156" s="182"/>
      <c r="W156" s="182">
        <v>1</v>
      </c>
      <c r="X156" s="182">
        <v>1</v>
      </c>
      <c r="Y156" s="182">
        <v>1</v>
      </c>
      <c r="Z156" s="182"/>
      <c r="AA156" s="182"/>
      <c r="AB156" s="182"/>
      <c r="AC156" s="182"/>
      <c r="AD156" s="182">
        <v>1</v>
      </c>
      <c r="AE156" s="182"/>
      <c r="AF156" s="182"/>
      <c r="AG156" s="182"/>
      <c r="AH156" s="339">
        <v>10</v>
      </c>
      <c r="AI156" s="351" t="s">
        <v>896</v>
      </c>
      <c r="AJ156" s="341">
        <v>42375</v>
      </c>
      <c r="AK156" s="187"/>
      <c r="AL156" s="187">
        <f t="shared" si="123"/>
        <v>0</v>
      </c>
      <c r="AM156" s="187">
        <f t="shared" si="124"/>
        <v>13</v>
      </c>
      <c r="AN156" s="187">
        <f t="shared" si="125"/>
        <v>8</v>
      </c>
      <c r="AO156" s="187">
        <f t="shared" si="126"/>
        <v>8</v>
      </c>
      <c r="AP156" s="187">
        <f t="shared" si="127"/>
        <v>0</v>
      </c>
      <c r="AQ156" s="187">
        <f t="shared" si="128"/>
        <v>0</v>
      </c>
      <c r="AR156" s="187">
        <f t="shared" si="129"/>
        <v>0</v>
      </c>
      <c r="AS156" s="187">
        <f t="shared" si="130"/>
        <v>19</v>
      </c>
      <c r="AT156" s="187">
        <f t="shared" si="131"/>
        <v>0</v>
      </c>
      <c r="AU156" s="187">
        <f t="shared" si="132"/>
        <v>0</v>
      </c>
      <c r="AV156" s="187">
        <f t="shared" si="133"/>
        <v>0</v>
      </c>
      <c r="AW156" s="187">
        <f t="shared" si="134"/>
        <v>8</v>
      </c>
      <c r="AX156" s="187">
        <f t="shared" si="135"/>
        <v>4</v>
      </c>
      <c r="AY156" s="187">
        <f t="shared" si="136"/>
        <v>0</v>
      </c>
      <c r="AZ156" s="187">
        <f t="shared" si="137"/>
        <v>0</v>
      </c>
      <c r="BA156" s="187">
        <f t="shared" si="138"/>
        <v>16</v>
      </c>
      <c r="BB156" s="187">
        <f t="shared" si="139"/>
        <v>13</v>
      </c>
      <c r="BC156" s="187">
        <f t="shared" si="140"/>
        <v>10</v>
      </c>
      <c r="BD156" s="187">
        <f t="shared" si="141"/>
        <v>0</v>
      </c>
      <c r="BE156" s="187">
        <f t="shared" si="142"/>
        <v>0</v>
      </c>
      <c r="BF156" s="187">
        <f t="shared" si="143"/>
        <v>0</v>
      </c>
      <c r="BG156" s="187">
        <f t="shared" si="144"/>
        <v>8</v>
      </c>
      <c r="BH156" s="187">
        <f t="shared" si="145"/>
        <v>0</v>
      </c>
      <c r="BI156" s="187">
        <f t="shared" si="146"/>
        <v>0</v>
      </c>
      <c r="BJ156" s="273">
        <f t="shared" si="147"/>
        <v>95</v>
      </c>
      <c r="BK156" s="167">
        <f t="shared" si="149"/>
        <v>95</v>
      </c>
      <c r="BL156" s="167"/>
      <c r="BM156" s="644"/>
      <c r="BN156" s="644"/>
      <c r="BO156" s="644"/>
      <c r="BP156" s="644"/>
      <c r="BQ156" s="644"/>
      <c r="BR156" s="644"/>
      <c r="BS156" s="644"/>
      <c r="BT156" s="644"/>
      <c r="BU156" s="644"/>
      <c r="BV156" s="644"/>
      <c r="BW156" s="644"/>
      <c r="BX156" s="644"/>
      <c r="BY156" s="644"/>
      <c r="BZ156" s="644"/>
      <c r="CA156" s="644"/>
      <c r="CB156" s="644"/>
      <c r="CC156" s="644"/>
      <c r="CD156" s="644"/>
      <c r="CE156" s="644"/>
      <c r="CF156" s="644"/>
      <c r="CG156" s="644"/>
      <c r="CH156" s="644"/>
      <c r="CI156" s="644"/>
      <c r="CJ156" s="301" t="s">
        <v>843</v>
      </c>
      <c r="CK156" s="342"/>
      <c r="CL156" s="343"/>
    </row>
    <row r="157" spans="1:90" s="344" customFormat="1">
      <c r="A157" s="335" t="s">
        <v>296</v>
      </c>
      <c r="B157" s="182"/>
      <c r="C157" s="183"/>
      <c r="D157" s="184"/>
      <c r="E157" s="184"/>
      <c r="F157" s="184"/>
      <c r="G157" s="184"/>
      <c r="H157" s="182"/>
      <c r="I157" s="182"/>
      <c r="J157" s="182"/>
      <c r="K157" s="182"/>
      <c r="L157" s="182">
        <v>1</v>
      </c>
      <c r="M157" s="182"/>
      <c r="N157" s="182"/>
      <c r="O157" s="182">
        <v>1</v>
      </c>
      <c r="P157" s="182"/>
      <c r="Q157" s="182"/>
      <c r="R157" s="182"/>
      <c r="S157" s="182"/>
      <c r="T157" s="182">
        <v>1</v>
      </c>
      <c r="U157" s="182"/>
      <c r="V157" s="182"/>
      <c r="W157" s="302">
        <v>1</v>
      </c>
      <c r="X157" s="182">
        <v>1</v>
      </c>
      <c r="Y157" s="182"/>
      <c r="Z157" s="182">
        <v>1</v>
      </c>
      <c r="AA157" s="182">
        <v>1</v>
      </c>
      <c r="AB157" s="182"/>
      <c r="AC157" s="182"/>
      <c r="AD157" s="182"/>
      <c r="AE157" s="182"/>
      <c r="AF157" s="182"/>
      <c r="AG157" s="182"/>
      <c r="AH157" s="339">
        <v>7</v>
      </c>
      <c r="AI157" s="334" t="s">
        <v>760</v>
      </c>
      <c r="AJ157" s="186">
        <v>42373</v>
      </c>
      <c r="AK157" s="187"/>
      <c r="AL157" s="187">
        <f t="shared" si="123"/>
        <v>0</v>
      </c>
      <c r="AM157" s="187">
        <f t="shared" si="124"/>
        <v>0</v>
      </c>
      <c r="AN157" s="187">
        <f t="shared" si="125"/>
        <v>0</v>
      </c>
      <c r="AO157" s="187">
        <f t="shared" si="126"/>
        <v>0</v>
      </c>
      <c r="AP157" s="187">
        <f t="shared" si="127"/>
        <v>0</v>
      </c>
      <c r="AQ157" s="187">
        <f t="shared" si="128"/>
        <v>0</v>
      </c>
      <c r="AR157" s="187">
        <f t="shared" si="129"/>
        <v>0</v>
      </c>
      <c r="AS157" s="187">
        <f t="shared" si="130"/>
        <v>19</v>
      </c>
      <c r="AT157" s="187">
        <f t="shared" si="131"/>
        <v>13</v>
      </c>
      <c r="AU157" s="187">
        <f t="shared" si="132"/>
        <v>0</v>
      </c>
      <c r="AV157" s="187">
        <f t="shared" si="133"/>
        <v>0</v>
      </c>
      <c r="AW157" s="187">
        <f t="shared" si="134"/>
        <v>0</v>
      </c>
      <c r="AX157" s="187">
        <f t="shared" si="135"/>
        <v>4</v>
      </c>
      <c r="AY157" s="187">
        <f t="shared" si="136"/>
        <v>0</v>
      </c>
      <c r="AZ157" s="187">
        <f t="shared" si="137"/>
        <v>0</v>
      </c>
      <c r="BA157" s="187">
        <f t="shared" si="138"/>
        <v>16</v>
      </c>
      <c r="BB157" s="187">
        <f t="shared" si="139"/>
        <v>13</v>
      </c>
      <c r="BC157" s="187">
        <f t="shared" si="140"/>
        <v>0</v>
      </c>
      <c r="BD157" s="187">
        <f t="shared" si="141"/>
        <v>2</v>
      </c>
      <c r="BE157" s="187">
        <f t="shared" si="142"/>
        <v>6</v>
      </c>
      <c r="BF157" s="187">
        <f t="shared" si="143"/>
        <v>0</v>
      </c>
      <c r="BG157" s="187">
        <f t="shared" si="144"/>
        <v>0</v>
      </c>
      <c r="BH157" s="187">
        <f t="shared" si="145"/>
        <v>0</v>
      </c>
      <c r="BI157" s="187">
        <f t="shared" si="146"/>
        <v>0</v>
      </c>
      <c r="BJ157" s="273">
        <f t="shared" si="147"/>
        <v>73</v>
      </c>
      <c r="BK157" s="167">
        <f t="shared" si="38"/>
        <v>73</v>
      </c>
      <c r="BL157" s="167"/>
      <c r="BM157" s="644"/>
      <c r="BN157" s="644"/>
      <c r="BO157" s="644"/>
      <c r="BP157" s="644"/>
      <c r="BQ157" s="644"/>
      <c r="BR157" s="644"/>
      <c r="BS157" s="644"/>
      <c r="BT157" s="644"/>
      <c r="BU157" s="644"/>
      <c r="BV157" s="644"/>
      <c r="BW157" s="644"/>
      <c r="BX157" s="644"/>
      <c r="BY157" s="644"/>
      <c r="BZ157" s="644"/>
      <c r="CA157" s="644"/>
      <c r="CB157" s="644"/>
      <c r="CC157" s="644"/>
      <c r="CD157" s="644"/>
      <c r="CE157" s="644"/>
      <c r="CF157" s="644"/>
      <c r="CG157" s="644"/>
      <c r="CH157" s="644"/>
      <c r="CI157" s="644"/>
      <c r="CJ157" s="301" t="s">
        <v>754</v>
      </c>
      <c r="CK157" s="342"/>
      <c r="CL157" s="343"/>
    </row>
    <row r="158" spans="1:90">
      <c r="A158" s="181" t="s">
        <v>297</v>
      </c>
      <c r="B158" s="182"/>
      <c r="C158" s="183"/>
      <c r="D158" s="302">
        <v>1</v>
      </c>
      <c r="E158" s="184">
        <v>1</v>
      </c>
      <c r="F158" s="184"/>
      <c r="G158" s="184">
        <v>1</v>
      </c>
      <c r="H158" s="182"/>
      <c r="I158" s="182"/>
      <c r="J158" s="182"/>
      <c r="K158" s="182"/>
      <c r="L158" s="182">
        <v>1</v>
      </c>
      <c r="M158" s="182"/>
      <c r="N158" s="182"/>
      <c r="O158" s="182"/>
      <c r="P158" s="182"/>
      <c r="Q158" s="182"/>
      <c r="R158" s="182"/>
      <c r="S158" s="302">
        <v>1</v>
      </c>
      <c r="T158" s="182"/>
      <c r="U158" s="182">
        <v>1</v>
      </c>
      <c r="V158" s="182"/>
      <c r="W158" s="182">
        <v>1</v>
      </c>
      <c r="X158" s="182"/>
      <c r="Y158" s="182"/>
      <c r="Z158" s="182"/>
      <c r="AA158" s="182"/>
      <c r="AB158" s="182">
        <v>1</v>
      </c>
      <c r="AC158" s="182"/>
      <c r="AD158" s="182"/>
      <c r="AE158" s="182"/>
      <c r="AF158" s="182"/>
      <c r="AG158" s="182"/>
      <c r="AH158" s="167">
        <v>8</v>
      </c>
      <c r="AI158" s="300" t="s">
        <v>897</v>
      </c>
      <c r="AJ158" s="186">
        <v>42349</v>
      </c>
      <c r="AK158" s="187"/>
      <c r="AL158" s="187">
        <f t="shared" si="123"/>
        <v>0</v>
      </c>
      <c r="AM158" s="187">
        <f t="shared" si="124"/>
        <v>13</v>
      </c>
      <c r="AN158" s="187">
        <f t="shared" si="125"/>
        <v>8</v>
      </c>
      <c r="AO158" s="187">
        <f t="shared" si="126"/>
        <v>8</v>
      </c>
      <c r="AP158" s="187">
        <f t="shared" si="127"/>
        <v>0</v>
      </c>
      <c r="AQ158" s="187">
        <f t="shared" si="128"/>
        <v>0</v>
      </c>
      <c r="AR158" s="187">
        <f t="shared" si="129"/>
        <v>0</v>
      </c>
      <c r="AS158" s="187">
        <f t="shared" si="130"/>
        <v>19</v>
      </c>
      <c r="AT158" s="187">
        <f t="shared" si="131"/>
        <v>0</v>
      </c>
      <c r="AU158" s="187">
        <f t="shared" si="132"/>
        <v>0</v>
      </c>
      <c r="AV158" s="187">
        <f t="shared" si="133"/>
        <v>0</v>
      </c>
      <c r="AW158" s="187">
        <f t="shared" si="134"/>
        <v>8</v>
      </c>
      <c r="AX158" s="187">
        <f t="shared" si="135"/>
        <v>0</v>
      </c>
      <c r="AY158" s="187">
        <f t="shared" si="136"/>
        <v>2</v>
      </c>
      <c r="AZ158" s="187">
        <f t="shared" si="137"/>
        <v>0</v>
      </c>
      <c r="BA158" s="187">
        <f t="shared" si="138"/>
        <v>16</v>
      </c>
      <c r="BB158" s="187">
        <f t="shared" si="139"/>
        <v>0</v>
      </c>
      <c r="BC158" s="187">
        <f t="shared" si="140"/>
        <v>0</v>
      </c>
      <c r="BD158" s="187">
        <f t="shared" si="141"/>
        <v>0</v>
      </c>
      <c r="BE158" s="187">
        <f t="shared" si="142"/>
        <v>0</v>
      </c>
      <c r="BF158" s="187">
        <f t="shared" si="143"/>
        <v>1</v>
      </c>
      <c r="BG158" s="187">
        <f t="shared" si="144"/>
        <v>0</v>
      </c>
      <c r="BH158" s="187">
        <f t="shared" si="145"/>
        <v>0</v>
      </c>
      <c r="BI158" s="187">
        <f t="shared" si="146"/>
        <v>0</v>
      </c>
      <c r="BJ158" s="273">
        <f t="shared" si="147"/>
        <v>75</v>
      </c>
      <c r="BK158" s="167">
        <f t="shared" si="38"/>
        <v>75</v>
      </c>
      <c r="BL158" s="167"/>
      <c r="BM158" s="644"/>
      <c r="BN158" s="644"/>
      <c r="BO158" s="644"/>
      <c r="BP158" s="644"/>
      <c r="BQ158" s="644"/>
      <c r="BR158" s="644"/>
      <c r="BS158" s="644"/>
      <c r="BT158" s="644"/>
      <c r="BU158" s="644"/>
      <c r="BV158" s="644"/>
      <c r="BW158" s="644"/>
      <c r="BX158" s="644"/>
      <c r="BY158" s="644"/>
      <c r="BZ158" s="644"/>
      <c r="CA158" s="644"/>
      <c r="CB158" s="644"/>
      <c r="CC158" s="644"/>
      <c r="CD158" s="644"/>
      <c r="CE158" s="644"/>
      <c r="CF158" s="644"/>
      <c r="CG158" s="644"/>
      <c r="CH158" s="644"/>
      <c r="CI158" s="644"/>
      <c r="CJ158" s="301" t="s">
        <v>805</v>
      </c>
      <c r="CK158" s="180"/>
      <c r="CL158" s="136"/>
    </row>
    <row r="159" spans="1:90" s="344" customFormat="1">
      <c r="A159" s="331" t="s">
        <v>298</v>
      </c>
      <c r="B159" s="182"/>
      <c r="C159" s="183"/>
      <c r="D159" s="182">
        <v>1</v>
      </c>
      <c r="E159" s="184">
        <v>1</v>
      </c>
      <c r="F159" s="184"/>
      <c r="G159" s="184">
        <v>1</v>
      </c>
      <c r="H159" s="182"/>
      <c r="I159" s="182"/>
      <c r="J159" s="182"/>
      <c r="K159" s="182"/>
      <c r="L159" s="182">
        <v>1</v>
      </c>
      <c r="M159" s="182"/>
      <c r="N159" s="182"/>
      <c r="O159" s="182"/>
      <c r="P159" s="182"/>
      <c r="Q159" s="182"/>
      <c r="R159" s="182"/>
      <c r="S159" s="182">
        <v>1</v>
      </c>
      <c r="T159" s="182"/>
      <c r="U159" s="182"/>
      <c r="V159" s="182">
        <v>1</v>
      </c>
      <c r="W159" s="182"/>
      <c r="X159" s="182">
        <v>1</v>
      </c>
      <c r="Y159" s="182">
        <v>1</v>
      </c>
      <c r="Z159" s="182"/>
      <c r="AA159" s="182"/>
      <c r="AB159" s="182"/>
      <c r="AC159" s="182"/>
      <c r="AD159" s="182">
        <v>1</v>
      </c>
      <c r="AE159" s="182"/>
      <c r="AF159" s="182">
        <v>1</v>
      </c>
      <c r="AG159" s="182"/>
      <c r="AH159" s="339">
        <v>10</v>
      </c>
      <c r="AI159" s="356" t="s">
        <v>898</v>
      </c>
      <c r="AJ159" s="341">
        <v>42370</v>
      </c>
      <c r="AK159" s="187"/>
      <c r="AL159" s="187">
        <f t="shared" si="123"/>
        <v>0</v>
      </c>
      <c r="AM159" s="187">
        <f t="shared" si="124"/>
        <v>13</v>
      </c>
      <c r="AN159" s="187">
        <f t="shared" si="125"/>
        <v>8</v>
      </c>
      <c r="AO159" s="187">
        <f t="shared" si="126"/>
        <v>8</v>
      </c>
      <c r="AP159" s="187">
        <f t="shared" si="127"/>
        <v>0</v>
      </c>
      <c r="AQ159" s="187">
        <f t="shared" si="128"/>
        <v>0</v>
      </c>
      <c r="AR159" s="187">
        <f t="shared" si="129"/>
        <v>0</v>
      </c>
      <c r="AS159" s="187">
        <f t="shared" si="130"/>
        <v>19</v>
      </c>
      <c r="AT159" s="187">
        <f t="shared" si="131"/>
        <v>0</v>
      </c>
      <c r="AU159" s="187">
        <f t="shared" si="132"/>
        <v>0</v>
      </c>
      <c r="AV159" s="187">
        <f t="shared" si="133"/>
        <v>0</v>
      </c>
      <c r="AW159" s="187">
        <f t="shared" si="134"/>
        <v>8</v>
      </c>
      <c r="AX159" s="187">
        <f t="shared" si="135"/>
        <v>0</v>
      </c>
      <c r="AY159" s="187">
        <f t="shared" si="136"/>
        <v>0</v>
      </c>
      <c r="AZ159" s="187">
        <f t="shared" si="137"/>
        <v>8</v>
      </c>
      <c r="BA159" s="187">
        <f t="shared" si="138"/>
        <v>0</v>
      </c>
      <c r="BB159" s="187">
        <f t="shared" si="139"/>
        <v>13</v>
      </c>
      <c r="BC159" s="187">
        <f t="shared" si="140"/>
        <v>10</v>
      </c>
      <c r="BD159" s="187">
        <f t="shared" si="141"/>
        <v>0</v>
      </c>
      <c r="BE159" s="187">
        <f t="shared" si="142"/>
        <v>0</v>
      </c>
      <c r="BF159" s="187">
        <f t="shared" si="143"/>
        <v>0</v>
      </c>
      <c r="BG159" s="187">
        <f t="shared" si="144"/>
        <v>8</v>
      </c>
      <c r="BH159" s="187">
        <f t="shared" si="145"/>
        <v>0</v>
      </c>
      <c r="BI159" s="187">
        <f t="shared" si="146"/>
        <v>3</v>
      </c>
      <c r="BJ159" s="273">
        <f t="shared" si="147"/>
        <v>87</v>
      </c>
      <c r="BK159" s="167">
        <f t="shared" ref="BK159" si="150">BJ159</f>
        <v>87</v>
      </c>
      <c r="BL159" s="167"/>
      <c r="BM159" s="644"/>
      <c r="BN159" s="644"/>
      <c r="BO159" s="644"/>
      <c r="BP159" s="644"/>
      <c r="BQ159" s="644"/>
      <c r="BR159" s="644"/>
      <c r="BS159" s="644"/>
      <c r="BT159" s="644"/>
      <c r="BU159" s="644"/>
      <c r="BV159" s="644"/>
      <c r="BW159" s="644"/>
      <c r="BX159" s="644"/>
      <c r="BY159" s="644"/>
      <c r="BZ159" s="644"/>
      <c r="CA159" s="644"/>
      <c r="CB159" s="644"/>
      <c r="CC159" s="644"/>
      <c r="CD159" s="644"/>
      <c r="CE159" s="644"/>
      <c r="CF159" s="644"/>
      <c r="CG159" s="644"/>
      <c r="CH159" s="644"/>
      <c r="CI159" s="644"/>
      <c r="CJ159" s="301" t="s">
        <v>789</v>
      </c>
      <c r="CK159" s="342"/>
      <c r="CL159" s="343"/>
    </row>
    <row r="160" spans="1:90">
      <c r="A160" s="181" t="s">
        <v>618</v>
      </c>
      <c r="B160" s="182"/>
      <c r="C160" s="183"/>
      <c r="D160" s="184"/>
      <c r="E160" s="184"/>
      <c r="F160" s="184"/>
      <c r="G160" s="184"/>
      <c r="H160" s="182"/>
      <c r="I160" s="182"/>
      <c r="J160" s="182"/>
      <c r="K160" s="182"/>
      <c r="L160" s="182">
        <v>1</v>
      </c>
      <c r="M160" s="182"/>
      <c r="N160" s="182"/>
      <c r="O160" s="182">
        <v>1</v>
      </c>
      <c r="P160" s="182"/>
      <c r="Q160" s="182"/>
      <c r="R160" s="182"/>
      <c r="S160" s="182"/>
      <c r="T160" s="182"/>
      <c r="U160" s="182"/>
      <c r="V160" s="182"/>
      <c r="W160" s="182"/>
      <c r="X160" s="182"/>
      <c r="Y160" s="182"/>
      <c r="Z160" s="182"/>
      <c r="AA160" s="182"/>
      <c r="AB160" s="182"/>
      <c r="AC160" s="182"/>
      <c r="AD160" s="182">
        <v>1</v>
      </c>
      <c r="AE160" s="182"/>
      <c r="AF160" s="182"/>
      <c r="AG160" s="182"/>
      <c r="AH160" s="167">
        <v>3</v>
      </c>
      <c r="AI160" s="300" t="s">
        <v>899</v>
      </c>
      <c r="AJ160" s="186">
        <v>42328</v>
      </c>
      <c r="AK160" s="187"/>
      <c r="AL160" s="187">
        <f t="shared" si="123"/>
        <v>0</v>
      </c>
      <c r="AM160" s="187">
        <f t="shared" si="124"/>
        <v>0</v>
      </c>
      <c r="AN160" s="187">
        <f t="shared" si="125"/>
        <v>0</v>
      </c>
      <c r="AO160" s="187">
        <f t="shared" si="126"/>
        <v>0</v>
      </c>
      <c r="AP160" s="187">
        <f t="shared" si="127"/>
        <v>0</v>
      </c>
      <c r="AQ160" s="187">
        <f t="shared" si="128"/>
        <v>0</v>
      </c>
      <c r="AR160" s="187">
        <f t="shared" si="129"/>
        <v>0</v>
      </c>
      <c r="AS160" s="187">
        <f t="shared" si="130"/>
        <v>19</v>
      </c>
      <c r="AT160" s="187">
        <f t="shared" si="131"/>
        <v>13</v>
      </c>
      <c r="AU160" s="187">
        <f t="shared" si="132"/>
        <v>0</v>
      </c>
      <c r="AV160" s="187">
        <f t="shared" si="133"/>
        <v>0</v>
      </c>
      <c r="AW160" s="187">
        <f t="shared" si="134"/>
        <v>0</v>
      </c>
      <c r="AX160" s="187">
        <f t="shared" si="135"/>
        <v>0</v>
      </c>
      <c r="AY160" s="187">
        <f t="shared" si="136"/>
        <v>0</v>
      </c>
      <c r="AZ160" s="187">
        <f t="shared" si="137"/>
        <v>0</v>
      </c>
      <c r="BA160" s="187">
        <f t="shared" si="138"/>
        <v>0</v>
      </c>
      <c r="BB160" s="187">
        <f t="shared" si="139"/>
        <v>0</v>
      </c>
      <c r="BC160" s="187">
        <f t="shared" si="140"/>
        <v>0</v>
      </c>
      <c r="BD160" s="187">
        <f t="shared" si="141"/>
        <v>0</v>
      </c>
      <c r="BE160" s="187">
        <f t="shared" si="142"/>
        <v>0</v>
      </c>
      <c r="BF160" s="187">
        <f t="shared" si="143"/>
        <v>0</v>
      </c>
      <c r="BG160" s="187">
        <f t="shared" si="144"/>
        <v>8</v>
      </c>
      <c r="BH160" s="187">
        <f t="shared" si="145"/>
        <v>0</v>
      </c>
      <c r="BI160" s="187">
        <f t="shared" si="146"/>
        <v>0</v>
      </c>
      <c r="BJ160" s="273">
        <f t="shared" si="147"/>
        <v>40</v>
      </c>
      <c r="BK160" s="167">
        <f t="shared" si="38"/>
        <v>40</v>
      </c>
      <c r="BL160" s="167"/>
      <c r="BM160" s="644"/>
      <c r="BN160" s="644"/>
      <c r="BO160" s="644"/>
      <c r="BP160" s="644"/>
      <c r="BQ160" s="644"/>
      <c r="BR160" s="644"/>
      <c r="BS160" s="644"/>
      <c r="BT160" s="644"/>
      <c r="BU160" s="644"/>
      <c r="BV160" s="644"/>
      <c r="BW160" s="644"/>
      <c r="BX160" s="644"/>
      <c r="BY160" s="644"/>
      <c r="BZ160" s="644"/>
      <c r="CA160" s="644"/>
      <c r="CB160" s="644"/>
      <c r="CC160" s="644"/>
      <c r="CD160" s="644"/>
      <c r="CE160" s="644"/>
      <c r="CF160" s="644"/>
      <c r="CG160" s="644"/>
      <c r="CH160" s="644"/>
      <c r="CI160" s="644"/>
      <c r="CJ160" s="301" t="s">
        <v>814</v>
      </c>
      <c r="CK160" s="180"/>
      <c r="CL160" s="136"/>
    </row>
    <row r="161" spans="1:90">
      <c r="A161" s="181" t="s">
        <v>301</v>
      </c>
      <c r="B161" s="182"/>
      <c r="C161" s="183"/>
      <c r="D161" s="184"/>
      <c r="E161" s="314">
        <v>1</v>
      </c>
      <c r="F161" s="314"/>
      <c r="G161" s="314">
        <v>1</v>
      </c>
      <c r="H161" s="182"/>
      <c r="I161" s="182"/>
      <c r="J161" s="182"/>
      <c r="K161" s="182"/>
      <c r="L161" s="182">
        <v>1</v>
      </c>
      <c r="M161" s="182"/>
      <c r="N161" s="182"/>
      <c r="O161" s="182"/>
      <c r="P161" s="182"/>
      <c r="Q161" s="182"/>
      <c r="R161" s="182"/>
      <c r="S161" s="182"/>
      <c r="T161" s="182"/>
      <c r="U161" s="182"/>
      <c r="V161" s="182"/>
      <c r="W161" s="182"/>
      <c r="X161" s="182">
        <v>1</v>
      </c>
      <c r="Y161" s="320"/>
      <c r="Z161" s="182"/>
      <c r="AA161" s="182"/>
      <c r="AB161" s="182"/>
      <c r="AC161" s="182"/>
      <c r="AD161" s="182">
        <v>1</v>
      </c>
      <c r="AE161" s="182"/>
      <c r="AF161" s="182"/>
      <c r="AG161" s="182"/>
      <c r="AH161" s="167">
        <v>5</v>
      </c>
      <c r="AI161" s="334" t="s">
        <v>760</v>
      </c>
      <c r="AJ161" s="186">
        <v>42373</v>
      </c>
      <c r="AK161" s="187"/>
      <c r="AL161" s="187">
        <f t="shared" si="123"/>
        <v>0</v>
      </c>
      <c r="AM161" s="187">
        <f t="shared" si="124"/>
        <v>0</v>
      </c>
      <c r="AN161" s="187">
        <f t="shared" si="125"/>
        <v>8</v>
      </c>
      <c r="AO161" s="187">
        <f t="shared" si="126"/>
        <v>8</v>
      </c>
      <c r="AP161" s="187">
        <f t="shared" si="127"/>
        <v>0</v>
      </c>
      <c r="AQ161" s="187">
        <f t="shared" si="128"/>
        <v>0</v>
      </c>
      <c r="AR161" s="187">
        <f t="shared" si="129"/>
        <v>0</v>
      </c>
      <c r="AS161" s="187">
        <f t="shared" si="130"/>
        <v>19</v>
      </c>
      <c r="AT161" s="187">
        <f t="shared" si="131"/>
        <v>0</v>
      </c>
      <c r="AU161" s="187">
        <f t="shared" si="132"/>
        <v>0</v>
      </c>
      <c r="AV161" s="187">
        <f t="shared" si="133"/>
        <v>0</v>
      </c>
      <c r="AW161" s="187">
        <f t="shared" si="134"/>
        <v>0</v>
      </c>
      <c r="AX161" s="187">
        <f t="shared" si="135"/>
        <v>0</v>
      </c>
      <c r="AY161" s="187">
        <f t="shared" si="136"/>
        <v>0</v>
      </c>
      <c r="AZ161" s="187">
        <f t="shared" si="137"/>
        <v>0</v>
      </c>
      <c r="BA161" s="187">
        <f t="shared" si="138"/>
        <v>0</v>
      </c>
      <c r="BB161" s="187">
        <f t="shared" si="139"/>
        <v>13</v>
      </c>
      <c r="BC161" s="187">
        <f t="shared" si="140"/>
        <v>0</v>
      </c>
      <c r="BD161" s="187">
        <f t="shared" si="141"/>
        <v>0</v>
      </c>
      <c r="BE161" s="187">
        <f t="shared" si="142"/>
        <v>0</v>
      </c>
      <c r="BF161" s="187">
        <f t="shared" si="143"/>
        <v>0</v>
      </c>
      <c r="BG161" s="187">
        <f t="shared" si="144"/>
        <v>8</v>
      </c>
      <c r="BH161" s="187">
        <f t="shared" si="145"/>
        <v>0</v>
      </c>
      <c r="BI161" s="187">
        <f t="shared" si="146"/>
        <v>0</v>
      </c>
      <c r="BJ161" s="273">
        <f t="shared" si="147"/>
        <v>56</v>
      </c>
      <c r="BK161" s="167">
        <f t="shared" ref="BK161" si="151">BJ161</f>
        <v>56</v>
      </c>
      <c r="BL161" s="167"/>
      <c r="BM161" s="644"/>
      <c r="BN161" s="644"/>
      <c r="BO161" s="644"/>
      <c r="BP161" s="644"/>
      <c r="BQ161" s="644"/>
      <c r="BR161" s="644"/>
      <c r="BS161" s="644"/>
      <c r="BT161" s="644"/>
      <c r="BU161" s="644"/>
      <c r="BV161" s="644"/>
      <c r="BW161" s="644"/>
      <c r="BX161" s="644"/>
      <c r="BY161" s="644"/>
      <c r="BZ161" s="644"/>
      <c r="CA161" s="644"/>
      <c r="CB161" s="644"/>
      <c r="CC161" s="644"/>
      <c r="CD161" s="644"/>
      <c r="CE161" s="644"/>
      <c r="CF161" s="644"/>
      <c r="CG161" s="644"/>
      <c r="CH161" s="644"/>
      <c r="CI161" s="644"/>
      <c r="CJ161" s="301" t="s">
        <v>814</v>
      </c>
      <c r="CK161" s="180"/>
      <c r="CL161" s="136"/>
    </row>
    <row r="162" spans="1:90">
      <c r="A162" s="181" t="s">
        <v>303</v>
      </c>
      <c r="B162" s="182"/>
      <c r="C162" s="183"/>
      <c r="D162" s="184">
        <v>1</v>
      </c>
      <c r="E162" s="184"/>
      <c r="F162" s="184"/>
      <c r="G162" s="184"/>
      <c r="H162" s="182"/>
      <c r="I162" s="182">
        <v>1</v>
      </c>
      <c r="J162" s="182"/>
      <c r="K162" s="182"/>
      <c r="L162" s="182">
        <v>1</v>
      </c>
      <c r="M162" s="182"/>
      <c r="N162" s="182"/>
      <c r="O162" s="182"/>
      <c r="P162" s="182"/>
      <c r="Q162" s="182"/>
      <c r="R162" s="182"/>
      <c r="S162" s="182"/>
      <c r="T162" s="182"/>
      <c r="U162" s="182"/>
      <c r="V162" s="182">
        <v>1</v>
      </c>
      <c r="W162" s="182">
        <v>1</v>
      </c>
      <c r="X162" s="182">
        <v>1</v>
      </c>
      <c r="Y162" s="182">
        <v>1</v>
      </c>
      <c r="Z162" s="182"/>
      <c r="AA162" s="182"/>
      <c r="AB162" s="182"/>
      <c r="AC162" s="182"/>
      <c r="AD162" s="182">
        <v>1</v>
      </c>
      <c r="AE162" s="182"/>
      <c r="AF162" s="182"/>
      <c r="AG162" s="182"/>
      <c r="AH162" s="167">
        <v>8</v>
      </c>
      <c r="AI162" s="300" t="s">
        <v>900</v>
      </c>
      <c r="AJ162" s="186">
        <v>42359</v>
      </c>
      <c r="AK162" s="187"/>
      <c r="AL162" s="187">
        <f t="shared" si="123"/>
        <v>0</v>
      </c>
      <c r="AM162" s="187">
        <f t="shared" si="124"/>
        <v>13</v>
      </c>
      <c r="AN162" s="187">
        <f t="shared" si="125"/>
        <v>0</v>
      </c>
      <c r="AO162" s="187">
        <f t="shared" si="126"/>
        <v>0</v>
      </c>
      <c r="AP162" s="187">
        <f t="shared" si="127"/>
        <v>0</v>
      </c>
      <c r="AQ162" s="187">
        <f t="shared" si="128"/>
        <v>0</v>
      </c>
      <c r="AR162" s="187">
        <f t="shared" si="129"/>
        <v>0</v>
      </c>
      <c r="AS162" s="187">
        <f t="shared" si="130"/>
        <v>19</v>
      </c>
      <c r="AT162" s="187">
        <f t="shared" si="131"/>
        <v>0</v>
      </c>
      <c r="AU162" s="187">
        <f t="shared" si="132"/>
        <v>0</v>
      </c>
      <c r="AV162" s="187">
        <f t="shared" si="133"/>
        <v>0</v>
      </c>
      <c r="AW162" s="187">
        <f t="shared" si="134"/>
        <v>0</v>
      </c>
      <c r="AX162" s="187">
        <f t="shared" si="135"/>
        <v>0</v>
      </c>
      <c r="AY162" s="187">
        <f t="shared" si="136"/>
        <v>0</v>
      </c>
      <c r="AZ162" s="187">
        <f t="shared" si="137"/>
        <v>8</v>
      </c>
      <c r="BA162" s="187">
        <f t="shared" si="138"/>
        <v>16</v>
      </c>
      <c r="BB162" s="187">
        <f t="shared" si="139"/>
        <v>13</v>
      </c>
      <c r="BC162" s="187">
        <f t="shared" si="140"/>
        <v>10</v>
      </c>
      <c r="BD162" s="187">
        <f t="shared" si="141"/>
        <v>0</v>
      </c>
      <c r="BE162" s="187">
        <f t="shared" si="142"/>
        <v>0</v>
      </c>
      <c r="BF162" s="187">
        <f t="shared" si="143"/>
        <v>0</v>
      </c>
      <c r="BG162" s="187">
        <f t="shared" si="144"/>
        <v>8</v>
      </c>
      <c r="BH162" s="187">
        <f t="shared" si="145"/>
        <v>0</v>
      </c>
      <c r="BI162" s="187">
        <f t="shared" si="146"/>
        <v>0</v>
      </c>
      <c r="BJ162" s="273">
        <f t="shared" si="147"/>
        <v>87</v>
      </c>
      <c r="BK162" s="167">
        <f t="shared" ref="BK162:BK164" si="152">BJ162</f>
        <v>87</v>
      </c>
      <c r="BL162" s="167"/>
      <c r="BM162" s="644"/>
      <c r="BN162" s="644"/>
      <c r="BO162" s="644"/>
      <c r="BP162" s="644"/>
      <c r="BQ162" s="644"/>
      <c r="BR162" s="644"/>
      <c r="BS162" s="644"/>
      <c r="BT162" s="644"/>
      <c r="BU162" s="644"/>
      <c r="BV162" s="644"/>
      <c r="BW162" s="644"/>
      <c r="BX162" s="644"/>
      <c r="BY162" s="644"/>
      <c r="BZ162" s="644"/>
      <c r="CA162" s="644"/>
      <c r="CB162" s="644"/>
      <c r="CC162" s="644"/>
      <c r="CD162" s="644"/>
      <c r="CE162" s="644"/>
      <c r="CF162" s="644"/>
      <c r="CG162" s="644"/>
      <c r="CH162" s="644"/>
      <c r="CI162" s="644"/>
      <c r="CJ162" s="301" t="s">
        <v>814</v>
      </c>
      <c r="CK162" s="180"/>
      <c r="CL162" s="136"/>
    </row>
    <row r="163" spans="1:90">
      <c r="A163" s="181" t="s">
        <v>901</v>
      </c>
      <c r="B163" s="182"/>
      <c r="C163" s="183"/>
      <c r="D163" s="184">
        <v>1</v>
      </c>
      <c r="E163" s="184"/>
      <c r="F163" s="184"/>
      <c r="G163" s="184"/>
      <c r="H163" s="182"/>
      <c r="I163" s="182"/>
      <c r="J163" s="182"/>
      <c r="K163" s="182"/>
      <c r="L163" s="182">
        <v>1</v>
      </c>
      <c r="M163" s="182"/>
      <c r="N163" s="182"/>
      <c r="O163" s="182">
        <v>1</v>
      </c>
      <c r="P163" s="182"/>
      <c r="Q163" s="182">
        <v>1</v>
      </c>
      <c r="R163" s="182"/>
      <c r="S163" s="302">
        <v>1</v>
      </c>
      <c r="T163" s="182"/>
      <c r="U163" s="182"/>
      <c r="V163" s="182">
        <v>1</v>
      </c>
      <c r="W163" s="182">
        <v>1</v>
      </c>
      <c r="X163" s="182">
        <v>1</v>
      </c>
      <c r="Y163" s="182">
        <v>1</v>
      </c>
      <c r="Z163" s="182"/>
      <c r="AA163" s="182"/>
      <c r="AB163" s="182"/>
      <c r="AC163" s="182"/>
      <c r="AD163" s="302">
        <v>1</v>
      </c>
      <c r="AE163" s="182"/>
      <c r="AF163" s="182"/>
      <c r="AG163" s="182"/>
      <c r="AH163" s="167">
        <v>10</v>
      </c>
      <c r="AI163" s="334" t="s">
        <v>902</v>
      </c>
      <c r="AJ163" s="186">
        <v>42352</v>
      </c>
      <c r="AK163" s="187"/>
      <c r="AL163" s="187">
        <f t="shared" si="123"/>
        <v>0</v>
      </c>
      <c r="AM163" s="187">
        <f t="shared" si="124"/>
        <v>13</v>
      </c>
      <c r="AN163" s="187">
        <f t="shared" si="125"/>
        <v>0</v>
      </c>
      <c r="AO163" s="187">
        <f t="shared" si="126"/>
        <v>0</v>
      </c>
      <c r="AP163" s="187">
        <f t="shared" si="127"/>
        <v>0</v>
      </c>
      <c r="AQ163" s="187">
        <f t="shared" si="128"/>
        <v>0</v>
      </c>
      <c r="AR163" s="187">
        <f t="shared" si="129"/>
        <v>0</v>
      </c>
      <c r="AS163" s="187">
        <f t="shared" si="130"/>
        <v>19</v>
      </c>
      <c r="AT163" s="187">
        <f t="shared" si="131"/>
        <v>13</v>
      </c>
      <c r="AU163" s="187">
        <f t="shared" si="132"/>
        <v>0</v>
      </c>
      <c r="AV163" s="187">
        <f t="shared" si="133"/>
        <v>3</v>
      </c>
      <c r="AW163" s="187">
        <f t="shared" si="134"/>
        <v>8</v>
      </c>
      <c r="AX163" s="187">
        <f t="shared" si="135"/>
        <v>0</v>
      </c>
      <c r="AY163" s="187">
        <f t="shared" si="136"/>
        <v>0</v>
      </c>
      <c r="AZ163" s="187">
        <f t="shared" si="137"/>
        <v>8</v>
      </c>
      <c r="BA163" s="187">
        <f t="shared" si="138"/>
        <v>16</v>
      </c>
      <c r="BB163" s="187">
        <f t="shared" si="139"/>
        <v>13</v>
      </c>
      <c r="BC163" s="187">
        <f t="shared" si="140"/>
        <v>10</v>
      </c>
      <c r="BD163" s="187">
        <f t="shared" si="141"/>
        <v>0</v>
      </c>
      <c r="BE163" s="187">
        <f t="shared" si="142"/>
        <v>0</v>
      </c>
      <c r="BF163" s="187">
        <f t="shared" si="143"/>
        <v>0</v>
      </c>
      <c r="BG163" s="187">
        <f t="shared" si="144"/>
        <v>8</v>
      </c>
      <c r="BH163" s="187">
        <f t="shared" si="145"/>
        <v>0</v>
      </c>
      <c r="BI163" s="187">
        <f t="shared" si="146"/>
        <v>0</v>
      </c>
      <c r="BJ163" s="273">
        <f t="shared" si="147"/>
        <v>100</v>
      </c>
      <c r="BK163" s="167">
        <f t="shared" si="152"/>
        <v>100</v>
      </c>
      <c r="BL163" s="167"/>
      <c r="BM163" s="644"/>
      <c r="BN163" s="644"/>
      <c r="BO163" s="644"/>
      <c r="BP163" s="644"/>
      <c r="BQ163" s="644"/>
      <c r="BR163" s="644"/>
      <c r="BS163" s="644"/>
      <c r="BT163" s="644"/>
      <c r="BU163" s="644"/>
      <c r="BV163" s="644"/>
      <c r="BW163" s="644"/>
      <c r="BX163" s="644"/>
      <c r="BY163" s="644"/>
      <c r="BZ163" s="644"/>
      <c r="CA163" s="644"/>
      <c r="CB163" s="644"/>
      <c r="CC163" s="644"/>
      <c r="CD163" s="644"/>
      <c r="CE163" s="644"/>
      <c r="CF163" s="644"/>
      <c r="CG163" s="644"/>
      <c r="CH163" s="644"/>
      <c r="CI163" s="644"/>
      <c r="CJ163" s="301" t="s">
        <v>768</v>
      </c>
      <c r="CK163" s="180"/>
      <c r="CL163" s="136"/>
    </row>
    <row r="164" spans="1:90">
      <c r="A164" s="181" t="s">
        <v>306</v>
      </c>
      <c r="B164" s="182"/>
      <c r="C164" s="183"/>
      <c r="D164" s="184"/>
      <c r="E164" s="184">
        <v>1</v>
      </c>
      <c r="F164" s="184"/>
      <c r="G164" s="184">
        <v>1</v>
      </c>
      <c r="H164" s="182"/>
      <c r="I164" s="182"/>
      <c r="J164" s="182"/>
      <c r="K164" s="182"/>
      <c r="L164" s="182">
        <v>1</v>
      </c>
      <c r="M164" s="182"/>
      <c r="N164" s="182"/>
      <c r="O164" s="182">
        <v>1</v>
      </c>
      <c r="P164" s="182"/>
      <c r="Q164" s="182"/>
      <c r="R164" s="182"/>
      <c r="S164" s="182"/>
      <c r="T164" s="182"/>
      <c r="U164" s="182"/>
      <c r="V164" s="182"/>
      <c r="W164" s="182">
        <v>1</v>
      </c>
      <c r="X164" s="182"/>
      <c r="Y164" s="182"/>
      <c r="Z164" s="182"/>
      <c r="AA164" s="182"/>
      <c r="AB164" s="182"/>
      <c r="AC164" s="182"/>
      <c r="AD164" s="182"/>
      <c r="AE164" s="182"/>
      <c r="AF164" s="182"/>
      <c r="AG164" s="182"/>
      <c r="AH164" s="167">
        <v>5</v>
      </c>
      <c r="AI164" s="334" t="s">
        <v>760</v>
      </c>
      <c r="AJ164" s="186">
        <v>42373</v>
      </c>
      <c r="AK164" s="187"/>
      <c r="AL164" s="187">
        <f t="shared" si="123"/>
        <v>0</v>
      </c>
      <c r="AM164" s="187">
        <f t="shared" si="124"/>
        <v>0</v>
      </c>
      <c r="AN164" s="187">
        <f t="shared" si="125"/>
        <v>8</v>
      </c>
      <c r="AO164" s="187">
        <f t="shared" si="126"/>
        <v>8</v>
      </c>
      <c r="AP164" s="187">
        <f t="shared" si="127"/>
        <v>0</v>
      </c>
      <c r="AQ164" s="187">
        <f t="shared" si="128"/>
        <v>0</v>
      </c>
      <c r="AR164" s="187">
        <f t="shared" si="129"/>
        <v>0</v>
      </c>
      <c r="AS164" s="187">
        <f t="shared" si="130"/>
        <v>19</v>
      </c>
      <c r="AT164" s="187">
        <f t="shared" si="131"/>
        <v>13</v>
      </c>
      <c r="AU164" s="187">
        <f t="shared" si="132"/>
        <v>0</v>
      </c>
      <c r="AV164" s="187">
        <f t="shared" si="133"/>
        <v>0</v>
      </c>
      <c r="AW164" s="187">
        <f t="shared" si="134"/>
        <v>0</v>
      </c>
      <c r="AX164" s="187">
        <f t="shared" si="135"/>
        <v>0</v>
      </c>
      <c r="AY164" s="187">
        <f t="shared" si="136"/>
        <v>0</v>
      </c>
      <c r="AZ164" s="187">
        <f t="shared" si="137"/>
        <v>0</v>
      </c>
      <c r="BA164" s="187">
        <f t="shared" si="138"/>
        <v>16</v>
      </c>
      <c r="BB164" s="187">
        <f t="shared" si="139"/>
        <v>0</v>
      </c>
      <c r="BC164" s="187">
        <f t="shared" si="140"/>
        <v>0</v>
      </c>
      <c r="BD164" s="187">
        <f t="shared" si="141"/>
        <v>0</v>
      </c>
      <c r="BE164" s="187">
        <f t="shared" si="142"/>
        <v>0</v>
      </c>
      <c r="BF164" s="187">
        <f t="shared" si="143"/>
        <v>0</v>
      </c>
      <c r="BG164" s="187">
        <f t="shared" si="144"/>
        <v>0</v>
      </c>
      <c r="BH164" s="187">
        <f t="shared" si="145"/>
        <v>0</v>
      </c>
      <c r="BI164" s="187">
        <f t="shared" si="146"/>
        <v>0</v>
      </c>
      <c r="BJ164" s="273">
        <f t="shared" si="147"/>
        <v>64</v>
      </c>
      <c r="BK164" s="167">
        <f t="shared" si="152"/>
        <v>64</v>
      </c>
      <c r="BL164" s="167"/>
      <c r="BM164" s="644"/>
      <c r="BN164" s="644"/>
      <c r="BO164" s="644"/>
      <c r="BP164" s="644"/>
      <c r="BQ164" s="644"/>
      <c r="BR164" s="644"/>
      <c r="BS164" s="644"/>
      <c r="BT164" s="644"/>
      <c r="BU164" s="644"/>
      <c r="BV164" s="644"/>
      <c r="BW164" s="644"/>
      <c r="BX164" s="644"/>
      <c r="BY164" s="644"/>
      <c r="BZ164" s="644"/>
      <c r="CA164" s="644"/>
      <c r="CB164" s="644"/>
      <c r="CC164" s="644"/>
      <c r="CD164" s="644"/>
      <c r="CE164" s="644"/>
      <c r="CF164" s="644"/>
      <c r="CG164" s="644"/>
      <c r="CH164" s="644"/>
      <c r="CI164" s="644"/>
      <c r="CJ164" s="301" t="s">
        <v>743</v>
      </c>
      <c r="CK164" s="180"/>
      <c r="CL164" s="136"/>
    </row>
    <row r="165" spans="1:90">
      <c r="A165" s="335" t="s">
        <v>308</v>
      </c>
      <c r="B165" s="182"/>
      <c r="C165" s="183"/>
      <c r="D165" s="184">
        <v>1</v>
      </c>
      <c r="E165" s="184">
        <v>1</v>
      </c>
      <c r="F165" s="184"/>
      <c r="G165" s="184">
        <v>1</v>
      </c>
      <c r="H165" s="182"/>
      <c r="I165" s="182"/>
      <c r="J165" s="182"/>
      <c r="K165" s="182"/>
      <c r="L165" s="182">
        <v>1</v>
      </c>
      <c r="M165" s="182"/>
      <c r="N165" s="182"/>
      <c r="O165" s="182">
        <v>1</v>
      </c>
      <c r="P165" s="182"/>
      <c r="Q165" s="182"/>
      <c r="R165" s="182"/>
      <c r="S165" s="182"/>
      <c r="T165" s="182">
        <v>1</v>
      </c>
      <c r="U165" s="182"/>
      <c r="V165" s="182"/>
      <c r="W165" s="182">
        <v>1</v>
      </c>
      <c r="X165" s="302">
        <v>1</v>
      </c>
      <c r="Y165" s="182"/>
      <c r="Z165" s="182">
        <v>1</v>
      </c>
      <c r="AA165" s="182"/>
      <c r="AB165" s="302">
        <v>1</v>
      </c>
      <c r="AC165" s="182"/>
      <c r="AD165" s="182"/>
      <c r="AE165" s="182"/>
      <c r="AF165" s="182"/>
      <c r="AG165" s="182"/>
      <c r="AH165" s="167">
        <v>10</v>
      </c>
      <c r="AI165" s="336" t="s">
        <v>772</v>
      </c>
      <c r="AJ165" s="186">
        <v>42374</v>
      </c>
      <c r="AK165" s="187"/>
      <c r="AL165" s="187">
        <f t="shared" si="123"/>
        <v>0</v>
      </c>
      <c r="AM165" s="187">
        <f t="shared" si="124"/>
        <v>13</v>
      </c>
      <c r="AN165" s="187">
        <f t="shared" si="125"/>
        <v>8</v>
      </c>
      <c r="AO165" s="187">
        <f t="shared" si="126"/>
        <v>8</v>
      </c>
      <c r="AP165" s="187">
        <f t="shared" si="127"/>
        <v>0</v>
      </c>
      <c r="AQ165" s="187">
        <f t="shared" si="128"/>
        <v>0</v>
      </c>
      <c r="AR165" s="187">
        <f t="shared" si="129"/>
        <v>0</v>
      </c>
      <c r="AS165" s="187">
        <f t="shared" si="130"/>
        <v>19</v>
      </c>
      <c r="AT165" s="187">
        <f t="shared" si="131"/>
        <v>13</v>
      </c>
      <c r="AU165" s="187">
        <f t="shared" si="132"/>
        <v>0</v>
      </c>
      <c r="AV165" s="187">
        <f t="shared" si="133"/>
        <v>0</v>
      </c>
      <c r="AW165" s="187">
        <f t="shared" si="134"/>
        <v>0</v>
      </c>
      <c r="AX165" s="187">
        <f t="shared" si="135"/>
        <v>4</v>
      </c>
      <c r="AY165" s="187">
        <f t="shared" si="136"/>
        <v>0</v>
      </c>
      <c r="AZ165" s="187">
        <f t="shared" si="137"/>
        <v>0</v>
      </c>
      <c r="BA165" s="187">
        <f t="shared" si="138"/>
        <v>16</v>
      </c>
      <c r="BB165" s="187">
        <f t="shared" si="139"/>
        <v>13</v>
      </c>
      <c r="BC165" s="187">
        <f t="shared" si="140"/>
        <v>0</v>
      </c>
      <c r="BD165" s="187">
        <f t="shared" si="141"/>
        <v>2</v>
      </c>
      <c r="BE165" s="187">
        <f t="shared" si="142"/>
        <v>0</v>
      </c>
      <c r="BF165" s="187">
        <f t="shared" si="143"/>
        <v>1</v>
      </c>
      <c r="BG165" s="187">
        <f t="shared" si="144"/>
        <v>0</v>
      </c>
      <c r="BH165" s="187">
        <f t="shared" si="145"/>
        <v>0</v>
      </c>
      <c r="BI165" s="187">
        <f t="shared" si="146"/>
        <v>0</v>
      </c>
      <c r="BJ165" s="273">
        <f t="shared" si="147"/>
        <v>94</v>
      </c>
      <c r="BK165" s="167">
        <f t="shared" ref="BK165" si="153">BJ165</f>
        <v>94</v>
      </c>
      <c r="BL165" s="167"/>
      <c r="BM165" s="644"/>
      <c r="BN165" s="644"/>
      <c r="BO165" s="644"/>
      <c r="BP165" s="644"/>
      <c r="BQ165" s="644"/>
      <c r="BR165" s="644"/>
      <c r="BS165" s="644"/>
      <c r="BT165" s="644"/>
      <c r="BU165" s="644"/>
      <c r="BV165" s="644"/>
      <c r="BW165" s="644"/>
      <c r="BX165" s="644"/>
      <c r="BY165" s="644"/>
      <c r="BZ165" s="644"/>
      <c r="CA165" s="644"/>
      <c r="CB165" s="644"/>
      <c r="CC165" s="644"/>
      <c r="CD165" s="644"/>
      <c r="CE165" s="644"/>
      <c r="CF165" s="644"/>
      <c r="CG165" s="644"/>
      <c r="CH165" s="644"/>
      <c r="CI165" s="644"/>
      <c r="CJ165" s="301" t="s">
        <v>766</v>
      </c>
      <c r="CK165" s="180"/>
      <c r="CL165" s="136"/>
    </row>
    <row r="166" spans="1:90" s="344" customFormat="1">
      <c r="A166" s="335" t="s">
        <v>903</v>
      </c>
      <c r="B166" s="182"/>
      <c r="C166" s="183"/>
      <c r="D166" s="184"/>
      <c r="E166" s="184"/>
      <c r="F166" s="184"/>
      <c r="G166" s="184"/>
      <c r="H166" s="182"/>
      <c r="I166" s="182"/>
      <c r="J166" s="182"/>
      <c r="K166" s="182"/>
      <c r="L166" s="182">
        <v>1</v>
      </c>
      <c r="M166" s="182"/>
      <c r="N166" s="182"/>
      <c r="O166" s="182"/>
      <c r="P166" s="182"/>
      <c r="Q166" s="302">
        <v>1</v>
      </c>
      <c r="R166" s="182"/>
      <c r="S166" s="182"/>
      <c r="T166" s="182"/>
      <c r="U166" s="182"/>
      <c r="V166" s="182"/>
      <c r="W166" s="182"/>
      <c r="X166" s="182"/>
      <c r="Y166" s="182"/>
      <c r="Z166" s="182"/>
      <c r="AA166" s="182"/>
      <c r="AB166" s="182"/>
      <c r="AC166" s="182"/>
      <c r="AD166" s="182"/>
      <c r="AE166" s="182"/>
      <c r="AF166" s="182"/>
      <c r="AG166" s="182"/>
      <c r="AH166" s="339">
        <v>2</v>
      </c>
      <c r="AI166" s="334" t="s">
        <v>760</v>
      </c>
      <c r="AJ166" s="186">
        <v>42373</v>
      </c>
      <c r="AK166" s="187"/>
      <c r="AL166" s="187">
        <f t="shared" si="123"/>
        <v>0</v>
      </c>
      <c r="AM166" s="187">
        <f t="shared" si="124"/>
        <v>0</v>
      </c>
      <c r="AN166" s="187">
        <f t="shared" si="125"/>
        <v>0</v>
      </c>
      <c r="AO166" s="187">
        <f t="shared" si="126"/>
        <v>0</v>
      </c>
      <c r="AP166" s="187">
        <f t="shared" si="127"/>
        <v>0</v>
      </c>
      <c r="AQ166" s="187">
        <f t="shared" si="128"/>
        <v>0</v>
      </c>
      <c r="AR166" s="187">
        <f t="shared" si="129"/>
        <v>0</v>
      </c>
      <c r="AS166" s="187">
        <f t="shared" si="130"/>
        <v>19</v>
      </c>
      <c r="AT166" s="187">
        <f t="shared" si="131"/>
        <v>0</v>
      </c>
      <c r="AU166" s="187">
        <f t="shared" si="132"/>
        <v>0</v>
      </c>
      <c r="AV166" s="187">
        <f t="shared" si="133"/>
        <v>3</v>
      </c>
      <c r="AW166" s="187">
        <f t="shared" si="134"/>
        <v>0</v>
      </c>
      <c r="AX166" s="187">
        <f t="shared" si="135"/>
        <v>0</v>
      </c>
      <c r="AY166" s="187">
        <f t="shared" si="136"/>
        <v>0</v>
      </c>
      <c r="AZ166" s="187">
        <f t="shared" si="137"/>
        <v>0</v>
      </c>
      <c r="BA166" s="187">
        <f t="shared" si="138"/>
        <v>0</v>
      </c>
      <c r="BB166" s="187">
        <f t="shared" si="139"/>
        <v>0</v>
      </c>
      <c r="BC166" s="187">
        <f t="shared" si="140"/>
        <v>0</v>
      </c>
      <c r="BD166" s="187">
        <f t="shared" si="141"/>
        <v>0</v>
      </c>
      <c r="BE166" s="187">
        <f t="shared" si="142"/>
        <v>0</v>
      </c>
      <c r="BF166" s="187">
        <f t="shared" si="143"/>
        <v>0</v>
      </c>
      <c r="BG166" s="187">
        <f t="shared" si="144"/>
        <v>0</v>
      </c>
      <c r="BH166" s="187">
        <f t="shared" si="145"/>
        <v>0</v>
      </c>
      <c r="BI166" s="187">
        <f t="shared" si="146"/>
        <v>0</v>
      </c>
      <c r="BJ166" s="273">
        <f t="shared" si="147"/>
        <v>22</v>
      </c>
      <c r="BK166" s="167">
        <f t="shared" si="38"/>
        <v>22</v>
      </c>
      <c r="BL166" s="167"/>
      <c r="BM166" s="644"/>
      <c r="BN166" s="644"/>
      <c r="BO166" s="644"/>
      <c r="BP166" s="644"/>
      <c r="BQ166" s="644"/>
      <c r="BR166" s="644"/>
      <c r="BS166" s="644"/>
      <c r="BT166" s="644"/>
      <c r="BU166" s="644"/>
      <c r="BV166" s="644"/>
      <c r="BW166" s="644"/>
      <c r="BX166" s="644"/>
      <c r="BY166" s="644"/>
      <c r="BZ166" s="644"/>
      <c r="CA166" s="644"/>
      <c r="CB166" s="644"/>
      <c r="CC166" s="644"/>
      <c r="CD166" s="644"/>
      <c r="CE166" s="644"/>
      <c r="CF166" s="644"/>
      <c r="CG166" s="644"/>
      <c r="CH166" s="644"/>
      <c r="CI166" s="644"/>
      <c r="CJ166" s="301" t="s">
        <v>743</v>
      </c>
      <c r="CK166" s="342"/>
      <c r="CL166" s="343"/>
    </row>
    <row r="167" spans="1:90">
      <c r="A167" s="181" t="s">
        <v>621</v>
      </c>
      <c r="B167" s="182"/>
      <c r="C167" s="183"/>
      <c r="D167" s="184">
        <v>1</v>
      </c>
      <c r="E167" s="184">
        <v>1</v>
      </c>
      <c r="F167" s="184"/>
      <c r="G167" s="184">
        <v>1</v>
      </c>
      <c r="H167" s="182"/>
      <c r="I167" s="182"/>
      <c r="J167" s="182"/>
      <c r="K167" s="182"/>
      <c r="L167" s="182">
        <v>1</v>
      </c>
      <c r="M167" s="182"/>
      <c r="N167" s="182"/>
      <c r="O167" s="182"/>
      <c r="P167" s="182"/>
      <c r="Q167" s="182"/>
      <c r="R167" s="182"/>
      <c r="S167" s="302">
        <v>1</v>
      </c>
      <c r="T167" s="182"/>
      <c r="U167" s="182"/>
      <c r="V167" s="182">
        <v>1</v>
      </c>
      <c r="W167" s="182">
        <v>1</v>
      </c>
      <c r="X167" s="182">
        <v>1</v>
      </c>
      <c r="Y167" s="302">
        <v>1</v>
      </c>
      <c r="Z167" s="182"/>
      <c r="AA167" s="182"/>
      <c r="AB167" s="182"/>
      <c r="AC167" s="182"/>
      <c r="AD167" s="302">
        <v>1</v>
      </c>
      <c r="AE167" s="182"/>
      <c r="AF167" s="182"/>
      <c r="AG167" s="182"/>
      <c r="AH167" s="167">
        <v>10</v>
      </c>
      <c r="AI167" s="336" t="s">
        <v>904</v>
      </c>
      <c r="AJ167" s="186">
        <v>42372</v>
      </c>
      <c r="AK167" s="187"/>
      <c r="AL167" s="187">
        <f t="shared" si="123"/>
        <v>0</v>
      </c>
      <c r="AM167" s="187">
        <f t="shared" si="124"/>
        <v>13</v>
      </c>
      <c r="AN167" s="187">
        <f t="shared" si="125"/>
        <v>8</v>
      </c>
      <c r="AO167" s="187">
        <f t="shared" si="126"/>
        <v>8</v>
      </c>
      <c r="AP167" s="187">
        <f t="shared" si="127"/>
        <v>0</v>
      </c>
      <c r="AQ167" s="187">
        <f t="shared" si="128"/>
        <v>0</v>
      </c>
      <c r="AR167" s="187">
        <f t="shared" si="129"/>
        <v>0</v>
      </c>
      <c r="AS167" s="187">
        <f t="shared" si="130"/>
        <v>19</v>
      </c>
      <c r="AT167" s="187">
        <f t="shared" si="131"/>
        <v>0</v>
      </c>
      <c r="AU167" s="187">
        <f t="shared" si="132"/>
        <v>0</v>
      </c>
      <c r="AV167" s="187">
        <f t="shared" si="133"/>
        <v>0</v>
      </c>
      <c r="AW167" s="187">
        <f t="shared" si="134"/>
        <v>8</v>
      </c>
      <c r="AX167" s="187">
        <f t="shared" si="135"/>
        <v>0</v>
      </c>
      <c r="AY167" s="187">
        <f t="shared" si="136"/>
        <v>0</v>
      </c>
      <c r="AZ167" s="187">
        <f t="shared" si="137"/>
        <v>8</v>
      </c>
      <c r="BA167" s="187">
        <f t="shared" si="138"/>
        <v>16</v>
      </c>
      <c r="BB167" s="187">
        <f t="shared" si="139"/>
        <v>13</v>
      </c>
      <c r="BC167" s="187">
        <f t="shared" si="140"/>
        <v>10</v>
      </c>
      <c r="BD167" s="187">
        <f t="shared" si="141"/>
        <v>0</v>
      </c>
      <c r="BE167" s="187">
        <f t="shared" si="142"/>
        <v>0</v>
      </c>
      <c r="BF167" s="187">
        <f t="shared" si="143"/>
        <v>0</v>
      </c>
      <c r="BG167" s="187">
        <f t="shared" si="144"/>
        <v>8</v>
      </c>
      <c r="BH167" s="187">
        <f t="shared" si="145"/>
        <v>0</v>
      </c>
      <c r="BI167" s="187">
        <f t="shared" si="146"/>
        <v>0</v>
      </c>
      <c r="BJ167" s="273">
        <f t="shared" si="147"/>
        <v>95</v>
      </c>
      <c r="BK167" s="167">
        <f t="shared" ref="BK167" si="154">BJ167</f>
        <v>95</v>
      </c>
      <c r="BL167" s="167"/>
      <c r="BM167" s="644"/>
      <c r="BN167" s="644"/>
      <c r="BO167" s="644"/>
      <c r="BP167" s="644"/>
      <c r="BQ167" s="644"/>
      <c r="BR167" s="644"/>
      <c r="BS167" s="644"/>
      <c r="BT167" s="644"/>
      <c r="BU167" s="644"/>
      <c r="BV167" s="644"/>
      <c r="BW167" s="644"/>
      <c r="BX167" s="644"/>
      <c r="BY167" s="644"/>
      <c r="BZ167" s="644"/>
      <c r="CA167" s="644"/>
      <c r="CB167" s="644"/>
      <c r="CC167" s="644"/>
      <c r="CD167" s="644"/>
      <c r="CE167" s="644"/>
      <c r="CF167" s="644"/>
      <c r="CG167" s="644"/>
      <c r="CH167" s="644"/>
      <c r="CI167" s="644"/>
      <c r="CJ167" s="301" t="s">
        <v>756</v>
      </c>
      <c r="CK167" s="180"/>
      <c r="CL167" s="136"/>
    </row>
    <row r="168" spans="1:90" s="344" customFormat="1">
      <c r="A168" s="335" t="s">
        <v>310</v>
      </c>
      <c r="B168" s="182"/>
      <c r="C168" s="183"/>
      <c r="D168" s="184">
        <v>1</v>
      </c>
      <c r="E168" s="184">
        <v>1</v>
      </c>
      <c r="F168" s="184"/>
      <c r="G168" s="184">
        <v>1</v>
      </c>
      <c r="H168" s="182"/>
      <c r="I168" s="182"/>
      <c r="J168" s="182"/>
      <c r="K168" s="182"/>
      <c r="L168" s="182">
        <v>1</v>
      </c>
      <c r="M168" s="182"/>
      <c r="N168" s="182"/>
      <c r="O168" s="182">
        <v>1</v>
      </c>
      <c r="P168" s="182"/>
      <c r="Q168" s="182"/>
      <c r="R168" s="182"/>
      <c r="S168" s="182"/>
      <c r="T168" s="182"/>
      <c r="U168" s="182"/>
      <c r="V168" s="302">
        <v>1</v>
      </c>
      <c r="W168" s="182">
        <v>1</v>
      </c>
      <c r="X168" s="182">
        <v>1</v>
      </c>
      <c r="Y168" s="182">
        <v>1</v>
      </c>
      <c r="Z168" s="182"/>
      <c r="AA168" s="302">
        <v>1</v>
      </c>
      <c r="AB168" s="182"/>
      <c r="AC168" s="182"/>
      <c r="AD168" s="182"/>
      <c r="AE168" s="182"/>
      <c r="AF168" s="182"/>
      <c r="AG168" s="182"/>
      <c r="AH168" s="339">
        <v>10</v>
      </c>
      <c r="AI168" s="358" t="s">
        <v>905</v>
      </c>
      <c r="AJ168" s="341">
        <v>42370</v>
      </c>
      <c r="AK168" s="187"/>
      <c r="AL168" s="187">
        <f t="shared" si="123"/>
        <v>0</v>
      </c>
      <c r="AM168" s="187">
        <f t="shared" si="124"/>
        <v>13</v>
      </c>
      <c r="AN168" s="187">
        <f t="shared" si="125"/>
        <v>8</v>
      </c>
      <c r="AO168" s="187">
        <f t="shared" si="126"/>
        <v>8</v>
      </c>
      <c r="AP168" s="187">
        <f t="shared" si="127"/>
        <v>0</v>
      </c>
      <c r="AQ168" s="187">
        <f t="shared" si="128"/>
        <v>0</v>
      </c>
      <c r="AR168" s="187">
        <f t="shared" si="129"/>
        <v>0</v>
      </c>
      <c r="AS168" s="187">
        <f t="shared" si="130"/>
        <v>19</v>
      </c>
      <c r="AT168" s="187">
        <f t="shared" si="131"/>
        <v>13</v>
      </c>
      <c r="AU168" s="187">
        <f t="shared" si="132"/>
        <v>0</v>
      </c>
      <c r="AV168" s="187">
        <f t="shared" si="133"/>
        <v>0</v>
      </c>
      <c r="AW168" s="187">
        <f t="shared" si="134"/>
        <v>0</v>
      </c>
      <c r="AX168" s="187">
        <f t="shared" si="135"/>
        <v>0</v>
      </c>
      <c r="AY168" s="187">
        <f t="shared" si="136"/>
        <v>0</v>
      </c>
      <c r="AZ168" s="187">
        <f t="shared" si="137"/>
        <v>8</v>
      </c>
      <c r="BA168" s="187">
        <f t="shared" si="138"/>
        <v>16</v>
      </c>
      <c r="BB168" s="187">
        <f t="shared" si="139"/>
        <v>13</v>
      </c>
      <c r="BC168" s="187">
        <f t="shared" si="140"/>
        <v>10</v>
      </c>
      <c r="BD168" s="187">
        <f t="shared" si="141"/>
        <v>0</v>
      </c>
      <c r="BE168" s="187">
        <f t="shared" si="142"/>
        <v>6</v>
      </c>
      <c r="BF168" s="187">
        <f t="shared" si="143"/>
        <v>0</v>
      </c>
      <c r="BG168" s="187">
        <f t="shared" si="144"/>
        <v>0</v>
      </c>
      <c r="BH168" s="187">
        <f t="shared" si="145"/>
        <v>0</v>
      </c>
      <c r="BI168" s="187">
        <f t="shared" si="146"/>
        <v>0</v>
      </c>
      <c r="BJ168" s="273">
        <f t="shared" si="147"/>
        <v>100</v>
      </c>
      <c r="BK168" s="167">
        <f t="shared" ref="BK168" si="155">BJ168</f>
        <v>100</v>
      </c>
      <c r="BL168" s="167"/>
      <c r="BM168" s="644"/>
      <c r="BN168" s="644"/>
      <c r="BO168" s="644"/>
      <c r="BP168" s="644"/>
      <c r="BQ168" s="644"/>
      <c r="BR168" s="644"/>
      <c r="BS168" s="644"/>
      <c r="BT168" s="644"/>
      <c r="BU168" s="644"/>
      <c r="BV168" s="644"/>
      <c r="BW168" s="644"/>
      <c r="BX168" s="644"/>
      <c r="BY168" s="644"/>
      <c r="BZ168" s="644"/>
      <c r="CA168" s="644"/>
      <c r="CB168" s="644"/>
      <c r="CC168" s="644"/>
      <c r="CD168" s="644"/>
      <c r="CE168" s="644"/>
      <c r="CF168" s="644"/>
      <c r="CG168" s="644"/>
      <c r="CH168" s="644"/>
      <c r="CI168" s="644"/>
      <c r="CJ168" s="301" t="s">
        <v>906</v>
      </c>
      <c r="CK168" s="342"/>
      <c r="CL168" s="343"/>
    </row>
    <row r="169" spans="1:90" s="344" customFormat="1">
      <c r="A169" s="331" t="s">
        <v>311</v>
      </c>
      <c r="B169" s="182"/>
      <c r="C169" s="183"/>
      <c r="D169" s="184">
        <v>1</v>
      </c>
      <c r="E169" s="184"/>
      <c r="F169" s="184"/>
      <c r="G169" s="184"/>
      <c r="H169" s="182"/>
      <c r="I169" s="182"/>
      <c r="J169" s="182"/>
      <c r="K169" s="182"/>
      <c r="L169" s="182">
        <v>1</v>
      </c>
      <c r="M169" s="182"/>
      <c r="N169" s="182"/>
      <c r="O169" s="182">
        <v>1</v>
      </c>
      <c r="P169" s="182"/>
      <c r="Q169" s="182">
        <v>1</v>
      </c>
      <c r="R169" s="182"/>
      <c r="S169" s="182"/>
      <c r="T169" s="182"/>
      <c r="U169" s="182"/>
      <c r="V169" s="182"/>
      <c r="W169" s="182">
        <v>1</v>
      </c>
      <c r="X169" s="182">
        <v>1</v>
      </c>
      <c r="Y169" s="182"/>
      <c r="Z169" s="182"/>
      <c r="AA169" s="182"/>
      <c r="AB169" s="182"/>
      <c r="AC169" s="182"/>
      <c r="AD169" s="182"/>
      <c r="AE169" s="182"/>
      <c r="AF169" s="182"/>
      <c r="AG169" s="182"/>
      <c r="AH169" s="339">
        <v>6</v>
      </c>
      <c r="AI169" s="336" t="s">
        <v>772</v>
      </c>
      <c r="AJ169" s="341">
        <v>42375</v>
      </c>
      <c r="AK169" s="187"/>
      <c r="AL169" s="187">
        <f t="shared" si="123"/>
        <v>0</v>
      </c>
      <c r="AM169" s="187">
        <f t="shared" si="124"/>
        <v>13</v>
      </c>
      <c r="AN169" s="187">
        <f t="shared" si="125"/>
        <v>0</v>
      </c>
      <c r="AO169" s="187">
        <f t="shared" si="126"/>
        <v>0</v>
      </c>
      <c r="AP169" s="187">
        <f t="shared" si="127"/>
        <v>0</v>
      </c>
      <c r="AQ169" s="187">
        <f t="shared" si="128"/>
        <v>0</v>
      </c>
      <c r="AR169" s="187">
        <f t="shared" si="129"/>
        <v>0</v>
      </c>
      <c r="AS169" s="187">
        <f t="shared" si="130"/>
        <v>19</v>
      </c>
      <c r="AT169" s="187">
        <f t="shared" si="131"/>
        <v>13</v>
      </c>
      <c r="AU169" s="187">
        <f t="shared" si="132"/>
        <v>0</v>
      </c>
      <c r="AV169" s="187">
        <f t="shared" si="133"/>
        <v>3</v>
      </c>
      <c r="AW169" s="187">
        <f t="shared" si="134"/>
        <v>0</v>
      </c>
      <c r="AX169" s="187">
        <f t="shared" si="135"/>
        <v>0</v>
      </c>
      <c r="AY169" s="187">
        <f t="shared" si="136"/>
        <v>0</v>
      </c>
      <c r="AZ169" s="187">
        <f t="shared" si="137"/>
        <v>0</v>
      </c>
      <c r="BA169" s="187">
        <f t="shared" si="138"/>
        <v>16</v>
      </c>
      <c r="BB169" s="187">
        <f t="shared" si="139"/>
        <v>13</v>
      </c>
      <c r="BC169" s="187">
        <f t="shared" si="140"/>
        <v>0</v>
      </c>
      <c r="BD169" s="187">
        <f t="shared" si="141"/>
        <v>0</v>
      </c>
      <c r="BE169" s="187">
        <f t="shared" si="142"/>
        <v>0</v>
      </c>
      <c r="BF169" s="187">
        <f t="shared" si="143"/>
        <v>0</v>
      </c>
      <c r="BG169" s="187">
        <f t="shared" si="144"/>
        <v>0</v>
      </c>
      <c r="BH169" s="187">
        <f t="shared" si="145"/>
        <v>0</v>
      </c>
      <c r="BI169" s="187">
        <f t="shared" si="146"/>
        <v>0</v>
      </c>
      <c r="BJ169" s="273">
        <f t="shared" si="147"/>
        <v>77</v>
      </c>
      <c r="BK169" s="167">
        <f t="shared" ref="BK169" si="156">BJ169</f>
        <v>77</v>
      </c>
      <c r="BL169" s="167"/>
      <c r="BM169" s="644"/>
      <c r="BN169" s="644"/>
      <c r="BO169" s="644"/>
      <c r="BP169" s="644"/>
      <c r="BQ169" s="644"/>
      <c r="BR169" s="644"/>
      <c r="BS169" s="644"/>
      <c r="BT169" s="644"/>
      <c r="BU169" s="644"/>
      <c r="BV169" s="644"/>
      <c r="BW169" s="644"/>
      <c r="BX169" s="644"/>
      <c r="BY169" s="644"/>
      <c r="BZ169" s="644"/>
      <c r="CA169" s="644"/>
      <c r="CB169" s="644"/>
      <c r="CC169" s="644"/>
      <c r="CD169" s="644"/>
      <c r="CE169" s="644"/>
      <c r="CF169" s="644"/>
      <c r="CG169" s="644"/>
      <c r="CH169" s="644"/>
      <c r="CI169" s="644"/>
      <c r="CJ169" s="301" t="s">
        <v>752</v>
      </c>
      <c r="CK169" s="342"/>
      <c r="CL169" s="343"/>
    </row>
    <row r="170" spans="1:90">
      <c r="A170" s="181" t="s">
        <v>312</v>
      </c>
      <c r="B170" s="182"/>
      <c r="C170" s="183"/>
      <c r="D170" s="184">
        <v>1</v>
      </c>
      <c r="E170" s="184">
        <v>1</v>
      </c>
      <c r="F170" s="184"/>
      <c r="G170" s="184">
        <v>1</v>
      </c>
      <c r="H170" s="182"/>
      <c r="I170" s="182"/>
      <c r="J170" s="182"/>
      <c r="K170" s="182"/>
      <c r="L170" s="182">
        <v>1</v>
      </c>
      <c r="M170" s="182"/>
      <c r="N170" s="182"/>
      <c r="O170" s="182">
        <v>1</v>
      </c>
      <c r="P170" s="182"/>
      <c r="Q170" s="182">
        <v>1</v>
      </c>
      <c r="R170" s="182"/>
      <c r="S170" s="182"/>
      <c r="T170" s="182"/>
      <c r="U170" s="182"/>
      <c r="V170" s="182"/>
      <c r="W170" s="182">
        <v>1</v>
      </c>
      <c r="X170" s="182">
        <v>1</v>
      </c>
      <c r="Y170" s="182"/>
      <c r="Z170" s="182"/>
      <c r="AA170" s="302">
        <v>1</v>
      </c>
      <c r="AB170" s="182"/>
      <c r="AC170" s="182"/>
      <c r="AD170" s="182"/>
      <c r="AE170" s="182">
        <v>1</v>
      </c>
      <c r="AF170" s="182"/>
      <c r="AG170" s="182"/>
      <c r="AH170" s="167">
        <v>10</v>
      </c>
      <c r="AI170" s="300" t="s">
        <v>907</v>
      </c>
      <c r="AJ170" s="186">
        <v>42347</v>
      </c>
      <c r="AK170" s="187"/>
      <c r="AL170" s="187">
        <f t="shared" si="123"/>
        <v>0</v>
      </c>
      <c r="AM170" s="187">
        <f t="shared" si="124"/>
        <v>13</v>
      </c>
      <c r="AN170" s="187">
        <f t="shared" si="125"/>
        <v>8</v>
      </c>
      <c r="AO170" s="187">
        <f t="shared" si="126"/>
        <v>8</v>
      </c>
      <c r="AP170" s="187">
        <f t="shared" si="127"/>
        <v>0</v>
      </c>
      <c r="AQ170" s="187">
        <f t="shared" si="128"/>
        <v>0</v>
      </c>
      <c r="AR170" s="187">
        <f t="shared" si="129"/>
        <v>0</v>
      </c>
      <c r="AS170" s="187">
        <f t="shared" si="130"/>
        <v>19</v>
      </c>
      <c r="AT170" s="187">
        <f t="shared" si="131"/>
        <v>13</v>
      </c>
      <c r="AU170" s="187">
        <f t="shared" si="132"/>
        <v>0</v>
      </c>
      <c r="AV170" s="187">
        <f t="shared" si="133"/>
        <v>3</v>
      </c>
      <c r="AW170" s="187">
        <f t="shared" si="134"/>
        <v>0</v>
      </c>
      <c r="AX170" s="187">
        <f t="shared" si="135"/>
        <v>0</v>
      </c>
      <c r="AY170" s="187">
        <f t="shared" si="136"/>
        <v>0</v>
      </c>
      <c r="AZ170" s="187">
        <f t="shared" si="137"/>
        <v>0</v>
      </c>
      <c r="BA170" s="187">
        <f t="shared" si="138"/>
        <v>16</v>
      </c>
      <c r="BB170" s="187">
        <f t="shared" si="139"/>
        <v>13</v>
      </c>
      <c r="BC170" s="187">
        <f t="shared" si="140"/>
        <v>0</v>
      </c>
      <c r="BD170" s="187">
        <f t="shared" si="141"/>
        <v>0</v>
      </c>
      <c r="BE170" s="187">
        <f t="shared" si="142"/>
        <v>6</v>
      </c>
      <c r="BF170" s="187">
        <f t="shared" si="143"/>
        <v>0</v>
      </c>
      <c r="BG170" s="187">
        <f t="shared" si="144"/>
        <v>0</v>
      </c>
      <c r="BH170" s="187">
        <f t="shared" si="145"/>
        <v>2</v>
      </c>
      <c r="BI170" s="187">
        <f t="shared" si="146"/>
        <v>0</v>
      </c>
      <c r="BJ170" s="273">
        <f t="shared" si="147"/>
        <v>96</v>
      </c>
      <c r="BK170" s="167">
        <f t="shared" si="38"/>
        <v>96</v>
      </c>
      <c r="BL170" s="167"/>
      <c r="BM170" s="644"/>
      <c r="BN170" s="644"/>
      <c r="BO170" s="644"/>
      <c r="BP170" s="644"/>
      <c r="BQ170" s="644"/>
      <c r="BR170" s="644"/>
      <c r="BS170" s="644"/>
      <c r="BT170" s="644"/>
      <c r="BU170" s="644"/>
      <c r="BV170" s="644"/>
      <c r="BW170" s="644"/>
      <c r="BX170" s="644"/>
      <c r="BY170" s="644"/>
      <c r="BZ170" s="644"/>
      <c r="CA170" s="644"/>
      <c r="CB170" s="644"/>
      <c r="CC170" s="644"/>
      <c r="CD170" s="644"/>
      <c r="CE170" s="644"/>
      <c r="CF170" s="644"/>
      <c r="CG170" s="644"/>
      <c r="CH170" s="644"/>
      <c r="CI170" s="644"/>
      <c r="CJ170" s="301" t="s">
        <v>853</v>
      </c>
      <c r="CK170" s="180"/>
      <c r="CL170" s="136"/>
    </row>
    <row r="171" spans="1:90">
      <c r="A171" s="335" t="s">
        <v>624</v>
      </c>
      <c r="B171" s="182"/>
      <c r="C171" s="183"/>
      <c r="D171" s="184">
        <v>1</v>
      </c>
      <c r="E171" s="184"/>
      <c r="F171" s="184"/>
      <c r="G171" s="184"/>
      <c r="H171" s="182"/>
      <c r="I171" s="182"/>
      <c r="J171" s="182"/>
      <c r="K171" s="182"/>
      <c r="L171" s="182">
        <v>1</v>
      </c>
      <c r="M171" s="182"/>
      <c r="N171" s="182"/>
      <c r="O171" s="182">
        <v>1</v>
      </c>
      <c r="P171" s="182"/>
      <c r="Q171" s="182">
        <v>1</v>
      </c>
      <c r="R171" s="182"/>
      <c r="S171" s="182"/>
      <c r="T171" s="182"/>
      <c r="U171" s="182"/>
      <c r="V171" s="182"/>
      <c r="W171" s="182"/>
      <c r="X171" s="182"/>
      <c r="Y171" s="182"/>
      <c r="Z171" s="182"/>
      <c r="AA171" s="182"/>
      <c r="AB171" s="182"/>
      <c r="AC171" s="182"/>
      <c r="AD171" s="182">
        <v>1</v>
      </c>
      <c r="AE171" s="182"/>
      <c r="AF171" s="182"/>
      <c r="AG171" s="182"/>
      <c r="AH171" s="167">
        <v>5</v>
      </c>
      <c r="AI171" s="361" t="s">
        <v>113</v>
      </c>
      <c r="AJ171" s="186">
        <v>42374</v>
      </c>
      <c r="AK171" s="187"/>
      <c r="AL171" s="187">
        <f t="shared" si="123"/>
        <v>0</v>
      </c>
      <c r="AM171" s="187">
        <f t="shared" si="124"/>
        <v>13</v>
      </c>
      <c r="AN171" s="187">
        <f t="shared" si="125"/>
        <v>0</v>
      </c>
      <c r="AO171" s="187">
        <f t="shared" si="126"/>
        <v>0</v>
      </c>
      <c r="AP171" s="187">
        <f t="shared" si="127"/>
        <v>0</v>
      </c>
      <c r="AQ171" s="187">
        <f t="shared" si="128"/>
        <v>0</v>
      </c>
      <c r="AR171" s="187">
        <f t="shared" si="129"/>
        <v>0</v>
      </c>
      <c r="AS171" s="187">
        <f t="shared" si="130"/>
        <v>19</v>
      </c>
      <c r="AT171" s="187">
        <f t="shared" si="131"/>
        <v>13</v>
      </c>
      <c r="AU171" s="187">
        <f t="shared" si="132"/>
        <v>0</v>
      </c>
      <c r="AV171" s="187">
        <f t="shared" si="133"/>
        <v>3</v>
      </c>
      <c r="AW171" s="187">
        <f t="shared" si="134"/>
        <v>0</v>
      </c>
      <c r="AX171" s="187">
        <f t="shared" si="135"/>
        <v>0</v>
      </c>
      <c r="AY171" s="187">
        <f t="shared" si="136"/>
        <v>0</v>
      </c>
      <c r="AZ171" s="187">
        <f t="shared" si="137"/>
        <v>0</v>
      </c>
      <c r="BA171" s="187">
        <f t="shared" si="138"/>
        <v>0</v>
      </c>
      <c r="BB171" s="187">
        <f t="shared" si="139"/>
        <v>0</v>
      </c>
      <c r="BC171" s="187">
        <f t="shared" si="140"/>
        <v>0</v>
      </c>
      <c r="BD171" s="187">
        <f t="shared" si="141"/>
        <v>0</v>
      </c>
      <c r="BE171" s="187">
        <f t="shared" si="142"/>
        <v>0</v>
      </c>
      <c r="BF171" s="187">
        <f t="shared" si="143"/>
        <v>0</v>
      </c>
      <c r="BG171" s="187">
        <f t="shared" si="144"/>
        <v>8</v>
      </c>
      <c r="BH171" s="187">
        <f t="shared" si="145"/>
        <v>0</v>
      </c>
      <c r="BI171" s="187">
        <f t="shared" si="146"/>
        <v>0</v>
      </c>
      <c r="BJ171" s="273">
        <f t="shared" si="147"/>
        <v>56</v>
      </c>
      <c r="BK171" s="167">
        <f t="shared" si="38"/>
        <v>56</v>
      </c>
      <c r="BL171" s="167"/>
      <c r="BM171" s="644"/>
      <c r="BN171" s="644"/>
      <c r="BO171" s="644"/>
      <c r="BP171" s="644"/>
      <c r="BQ171" s="644"/>
      <c r="BR171" s="644"/>
      <c r="BS171" s="644"/>
      <c r="BT171" s="644"/>
      <c r="BU171" s="644"/>
      <c r="BV171" s="644"/>
      <c r="BW171" s="644"/>
      <c r="BX171" s="644"/>
      <c r="BY171" s="644"/>
      <c r="BZ171" s="644"/>
      <c r="CA171" s="644"/>
      <c r="CB171" s="644"/>
      <c r="CC171" s="644"/>
      <c r="CD171" s="644"/>
      <c r="CE171" s="644"/>
      <c r="CF171" s="644"/>
      <c r="CG171" s="644"/>
      <c r="CH171" s="644"/>
      <c r="CI171" s="644"/>
      <c r="CJ171" s="301" t="s">
        <v>752</v>
      </c>
      <c r="CK171" s="180"/>
      <c r="CL171" s="136"/>
    </row>
    <row r="172" spans="1:90">
      <c r="A172" s="335" t="s">
        <v>625</v>
      </c>
      <c r="B172" s="182"/>
      <c r="C172" s="183"/>
      <c r="D172" s="184">
        <v>1</v>
      </c>
      <c r="E172" s="184">
        <v>1</v>
      </c>
      <c r="F172" s="184"/>
      <c r="G172" s="184">
        <v>1</v>
      </c>
      <c r="H172" s="182"/>
      <c r="I172" s="182"/>
      <c r="J172" s="182"/>
      <c r="K172" s="182"/>
      <c r="L172" s="182">
        <v>1</v>
      </c>
      <c r="M172" s="182"/>
      <c r="N172" s="182"/>
      <c r="O172" s="182">
        <v>1</v>
      </c>
      <c r="P172" s="182"/>
      <c r="Q172" s="182"/>
      <c r="R172" s="182"/>
      <c r="S172" s="182">
        <v>1</v>
      </c>
      <c r="T172" s="182"/>
      <c r="U172" s="182"/>
      <c r="V172" s="182">
        <v>1</v>
      </c>
      <c r="W172" s="182">
        <v>1</v>
      </c>
      <c r="X172" s="182">
        <v>1</v>
      </c>
      <c r="Y172" s="182">
        <v>1</v>
      </c>
      <c r="Z172" s="182"/>
      <c r="AA172" s="182"/>
      <c r="AB172" s="182"/>
      <c r="AC172" s="182"/>
      <c r="AD172" s="182"/>
      <c r="AE172" s="182"/>
      <c r="AF172" s="182"/>
      <c r="AG172" s="182"/>
      <c r="AH172" s="167">
        <v>10</v>
      </c>
      <c r="AI172" s="340" t="s">
        <v>786</v>
      </c>
      <c r="AJ172" s="341">
        <v>42375</v>
      </c>
      <c r="AK172" s="187"/>
      <c r="AL172" s="187">
        <f t="shared" si="123"/>
        <v>0</v>
      </c>
      <c r="AM172" s="187">
        <f t="shared" si="124"/>
        <v>13</v>
      </c>
      <c r="AN172" s="187">
        <f t="shared" si="125"/>
        <v>8</v>
      </c>
      <c r="AO172" s="187">
        <f t="shared" si="126"/>
        <v>8</v>
      </c>
      <c r="AP172" s="187">
        <f t="shared" si="127"/>
        <v>0</v>
      </c>
      <c r="AQ172" s="187">
        <f t="shared" si="128"/>
        <v>0</v>
      </c>
      <c r="AR172" s="187">
        <f t="shared" si="129"/>
        <v>0</v>
      </c>
      <c r="AS172" s="187">
        <f t="shared" si="130"/>
        <v>19</v>
      </c>
      <c r="AT172" s="187">
        <f t="shared" si="131"/>
        <v>13</v>
      </c>
      <c r="AU172" s="187">
        <f t="shared" si="132"/>
        <v>0</v>
      </c>
      <c r="AV172" s="187">
        <f t="shared" si="133"/>
        <v>0</v>
      </c>
      <c r="AW172" s="187">
        <f t="shared" si="134"/>
        <v>8</v>
      </c>
      <c r="AX172" s="187">
        <f t="shared" si="135"/>
        <v>0</v>
      </c>
      <c r="AY172" s="187">
        <f t="shared" si="136"/>
        <v>0</v>
      </c>
      <c r="AZ172" s="187">
        <f t="shared" si="137"/>
        <v>8</v>
      </c>
      <c r="BA172" s="187">
        <f t="shared" si="138"/>
        <v>16</v>
      </c>
      <c r="BB172" s="187">
        <f t="shared" si="139"/>
        <v>13</v>
      </c>
      <c r="BC172" s="187">
        <f t="shared" si="140"/>
        <v>10</v>
      </c>
      <c r="BD172" s="187">
        <f t="shared" si="141"/>
        <v>0</v>
      </c>
      <c r="BE172" s="187">
        <f t="shared" si="142"/>
        <v>0</v>
      </c>
      <c r="BF172" s="187">
        <f t="shared" si="143"/>
        <v>0</v>
      </c>
      <c r="BG172" s="187">
        <f t="shared" si="144"/>
        <v>0</v>
      </c>
      <c r="BH172" s="187">
        <f t="shared" si="145"/>
        <v>0</v>
      </c>
      <c r="BI172" s="187">
        <f t="shared" si="146"/>
        <v>0</v>
      </c>
      <c r="BJ172" s="273">
        <f t="shared" si="147"/>
        <v>100</v>
      </c>
      <c r="BK172" s="167">
        <f t="shared" si="38"/>
        <v>100</v>
      </c>
      <c r="BL172" s="167"/>
      <c r="BM172" s="644"/>
      <c r="BN172" s="644"/>
      <c r="BO172" s="644"/>
      <c r="BP172" s="644"/>
      <c r="BQ172" s="644"/>
      <c r="BR172" s="644"/>
      <c r="BS172" s="644"/>
      <c r="BT172" s="644"/>
      <c r="BU172" s="644"/>
      <c r="BV172" s="644"/>
      <c r="BW172" s="644"/>
      <c r="BX172" s="644"/>
      <c r="BY172" s="644"/>
      <c r="BZ172" s="644"/>
      <c r="CA172" s="644"/>
      <c r="CB172" s="644"/>
      <c r="CC172" s="644"/>
      <c r="CD172" s="644"/>
      <c r="CE172" s="644"/>
      <c r="CF172" s="644"/>
      <c r="CG172" s="644"/>
      <c r="CH172" s="644"/>
      <c r="CI172" s="644"/>
      <c r="CJ172" s="301" t="s">
        <v>787</v>
      </c>
      <c r="CK172" s="180"/>
      <c r="CL172" s="136"/>
    </row>
    <row r="173" spans="1:90">
      <c r="A173" s="181" t="s">
        <v>313</v>
      </c>
      <c r="B173" s="182"/>
      <c r="C173" s="183"/>
      <c r="D173" s="184"/>
      <c r="E173" s="184">
        <v>1</v>
      </c>
      <c r="F173" s="184"/>
      <c r="G173" s="184">
        <v>1</v>
      </c>
      <c r="H173" s="182"/>
      <c r="I173" s="182"/>
      <c r="J173" s="182"/>
      <c r="K173" s="182"/>
      <c r="L173" s="182">
        <v>1</v>
      </c>
      <c r="M173" s="182"/>
      <c r="N173" s="182"/>
      <c r="O173" s="182">
        <v>1</v>
      </c>
      <c r="P173" s="182"/>
      <c r="Q173" s="182"/>
      <c r="R173" s="182"/>
      <c r="S173" s="182"/>
      <c r="T173" s="182"/>
      <c r="U173" s="182">
        <v>1</v>
      </c>
      <c r="V173" s="182"/>
      <c r="W173" s="182"/>
      <c r="X173" s="182"/>
      <c r="Y173" s="182"/>
      <c r="Z173" s="182">
        <v>1</v>
      </c>
      <c r="AA173" s="182">
        <v>1</v>
      </c>
      <c r="AB173" s="182">
        <v>1</v>
      </c>
      <c r="AC173" s="182"/>
      <c r="AD173" s="182"/>
      <c r="AE173" s="182"/>
      <c r="AF173" s="182"/>
      <c r="AG173" s="182"/>
      <c r="AH173" s="167">
        <v>8</v>
      </c>
      <c r="AI173" s="300" t="s">
        <v>908</v>
      </c>
      <c r="AJ173" s="186">
        <v>42373</v>
      </c>
      <c r="AK173" s="187"/>
      <c r="AL173" s="187">
        <f t="shared" si="123"/>
        <v>0</v>
      </c>
      <c r="AM173" s="187">
        <f t="shared" si="124"/>
        <v>0</v>
      </c>
      <c r="AN173" s="187">
        <f t="shared" si="125"/>
        <v>8</v>
      </c>
      <c r="AO173" s="187">
        <f t="shared" si="126"/>
        <v>8</v>
      </c>
      <c r="AP173" s="187">
        <f t="shared" si="127"/>
        <v>0</v>
      </c>
      <c r="AQ173" s="187">
        <f t="shared" si="128"/>
        <v>0</v>
      </c>
      <c r="AR173" s="187">
        <f t="shared" si="129"/>
        <v>0</v>
      </c>
      <c r="AS173" s="187">
        <f t="shared" si="130"/>
        <v>19</v>
      </c>
      <c r="AT173" s="187">
        <f t="shared" si="131"/>
        <v>13</v>
      </c>
      <c r="AU173" s="187">
        <f t="shared" si="132"/>
        <v>0</v>
      </c>
      <c r="AV173" s="187">
        <f t="shared" si="133"/>
        <v>0</v>
      </c>
      <c r="AW173" s="187">
        <f t="shared" si="134"/>
        <v>0</v>
      </c>
      <c r="AX173" s="187">
        <f t="shared" si="135"/>
        <v>0</v>
      </c>
      <c r="AY173" s="187">
        <f t="shared" si="136"/>
        <v>2</v>
      </c>
      <c r="AZ173" s="187">
        <f t="shared" si="137"/>
        <v>0</v>
      </c>
      <c r="BA173" s="187">
        <f t="shared" si="138"/>
        <v>0</v>
      </c>
      <c r="BB173" s="187">
        <f t="shared" si="139"/>
        <v>0</v>
      </c>
      <c r="BC173" s="187">
        <f t="shared" si="140"/>
        <v>0</v>
      </c>
      <c r="BD173" s="187">
        <f t="shared" si="141"/>
        <v>2</v>
      </c>
      <c r="BE173" s="187">
        <f t="shared" si="142"/>
        <v>6</v>
      </c>
      <c r="BF173" s="187">
        <f t="shared" si="143"/>
        <v>1</v>
      </c>
      <c r="BG173" s="187">
        <f t="shared" si="144"/>
        <v>0</v>
      </c>
      <c r="BH173" s="187">
        <f t="shared" si="145"/>
        <v>0</v>
      </c>
      <c r="BI173" s="187">
        <f t="shared" si="146"/>
        <v>0</v>
      </c>
      <c r="BJ173" s="273">
        <f t="shared" si="147"/>
        <v>59</v>
      </c>
      <c r="BK173" s="167">
        <f t="shared" ref="BK173:BK174" si="157">BJ173</f>
        <v>59</v>
      </c>
      <c r="BL173" s="167"/>
      <c r="BM173" s="644"/>
      <c r="BN173" s="644"/>
      <c r="BO173" s="644"/>
      <c r="BP173" s="644"/>
      <c r="BQ173" s="644"/>
      <c r="BR173" s="644"/>
      <c r="BS173" s="644"/>
      <c r="BT173" s="644"/>
      <c r="BU173" s="644"/>
      <c r="BV173" s="644"/>
      <c r="BW173" s="644"/>
      <c r="BX173" s="644"/>
      <c r="BY173" s="644"/>
      <c r="BZ173" s="644"/>
      <c r="CA173" s="644"/>
      <c r="CB173" s="644"/>
      <c r="CC173" s="644"/>
      <c r="CD173" s="644"/>
      <c r="CE173" s="644"/>
      <c r="CF173" s="644"/>
      <c r="CG173" s="644"/>
      <c r="CH173" s="644"/>
      <c r="CI173" s="644"/>
      <c r="CJ173" s="301" t="s">
        <v>789</v>
      </c>
      <c r="CK173" s="180"/>
      <c r="CL173" s="136"/>
    </row>
    <row r="174" spans="1:90">
      <c r="A174" s="181" t="s">
        <v>909</v>
      </c>
      <c r="B174" s="182"/>
      <c r="C174" s="183"/>
      <c r="D174" s="184">
        <v>1</v>
      </c>
      <c r="E174" s="184">
        <v>1</v>
      </c>
      <c r="F174" s="184"/>
      <c r="G174" s="184">
        <v>1</v>
      </c>
      <c r="H174" s="182"/>
      <c r="I174" s="182"/>
      <c r="J174" s="182"/>
      <c r="K174" s="182"/>
      <c r="L174" s="182">
        <v>1</v>
      </c>
      <c r="M174" s="182"/>
      <c r="N174" s="182"/>
      <c r="O174" s="182"/>
      <c r="P174" s="182"/>
      <c r="Q174" s="182"/>
      <c r="R174" s="182"/>
      <c r="S174" s="182"/>
      <c r="T174" s="182"/>
      <c r="U174" s="182"/>
      <c r="V174" s="182"/>
      <c r="W174" s="182">
        <v>1</v>
      </c>
      <c r="X174" s="320"/>
      <c r="Y174" s="302">
        <v>1</v>
      </c>
      <c r="Z174" s="182"/>
      <c r="AA174" s="182"/>
      <c r="AB174" s="182"/>
      <c r="AC174" s="182"/>
      <c r="AD174" s="182"/>
      <c r="AE174" s="182"/>
      <c r="AF174" s="182"/>
      <c r="AG174" s="182"/>
      <c r="AH174" s="167">
        <v>6</v>
      </c>
      <c r="AI174" s="340" t="s">
        <v>786</v>
      </c>
      <c r="AJ174" s="341">
        <v>42375</v>
      </c>
      <c r="AK174" s="187"/>
      <c r="AL174" s="187">
        <f t="shared" si="123"/>
        <v>0</v>
      </c>
      <c r="AM174" s="187">
        <f t="shared" si="124"/>
        <v>13</v>
      </c>
      <c r="AN174" s="187">
        <f t="shared" si="125"/>
        <v>8</v>
      </c>
      <c r="AO174" s="187">
        <f t="shared" si="126"/>
        <v>8</v>
      </c>
      <c r="AP174" s="187">
        <f t="shared" si="127"/>
        <v>0</v>
      </c>
      <c r="AQ174" s="187">
        <f t="shared" si="128"/>
        <v>0</v>
      </c>
      <c r="AR174" s="187">
        <f t="shared" si="129"/>
        <v>0</v>
      </c>
      <c r="AS174" s="187">
        <f t="shared" si="130"/>
        <v>19</v>
      </c>
      <c r="AT174" s="187">
        <f t="shared" si="131"/>
        <v>0</v>
      </c>
      <c r="AU174" s="187">
        <f t="shared" si="132"/>
        <v>0</v>
      </c>
      <c r="AV174" s="187">
        <f t="shared" si="133"/>
        <v>0</v>
      </c>
      <c r="AW174" s="187">
        <f t="shared" si="134"/>
        <v>0</v>
      </c>
      <c r="AX174" s="187">
        <f t="shared" si="135"/>
        <v>0</v>
      </c>
      <c r="AY174" s="187">
        <f t="shared" si="136"/>
        <v>0</v>
      </c>
      <c r="AZ174" s="187">
        <f t="shared" si="137"/>
        <v>0</v>
      </c>
      <c r="BA174" s="187">
        <f t="shared" si="138"/>
        <v>16</v>
      </c>
      <c r="BB174" s="187">
        <f t="shared" si="139"/>
        <v>0</v>
      </c>
      <c r="BC174" s="187">
        <f t="shared" si="140"/>
        <v>10</v>
      </c>
      <c r="BD174" s="187">
        <f t="shared" si="141"/>
        <v>0</v>
      </c>
      <c r="BE174" s="187">
        <f t="shared" si="142"/>
        <v>0</v>
      </c>
      <c r="BF174" s="187">
        <f t="shared" si="143"/>
        <v>0</v>
      </c>
      <c r="BG174" s="187">
        <f t="shared" si="144"/>
        <v>0</v>
      </c>
      <c r="BH174" s="187">
        <f t="shared" si="145"/>
        <v>0</v>
      </c>
      <c r="BI174" s="187">
        <f t="shared" si="146"/>
        <v>0</v>
      </c>
      <c r="BJ174" s="273">
        <f t="shared" si="147"/>
        <v>74</v>
      </c>
      <c r="BK174" s="167">
        <f t="shared" si="157"/>
        <v>74</v>
      </c>
      <c r="BL174" s="167"/>
      <c r="BM174" s="644"/>
      <c r="BN174" s="644"/>
      <c r="BO174" s="644"/>
      <c r="BP174" s="644"/>
      <c r="BQ174" s="644"/>
      <c r="BR174" s="644"/>
      <c r="BS174" s="644"/>
      <c r="BT174" s="644"/>
      <c r="BU174" s="644"/>
      <c r="BV174" s="644"/>
      <c r="BW174" s="644"/>
      <c r="BX174" s="644"/>
      <c r="BY174" s="644"/>
      <c r="BZ174" s="644"/>
      <c r="CA174" s="644"/>
      <c r="CB174" s="644"/>
      <c r="CC174" s="644"/>
      <c r="CD174" s="644"/>
      <c r="CE174" s="644"/>
      <c r="CF174" s="644"/>
      <c r="CG174" s="644"/>
      <c r="CH174" s="644"/>
      <c r="CI174" s="644"/>
      <c r="CJ174" s="301" t="s">
        <v>787</v>
      </c>
      <c r="CK174" s="180"/>
      <c r="CL174" s="136"/>
    </row>
    <row r="175" spans="1:90">
      <c r="A175" s="181" t="s">
        <v>910</v>
      </c>
      <c r="B175" s="182"/>
      <c r="C175" s="183"/>
      <c r="D175" s="184">
        <v>1</v>
      </c>
      <c r="E175" s="184">
        <v>1</v>
      </c>
      <c r="F175" s="184"/>
      <c r="G175" s="184">
        <v>1</v>
      </c>
      <c r="H175" s="182"/>
      <c r="I175" s="182"/>
      <c r="J175" s="182"/>
      <c r="K175" s="182"/>
      <c r="L175" s="182">
        <v>1</v>
      </c>
      <c r="M175" s="182"/>
      <c r="N175" s="182"/>
      <c r="O175" s="182"/>
      <c r="P175" s="182"/>
      <c r="Q175" s="182"/>
      <c r="R175" s="182"/>
      <c r="S175" s="302">
        <v>1</v>
      </c>
      <c r="T175" s="182"/>
      <c r="U175" s="182"/>
      <c r="V175" s="302">
        <v>1</v>
      </c>
      <c r="W175" s="182">
        <v>1</v>
      </c>
      <c r="X175" s="182">
        <v>1</v>
      </c>
      <c r="Y175" s="182">
        <v>1</v>
      </c>
      <c r="Z175" s="182"/>
      <c r="AA175" s="182"/>
      <c r="AB175" s="182"/>
      <c r="AC175" s="182"/>
      <c r="AD175" s="182"/>
      <c r="AE175" s="182"/>
      <c r="AF175" s="182"/>
      <c r="AG175" s="182"/>
      <c r="AH175" s="167">
        <v>9</v>
      </c>
      <c r="AI175" s="300" t="s">
        <v>911</v>
      </c>
      <c r="AJ175" s="186">
        <v>42321</v>
      </c>
      <c r="AK175" s="187"/>
      <c r="AL175" s="187">
        <f t="shared" si="123"/>
        <v>0</v>
      </c>
      <c r="AM175" s="187">
        <f t="shared" si="124"/>
        <v>13</v>
      </c>
      <c r="AN175" s="187">
        <f t="shared" si="125"/>
        <v>8</v>
      </c>
      <c r="AO175" s="187">
        <f t="shared" si="126"/>
        <v>8</v>
      </c>
      <c r="AP175" s="187">
        <f t="shared" si="127"/>
        <v>0</v>
      </c>
      <c r="AQ175" s="187">
        <f t="shared" si="128"/>
        <v>0</v>
      </c>
      <c r="AR175" s="187">
        <f t="shared" si="129"/>
        <v>0</v>
      </c>
      <c r="AS175" s="187">
        <f t="shared" si="130"/>
        <v>19</v>
      </c>
      <c r="AT175" s="187">
        <f t="shared" si="131"/>
        <v>0</v>
      </c>
      <c r="AU175" s="187">
        <f t="shared" si="132"/>
        <v>0</v>
      </c>
      <c r="AV175" s="187">
        <f t="shared" si="133"/>
        <v>0</v>
      </c>
      <c r="AW175" s="187">
        <f t="shared" si="134"/>
        <v>8</v>
      </c>
      <c r="AX175" s="187">
        <f t="shared" si="135"/>
        <v>0</v>
      </c>
      <c r="AY175" s="187">
        <f t="shared" si="136"/>
        <v>0</v>
      </c>
      <c r="AZ175" s="187">
        <f t="shared" si="137"/>
        <v>8</v>
      </c>
      <c r="BA175" s="187">
        <f t="shared" si="138"/>
        <v>16</v>
      </c>
      <c r="BB175" s="187">
        <f t="shared" si="139"/>
        <v>13</v>
      </c>
      <c r="BC175" s="187">
        <f t="shared" si="140"/>
        <v>10</v>
      </c>
      <c r="BD175" s="187">
        <f t="shared" si="141"/>
        <v>0</v>
      </c>
      <c r="BE175" s="187">
        <f t="shared" si="142"/>
        <v>0</v>
      </c>
      <c r="BF175" s="187">
        <f t="shared" si="143"/>
        <v>0</v>
      </c>
      <c r="BG175" s="187">
        <f t="shared" si="144"/>
        <v>0</v>
      </c>
      <c r="BH175" s="187">
        <f t="shared" si="145"/>
        <v>0</v>
      </c>
      <c r="BI175" s="187">
        <f t="shared" si="146"/>
        <v>0</v>
      </c>
      <c r="BJ175" s="273">
        <f t="shared" si="147"/>
        <v>95</v>
      </c>
      <c r="BK175" s="167">
        <f t="shared" si="38"/>
        <v>95</v>
      </c>
      <c r="BL175" s="167"/>
      <c r="BM175" s="644"/>
      <c r="BN175" s="644"/>
      <c r="BO175" s="644"/>
      <c r="BP175" s="644"/>
      <c r="BQ175" s="644"/>
      <c r="BR175" s="644"/>
      <c r="BS175" s="644"/>
      <c r="BT175" s="644"/>
      <c r="BU175" s="644"/>
      <c r="BV175" s="644"/>
      <c r="BW175" s="644"/>
      <c r="BX175" s="644"/>
      <c r="BY175" s="644"/>
      <c r="BZ175" s="644"/>
      <c r="CA175" s="644"/>
      <c r="CB175" s="644"/>
      <c r="CC175" s="644"/>
      <c r="CD175" s="644"/>
      <c r="CE175" s="644"/>
      <c r="CF175" s="644"/>
      <c r="CG175" s="644"/>
      <c r="CH175" s="644"/>
      <c r="CI175" s="644"/>
      <c r="CJ175" s="301" t="s">
        <v>821</v>
      </c>
      <c r="CK175" s="180"/>
      <c r="CL175" s="136"/>
    </row>
    <row r="176" spans="1:90">
      <c r="A176" s="181" t="s">
        <v>315</v>
      </c>
      <c r="B176" s="182"/>
      <c r="C176" s="183"/>
      <c r="D176" s="184">
        <v>1</v>
      </c>
      <c r="E176" s="184">
        <v>1</v>
      </c>
      <c r="F176" s="184"/>
      <c r="G176" s="184">
        <v>1</v>
      </c>
      <c r="H176" s="182"/>
      <c r="I176" s="182"/>
      <c r="J176" s="182"/>
      <c r="K176" s="182"/>
      <c r="L176" s="182">
        <v>1</v>
      </c>
      <c r="M176" s="182"/>
      <c r="N176" s="182"/>
      <c r="O176" s="182"/>
      <c r="P176" s="182"/>
      <c r="Q176" s="182"/>
      <c r="R176" s="182"/>
      <c r="S176" s="182"/>
      <c r="T176" s="182"/>
      <c r="U176" s="182"/>
      <c r="V176" s="182"/>
      <c r="W176" s="182">
        <v>1</v>
      </c>
      <c r="X176" s="182">
        <v>1</v>
      </c>
      <c r="Y176" s="182"/>
      <c r="Z176" s="182"/>
      <c r="AA176" s="182"/>
      <c r="AB176" s="182"/>
      <c r="AC176" s="182"/>
      <c r="AD176" s="182">
        <v>1</v>
      </c>
      <c r="AE176" s="182"/>
      <c r="AF176" s="182">
        <v>1</v>
      </c>
      <c r="AG176" s="182"/>
      <c r="AH176" s="167">
        <v>8</v>
      </c>
      <c r="AI176" s="300" t="s">
        <v>912</v>
      </c>
      <c r="AJ176" s="186">
        <v>42367</v>
      </c>
      <c r="AK176" s="187"/>
      <c r="AL176" s="187">
        <f t="shared" si="123"/>
        <v>0</v>
      </c>
      <c r="AM176" s="187">
        <f t="shared" si="124"/>
        <v>13</v>
      </c>
      <c r="AN176" s="187">
        <f t="shared" si="125"/>
        <v>8</v>
      </c>
      <c r="AO176" s="187">
        <f t="shared" si="126"/>
        <v>8</v>
      </c>
      <c r="AP176" s="187">
        <f t="shared" si="127"/>
        <v>0</v>
      </c>
      <c r="AQ176" s="187">
        <f t="shared" si="128"/>
        <v>0</v>
      </c>
      <c r="AR176" s="187">
        <f t="shared" si="129"/>
        <v>0</v>
      </c>
      <c r="AS176" s="187">
        <f t="shared" si="130"/>
        <v>19</v>
      </c>
      <c r="AT176" s="187">
        <f t="shared" si="131"/>
        <v>0</v>
      </c>
      <c r="AU176" s="187">
        <f t="shared" si="132"/>
        <v>0</v>
      </c>
      <c r="AV176" s="187">
        <f t="shared" si="133"/>
        <v>0</v>
      </c>
      <c r="AW176" s="187">
        <f t="shared" si="134"/>
        <v>0</v>
      </c>
      <c r="AX176" s="187">
        <f t="shared" si="135"/>
        <v>0</v>
      </c>
      <c r="AY176" s="187">
        <f t="shared" si="136"/>
        <v>0</v>
      </c>
      <c r="AZ176" s="187">
        <f t="shared" si="137"/>
        <v>0</v>
      </c>
      <c r="BA176" s="187">
        <f t="shared" si="138"/>
        <v>16</v>
      </c>
      <c r="BB176" s="187">
        <f t="shared" si="139"/>
        <v>13</v>
      </c>
      <c r="BC176" s="187">
        <f t="shared" si="140"/>
        <v>0</v>
      </c>
      <c r="BD176" s="187">
        <f t="shared" si="141"/>
        <v>0</v>
      </c>
      <c r="BE176" s="187">
        <f t="shared" si="142"/>
        <v>0</v>
      </c>
      <c r="BF176" s="187">
        <f t="shared" si="143"/>
        <v>0</v>
      </c>
      <c r="BG176" s="187">
        <f t="shared" si="144"/>
        <v>8</v>
      </c>
      <c r="BH176" s="187">
        <f t="shared" si="145"/>
        <v>0</v>
      </c>
      <c r="BI176" s="187">
        <f t="shared" si="146"/>
        <v>3</v>
      </c>
      <c r="BJ176" s="273">
        <f t="shared" si="147"/>
        <v>88</v>
      </c>
      <c r="BK176" s="167">
        <f t="shared" ref="BK176" si="158">BJ176</f>
        <v>88</v>
      </c>
      <c r="BL176" s="167"/>
      <c r="BM176" s="644"/>
      <c r="BN176" s="644"/>
      <c r="BO176" s="644"/>
      <c r="BP176" s="644"/>
      <c r="BQ176" s="644"/>
      <c r="BR176" s="644"/>
      <c r="BS176" s="644"/>
      <c r="BT176" s="644"/>
      <c r="BU176" s="644"/>
      <c r="BV176" s="644"/>
      <c r="BW176" s="644"/>
      <c r="BX176" s="644"/>
      <c r="BY176" s="644"/>
      <c r="BZ176" s="644"/>
      <c r="CA176" s="644"/>
      <c r="CB176" s="644"/>
      <c r="CC176" s="644"/>
      <c r="CD176" s="644"/>
      <c r="CE176" s="644"/>
      <c r="CF176" s="644"/>
      <c r="CG176" s="644"/>
      <c r="CH176" s="644"/>
      <c r="CI176" s="644"/>
      <c r="CJ176" s="301" t="s">
        <v>809</v>
      </c>
      <c r="CK176" s="180"/>
      <c r="CL176" s="136"/>
    </row>
    <row r="177" spans="1:90">
      <c r="A177" s="181" t="s">
        <v>316</v>
      </c>
      <c r="B177" s="182"/>
      <c r="C177" s="183"/>
      <c r="D177" s="184">
        <v>1</v>
      </c>
      <c r="E177" s="184">
        <v>1</v>
      </c>
      <c r="F177" s="184"/>
      <c r="G177" s="184">
        <v>1</v>
      </c>
      <c r="H177" s="182"/>
      <c r="I177" s="182"/>
      <c r="J177" s="182"/>
      <c r="K177" s="182"/>
      <c r="L177" s="182">
        <v>1</v>
      </c>
      <c r="M177" s="182"/>
      <c r="N177" s="182"/>
      <c r="O177" s="182">
        <v>1</v>
      </c>
      <c r="P177" s="182"/>
      <c r="Q177" s="182"/>
      <c r="R177" s="182"/>
      <c r="S177" s="182"/>
      <c r="T177" s="182"/>
      <c r="U177" s="182"/>
      <c r="V177" s="182">
        <v>1</v>
      </c>
      <c r="W177" s="182">
        <v>1</v>
      </c>
      <c r="X177" s="182"/>
      <c r="Y177" s="302">
        <v>1</v>
      </c>
      <c r="Z177" s="182">
        <v>1</v>
      </c>
      <c r="AA177" s="182"/>
      <c r="AB177" s="182"/>
      <c r="AC177" s="182"/>
      <c r="AD177" s="182"/>
      <c r="AE177" s="182"/>
      <c r="AF177" s="182">
        <v>1</v>
      </c>
      <c r="AG177" s="182"/>
      <c r="AH177" s="167">
        <v>10</v>
      </c>
      <c r="AI177" s="300" t="s">
        <v>913</v>
      </c>
      <c r="AJ177" s="186">
        <v>42375</v>
      </c>
      <c r="AK177" s="187"/>
      <c r="AL177" s="187">
        <f t="shared" si="123"/>
        <v>0</v>
      </c>
      <c r="AM177" s="187">
        <f t="shared" si="124"/>
        <v>13</v>
      </c>
      <c r="AN177" s="187">
        <f t="shared" si="125"/>
        <v>8</v>
      </c>
      <c r="AO177" s="187">
        <f t="shared" si="126"/>
        <v>8</v>
      </c>
      <c r="AP177" s="187">
        <f t="shared" si="127"/>
        <v>0</v>
      </c>
      <c r="AQ177" s="187">
        <f t="shared" si="128"/>
        <v>0</v>
      </c>
      <c r="AR177" s="187">
        <f t="shared" si="129"/>
        <v>0</v>
      </c>
      <c r="AS177" s="187">
        <f t="shared" si="130"/>
        <v>19</v>
      </c>
      <c r="AT177" s="187">
        <f t="shared" si="131"/>
        <v>13</v>
      </c>
      <c r="AU177" s="187">
        <f t="shared" si="132"/>
        <v>0</v>
      </c>
      <c r="AV177" s="187">
        <f t="shared" si="133"/>
        <v>0</v>
      </c>
      <c r="AW177" s="187">
        <f t="shared" si="134"/>
        <v>0</v>
      </c>
      <c r="AX177" s="187">
        <f t="shared" si="135"/>
        <v>0</v>
      </c>
      <c r="AY177" s="187">
        <f t="shared" si="136"/>
        <v>0</v>
      </c>
      <c r="AZ177" s="187">
        <f t="shared" si="137"/>
        <v>8</v>
      </c>
      <c r="BA177" s="187">
        <f t="shared" si="138"/>
        <v>16</v>
      </c>
      <c r="BB177" s="187">
        <f t="shared" si="139"/>
        <v>0</v>
      </c>
      <c r="BC177" s="187">
        <f t="shared" si="140"/>
        <v>10</v>
      </c>
      <c r="BD177" s="187">
        <f t="shared" si="141"/>
        <v>2</v>
      </c>
      <c r="BE177" s="187">
        <f t="shared" si="142"/>
        <v>0</v>
      </c>
      <c r="BF177" s="187">
        <f t="shared" si="143"/>
        <v>0</v>
      </c>
      <c r="BG177" s="187">
        <f t="shared" si="144"/>
        <v>0</v>
      </c>
      <c r="BH177" s="187">
        <f t="shared" si="145"/>
        <v>0</v>
      </c>
      <c r="BI177" s="187">
        <f t="shared" si="146"/>
        <v>3</v>
      </c>
      <c r="BJ177" s="273">
        <f t="shared" si="147"/>
        <v>95</v>
      </c>
      <c r="BK177" s="167">
        <f t="shared" ref="BK177" si="159">BJ177</f>
        <v>95</v>
      </c>
      <c r="BL177" s="167"/>
      <c r="BM177" s="644"/>
      <c r="BN177" s="644"/>
      <c r="BO177" s="644"/>
      <c r="BP177" s="644"/>
      <c r="BQ177" s="644"/>
      <c r="BR177" s="644"/>
      <c r="BS177" s="644"/>
      <c r="BT177" s="644"/>
      <c r="BU177" s="644"/>
      <c r="BV177" s="644"/>
      <c r="BW177" s="644"/>
      <c r="BX177" s="644"/>
      <c r="BY177" s="644"/>
      <c r="BZ177" s="644"/>
      <c r="CA177" s="644"/>
      <c r="CB177" s="644"/>
      <c r="CC177" s="644"/>
      <c r="CD177" s="644"/>
      <c r="CE177" s="644"/>
      <c r="CF177" s="644"/>
      <c r="CG177" s="644"/>
      <c r="CH177" s="644"/>
      <c r="CI177" s="644"/>
      <c r="CJ177" s="301" t="s">
        <v>764</v>
      </c>
      <c r="CK177" s="180"/>
      <c r="CL177" s="136"/>
    </row>
    <row r="178" spans="1:90">
      <c r="A178" s="181" t="s">
        <v>317</v>
      </c>
      <c r="B178" s="182"/>
      <c r="C178" s="183"/>
      <c r="D178" s="184">
        <v>1</v>
      </c>
      <c r="E178" s="184"/>
      <c r="F178" s="184"/>
      <c r="G178" s="184"/>
      <c r="H178" s="182"/>
      <c r="I178" s="182">
        <v>1</v>
      </c>
      <c r="J178" s="182"/>
      <c r="K178" s="182"/>
      <c r="L178" s="182">
        <v>1</v>
      </c>
      <c r="M178" s="182"/>
      <c r="N178" s="182"/>
      <c r="O178" s="182"/>
      <c r="P178" s="182"/>
      <c r="Q178" s="302">
        <v>1</v>
      </c>
      <c r="R178" s="182"/>
      <c r="S178" s="182"/>
      <c r="T178" s="182">
        <v>1</v>
      </c>
      <c r="U178" s="182"/>
      <c r="V178" s="182">
        <v>1</v>
      </c>
      <c r="W178" s="182"/>
      <c r="X178" s="182">
        <v>1</v>
      </c>
      <c r="Y178" s="182">
        <v>1</v>
      </c>
      <c r="Z178" s="182"/>
      <c r="AA178" s="182"/>
      <c r="AB178" s="182"/>
      <c r="AC178" s="182"/>
      <c r="AD178" s="182">
        <v>1</v>
      </c>
      <c r="AE178" s="182"/>
      <c r="AF178" s="302">
        <v>1</v>
      </c>
      <c r="AG178" s="182"/>
      <c r="AH178" s="167">
        <v>10</v>
      </c>
      <c r="AI178" s="328" t="s">
        <v>115</v>
      </c>
      <c r="AJ178" s="186">
        <v>42359</v>
      </c>
      <c r="AK178" s="187"/>
      <c r="AL178" s="187">
        <f t="shared" si="123"/>
        <v>0</v>
      </c>
      <c r="AM178" s="187">
        <f t="shared" si="124"/>
        <v>13</v>
      </c>
      <c r="AN178" s="187">
        <f t="shared" si="125"/>
        <v>0</v>
      </c>
      <c r="AO178" s="187">
        <f t="shared" si="126"/>
        <v>0</v>
      </c>
      <c r="AP178" s="187">
        <f t="shared" si="127"/>
        <v>0</v>
      </c>
      <c r="AQ178" s="187">
        <f t="shared" si="128"/>
        <v>0</v>
      </c>
      <c r="AR178" s="187">
        <f t="shared" si="129"/>
        <v>0</v>
      </c>
      <c r="AS178" s="187">
        <f t="shared" si="130"/>
        <v>19</v>
      </c>
      <c r="AT178" s="187">
        <f t="shared" si="131"/>
        <v>0</v>
      </c>
      <c r="AU178" s="187">
        <f t="shared" si="132"/>
        <v>0</v>
      </c>
      <c r="AV178" s="187">
        <f t="shared" si="133"/>
        <v>3</v>
      </c>
      <c r="AW178" s="187">
        <f t="shared" si="134"/>
        <v>0</v>
      </c>
      <c r="AX178" s="187">
        <f t="shared" si="135"/>
        <v>4</v>
      </c>
      <c r="AY178" s="187">
        <f t="shared" si="136"/>
        <v>0</v>
      </c>
      <c r="AZ178" s="187">
        <f t="shared" si="137"/>
        <v>8</v>
      </c>
      <c r="BA178" s="187">
        <f t="shared" si="138"/>
        <v>0</v>
      </c>
      <c r="BB178" s="187">
        <f t="shared" si="139"/>
        <v>13</v>
      </c>
      <c r="BC178" s="187">
        <f t="shared" si="140"/>
        <v>10</v>
      </c>
      <c r="BD178" s="187">
        <f t="shared" si="141"/>
        <v>0</v>
      </c>
      <c r="BE178" s="187">
        <f t="shared" si="142"/>
        <v>0</v>
      </c>
      <c r="BF178" s="187">
        <f t="shared" si="143"/>
        <v>0</v>
      </c>
      <c r="BG178" s="187">
        <f t="shared" si="144"/>
        <v>8</v>
      </c>
      <c r="BH178" s="187">
        <f t="shared" si="145"/>
        <v>0</v>
      </c>
      <c r="BI178" s="187">
        <f t="shared" si="146"/>
        <v>3</v>
      </c>
      <c r="BJ178" s="273">
        <f t="shared" si="147"/>
        <v>78</v>
      </c>
      <c r="BK178" s="167">
        <f t="shared" ref="BK178:BK179" si="160">BJ178</f>
        <v>78</v>
      </c>
      <c r="BL178" s="167"/>
      <c r="BM178" s="644"/>
      <c r="BN178" s="644"/>
      <c r="BO178" s="644"/>
      <c r="BP178" s="644"/>
      <c r="BQ178" s="644"/>
      <c r="BR178" s="644"/>
      <c r="BS178" s="644"/>
      <c r="BT178" s="644"/>
      <c r="BU178" s="644"/>
      <c r="BV178" s="644"/>
      <c r="BW178" s="644"/>
      <c r="BX178" s="644"/>
      <c r="BY178" s="644"/>
      <c r="BZ178" s="644"/>
      <c r="CA178" s="644"/>
      <c r="CB178" s="644"/>
      <c r="CC178" s="644"/>
      <c r="CD178" s="644"/>
      <c r="CE178" s="644"/>
      <c r="CF178" s="644"/>
      <c r="CG178" s="644"/>
      <c r="CH178" s="644"/>
      <c r="CI178" s="644"/>
      <c r="CJ178" s="301" t="s">
        <v>743</v>
      </c>
      <c r="CK178" s="180"/>
      <c r="CL178" s="136"/>
    </row>
    <row r="179" spans="1:90" s="326" customFormat="1">
      <c r="A179" s="335" t="s">
        <v>319</v>
      </c>
      <c r="B179" s="182"/>
      <c r="C179" s="183"/>
      <c r="D179" s="184"/>
      <c r="E179" s="184"/>
      <c r="F179" s="184"/>
      <c r="G179" s="184"/>
      <c r="H179" s="182"/>
      <c r="I179" s="182"/>
      <c r="J179" s="182"/>
      <c r="K179" s="182"/>
      <c r="L179" s="182">
        <v>1</v>
      </c>
      <c r="M179" s="182"/>
      <c r="N179" s="182"/>
      <c r="O179" s="182">
        <v>1</v>
      </c>
      <c r="P179" s="182"/>
      <c r="Q179" s="182"/>
      <c r="R179" s="182"/>
      <c r="S179" s="182">
        <v>1</v>
      </c>
      <c r="T179" s="182"/>
      <c r="U179" s="182"/>
      <c r="V179" s="182"/>
      <c r="W179" s="182">
        <v>1</v>
      </c>
      <c r="X179" s="182">
        <v>1</v>
      </c>
      <c r="Y179" s="182"/>
      <c r="Z179" s="182"/>
      <c r="AA179" s="182"/>
      <c r="AB179" s="182"/>
      <c r="AC179" s="182"/>
      <c r="AD179" s="182"/>
      <c r="AE179" s="182"/>
      <c r="AF179" s="182"/>
      <c r="AG179" s="182"/>
      <c r="AH179" s="167">
        <v>5</v>
      </c>
      <c r="AI179" s="300" t="s">
        <v>914</v>
      </c>
      <c r="AJ179" s="186">
        <v>42360</v>
      </c>
      <c r="AK179" s="187"/>
      <c r="AL179" s="187">
        <f t="shared" si="123"/>
        <v>0</v>
      </c>
      <c r="AM179" s="187">
        <f t="shared" si="124"/>
        <v>0</v>
      </c>
      <c r="AN179" s="187">
        <f t="shared" si="125"/>
        <v>0</v>
      </c>
      <c r="AO179" s="187">
        <f t="shared" si="126"/>
        <v>0</v>
      </c>
      <c r="AP179" s="187">
        <f t="shared" si="127"/>
        <v>0</v>
      </c>
      <c r="AQ179" s="187">
        <f t="shared" si="128"/>
        <v>0</v>
      </c>
      <c r="AR179" s="187">
        <f t="shared" si="129"/>
        <v>0</v>
      </c>
      <c r="AS179" s="187">
        <f t="shared" si="130"/>
        <v>19</v>
      </c>
      <c r="AT179" s="187">
        <f t="shared" si="131"/>
        <v>13</v>
      </c>
      <c r="AU179" s="187">
        <f t="shared" si="132"/>
        <v>0</v>
      </c>
      <c r="AV179" s="187">
        <f t="shared" si="133"/>
        <v>0</v>
      </c>
      <c r="AW179" s="187">
        <f t="shared" si="134"/>
        <v>8</v>
      </c>
      <c r="AX179" s="187">
        <f t="shared" si="135"/>
        <v>0</v>
      </c>
      <c r="AY179" s="187">
        <f t="shared" si="136"/>
        <v>0</v>
      </c>
      <c r="AZ179" s="187">
        <f t="shared" si="137"/>
        <v>0</v>
      </c>
      <c r="BA179" s="187">
        <f t="shared" si="138"/>
        <v>16</v>
      </c>
      <c r="BB179" s="187">
        <f t="shared" si="139"/>
        <v>13</v>
      </c>
      <c r="BC179" s="187">
        <f t="shared" si="140"/>
        <v>0</v>
      </c>
      <c r="BD179" s="187">
        <f t="shared" si="141"/>
        <v>0</v>
      </c>
      <c r="BE179" s="187">
        <f t="shared" si="142"/>
        <v>0</v>
      </c>
      <c r="BF179" s="187">
        <f t="shared" si="143"/>
        <v>0</v>
      </c>
      <c r="BG179" s="187">
        <f t="shared" si="144"/>
        <v>0</v>
      </c>
      <c r="BH179" s="187">
        <f t="shared" si="145"/>
        <v>0</v>
      </c>
      <c r="BI179" s="187">
        <f t="shared" si="146"/>
        <v>0</v>
      </c>
      <c r="BJ179" s="273">
        <f t="shared" si="147"/>
        <v>69</v>
      </c>
      <c r="BK179" s="167">
        <f t="shared" si="160"/>
        <v>69</v>
      </c>
      <c r="BL179" s="167"/>
      <c r="BM179" s="644"/>
      <c r="BN179" s="644"/>
      <c r="BO179" s="644"/>
      <c r="BP179" s="644"/>
      <c r="BQ179" s="644"/>
      <c r="BR179" s="644"/>
      <c r="BS179" s="644"/>
      <c r="BT179" s="644"/>
      <c r="BU179" s="644"/>
      <c r="BV179" s="644"/>
      <c r="BW179" s="644"/>
      <c r="BX179" s="644"/>
      <c r="BY179" s="644"/>
      <c r="BZ179" s="644"/>
      <c r="CA179" s="644"/>
      <c r="CB179" s="644"/>
      <c r="CC179" s="644"/>
      <c r="CD179" s="644"/>
      <c r="CE179" s="644"/>
      <c r="CF179" s="644"/>
      <c r="CG179" s="644"/>
      <c r="CH179" s="644"/>
      <c r="CI179" s="644"/>
      <c r="CJ179" s="301" t="s">
        <v>787</v>
      </c>
      <c r="CK179" s="324"/>
      <c r="CL179" s="325"/>
    </row>
    <row r="180" spans="1:90">
      <c r="A180" s="181" t="s">
        <v>320</v>
      </c>
      <c r="B180" s="182"/>
      <c r="C180" s="183"/>
      <c r="D180" s="184">
        <v>1</v>
      </c>
      <c r="E180" s="314">
        <v>1</v>
      </c>
      <c r="F180" s="314"/>
      <c r="G180" s="314">
        <v>1</v>
      </c>
      <c r="H180" s="182"/>
      <c r="I180" s="182"/>
      <c r="J180" s="182"/>
      <c r="K180" s="182"/>
      <c r="L180" s="182">
        <v>1</v>
      </c>
      <c r="M180" s="182"/>
      <c r="N180" s="182"/>
      <c r="O180" s="182"/>
      <c r="P180" s="182"/>
      <c r="Q180" s="182"/>
      <c r="R180" s="182"/>
      <c r="S180" s="182"/>
      <c r="T180" s="182"/>
      <c r="U180" s="182"/>
      <c r="V180" s="302">
        <v>1</v>
      </c>
      <c r="W180" s="302">
        <v>1</v>
      </c>
      <c r="X180" s="182">
        <v>1</v>
      </c>
      <c r="Y180" s="182">
        <v>1</v>
      </c>
      <c r="Z180" s="182"/>
      <c r="AA180" s="320"/>
      <c r="AB180" s="182"/>
      <c r="AC180" s="182"/>
      <c r="AD180" s="182">
        <v>1</v>
      </c>
      <c r="AE180" s="182"/>
      <c r="AF180" s="302">
        <v>1</v>
      </c>
      <c r="AG180" s="182"/>
      <c r="AH180" s="167">
        <v>10</v>
      </c>
      <c r="AI180" s="328" t="s">
        <v>113</v>
      </c>
      <c r="AJ180" s="186">
        <v>42353</v>
      </c>
      <c r="AK180" s="187"/>
      <c r="AL180" s="187">
        <f t="shared" si="123"/>
        <v>0</v>
      </c>
      <c r="AM180" s="187">
        <f t="shared" si="124"/>
        <v>13</v>
      </c>
      <c r="AN180" s="187">
        <f t="shared" si="125"/>
        <v>8</v>
      </c>
      <c r="AO180" s="187">
        <f t="shared" si="126"/>
        <v>8</v>
      </c>
      <c r="AP180" s="187">
        <f t="shared" si="127"/>
        <v>0</v>
      </c>
      <c r="AQ180" s="187">
        <f t="shared" si="128"/>
        <v>0</v>
      </c>
      <c r="AR180" s="187">
        <f t="shared" si="129"/>
        <v>0</v>
      </c>
      <c r="AS180" s="187">
        <f t="shared" si="130"/>
        <v>19</v>
      </c>
      <c r="AT180" s="187">
        <f t="shared" si="131"/>
        <v>0</v>
      </c>
      <c r="AU180" s="187">
        <f t="shared" si="132"/>
        <v>0</v>
      </c>
      <c r="AV180" s="187">
        <f t="shared" si="133"/>
        <v>0</v>
      </c>
      <c r="AW180" s="187">
        <f t="shared" si="134"/>
        <v>0</v>
      </c>
      <c r="AX180" s="187">
        <f t="shared" si="135"/>
        <v>0</v>
      </c>
      <c r="AY180" s="187">
        <f t="shared" si="136"/>
        <v>0</v>
      </c>
      <c r="AZ180" s="187">
        <f t="shared" si="137"/>
        <v>8</v>
      </c>
      <c r="BA180" s="187">
        <f t="shared" si="138"/>
        <v>16</v>
      </c>
      <c r="BB180" s="187">
        <f t="shared" si="139"/>
        <v>13</v>
      </c>
      <c r="BC180" s="187">
        <f t="shared" si="140"/>
        <v>10</v>
      </c>
      <c r="BD180" s="187">
        <f t="shared" si="141"/>
        <v>0</v>
      </c>
      <c r="BE180" s="187">
        <f t="shared" si="142"/>
        <v>0</v>
      </c>
      <c r="BF180" s="187">
        <f t="shared" si="143"/>
        <v>0</v>
      </c>
      <c r="BG180" s="187">
        <f t="shared" si="144"/>
        <v>8</v>
      </c>
      <c r="BH180" s="187">
        <f t="shared" si="145"/>
        <v>0</v>
      </c>
      <c r="BI180" s="187">
        <f t="shared" si="146"/>
        <v>3</v>
      </c>
      <c r="BJ180" s="273">
        <f t="shared" si="147"/>
        <v>95</v>
      </c>
      <c r="BK180" s="167">
        <f t="shared" si="38"/>
        <v>95</v>
      </c>
      <c r="BL180" s="167"/>
      <c r="BM180" s="644"/>
      <c r="BN180" s="644"/>
      <c r="BO180" s="644"/>
      <c r="BP180" s="644"/>
      <c r="BQ180" s="644"/>
      <c r="BR180" s="644"/>
      <c r="BS180" s="644"/>
      <c r="BT180" s="644"/>
      <c r="BU180" s="644"/>
      <c r="BV180" s="644"/>
      <c r="BW180" s="644"/>
      <c r="BX180" s="644"/>
      <c r="BY180" s="644"/>
      <c r="BZ180" s="644"/>
      <c r="CA180" s="644"/>
      <c r="CB180" s="644"/>
      <c r="CC180" s="644"/>
      <c r="CD180" s="644"/>
      <c r="CE180" s="644"/>
      <c r="CF180" s="644"/>
      <c r="CG180" s="644"/>
      <c r="CH180" s="644"/>
      <c r="CI180" s="644"/>
      <c r="CJ180" s="301" t="s">
        <v>821</v>
      </c>
      <c r="CK180" s="180"/>
      <c r="CL180" s="136"/>
    </row>
    <row r="181" spans="1:90">
      <c r="A181" s="331" t="s">
        <v>323</v>
      </c>
      <c r="B181" s="182"/>
      <c r="C181" s="183"/>
      <c r="D181" s="184">
        <v>1</v>
      </c>
      <c r="E181" s="184">
        <v>1</v>
      </c>
      <c r="F181" s="184"/>
      <c r="G181" s="184">
        <v>1</v>
      </c>
      <c r="H181" s="182"/>
      <c r="I181" s="182"/>
      <c r="J181" s="182"/>
      <c r="K181" s="182"/>
      <c r="L181" s="182">
        <v>1</v>
      </c>
      <c r="M181" s="182"/>
      <c r="N181" s="182"/>
      <c r="O181" s="182">
        <v>1</v>
      </c>
      <c r="P181" s="182"/>
      <c r="Q181" s="182">
        <v>1</v>
      </c>
      <c r="R181" s="182"/>
      <c r="S181" s="182"/>
      <c r="T181" s="182">
        <v>1</v>
      </c>
      <c r="U181" s="182"/>
      <c r="V181" s="182">
        <v>1</v>
      </c>
      <c r="W181" s="182">
        <v>1</v>
      </c>
      <c r="X181" s="182">
        <v>1</v>
      </c>
      <c r="Y181" s="182"/>
      <c r="Z181" s="182"/>
      <c r="AA181" s="182"/>
      <c r="AB181" s="182"/>
      <c r="AC181" s="182"/>
      <c r="AD181" s="182"/>
      <c r="AE181" s="182"/>
      <c r="AF181" s="182"/>
      <c r="AG181" s="182"/>
      <c r="AH181" s="167">
        <v>10</v>
      </c>
      <c r="AI181" s="300" t="s">
        <v>915</v>
      </c>
      <c r="AJ181" s="186">
        <v>42352</v>
      </c>
      <c r="AK181" s="187"/>
      <c r="AL181" s="187">
        <f t="shared" si="123"/>
        <v>0</v>
      </c>
      <c r="AM181" s="187">
        <f t="shared" si="124"/>
        <v>13</v>
      </c>
      <c r="AN181" s="187">
        <f t="shared" si="125"/>
        <v>8</v>
      </c>
      <c r="AO181" s="187">
        <f t="shared" si="126"/>
        <v>8</v>
      </c>
      <c r="AP181" s="187">
        <f t="shared" si="127"/>
        <v>0</v>
      </c>
      <c r="AQ181" s="187">
        <f t="shared" si="128"/>
        <v>0</v>
      </c>
      <c r="AR181" s="187">
        <f t="shared" si="129"/>
        <v>0</v>
      </c>
      <c r="AS181" s="187">
        <f t="shared" si="130"/>
        <v>19</v>
      </c>
      <c r="AT181" s="187">
        <f t="shared" si="131"/>
        <v>13</v>
      </c>
      <c r="AU181" s="187">
        <f t="shared" si="132"/>
        <v>0</v>
      </c>
      <c r="AV181" s="187">
        <f t="shared" si="133"/>
        <v>3</v>
      </c>
      <c r="AW181" s="187">
        <f t="shared" si="134"/>
        <v>0</v>
      </c>
      <c r="AX181" s="187">
        <f t="shared" si="135"/>
        <v>4</v>
      </c>
      <c r="AY181" s="187">
        <f t="shared" si="136"/>
        <v>0</v>
      </c>
      <c r="AZ181" s="187">
        <f t="shared" si="137"/>
        <v>8</v>
      </c>
      <c r="BA181" s="187">
        <f t="shared" si="138"/>
        <v>16</v>
      </c>
      <c r="BB181" s="187">
        <f t="shared" si="139"/>
        <v>13</v>
      </c>
      <c r="BC181" s="187">
        <f t="shared" si="140"/>
        <v>0</v>
      </c>
      <c r="BD181" s="187">
        <f t="shared" si="141"/>
        <v>0</v>
      </c>
      <c r="BE181" s="187">
        <f t="shared" si="142"/>
        <v>0</v>
      </c>
      <c r="BF181" s="187">
        <f t="shared" si="143"/>
        <v>0</v>
      </c>
      <c r="BG181" s="187">
        <f t="shared" si="144"/>
        <v>0</v>
      </c>
      <c r="BH181" s="187">
        <f t="shared" si="145"/>
        <v>0</v>
      </c>
      <c r="BI181" s="187">
        <f t="shared" si="146"/>
        <v>0</v>
      </c>
      <c r="BJ181" s="273">
        <f t="shared" si="147"/>
        <v>98</v>
      </c>
      <c r="BK181" s="167">
        <f t="shared" si="38"/>
        <v>98</v>
      </c>
      <c r="BL181" s="167"/>
      <c r="BM181" s="644"/>
      <c r="BN181" s="644"/>
      <c r="BO181" s="644"/>
      <c r="BP181" s="644"/>
      <c r="BQ181" s="644"/>
      <c r="BR181" s="644"/>
      <c r="BS181" s="644"/>
      <c r="BT181" s="644"/>
      <c r="BU181" s="644"/>
      <c r="BV181" s="644"/>
      <c r="BW181" s="644"/>
      <c r="BX181" s="644"/>
      <c r="BY181" s="644"/>
      <c r="BZ181" s="644"/>
      <c r="CA181" s="644"/>
      <c r="CB181" s="644"/>
      <c r="CC181" s="644"/>
      <c r="CD181" s="644"/>
      <c r="CE181" s="644"/>
      <c r="CF181" s="644"/>
      <c r="CG181" s="644"/>
      <c r="CH181" s="644"/>
      <c r="CI181" s="644"/>
      <c r="CJ181" s="301" t="s">
        <v>756</v>
      </c>
      <c r="CK181" s="180"/>
      <c r="CL181" s="136"/>
    </row>
    <row r="182" spans="1:90" s="344" customFormat="1">
      <c r="A182" s="335" t="s">
        <v>325</v>
      </c>
      <c r="B182" s="182"/>
      <c r="C182" s="182"/>
      <c r="D182" s="182">
        <v>1</v>
      </c>
      <c r="E182" s="182">
        <v>1</v>
      </c>
      <c r="F182" s="182"/>
      <c r="G182" s="182">
        <v>1</v>
      </c>
      <c r="H182" s="182"/>
      <c r="I182" s="182"/>
      <c r="J182" s="182"/>
      <c r="K182" s="182"/>
      <c r="L182" s="182">
        <v>1</v>
      </c>
      <c r="M182" s="182"/>
      <c r="N182" s="182"/>
      <c r="O182" s="182"/>
      <c r="P182" s="182"/>
      <c r="Q182" s="182"/>
      <c r="R182" s="182"/>
      <c r="S182" s="302">
        <v>1</v>
      </c>
      <c r="T182" s="182"/>
      <c r="U182" s="182"/>
      <c r="V182" s="182">
        <v>1</v>
      </c>
      <c r="W182" s="182">
        <v>1</v>
      </c>
      <c r="X182" s="302">
        <v>1</v>
      </c>
      <c r="Y182" s="182">
        <v>1</v>
      </c>
      <c r="Z182" s="182"/>
      <c r="AA182" s="182"/>
      <c r="AB182" s="182"/>
      <c r="AC182" s="182"/>
      <c r="AD182" s="182"/>
      <c r="AE182" s="182">
        <v>1</v>
      </c>
      <c r="AF182" s="182"/>
      <c r="AG182" s="182"/>
      <c r="AH182" s="339">
        <v>10</v>
      </c>
      <c r="AI182" s="351" t="s">
        <v>916</v>
      </c>
      <c r="AJ182" s="341">
        <v>42361</v>
      </c>
      <c r="AK182" s="187"/>
      <c r="AL182" s="187">
        <f t="shared" si="123"/>
        <v>0</v>
      </c>
      <c r="AM182" s="187">
        <f t="shared" si="124"/>
        <v>13</v>
      </c>
      <c r="AN182" s="187">
        <f t="shared" si="125"/>
        <v>8</v>
      </c>
      <c r="AO182" s="187">
        <f t="shared" si="126"/>
        <v>8</v>
      </c>
      <c r="AP182" s="187">
        <f t="shared" si="127"/>
        <v>0</v>
      </c>
      <c r="AQ182" s="187">
        <f t="shared" si="128"/>
        <v>0</v>
      </c>
      <c r="AR182" s="187">
        <f t="shared" si="129"/>
        <v>0</v>
      </c>
      <c r="AS182" s="187">
        <f t="shared" si="130"/>
        <v>19</v>
      </c>
      <c r="AT182" s="187">
        <f t="shared" si="131"/>
        <v>0</v>
      </c>
      <c r="AU182" s="187">
        <f t="shared" si="132"/>
        <v>0</v>
      </c>
      <c r="AV182" s="187">
        <f t="shared" si="133"/>
        <v>0</v>
      </c>
      <c r="AW182" s="187">
        <f t="shared" si="134"/>
        <v>8</v>
      </c>
      <c r="AX182" s="187">
        <f t="shared" si="135"/>
        <v>0</v>
      </c>
      <c r="AY182" s="187">
        <f t="shared" si="136"/>
        <v>0</v>
      </c>
      <c r="AZ182" s="187">
        <f t="shared" si="137"/>
        <v>8</v>
      </c>
      <c r="BA182" s="187">
        <f t="shared" si="138"/>
        <v>16</v>
      </c>
      <c r="BB182" s="187">
        <f t="shared" si="139"/>
        <v>13</v>
      </c>
      <c r="BC182" s="187">
        <f t="shared" si="140"/>
        <v>10</v>
      </c>
      <c r="BD182" s="187">
        <f t="shared" si="141"/>
        <v>0</v>
      </c>
      <c r="BE182" s="187">
        <f t="shared" si="142"/>
        <v>0</v>
      </c>
      <c r="BF182" s="187">
        <f t="shared" si="143"/>
        <v>0</v>
      </c>
      <c r="BG182" s="187">
        <f t="shared" si="144"/>
        <v>0</v>
      </c>
      <c r="BH182" s="187">
        <f t="shared" si="145"/>
        <v>2</v>
      </c>
      <c r="BI182" s="187">
        <f t="shared" si="146"/>
        <v>0</v>
      </c>
      <c r="BJ182" s="273">
        <f t="shared" si="147"/>
        <v>95</v>
      </c>
      <c r="BK182" s="167">
        <f t="shared" si="38"/>
        <v>95</v>
      </c>
      <c r="BL182" s="339"/>
      <c r="BM182" s="182"/>
      <c r="BN182" s="182"/>
      <c r="BO182" s="182"/>
      <c r="BP182" s="182"/>
      <c r="BQ182" s="182"/>
      <c r="BR182" s="182"/>
      <c r="BS182" s="182"/>
      <c r="BT182" s="182"/>
      <c r="BU182" s="182"/>
      <c r="BV182" s="182"/>
      <c r="BW182" s="182"/>
      <c r="BX182" s="182"/>
      <c r="BY182" s="182"/>
      <c r="BZ182" s="182"/>
      <c r="CA182" s="182"/>
      <c r="CB182" s="182"/>
      <c r="CC182" s="182"/>
      <c r="CD182" s="182"/>
      <c r="CE182" s="182"/>
      <c r="CF182" s="182"/>
      <c r="CG182" s="182"/>
      <c r="CH182" s="182"/>
      <c r="CI182" s="182"/>
      <c r="CJ182" s="635" t="s">
        <v>756</v>
      </c>
      <c r="CK182" s="342"/>
      <c r="CL182" s="343"/>
    </row>
    <row r="183" spans="1:90" s="344" customFormat="1">
      <c r="A183" s="335" t="s">
        <v>326</v>
      </c>
      <c r="B183" s="182"/>
      <c r="C183" s="182"/>
      <c r="D183" s="182">
        <v>1</v>
      </c>
      <c r="E183" s="182">
        <v>1</v>
      </c>
      <c r="F183" s="182"/>
      <c r="G183" s="182">
        <v>1</v>
      </c>
      <c r="H183" s="182"/>
      <c r="I183" s="182"/>
      <c r="J183" s="182"/>
      <c r="K183" s="182"/>
      <c r="L183" s="182">
        <v>1</v>
      </c>
      <c r="M183" s="182"/>
      <c r="N183" s="182"/>
      <c r="O183" s="182"/>
      <c r="P183" s="182"/>
      <c r="Q183" s="182"/>
      <c r="R183" s="182"/>
      <c r="S183" s="302">
        <v>1</v>
      </c>
      <c r="T183" s="182"/>
      <c r="U183" s="182"/>
      <c r="V183" s="182">
        <v>1</v>
      </c>
      <c r="W183" s="182">
        <v>1</v>
      </c>
      <c r="X183" s="182">
        <v>1</v>
      </c>
      <c r="Y183" s="182">
        <v>1</v>
      </c>
      <c r="Z183" s="182"/>
      <c r="AA183" s="182"/>
      <c r="AB183" s="182"/>
      <c r="AC183" s="182"/>
      <c r="AD183" s="302">
        <v>1</v>
      </c>
      <c r="AE183" s="182"/>
      <c r="AF183" s="182"/>
      <c r="AG183" s="182"/>
      <c r="AH183" s="339">
        <v>10</v>
      </c>
      <c r="AI183" s="351" t="s">
        <v>917</v>
      </c>
      <c r="AJ183" s="341">
        <v>42375</v>
      </c>
      <c r="AK183" s="187"/>
      <c r="AL183" s="187">
        <f t="shared" si="123"/>
        <v>0</v>
      </c>
      <c r="AM183" s="187">
        <f t="shared" si="124"/>
        <v>13</v>
      </c>
      <c r="AN183" s="187">
        <f t="shared" si="125"/>
        <v>8</v>
      </c>
      <c r="AO183" s="187">
        <f t="shared" si="126"/>
        <v>8</v>
      </c>
      <c r="AP183" s="187">
        <f t="shared" si="127"/>
        <v>0</v>
      </c>
      <c r="AQ183" s="187">
        <f t="shared" si="128"/>
        <v>0</v>
      </c>
      <c r="AR183" s="187">
        <f t="shared" si="129"/>
        <v>0</v>
      </c>
      <c r="AS183" s="187">
        <f t="shared" si="130"/>
        <v>19</v>
      </c>
      <c r="AT183" s="187">
        <f t="shared" si="131"/>
        <v>0</v>
      </c>
      <c r="AU183" s="187">
        <f t="shared" si="132"/>
        <v>0</v>
      </c>
      <c r="AV183" s="187">
        <f t="shared" si="133"/>
        <v>0</v>
      </c>
      <c r="AW183" s="187">
        <f t="shared" si="134"/>
        <v>8</v>
      </c>
      <c r="AX183" s="187">
        <f t="shared" si="135"/>
        <v>0</v>
      </c>
      <c r="AY183" s="187">
        <f t="shared" si="136"/>
        <v>0</v>
      </c>
      <c r="AZ183" s="187">
        <f t="shared" si="137"/>
        <v>8</v>
      </c>
      <c r="BA183" s="187">
        <f t="shared" si="138"/>
        <v>16</v>
      </c>
      <c r="BB183" s="187">
        <f t="shared" si="139"/>
        <v>13</v>
      </c>
      <c r="BC183" s="187">
        <f t="shared" si="140"/>
        <v>10</v>
      </c>
      <c r="BD183" s="187">
        <f t="shared" si="141"/>
        <v>0</v>
      </c>
      <c r="BE183" s="187">
        <f t="shared" si="142"/>
        <v>0</v>
      </c>
      <c r="BF183" s="187">
        <f t="shared" si="143"/>
        <v>0</v>
      </c>
      <c r="BG183" s="187">
        <f t="shared" si="144"/>
        <v>8</v>
      </c>
      <c r="BH183" s="187">
        <f t="shared" si="145"/>
        <v>0</v>
      </c>
      <c r="BI183" s="187">
        <f t="shared" si="146"/>
        <v>0</v>
      </c>
      <c r="BJ183" s="273">
        <f t="shared" si="147"/>
        <v>95</v>
      </c>
      <c r="BK183" s="167">
        <f t="shared" si="38"/>
        <v>95</v>
      </c>
      <c r="BL183" s="339"/>
      <c r="BM183" s="182"/>
      <c r="BN183" s="182"/>
      <c r="BO183" s="182"/>
      <c r="BP183" s="182"/>
      <c r="BQ183" s="182"/>
      <c r="BR183" s="182"/>
      <c r="BS183" s="182"/>
      <c r="BT183" s="182"/>
      <c r="BU183" s="182"/>
      <c r="BV183" s="182"/>
      <c r="BW183" s="182"/>
      <c r="BX183" s="182"/>
      <c r="BY183" s="182"/>
      <c r="BZ183" s="182"/>
      <c r="CA183" s="182"/>
      <c r="CB183" s="182"/>
      <c r="CC183" s="182"/>
      <c r="CD183" s="182"/>
      <c r="CE183" s="182"/>
      <c r="CF183" s="182"/>
      <c r="CG183" s="182"/>
      <c r="CH183" s="182"/>
      <c r="CI183" s="182"/>
      <c r="CJ183" s="635" t="s">
        <v>756</v>
      </c>
      <c r="CK183" s="342"/>
      <c r="CL183" s="343"/>
    </row>
    <row r="184" spans="1:90" s="344" customFormat="1">
      <c r="A184" s="335" t="s">
        <v>327</v>
      </c>
      <c r="B184" s="182"/>
      <c r="C184" s="183"/>
      <c r="D184" s="184">
        <v>1</v>
      </c>
      <c r="E184" s="314">
        <v>1</v>
      </c>
      <c r="F184" s="314"/>
      <c r="G184" s="314">
        <v>1</v>
      </c>
      <c r="H184" s="182"/>
      <c r="I184" s="182"/>
      <c r="J184" s="182"/>
      <c r="K184" s="182"/>
      <c r="L184" s="182">
        <v>1</v>
      </c>
      <c r="M184" s="182"/>
      <c r="N184" s="182"/>
      <c r="O184" s="182"/>
      <c r="P184" s="182"/>
      <c r="Q184" s="182"/>
      <c r="R184" s="182"/>
      <c r="S184" s="182">
        <v>1</v>
      </c>
      <c r="T184" s="182"/>
      <c r="U184" s="302">
        <v>1</v>
      </c>
      <c r="V184" s="182">
        <v>1</v>
      </c>
      <c r="W184" s="182">
        <v>1</v>
      </c>
      <c r="X184" s="182">
        <v>1</v>
      </c>
      <c r="Y184" s="182">
        <v>1</v>
      </c>
      <c r="Z184" s="182"/>
      <c r="AA184" s="182"/>
      <c r="AB184" s="182"/>
      <c r="AC184" s="182"/>
      <c r="AD184" s="182"/>
      <c r="AE184" s="182"/>
      <c r="AF184" s="182"/>
      <c r="AG184" s="182"/>
      <c r="AH184" s="339">
        <v>10</v>
      </c>
      <c r="AI184" s="340" t="s">
        <v>918</v>
      </c>
      <c r="AJ184" s="341">
        <v>42369</v>
      </c>
      <c r="AK184" s="187"/>
      <c r="AL184" s="187">
        <f t="shared" si="123"/>
        <v>0</v>
      </c>
      <c r="AM184" s="187">
        <f t="shared" si="124"/>
        <v>13</v>
      </c>
      <c r="AN184" s="187">
        <f t="shared" si="125"/>
        <v>8</v>
      </c>
      <c r="AO184" s="187">
        <f t="shared" si="126"/>
        <v>8</v>
      </c>
      <c r="AP184" s="187">
        <f t="shared" si="127"/>
        <v>0</v>
      </c>
      <c r="AQ184" s="187">
        <f t="shared" si="128"/>
        <v>0</v>
      </c>
      <c r="AR184" s="187">
        <f t="shared" si="129"/>
        <v>0</v>
      </c>
      <c r="AS184" s="187">
        <f t="shared" si="130"/>
        <v>19</v>
      </c>
      <c r="AT184" s="187">
        <f t="shared" si="131"/>
        <v>0</v>
      </c>
      <c r="AU184" s="187">
        <f t="shared" si="132"/>
        <v>0</v>
      </c>
      <c r="AV184" s="187">
        <f t="shared" si="133"/>
        <v>0</v>
      </c>
      <c r="AW184" s="187">
        <f t="shared" si="134"/>
        <v>8</v>
      </c>
      <c r="AX184" s="187">
        <f t="shared" si="135"/>
        <v>0</v>
      </c>
      <c r="AY184" s="187">
        <f t="shared" si="136"/>
        <v>2</v>
      </c>
      <c r="AZ184" s="187">
        <f t="shared" si="137"/>
        <v>8</v>
      </c>
      <c r="BA184" s="187">
        <f t="shared" si="138"/>
        <v>16</v>
      </c>
      <c r="BB184" s="187">
        <f t="shared" si="139"/>
        <v>13</v>
      </c>
      <c r="BC184" s="187">
        <f t="shared" si="140"/>
        <v>10</v>
      </c>
      <c r="BD184" s="187">
        <f t="shared" si="141"/>
        <v>0</v>
      </c>
      <c r="BE184" s="187">
        <f t="shared" si="142"/>
        <v>0</v>
      </c>
      <c r="BF184" s="187">
        <f t="shared" si="143"/>
        <v>0</v>
      </c>
      <c r="BG184" s="187">
        <f t="shared" si="144"/>
        <v>0</v>
      </c>
      <c r="BH184" s="187">
        <f t="shared" si="145"/>
        <v>0</v>
      </c>
      <c r="BI184" s="187">
        <f t="shared" si="146"/>
        <v>0</v>
      </c>
      <c r="BJ184" s="273">
        <f t="shared" si="147"/>
        <v>95</v>
      </c>
      <c r="BK184" s="167">
        <f t="shared" ref="BK184" si="161">BJ184</f>
        <v>95</v>
      </c>
      <c r="BL184" s="167"/>
      <c r="BM184" s="644"/>
      <c r="BN184" s="644"/>
      <c r="BO184" s="644"/>
      <c r="BP184" s="644"/>
      <c r="BQ184" s="644"/>
      <c r="BR184" s="644"/>
      <c r="BS184" s="644"/>
      <c r="BT184" s="644"/>
      <c r="BU184" s="644"/>
      <c r="BV184" s="644"/>
      <c r="BW184" s="644"/>
      <c r="BX184" s="644"/>
      <c r="BY184" s="644"/>
      <c r="BZ184" s="644"/>
      <c r="CA184" s="644"/>
      <c r="CB184" s="644"/>
      <c r="CC184" s="644"/>
      <c r="CD184" s="644"/>
      <c r="CE184" s="644"/>
      <c r="CF184" s="644"/>
      <c r="CG184" s="644"/>
      <c r="CH184" s="644"/>
      <c r="CI184" s="644"/>
      <c r="CJ184" s="301" t="s">
        <v>750</v>
      </c>
      <c r="CK184" s="342"/>
      <c r="CL184" s="343"/>
    </row>
    <row r="185" spans="1:90" s="344" customFormat="1">
      <c r="A185" s="335" t="s">
        <v>331</v>
      </c>
      <c r="B185" s="182"/>
      <c r="C185" s="183"/>
      <c r="D185" s="184"/>
      <c r="E185" s="184">
        <v>1</v>
      </c>
      <c r="F185" s="184"/>
      <c r="G185" s="184">
        <v>1</v>
      </c>
      <c r="H185" s="182"/>
      <c r="I185" s="182"/>
      <c r="J185" s="182"/>
      <c r="K185" s="182"/>
      <c r="L185" s="182">
        <v>1</v>
      </c>
      <c r="M185" s="182"/>
      <c r="N185" s="182"/>
      <c r="O185" s="182"/>
      <c r="P185" s="182"/>
      <c r="Q185" s="182"/>
      <c r="R185" s="182"/>
      <c r="S185" s="182"/>
      <c r="T185" s="182"/>
      <c r="U185" s="182"/>
      <c r="V185" s="182"/>
      <c r="W185" s="182">
        <v>1</v>
      </c>
      <c r="X185" s="182"/>
      <c r="Y185" s="182"/>
      <c r="Z185" s="182"/>
      <c r="AA185" s="182"/>
      <c r="AB185" s="182"/>
      <c r="AC185" s="182"/>
      <c r="AD185" s="182"/>
      <c r="AE185" s="182"/>
      <c r="AF185" s="182"/>
      <c r="AG185" s="182"/>
      <c r="AH185" s="339">
        <v>4</v>
      </c>
      <c r="AI185" s="340" t="s">
        <v>919</v>
      </c>
      <c r="AJ185" s="341">
        <v>42374</v>
      </c>
      <c r="AK185" s="187"/>
      <c r="AL185" s="187">
        <f t="shared" si="123"/>
        <v>0</v>
      </c>
      <c r="AM185" s="187">
        <f t="shared" si="124"/>
        <v>0</v>
      </c>
      <c r="AN185" s="187">
        <f t="shared" si="125"/>
        <v>8</v>
      </c>
      <c r="AO185" s="187">
        <f t="shared" si="126"/>
        <v>8</v>
      </c>
      <c r="AP185" s="187">
        <f t="shared" si="127"/>
        <v>0</v>
      </c>
      <c r="AQ185" s="187">
        <f t="shared" si="128"/>
        <v>0</v>
      </c>
      <c r="AR185" s="187">
        <f t="shared" si="129"/>
        <v>0</v>
      </c>
      <c r="AS185" s="187">
        <f t="shared" si="130"/>
        <v>19</v>
      </c>
      <c r="AT185" s="187">
        <f t="shared" si="131"/>
        <v>0</v>
      </c>
      <c r="AU185" s="187">
        <f t="shared" si="132"/>
        <v>0</v>
      </c>
      <c r="AV185" s="187">
        <f t="shared" si="133"/>
        <v>0</v>
      </c>
      <c r="AW185" s="187">
        <f t="shared" si="134"/>
        <v>0</v>
      </c>
      <c r="AX185" s="187">
        <f t="shared" si="135"/>
        <v>0</v>
      </c>
      <c r="AY185" s="187">
        <f t="shared" si="136"/>
        <v>0</v>
      </c>
      <c r="AZ185" s="187">
        <f t="shared" si="137"/>
        <v>0</v>
      </c>
      <c r="BA185" s="187">
        <f t="shared" si="138"/>
        <v>16</v>
      </c>
      <c r="BB185" s="187">
        <f t="shared" si="139"/>
        <v>0</v>
      </c>
      <c r="BC185" s="187">
        <f t="shared" si="140"/>
        <v>0</v>
      </c>
      <c r="BD185" s="187">
        <f t="shared" si="141"/>
        <v>0</v>
      </c>
      <c r="BE185" s="187">
        <f t="shared" si="142"/>
        <v>0</v>
      </c>
      <c r="BF185" s="187">
        <f t="shared" si="143"/>
        <v>0</v>
      </c>
      <c r="BG185" s="187">
        <f t="shared" si="144"/>
        <v>0</v>
      </c>
      <c r="BH185" s="187">
        <f t="shared" si="145"/>
        <v>0</v>
      </c>
      <c r="BI185" s="187">
        <f t="shared" si="146"/>
        <v>0</v>
      </c>
      <c r="BJ185" s="273">
        <f t="shared" si="147"/>
        <v>51</v>
      </c>
      <c r="BK185" s="167">
        <f t="shared" ref="BK185" si="162">BJ185</f>
        <v>51</v>
      </c>
      <c r="BL185" s="167"/>
      <c r="BM185" s="644"/>
      <c r="BN185" s="644"/>
      <c r="BO185" s="644"/>
      <c r="BP185" s="644"/>
      <c r="BQ185" s="644"/>
      <c r="BR185" s="644"/>
      <c r="BS185" s="644"/>
      <c r="BT185" s="644"/>
      <c r="BU185" s="644"/>
      <c r="BV185" s="644"/>
      <c r="BW185" s="644"/>
      <c r="BX185" s="644"/>
      <c r="BY185" s="644"/>
      <c r="BZ185" s="644"/>
      <c r="CA185" s="644"/>
      <c r="CB185" s="644"/>
      <c r="CC185" s="644"/>
      <c r="CD185" s="644"/>
      <c r="CE185" s="644"/>
      <c r="CF185" s="644"/>
      <c r="CG185" s="644"/>
      <c r="CH185" s="644"/>
      <c r="CI185" s="644"/>
      <c r="CJ185" s="301" t="s">
        <v>756</v>
      </c>
      <c r="CK185" s="342"/>
      <c r="CL185" s="343"/>
    </row>
    <row r="186" spans="1:90" s="344" customFormat="1">
      <c r="A186" s="335" t="s">
        <v>333</v>
      </c>
      <c r="B186" s="182"/>
      <c r="C186" s="183"/>
      <c r="D186" s="184">
        <v>1</v>
      </c>
      <c r="E186" s="184"/>
      <c r="F186" s="184"/>
      <c r="G186" s="184"/>
      <c r="H186" s="182"/>
      <c r="I186" s="182"/>
      <c r="J186" s="182"/>
      <c r="K186" s="182"/>
      <c r="L186" s="182">
        <v>1</v>
      </c>
      <c r="M186" s="182"/>
      <c r="N186" s="182"/>
      <c r="O186" s="182">
        <v>1</v>
      </c>
      <c r="P186" s="182"/>
      <c r="Q186" s="182"/>
      <c r="R186" s="182"/>
      <c r="S186" s="182"/>
      <c r="T186" s="182"/>
      <c r="U186" s="182"/>
      <c r="V186" s="182"/>
      <c r="W186" s="182">
        <v>1</v>
      </c>
      <c r="X186" s="182">
        <v>1</v>
      </c>
      <c r="Y186" s="182"/>
      <c r="Z186" s="182"/>
      <c r="AA186" s="182">
        <v>1</v>
      </c>
      <c r="AB186" s="182"/>
      <c r="AC186" s="182"/>
      <c r="AD186" s="182"/>
      <c r="AE186" s="182"/>
      <c r="AF186" s="182"/>
      <c r="AG186" s="182"/>
      <c r="AH186" s="339">
        <v>6</v>
      </c>
      <c r="AI186" s="340" t="s">
        <v>920</v>
      </c>
      <c r="AJ186" s="341">
        <v>42375</v>
      </c>
      <c r="AK186" s="187"/>
      <c r="AL186" s="187">
        <f t="shared" si="123"/>
        <v>0</v>
      </c>
      <c r="AM186" s="187">
        <f t="shared" si="124"/>
        <v>13</v>
      </c>
      <c r="AN186" s="187">
        <f t="shared" si="125"/>
        <v>0</v>
      </c>
      <c r="AO186" s="187">
        <f t="shared" si="126"/>
        <v>0</v>
      </c>
      <c r="AP186" s="187">
        <f t="shared" si="127"/>
        <v>0</v>
      </c>
      <c r="AQ186" s="187">
        <f t="shared" si="128"/>
        <v>0</v>
      </c>
      <c r="AR186" s="187">
        <f t="shared" si="129"/>
        <v>0</v>
      </c>
      <c r="AS186" s="187">
        <f t="shared" si="130"/>
        <v>19</v>
      </c>
      <c r="AT186" s="187">
        <f t="shared" si="131"/>
        <v>13</v>
      </c>
      <c r="AU186" s="187">
        <f t="shared" si="132"/>
        <v>0</v>
      </c>
      <c r="AV186" s="187">
        <f t="shared" si="133"/>
        <v>0</v>
      </c>
      <c r="AW186" s="187">
        <f t="shared" si="134"/>
        <v>0</v>
      </c>
      <c r="AX186" s="187">
        <f t="shared" si="135"/>
        <v>0</v>
      </c>
      <c r="AY186" s="187">
        <f t="shared" si="136"/>
        <v>0</v>
      </c>
      <c r="AZ186" s="187">
        <f t="shared" si="137"/>
        <v>0</v>
      </c>
      <c r="BA186" s="187">
        <f t="shared" si="138"/>
        <v>16</v>
      </c>
      <c r="BB186" s="187">
        <f t="shared" si="139"/>
        <v>13</v>
      </c>
      <c r="BC186" s="187">
        <f t="shared" si="140"/>
        <v>0</v>
      </c>
      <c r="BD186" s="187">
        <f t="shared" si="141"/>
        <v>0</v>
      </c>
      <c r="BE186" s="187">
        <f t="shared" si="142"/>
        <v>6</v>
      </c>
      <c r="BF186" s="187">
        <f t="shared" si="143"/>
        <v>0</v>
      </c>
      <c r="BG186" s="187">
        <f t="shared" si="144"/>
        <v>0</v>
      </c>
      <c r="BH186" s="187">
        <f t="shared" si="145"/>
        <v>0</v>
      </c>
      <c r="BI186" s="187">
        <f t="shared" si="146"/>
        <v>0</v>
      </c>
      <c r="BJ186" s="273">
        <f t="shared" si="147"/>
        <v>80</v>
      </c>
      <c r="BK186" s="167">
        <f t="shared" ref="BK186:BK187" si="163">BJ186</f>
        <v>80</v>
      </c>
      <c r="BL186" s="167"/>
      <c r="BM186" s="644"/>
      <c r="BN186" s="644"/>
      <c r="BO186" s="644"/>
      <c r="BP186" s="644"/>
      <c r="BQ186" s="644"/>
      <c r="BR186" s="644"/>
      <c r="BS186" s="644"/>
      <c r="BT186" s="644"/>
      <c r="BU186" s="644"/>
      <c r="BV186" s="644"/>
      <c r="BW186" s="644"/>
      <c r="BX186" s="644"/>
      <c r="BY186" s="644"/>
      <c r="BZ186" s="644"/>
      <c r="CA186" s="644"/>
      <c r="CB186" s="644"/>
      <c r="CC186" s="644"/>
      <c r="CD186" s="644"/>
      <c r="CE186" s="644"/>
      <c r="CF186" s="644"/>
      <c r="CG186" s="644"/>
      <c r="CH186" s="644"/>
      <c r="CI186" s="644"/>
      <c r="CJ186" s="301" t="s">
        <v>756</v>
      </c>
      <c r="CK186" s="342"/>
      <c r="CL186" s="343"/>
    </row>
    <row r="187" spans="1:90" s="344" customFormat="1">
      <c r="A187" s="335" t="s">
        <v>336</v>
      </c>
      <c r="B187" s="182"/>
      <c r="C187" s="183"/>
      <c r="D187" s="184">
        <v>1</v>
      </c>
      <c r="E187" s="184"/>
      <c r="F187" s="184"/>
      <c r="G187" s="184"/>
      <c r="H187" s="182"/>
      <c r="I187" s="182"/>
      <c r="J187" s="182"/>
      <c r="K187" s="182"/>
      <c r="L187" s="182">
        <v>1</v>
      </c>
      <c r="M187" s="182"/>
      <c r="N187" s="182"/>
      <c r="O187" s="182">
        <v>1</v>
      </c>
      <c r="P187" s="182"/>
      <c r="Q187" s="182"/>
      <c r="R187" s="182"/>
      <c r="S187" s="182">
        <v>1</v>
      </c>
      <c r="T187" s="182"/>
      <c r="U187" s="182"/>
      <c r="V187" s="302">
        <v>1</v>
      </c>
      <c r="W187" s="182">
        <v>1</v>
      </c>
      <c r="X187" s="182">
        <v>1</v>
      </c>
      <c r="Y187" s="182">
        <v>1</v>
      </c>
      <c r="Z187" s="182"/>
      <c r="AA187" s="182"/>
      <c r="AB187" s="182"/>
      <c r="AC187" s="182"/>
      <c r="AD187" s="182">
        <v>1</v>
      </c>
      <c r="AE187" s="182"/>
      <c r="AF187" s="302">
        <v>1</v>
      </c>
      <c r="AG187" s="182"/>
      <c r="AH187" s="339">
        <v>10</v>
      </c>
      <c r="AI187" s="340" t="s">
        <v>921</v>
      </c>
      <c r="AJ187" s="341">
        <v>42375</v>
      </c>
      <c r="AK187" s="187"/>
      <c r="AL187" s="187">
        <f t="shared" si="123"/>
        <v>0</v>
      </c>
      <c r="AM187" s="187">
        <f t="shared" si="124"/>
        <v>13</v>
      </c>
      <c r="AN187" s="187">
        <f t="shared" si="125"/>
        <v>0</v>
      </c>
      <c r="AO187" s="187">
        <f t="shared" si="126"/>
        <v>0</v>
      </c>
      <c r="AP187" s="187">
        <f t="shared" si="127"/>
        <v>0</v>
      </c>
      <c r="AQ187" s="187">
        <f t="shared" si="128"/>
        <v>0</v>
      </c>
      <c r="AR187" s="187">
        <f t="shared" si="129"/>
        <v>0</v>
      </c>
      <c r="AS187" s="187">
        <f t="shared" si="130"/>
        <v>19</v>
      </c>
      <c r="AT187" s="187">
        <f t="shared" si="131"/>
        <v>13</v>
      </c>
      <c r="AU187" s="187">
        <f t="shared" si="132"/>
        <v>0</v>
      </c>
      <c r="AV187" s="187">
        <f t="shared" si="133"/>
        <v>0</v>
      </c>
      <c r="AW187" s="187">
        <f t="shared" si="134"/>
        <v>8</v>
      </c>
      <c r="AX187" s="187">
        <f t="shared" si="135"/>
        <v>0</v>
      </c>
      <c r="AY187" s="187">
        <f t="shared" si="136"/>
        <v>0</v>
      </c>
      <c r="AZ187" s="187">
        <f t="shared" si="137"/>
        <v>8</v>
      </c>
      <c r="BA187" s="187">
        <f t="shared" si="138"/>
        <v>16</v>
      </c>
      <c r="BB187" s="187">
        <f t="shared" si="139"/>
        <v>13</v>
      </c>
      <c r="BC187" s="187">
        <f t="shared" si="140"/>
        <v>10</v>
      </c>
      <c r="BD187" s="187">
        <f t="shared" si="141"/>
        <v>0</v>
      </c>
      <c r="BE187" s="187">
        <f t="shared" si="142"/>
        <v>0</v>
      </c>
      <c r="BF187" s="187">
        <f t="shared" si="143"/>
        <v>0</v>
      </c>
      <c r="BG187" s="187">
        <f t="shared" si="144"/>
        <v>8</v>
      </c>
      <c r="BH187" s="187">
        <f t="shared" si="145"/>
        <v>0</v>
      </c>
      <c r="BI187" s="187">
        <f t="shared" si="146"/>
        <v>3</v>
      </c>
      <c r="BJ187" s="273">
        <f t="shared" si="147"/>
        <v>100</v>
      </c>
      <c r="BK187" s="167">
        <f t="shared" si="163"/>
        <v>100</v>
      </c>
      <c r="BL187" s="167"/>
      <c r="BM187" s="644"/>
      <c r="BN187" s="644"/>
      <c r="BO187" s="644"/>
      <c r="BP187" s="644"/>
      <c r="BQ187" s="644"/>
      <c r="BR187" s="644"/>
      <c r="BS187" s="644"/>
      <c r="BT187" s="644"/>
      <c r="BU187" s="644"/>
      <c r="BV187" s="644"/>
      <c r="BW187" s="644"/>
      <c r="BX187" s="644"/>
      <c r="BY187" s="644"/>
      <c r="BZ187" s="644"/>
      <c r="CA187" s="644"/>
      <c r="CB187" s="644"/>
      <c r="CC187" s="644"/>
      <c r="CD187" s="644"/>
      <c r="CE187" s="644"/>
      <c r="CF187" s="644"/>
      <c r="CG187" s="644"/>
      <c r="CH187" s="644"/>
      <c r="CI187" s="644"/>
      <c r="CJ187" s="301" t="s">
        <v>865</v>
      </c>
      <c r="CK187" s="342"/>
      <c r="CL187" s="343"/>
    </row>
    <row r="188" spans="1:90" s="344" customFormat="1">
      <c r="A188" s="335" t="s">
        <v>340</v>
      </c>
      <c r="B188" s="182"/>
      <c r="C188" s="183"/>
      <c r="D188" s="184"/>
      <c r="E188" s="184">
        <v>1</v>
      </c>
      <c r="F188" s="184"/>
      <c r="G188" s="184">
        <v>1</v>
      </c>
      <c r="H188" s="182"/>
      <c r="I188" s="182"/>
      <c r="J188" s="182"/>
      <c r="K188" s="182"/>
      <c r="L188" s="182">
        <v>1</v>
      </c>
      <c r="M188" s="182"/>
      <c r="N188" s="182"/>
      <c r="O188" s="182">
        <v>1</v>
      </c>
      <c r="P188" s="182"/>
      <c r="Q188" s="182">
        <v>1</v>
      </c>
      <c r="R188" s="182"/>
      <c r="S188" s="182"/>
      <c r="T188" s="182"/>
      <c r="U188" s="182"/>
      <c r="V188" s="182">
        <v>1</v>
      </c>
      <c r="W188" s="182">
        <v>1</v>
      </c>
      <c r="X188" s="182"/>
      <c r="Y188" s="182">
        <v>1</v>
      </c>
      <c r="Z188" s="182"/>
      <c r="AA188" s="182"/>
      <c r="AB188" s="182"/>
      <c r="AC188" s="182"/>
      <c r="AD188" s="182"/>
      <c r="AE188" s="182"/>
      <c r="AF188" s="182"/>
      <c r="AG188" s="182"/>
      <c r="AH188" s="339">
        <v>8</v>
      </c>
      <c r="AI188" s="340" t="s">
        <v>922</v>
      </c>
      <c r="AJ188" s="341">
        <v>42375</v>
      </c>
      <c r="AK188" s="187"/>
      <c r="AL188" s="187">
        <f t="shared" si="123"/>
        <v>0</v>
      </c>
      <c r="AM188" s="187">
        <f t="shared" si="124"/>
        <v>0</v>
      </c>
      <c r="AN188" s="187">
        <f t="shared" si="125"/>
        <v>8</v>
      </c>
      <c r="AO188" s="187">
        <f t="shared" si="126"/>
        <v>8</v>
      </c>
      <c r="AP188" s="187">
        <f t="shared" si="127"/>
        <v>0</v>
      </c>
      <c r="AQ188" s="187">
        <f t="shared" si="128"/>
        <v>0</v>
      </c>
      <c r="AR188" s="187">
        <f t="shared" si="129"/>
        <v>0</v>
      </c>
      <c r="AS188" s="187">
        <f t="shared" si="130"/>
        <v>19</v>
      </c>
      <c r="AT188" s="187">
        <f t="shared" si="131"/>
        <v>13</v>
      </c>
      <c r="AU188" s="187">
        <f t="shared" si="132"/>
        <v>0</v>
      </c>
      <c r="AV188" s="187">
        <f t="shared" si="133"/>
        <v>3</v>
      </c>
      <c r="AW188" s="187">
        <f t="shared" si="134"/>
        <v>0</v>
      </c>
      <c r="AX188" s="187">
        <f t="shared" si="135"/>
        <v>0</v>
      </c>
      <c r="AY188" s="187">
        <f t="shared" si="136"/>
        <v>0</v>
      </c>
      <c r="AZ188" s="187">
        <f t="shared" si="137"/>
        <v>8</v>
      </c>
      <c r="BA188" s="187">
        <f t="shared" si="138"/>
        <v>16</v>
      </c>
      <c r="BB188" s="187">
        <f t="shared" si="139"/>
        <v>0</v>
      </c>
      <c r="BC188" s="187">
        <f t="shared" si="140"/>
        <v>10</v>
      </c>
      <c r="BD188" s="187">
        <f t="shared" si="141"/>
        <v>0</v>
      </c>
      <c r="BE188" s="187">
        <f t="shared" si="142"/>
        <v>0</v>
      </c>
      <c r="BF188" s="187">
        <f t="shared" si="143"/>
        <v>0</v>
      </c>
      <c r="BG188" s="187">
        <f t="shared" si="144"/>
        <v>0</v>
      </c>
      <c r="BH188" s="187">
        <f t="shared" si="145"/>
        <v>0</v>
      </c>
      <c r="BI188" s="187">
        <f t="shared" si="146"/>
        <v>0</v>
      </c>
      <c r="BJ188" s="273">
        <f t="shared" si="147"/>
        <v>85</v>
      </c>
      <c r="BK188" s="167">
        <f t="shared" ref="BK188" si="164">BJ188</f>
        <v>85</v>
      </c>
      <c r="BL188" s="167"/>
      <c r="BM188" s="644"/>
      <c r="BN188" s="644"/>
      <c r="BO188" s="644"/>
      <c r="BP188" s="644"/>
      <c r="BQ188" s="644"/>
      <c r="BR188" s="644"/>
      <c r="BS188" s="644"/>
      <c r="BT188" s="644"/>
      <c r="BU188" s="644"/>
      <c r="BV188" s="644"/>
      <c r="BW188" s="644"/>
      <c r="BX188" s="644"/>
      <c r="BY188" s="644"/>
      <c r="BZ188" s="644"/>
      <c r="CA188" s="644"/>
      <c r="CB188" s="644"/>
      <c r="CC188" s="644"/>
      <c r="CD188" s="644"/>
      <c r="CE188" s="644"/>
      <c r="CF188" s="644"/>
      <c r="CG188" s="644"/>
      <c r="CH188" s="644"/>
      <c r="CI188" s="644"/>
      <c r="CJ188" s="301" t="s">
        <v>756</v>
      </c>
      <c r="CK188" s="342"/>
      <c r="CL188" s="343"/>
    </row>
    <row r="189" spans="1:90">
      <c r="A189" s="335" t="s">
        <v>923</v>
      </c>
      <c r="B189" s="182"/>
      <c r="C189" s="183"/>
      <c r="D189" s="184">
        <v>1</v>
      </c>
      <c r="E189" s="184">
        <v>1</v>
      </c>
      <c r="F189" s="184"/>
      <c r="G189" s="184">
        <v>1</v>
      </c>
      <c r="H189" s="182"/>
      <c r="I189" s="182"/>
      <c r="J189" s="182"/>
      <c r="K189" s="182"/>
      <c r="L189" s="182">
        <v>1</v>
      </c>
      <c r="M189" s="182"/>
      <c r="N189" s="182"/>
      <c r="O189" s="182">
        <v>1</v>
      </c>
      <c r="P189" s="182"/>
      <c r="Q189" s="182"/>
      <c r="R189" s="182"/>
      <c r="S189" s="182"/>
      <c r="T189" s="182"/>
      <c r="U189" s="182"/>
      <c r="V189" s="182"/>
      <c r="W189" s="182">
        <v>1</v>
      </c>
      <c r="X189" s="182">
        <v>1</v>
      </c>
      <c r="Y189" s="182"/>
      <c r="Z189" s="182"/>
      <c r="AA189" s="302">
        <v>1</v>
      </c>
      <c r="AB189" s="182"/>
      <c r="AC189" s="182"/>
      <c r="AD189" s="182">
        <v>1</v>
      </c>
      <c r="AE189" s="182"/>
      <c r="AF189" s="302">
        <v>1</v>
      </c>
      <c r="AG189" s="182"/>
      <c r="AH189" s="167">
        <v>10</v>
      </c>
      <c r="AI189" s="300" t="s">
        <v>924</v>
      </c>
      <c r="AJ189" s="186">
        <v>42356</v>
      </c>
      <c r="AK189" s="187"/>
      <c r="AL189" s="187">
        <f t="shared" si="123"/>
        <v>0</v>
      </c>
      <c r="AM189" s="187">
        <f t="shared" si="124"/>
        <v>13</v>
      </c>
      <c r="AN189" s="187">
        <f t="shared" si="125"/>
        <v>8</v>
      </c>
      <c r="AO189" s="187">
        <f t="shared" si="126"/>
        <v>8</v>
      </c>
      <c r="AP189" s="187">
        <f t="shared" si="127"/>
        <v>0</v>
      </c>
      <c r="AQ189" s="187">
        <f t="shared" si="128"/>
        <v>0</v>
      </c>
      <c r="AR189" s="187">
        <f t="shared" si="129"/>
        <v>0</v>
      </c>
      <c r="AS189" s="187">
        <f t="shared" si="130"/>
        <v>19</v>
      </c>
      <c r="AT189" s="187">
        <f t="shared" si="131"/>
        <v>13</v>
      </c>
      <c r="AU189" s="187">
        <f t="shared" si="132"/>
        <v>0</v>
      </c>
      <c r="AV189" s="187">
        <f t="shared" si="133"/>
        <v>0</v>
      </c>
      <c r="AW189" s="187">
        <f t="shared" si="134"/>
        <v>0</v>
      </c>
      <c r="AX189" s="187">
        <f t="shared" si="135"/>
        <v>0</v>
      </c>
      <c r="AY189" s="187">
        <f t="shared" si="136"/>
        <v>0</v>
      </c>
      <c r="AZ189" s="187">
        <f t="shared" si="137"/>
        <v>0</v>
      </c>
      <c r="BA189" s="187">
        <f t="shared" si="138"/>
        <v>16</v>
      </c>
      <c r="BB189" s="187">
        <f t="shared" si="139"/>
        <v>13</v>
      </c>
      <c r="BC189" s="187">
        <f t="shared" si="140"/>
        <v>0</v>
      </c>
      <c r="BD189" s="187">
        <f t="shared" si="141"/>
        <v>0</v>
      </c>
      <c r="BE189" s="187">
        <f t="shared" si="142"/>
        <v>6</v>
      </c>
      <c r="BF189" s="187">
        <f t="shared" si="143"/>
        <v>0</v>
      </c>
      <c r="BG189" s="187">
        <f t="shared" si="144"/>
        <v>8</v>
      </c>
      <c r="BH189" s="187">
        <f t="shared" si="145"/>
        <v>0</v>
      </c>
      <c r="BI189" s="187">
        <f t="shared" si="146"/>
        <v>3</v>
      </c>
      <c r="BJ189" s="273">
        <f t="shared" si="147"/>
        <v>98</v>
      </c>
      <c r="BK189" s="167">
        <f t="shared" si="38"/>
        <v>98</v>
      </c>
      <c r="BL189" s="167"/>
      <c r="BM189" s="644"/>
      <c r="BN189" s="644"/>
      <c r="BO189" s="644"/>
      <c r="BP189" s="644"/>
      <c r="BQ189" s="644"/>
      <c r="BR189" s="644"/>
      <c r="BS189" s="644"/>
      <c r="BT189" s="644"/>
      <c r="BU189" s="644"/>
      <c r="BV189" s="644"/>
      <c r="BW189" s="644"/>
      <c r="BX189" s="644"/>
      <c r="BY189" s="644"/>
      <c r="BZ189" s="644"/>
      <c r="CA189" s="644"/>
      <c r="CB189" s="644"/>
      <c r="CC189" s="644"/>
      <c r="CD189" s="644"/>
      <c r="CE189" s="644"/>
      <c r="CF189" s="644"/>
      <c r="CG189" s="644"/>
      <c r="CH189" s="644"/>
      <c r="CI189" s="644"/>
      <c r="CJ189" s="301" t="s">
        <v>865</v>
      </c>
      <c r="CK189" s="180"/>
      <c r="CL189" s="136"/>
    </row>
    <row r="190" spans="1:90" s="344" customFormat="1">
      <c r="A190" s="335" t="s">
        <v>633</v>
      </c>
      <c r="B190" s="182"/>
      <c r="C190" s="183"/>
      <c r="D190" s="184">
        <v>1</v>
      </c>
      <c r="E190" s="184">
        <v>1</v>
      </c>
      <c r="F190" s="184"/>
      <c r="G190" s="184">
        <v>1</v>
      </c>
      <c r="H190" s="182"/>
      <c r="I190" s="182"/>
      <c r="J190" s="182"/>
      <c r="K190" s="182"/>
      <c r="L190" s="182">
        <v>1</v>
      </c>
      <c r="M190" s="182"/>
      <c r="N190" s="182"/>
      <c r="O190" s="182">
        <v>1</v>
      </c>
      <c r="P190" s="182"/>
      <c r="Q190" s="182"/>
      <c r="R190" s="182"/>
      <c r="S190" s="182"/>
      <c r="T190" s="182"/>
      <c r="U190" s="182">
        <v>1</v>
      </c>
      <c r="V190" s="302">
        <v>1</v>
      </c>
      <c r="W190" s="182">
        <v>1</v>
      </c>
      <c r="X190" s="182">
        <v>1</v>
      </c>
      <c r="Y190" s="182">
        <v>1</v>
      </c>
      <c r="Z190" s="182"/>
      <c r="AA190" s="182"/>
      <c r="AB190" s="182"/>
      <c r="AC190" s="182"/>
      <c r="AD190" s="182"/>
      <c r="AE190" s="182"/>
      <c r="AF190" s="182"/>
      <c r="AG190" s="182"/>
      <c r="AH190" s="339">
        <v>10</v>
      </c>
      <c r="AI190" s="340" t="s">
        <v>786</v>
      </c>
      <c r="AJ190" s="341">
        <v>42375</v>
      </c>
      <c r="AK190" s="187"/>
      <c r="AL190" s="187">
        <f t="shared" si="123"/>
        <v>0</v>
      </c>
      <c r="AM190" s="187">
        <f t="shared" si="124"/>
        <v>13</v>
      </c>
      <c r="AN190" s="187">
        <f t="shared" si="125"/>
        <v>8</v>
      </c>
      <c r="AO190" s="187">
        <f t="shared" si="126"/>
        <v>8</v>
      </c>
      <c r="AP190" s="187">
        <f t="shared" si="127"/>
        <v>0</v>
      </c>
      <c r="AQ190" s="187">
        <f t="shared" si="128"/>
        <v>0</v>
      </c>
      <c r="AR190" s="187">
        <f t="shared" si="129"/>
        <v>0</v>
      </c>
      <c r="AS190" s="187">
        <f t="shared" si="130"/>
        <v>19</v>
      </c>
      <c r="AT190" s="187">
        <f t="shared" si="131"/>
        <v>13</v>
      </c>
      <c r="AU190" s="187">
        <f t="shared" si="132"/>
        <v>0</v>
      </c>
      <c r="AV190" s="187">
        <f t="shared" si="133"/>
        <v>0</v>
      </c>
      <c r="AW190" s="187">
        <f t="shared" si="134"/>
        <v>0</v>
      </c>
      <c r="AX190" s="187">
        <f t="shared" si="135"/>
        <v>0</v>
      </c>
      <c r="AY190" s="187">
        <f t="shared" si="136"/>
        <v>2</v>
      </c>
      <c r="AZ190" s="187">
        <f t="shared" si="137"/>
        <v>8</v>
      </c>
      <c r="BA190" s="187">
        <f t="shared" si="138"/>
        <v>16</v>
      </c>
      <c r="BB190" s="187">
        <f t="shared" si="139"/>
        <v>13</v>
      </c>
      <c r="BC190" s="187">
        <f t="shared" si="140"/>
        <v>10</v>
      </c>
      <c r="BD190" s="187">
        <f t="shared" si="141"/>
        <v>0</v>
      </c>
      <c r="BE190" s="187">
        <f t="shared" si="142"/>
        <v>0</v>
      </c>
      <c r="BF190" s="187">
        <f t="shared" si="143"/>
        <v>0</v>
      </c>
      <c r="BG190" s="187">
        <f t="shared" si="144"/>
        <v>0</v>
      </c>
      <c r="BH190" s="187">
        <f t="shared" si="145"/>
        <v>0</v>
      </c>
      <c r="BI190" s="187">
        <f t="shared" si="146"/>
        <v>0</v>
      </c>
      <c r="BJ190" s="273">
        <f t="shared" si="147"/>
        <v>100</v>
      </c>
      <c r="BK190" s="167">
        <f t="shared" si="38"/>
        <v>100</v>
      </c>
      <c r="BL190" s="167"/>
      <c r="BM190" s="644"/>
      <c r="BN190" s="644"/>
      <c r="BO190" s="644"/>
      <c r="BP190" s="644"/>
      <c r="BQ190" s="644"/>
      <c r="BR190" s="644"/>
      <c r="BS190" s="644"/>
      <c r="BT190" s="644"/>
      <c r="BU190" s="644"/>
      <c r="BV190" s="644"/>
      <c r="BW190" s="644"/>
      <c r="BX190" s="644"/>
      <c r="BY190" s="644"/>
      <c r="BZ190" s="644"/>
      <c r="CA190" s="644"/>
      <c r="CB190" s="644"/>
      <c r="CC190" s="644"/>
      <c r="CD190" s="644"/>
      <c r="CE190" s="644"/>
      <c r="CF190" s="644"/>
      <c r="CG190" s="644"/>
      <c r="CH190" s="644"/>
      <c r="CI190" s="644"/>
      <c r="CJ190" s="301" t="s">
        <v>787</v>
      </c>
      <c r="CK190" s="342"/>
      <c r="CL190" s="343"/>
    </row>
    <row r="191" spans="1:90">
      <c r="A191" s="335" t="s">
        <v>342</v>
      </c>
      <c r="B191" s="182"/>
      <c r="C191" s="183"/>
      <c r="D191" s="184">
        <v>1</v>
      </c>
      <c r="E191" s="184"/>
      <c r="F191" s="184"/>
      <c r="G191" s="184"/>
      <c r="H191" s="182"/>
      <c r="I191" s="182"/>
      <c r="J191" s="182"/>
      <c r="K191" s="182"/>
      <c r="L191" s="182">
        <v>1</v>
      </c>
      <c r="M191" s="182"/>
      <c r="N191" s="182"/>
      <c r="O191" s="182"/>
      <c r="P191" s="182"/>
      <c r="Q191" s="182"/>
      <c r="R191" s="182"/>
      <c r="S191" s="182"/>
      <c r="T191" s="182"/>
      <c r="U191" s="182"/>
      <c r="V191" s="182">
        <v>1</v>
      </c>
      <c r="W191" s="182">
        <v>1</v>
      </c>
      <c r="X191" s="182">
        <v>1</v>
      </c>
      <c r="Y191" s="182">
        <v>1</v>
      </c>
      <c r="Z191" s="182"/>
      <c r="AA191" s="182"/>
      <c r="AB191" s="182"/>
      <c r="AC191" s="182"/>
      <c r="AD191" s="182">
        <v>1</v>
      </c>
      <c r="AE191" s="182"/>
      <c r="AF191" s="302">
        <v>1</v>
      </c>
      <c r="AG191" s="182"/>
      <c r="AH191" s="167">
        <v>8</v>
      </c>
      <c r="AI191" s="300" t="s">
        <v>925</v>
      </c>
      <c r="AJ191" s="186">
        <v>42361</v>
      </c>
      <c r="AK191" s="187"/>
      <c r="AL191" s="187">
        <f t="shared" si="123"/>
        <v>0</v>
      </c>
      <c r="AM191" s="187">
        <f t="shared" si="124"/>
        <v>13</v>
      </c>
      <c r="AN191" s="187">
        <f t="shared" si="125"/>
        <v>0</v>
      </c>
      <c r="AO191" s="187">
        <f t="shared" si="126"/>
        <v>0</v>
      </c>
      <c r="AP191" s="187">
        <f t="shared" si="127"/>
        <v>0</v>
      </c>
      <c r="AQ191" s="187">
        <f t="shared" si="128"/>
        <v>0</v>
      </c>
      <c r="AR191" s="187">
        <f t="shared" si="129"/>
        <v>0</v>
      </c>
      <c r="AS191" s="187">
        <f t="shared" si="130"/>
        <v>19</v>
      </c>
      <c r="AT191" s="187">
        <f t="shared" si="131"/>
        <v>0</v>
      </c>
      <c r="AU191" s="187">
        <f t="shared" si="132"/>
        <v>0</v>
      </c>
      <c r="AV191" s="187">
        <f t="shared" si="133"/>
        <v>0</v>
      </c>
      <c r="AW191" s="187">
        <f t="shared" si="134"/>
        <v>0</v>
      </c>
      <c r="AX191" s="187">
        <f t="shared" si="135"/>
        <v>0</v>
      </c>
      <c r="AY191" s="187">
        <f t="shared" si="136"/>
        <v>0</v>
      </c>
      <c r="AZ191" s="187">
        <f t="shared" si="137"/>
        <v>8</v>
      </c>
      <c r="BA191" s="187">
        <f t="shared" si="138"/>
        <v>16</v>
      </c>
      <c r="BB191" s="187">
        <f t="shared" si="139"/>
        <v>13</v>
      </c>
      <c r="BC191" s="187">
        <f t="shared" si="140"/>
        <v>10</v>
      </c>
      <c r="BD191" s="187">
        <f t="shared" si="141"/>
        <v>0</v>
      </c>
      <c r="BE191" s="187">
        <f t="shared" si="142"/>
        <v>0</v>
      </c>
      <c r="BF191" s="187">
        <f t="shared" si="143"/>
        <v>0</v>
      </c>
      <c r="BG191" s="187">
        <f t="shared" si="144"/>
        <v>8</v>
      </c>
      <c r="BH191" s="187">
        <f t="shared" si="145"/>
        <v>0</v>
      </c>
      <c r="BI191" s="187">
        <f t="shared" si="146"/>
        <v>3</v>
      </c>
      <c r="BJ191" s="273">
        <f t="shared" si="147"/>
        <v>90</v>
      </c>
      <c r="BK191" s="167">
        <f t="shared" ref="BK191" si="165">BJ191</f>
        <v>90</v>
      </c>
      <c r="BL191" s="167"/>
      <c r="BM191" s="644"/>
      <c r="BN191" s="644"/>
      <c r="BO191" s="644"/>
      <c r="BP191" s="644"/>
      <c r="BQ191" s="644"/>
      <c r="BR191" s="644"/>
      <c r="BS191" s="644"/>
      <c r="BT191" s="644"/>
      <c r="BU191" s="644"/>
      <c r="BV191" s="644"/>
      <c r="BW191" s="644"/>
      <c r="BX191" s="644"/>
      <c r="BY191" s="644"/>
      <c r="BZ191" s="644"/>
      <c r="CA191" s="644"/>
      <c r="CB191" s="644"/>
      <c r="CC191" s="644"/>
      <c r="CD191" s="644"/>
      <c r="CE191" s="644"/>
      <c r="CF191" s="644"/>
      <c r="CG191" s="644"/>
      <c r="CH191" s="644"/>
      <c r="CI191" s="644"/>
      <c r="CJ191" s="301" t="s">
        <v>814</v>
      </c>
      <c r="CK191" s="180"/>
      <c r="CL191" s="136"/>
    </row>
    <row r="192" spans="1:90">
      <c r="A192" s="181" t="s">
        <v>345</v>
      </c>
      <c r="B192" s="182"/>
      <c r="C192" s="183"/>
      <c r="D192" s="184">
        <v>1</v>
      </c>
      <c r="E192" s="184">
        <v>1</v>
      </c>
      <c r="F192" s="184"/>
      <c r="G192" s="184">
        <v>1</v>
      </c>
      <c r="H192" s="182"/>
      <c r="I192" s="182"/>
      <c r="J192" s="182"/>
      <c r="K192" s="182"/>
      <c r="L192" s="182">
        <v>1</v>
      </c>
      <c r="M192" s="182"/>
      <c r="N192" s="182"/>
      <c r="O192" s="182"/>
      <c r="P192" s="182"/>
      <c r="Q192" s="182"/>
      <c r="R192" s="182"/>
      <c r="S192" s="182"/>
      <c r="T192" s="182"/>
      <c r="U192" s="182"/>
      <c r="V192" s="182">
        <v>1</v>
      </c>
      <c r="W192" s="182">
        <v>1</v>
      </c>
      <c r="X192" s="182">
        <v>1</v>
      </c>
      <c r="Y192" s="182">
        <v>1</v>
      </c>
      <c r="Z192" s="182"/>
      <c r="AA192" s="182"/>
      <c r="AB192" s="182"/>
      <c r="AC192" s="182"/>
      <c r="AD192" s="302">
        <v>1</v>
      </c>
      <c r="AE192" s="182"/>
      <c r="AF192" s="182">
        <v>1</v>
      </c>
      <c r="AG192" s="182"/>
      <c r="AH192" s="167">
        <v>10</v>
      </c>
      <c r="AI192" s="300" t="s">
        <v>926</v>
      </c>
      <c r="AJ192" s="186">
        <v>42363</v>
      </c>
      <c r="AK192" s="187"/>
      <c r="AL192" s="187">
        <f t="shared" si="123"/>
        <v>0</v>
      </c>
      <c r="AM192" s="187">
        <f t="shared" si="124"/>
        <v>13</v>
      </c>
      <c r="AN192" s="187">
        <f t="shared" si="125"/>
        <v>8</v>
      </c>
      <c r="AO192" s="187">
        <f t="shared" si="126"/>
        <v>8</v>
      </c>
      <c r="AP192" s="187">
        <f t="shared" si="127"/>
        <v>0</v>
      </c>
      <c r="AQ192" s="187">
        <f t="shared" si="128"/>
        <v>0</v>
      </c>
      <c r="AR192" s="187">
        <f t="shared" si="129"/>
        <v>0</v>
      </c>
      <c r="AS192" s="187">
        <f t="shared" si="130"/>
        <v>19</v>
      </c>
      <c r="AT192" s="187">
        <f t="shared" si="131"/>
        <v>0</v>
      </c>
      <c r="AU192" s="187">
        <f t="shared" si="132"/>
        <v>0</v>
      </c>
      <c r="AV192" s="187">
        <f t="shared" si="133"/>
        <v>0</v>
      </c>
      <c r="AW192" s="187">
        <f t="shared" si="134"/>
        <v>0</v>
      </c>
      <c r="AX192" s="187">
        <f t="shared" si="135"/>
        <v>0</v>
      </c>
      <c r="AY192" s="187">
        <f t="shared" si="136"/>
        <v>0</v>
      </c>
      <c r="AZ192" s="187">
        <f t="shared" si="137"/>
        <v>8</v>
      </c>
      <c r="BA192" s="187">
        <f t="shared" si="138"/>
        <v>16</v>
      </c>
      <c r="BB192" s="187">
        <f t="shared" si="139"/>
        <v>13</v>
      </c>
      <c r="BC192" s="187">
        <f t="shared" si="140"/>
        <v>10</v>
      </c>
      <c r="BD192" s="187">
        <f t="shared" si="141"/>
        <v>0</v>
      </c>
      <c r="BE192" s="187">
        <f t="shared" si="142"/>
        <v>0</v>
      </c>
      <c r="BF192" s="187">
        <f t="shared" si="143"/>
        <v>0</v>
      </c>
      <c r="BG192" s="187">
        <f t="shared" si="144"/>
        <v>8</v>
      </c>
      <c r="BH192" s="187">
        <f t="shared" si="145"/>
        <v>0</v>
      </c>
      <c r="BI192" s="187">
        <f t="shared" si="146"/>
        <v>3</v>
      </c>
      <c r="BJ192" s="273">
        <f t="shared" si="147"/>
        <v>95</v>
      </c>
      <c r="BK192" s="167">
        <f t="shared" ref="BK192:BK194" si="166">BJ192</f>
        <v>95</v>
      </c>
      <c r="BL192" s="167"/>
      <c r="BM192" s="644"/>
      <c r="BN192" s="644"/>
      <c r="BO192" s="644"/>
      <c r="BP192" s="644"/>
      <c r="BQ192" s="644"/>
      <c r="BR192" s="644"/>
      <c r="BS192" s="644"/>
      <c r="BT192" s="644"/>
      <c r="BU192" s="644"/>
      <c r="BV192" s="644"/>
      <c r="BW192" s="644"/>
      <c r="BX192" s="644"/>
      <c r="BY192" s="644"/>
      <c r="BZ192" s="644"/>
      <c r="CA192" s="644"/>
      <c r="CB192" s="644"/>
      <c r="CC192" s="644"/>
      <c r="CD192" s="644"/>
      <c r="CE192" s="644"/>
      <c r="CF192" s="644"/>
      <c r="CG192" s="644"/>
      <c r="CH192" s="644"/>
      <c r="CI192" s="644"/>
      <c r="CJ192" s="301" t="s">
        <v>807</v>
      </c>
      <c r="CK192" s="180"/>
      <c r="CL192" s="136"/>
    </row>
    <row r="193" spans="1:90">
      <c r="A193" s="181" t="s">
        <v>346</v>
      </c>
      <c r="B193" s="182"/>
      <c r="C193" s="183"/>
      <c r="D193" s="184">
        <v>1</v>
      </c>
      <c r="E193" s="314">
        <v>1</v>
      </c>
      <c r="F193" s="314"/>
      <c r="G193" s="314">
        <v>1</v>
      </c>
      <c r="H193" s="182"/>
      <c r="I193" s="182"/>
      <c r="J193" s="182"/>
      <c r="K193" s="182"/>
      <c r="L193" s="182">
        <v>1</v>
      </c>
      <c r="M193" s="182"/>
      <c r="N193" s="182"/>
      <c r="O193" s="182">
        <v>1</v>
      </c>
      <c r="P193" s="182"/>
      <c r="Q193" s="182"/>
      <c r="R193" s="182"/>
      <c r="S193" s="182">
        <v>1</v>
      </c>
      <c r="T193" s="182"/>
      <c r="U193" s="182"/>
      <c r="V193" s="182">
        <v>1</v>
      </c>
      <c r="W193" s="182">
        <v>1</v>
      </c>
      <c r="X193" s="182">
        <v>1</v>
      </c>
      <c r="Y193" s="182">
        <v>1</v>
      </c>
      <c r="Z193" s="182"/>
      <c r="AA193" s="182"/>
      <c r="AB193" s="182"/>
      <c r="AC193" s="182"/>
      <c r="AD193" s="182"/>
      <c r="AE193" s="182"/>
      <c r="AF193" s="182"/>
      <c r="AG193" s="182"/>
      <c r="AH193" s="167">
        <v>10</v>
      </c>
      <c r="AI193" s="337" t="s">
        <v>927</v>
      </c>
      <c r="AJ193" s="186">
        <v>42366</v>
      </c>
      <c r="AK193" s="187"/>
      <c r="AL193" s="187">
        <f t="shared" si="123"/>
        <v>0</v>
      </c>
      <c r="AM193" s="187">
        <f t="shared" si="124"/>
        <v>13</v>
      </c>
      <c r="AN193" s="187">
        <f t="shared" si="125"/>
        <v>8</v>
      </c>
      <c r="AO193" s="187">
        <f t="shared" si="126"/>
        <v>8</v>
      </c>
      <c r="AP193" s="187">
        <f t="shared" si="127"/>
        <v>0</v>
      </c>
      <c r="AQ193" s="187">
        <f t="shared" si="128"/>
        <v>0</v>
      </c>
      <c r="AR193" s="187">
        <f t="shared" si="129"/>
        <v>0</v>
      </c>
      <c r="AS193" s="187">
        <f t="shared" si="130"/>
        <v>19</v>
      </c>
      <c r="AT193" s="187">
        <f t="shared" si="131"/>
        <v>13</v>
      </c>
      <c r="AU193" s="187">
        <f t="shared" si="132"/>
        <v>0</v>
      </c>
      <c r="AV193" s="187">
        <f t="shared" si="133"/>
        <v>0</v>
      </c>
      <c r="AW193" s="187">
        <f t="shared" si="134"/>
        <v>8</v>
      </c>
      <c r="AX193" s="187">
        <f t="shared" si="135"/>
        <v>0</v>
      </c>
      <c r="AY193" s="187">
        <f t="shared" si="136"/>
        <v>0</v>
      </c>
      <c r="AZ193" s="187">
        <f t="shared" si="137"/>
        <v>8</v>
      </c>
      <c r="BA193" s="187">
        <f t="shared" si="138"/>
        <v>16</v>
      </c>
      <c r="BB193" s="187">
        <f t="shared" si="139"/>
        <v>13</v>
      </c>
      <c r="BC193" s="187">
        <f t="shared" si="140"/>
        <v>10</v>
      </c>
      <c r="BD193" s="187">
        <f t="shared" si="141"/>
        <v>0</v>
      </c>
      <c r="BE193" s="187">
        <f t="shared" si="142"/>
        <v>0</v>
      </c>
      <c r="BF193" s="187">
        <f t="shared" si="143"/>
        <v>0</v>
      </c>
      <c r="BG193" s="187">
        <f t="shared" si="144"/>
        <v>0</v>
      </c>
      <c r="BH193" s="187">
        <f t="shared" si="145"/>
        <v>0</v>
      </c>
      <c r="BI193" s="187">
        <f t="shared" si="146"/>
        <v>0</v>
      </c>
      <c r="BJ193" s="273">
        <f t="shared" si="147"/>
        <v>100</v>
      </c>
      <c r="BK193" s="167">
        <f t="shared" ref="BK193" si="167">BJ193</f>
        <v>100</v>
      </c>
      <c r="BL193" s="167"/>
      <c r="BM193" s="644"/>
      <c r="BN193" s="644"/>
      <c r="BO193" s="644"/>
      <c r="BP193" s="644"/>
      <c r="BQ193" s="644"/>
      <c r="BR193" s="644"/>
      <c r="BS193" s="644"/>
      <c r="BT193" s="644"/>
      <c r="BU193" s="644"/>
      <c r="BV193" s="644"/>
      <c r="BW193" s="644"/>
      <c r="BX193" s="644"/>
      <c r="BY193" s="644"/>
      <c r="BZ193" s="644"/>
      <c r="CA193" s="644"/>
      <c r="CB193" s="644"/>
      <c r="CC193" s="644"/>
      <c r="CD193" s="644"/>
      <c r="CE193" s="644"/>
      <c r="CF193" s="644"/>
      <c r="CG193" s="644"/>
      <c r="CH193" s="644"/>
      <c r="CI193" s="644"/>
      <c r="CJ193" s="301" t="s">
        <v>749</v>
      </c>
      <c r="CK193" s="180"/>
      <c r="CL193" s="136"/>
    </row>
    <row r="194" spans="1:90">
      <c r="A194" s="181" t="s">
        <v>349</v>
      </c>
      <c r="B194" s="182"/>
      <c r="C194" s="183"/>
      <c r="D194" s="314">
        <v>1</v>
      </c>
      <c r="E194" s="184">
        <v>1</v>
      </c>
      <c r="F194" s="184"/>
      <c r="G194" s="184"/>
      <c r="H194" s="182"/>
      <c r="I194" s="182"/>
      <c r="J194" s="182"/>
      <c r="K194" s="182"/>
      <c r="L194" s="182">
        <v>1</v>
      </c>
      <c r="M194" s="182"/>
      <c r="N194" s="182"/>
      <c r="O194" s="182">
        <v>1</v>
      </c>
      <c r="P194" s="182"/>
      <c r="Q194" s="302">
        <v>1</v>
      </c>
      <c r="R194" s="182"/>
      <c r="S194" s="182"/>
      <c r="T194" s="182"/>
      <c r="U194" s="182"/>
      <c r="V194" s="182">
        <v>1</v>
      </c>
      <c r="W194" s="182">
        <v>1</v>
      </c>
      <c r="X194" s="182">
        <v>1</v>
      </c>
      <c r="Y194" s="182">
        <v>1</v>
      </c>
      <c r="Z194" s="182"/>
      <c r="AA194" s="182">
        <v>1</v>
      </c>
      <c r="AB194" s="182"/>
      <c r="AC194" s="182"/>
      <c r="AD194" s="182"/>
      <c r="AE194" s="182"/>
      <c r="AF194" s="182"/>
      <c r="AG194" s="182"/>
      <c r="AH194" s="167">
        <v>10</v>
      </c>
      <c r="AI194" s="336" t="s">
        <v>834</v>
      </c>
      <c r="AJ194" s="341">
        <v>42364</v>
      </c>
      <c r="AK194" s="187"/>
      <c r="AL194" s="187">
        <f t="shared" si="123"/>
        <v>0</v>
      </c>
      <c r="AM194" s="187">
        <f t="shared" si="124"/>
        <v>13</v>
      </c>
      <c r="AN194" s="187">
        <f t="shared" si="125"/>
        <v>8</v>
      </c>
      <c r="AO194" s="187">
        <f t="shared" si="126"/>
        <v>0</v>
      </c>
      <c r="AP194" s="187">
        <f t="shared" si="127"/>
        <v>0</v>
      </c>
      <c r="AQ194" s="187">
        <f t="shared" si="128"/>
        <v>0</v>
      </c>
      <c r="AR194" s="187">
        <f t="shared" si="129"/>
        <v>0</v>
      </c>
      <c r="AS194" s="187">
        <f t="shared" si="130"/>
        <v>19</v>
      </c>
      <c r="AT194" s="187">
        <f t="shared" si="131"/>
        <v>13</v>
      </c>
      <c r="AU194" s="187">
        <f t="shared" si="132"/>
        <v>0</v>
      </c>
      <c r="AV194" s="187">
        <f t="shared" si="133"/>
        <v>3</v>
      </c>
      <c r="AW194" s="187">
        <f t="shared" si="134"/>
        <v>0</v>
      </c>
      <c r="AX194" s="187">
        <f t="shared" si="135"/>
        <v>0</v>
      </c>
      <c r="AY194" s="187">
        <f t="shared" si="136"/>
        <v>0</v>
      </c>
      <c r="AZ194" s="187">
        <f t="shared" si="137"/>
        <v>8</v>
      </c>
      <c r="BA194" s="187">
        <f t="shared" si="138"/>
        <v>16</v>
      </c>
      <c r="BB194" s="187">
        <f t="shared" si="139"/>
        <v>13</v>
      </c>
      <c r="BC194" s="187">
        <f t="shared" si="140"/>
        <v>10</v>
      </c>
      <c r="BD194" s="187">
        <f t="shared" si="141"/>
        <v>0</v>
      </c>
      <c r="BE194" s="187">
        <f t="shared" si="142"/>
        <v>6</v>
      </c>
      <c r="BF194" s="187">
        <f t="shared" si="143"/>
        <v>0</v>
      </c>
      <c r="BG194" s="187">
        <f t="shared" si="144"/>
        <v>0</v>
      </c>
      <c r="BH194" s="187">
        <f t="shared" si="145"/>
        <v>0</v>
      </c>
      <c r="BI194" s="187">
        <f t="shared" si="146"/>
        <v>0</v>
      </c>
      <c r="BJ194" s="273">
        <f t="shared" si="147"/>
        <v>100</v>
      </c>
      <c r="BK194" s="167">
        <f t="shared" si="166"/>
        <v>100</v>
      </c>
      <c r="BL194" s="167"/>
      <c r="BM194" s="644"/>
      <c r="BN194" s="644"/>
      <c r="BO194" s="644"/>
      <c r="BP194" s="644"/>
      <c r="BQ194" s="644"/>
      <c r="BR194" s="644"/>
      <c r="BS194" s="644"/>
      <c r="BT194" s="644"/>
      <c r="BU194" s="644"/>
      <c r="BV194" s="644"/>
      <c r="BW194" s="644"/>
      <c r="BX194" s="644"/>
      <c r="BY194" s="644"/>
      <c r="BZ194" s="644"/>
      <c r="CA194" s="644"/>
      <c r="CB194" s="644"/>
      <c r="CC194" s="644"/>
      <c r="CD194" s="644"/>
      <c r="CE194" s="644"/>
      <c r="CF194" s="644"/>
      <c r="CG194" s="644"/>
      <c r="CH194" s="644"/>
      <c r="CI194" s="644"/>
      <c r="CJ194" s="301" t="s">
        <v>814</v>
      </c>
      <c r="CK194" s="180"/>
      <c r="CL194" s="136"/>
    </row>
    <row r="195" spans="1:90">
      <c r="A195" s="181" t="s">
        <v>639</v>
      </c>
      <c r="B195" s="182"/>
      <c r="C195" s="183"/>
      <c r="D195" s="184">
        <v>1</v>
      </c>
      <c r="E195" s="184">
        <v>1</v>
      </c>
      <c r="F195" s="184"/>
      <c r="G195" s="184">
        <v>1</v>
      </c>
      <c r="H195" s="182"/>
      <c r="I195" s="182"/>
      <c r="J195" s="182"/>
      <c r="K195" s="182"/>
      <c r="L195" s="182">
        <v>1</v>
      </c>
      <c r="M195" s="182"/>
      <c r="N195" s="182"/>
      <c r="O195" s="182">
        <v>1</v>
      </c>
      <c r="P195" s="182"/>
      <c r="Q195" s="182"/>
      <c r="R195" s="182"/>
      <c r="S195" s="182"/>
      <c r="T195" s="182"/>
      <c r="U195" s="182"/>
      <c r="V195" s="182"/>
      <c r="W195" s="182">
        <v>1</v>
      </c>
      <c r="X195" s="182">
        <v>1</v>
      </c>
      <c r="Y195" s="182">
        <v>1</v>
      </c>
      <c r="Z195" s="182"/>
      <c r="AA195" s="302">
        <v>1</v>
      </c>
      <c r="AB195" s="182"/>
      <c r="AC195" s="182"/>
      <c r="AD195" s="302">
        <v>1</v>
      </c>
      <c r="AE195" s="182"/>
      <c r="AF195" s="182"/>
      <c r="AG195" s="182"/>
      <c r="AH195" s="167">
        <v>10</v>
      </c>
      <c r="AI195" s="300" t="s">
        <v>928</v>
      </c>
      <c r="AJ195" s="186">
        <v>42320</v>
      </c>
      <c r="AK195" s="187"/>
      <c r="AL195" s="187">
        <f t="shared" si="123"/>
        <v>0</v>
      </c>
      <c r="AM195" s="187">
        <f t="shared" si="124"/>
        <v>13</v>
      </c>
      <c r="AN195" s="187">
        <f t="shared" si="125"/>
        <v>8</v>
      </c>
      <c r="AO195" s="187">
        <f t="shared" si="126"/>
        <v>8</v>
      </c>
      <c r="AP195" s="187">
        <f t="shared" si="127"/>
        <v>0</v>
      </c>
      <c r="AQ195" s="187">
        <f t="shared" si="128"/>
        <v>0</v>
      </c>
      <c r="AR195" s="187">
        <f t="shared" si="129"/>
        <v>0</v>
      </c>
      <c r="AS195" s="187">
        <f t="shared" si="130"/>
        <v>19</v>
      </c>
      <c r="AT195" s="187">
        <f t="shared" si="131"/>
        <v>13</v>
      </c>
      <c r="AU195" s="187">
        <f t="shared" si="132"/>
        <v>0</v>
      </c>
      <c r="AV195" s="187">
        <f t="shared" si="133"/>
        <v>0</v>
      </c>
      <c r="AW195" s="187">
        <f t="shared" si="134"/>
        <v>0</v>
      </c>
      <c r="AX195" s="187">
        <f t="shared" si="135"/>
        <v>0</v>
      </c>
      <c r="AY195" s="187">
        <f t="shared" si="136"/>
        <v>0</v>
      </c>
      <c r="AZ195" s="187">
        <f t="shared" si="137"/>
        <v>0</v>
      </c>
      <c r="BA195" s="187">
        <f t="shared" si="138"/>
        <v>16</v>
      </c>
      <c r="BB195" s="187">
        <f t="shared" si="139"/>
        <v>13</v>
      </c>
      <c r="BC195" s="187">
        <f t="shared" si="140"/>
        <v>10</v>
      </c>
      <c r="BD195" s="187">
        <f t="shared" si="141"/>
        <v>0</v>
      </c>
      <c r="BE195" s="187">
        <f t="shared" si="142"/>
        <v>6</v>
      </c>
      <c r="BF195" s="187">
        <f t="shared" si="143"/>
        <v>0</v>
      </c>
      <c r="BG195" s="187">
        <f t="shared" si="144"/>
        <v>8</v>
      </c>
      <c r="BH195" s="187">
        <f t="shared" si="145"/>
        <v>0</v>
      </c>
      <c r="BI195" s="187">
        <f t="shared" si="146"/>
        <v>0</v>
      </c>
      <c r="BJ195" s="273">
        <f t="shared" si="147"/>
        <v>100</v>
      </c>
      <c r="BK195" s="167">
        <f t="shared" si="38"/>
        <v>100</v>
      </c>
      <c r="BL195" s="167"/>
      <c r="BM195" s="644"/>
      <c r="BN195" s="644"/>
      <c r="BO195" s="644"/>
      <c r="BP195" s="644"/>
      <c r="BQ195" s="644"/>
      <c r="BR195" s="644"/>
      <c r="BS195" s="644"/>
      <c r="BT195" s="644"/>
      <c r="BU195" s="644"/>
      <c r="BV195" s="644"/>
      <c r="BW195" s="644"/>
      <c r="BX195" s="644"/>
      <c r="BY195" s="644"/>
      <c r="BZ195" s="644"/>
      <c r="CA195" s="644"/>
      <c r="CB195" s="644"/>
      <c r="CC195" s="644"/>
      <c r="CD195" s="644"/>
      <c r="CE195" s="644"/>
      <c r="CF195" s="644"/>
      <c r="CG195" s="644"/>
      <c r="CH195" s="644"/>
      <c r="CI195" s="644"/>
      <c r="CJ195" s="301" t="s">
        <v>756</v>
      </c>
      <c r="CK195" s="180"/>
      <c r="CL195" s="136"/>
    </row>
    <row r="196" spans="1:90">
      <c r="A196" s="181" t="s">
        <v>350</v>
      </c>
      <c r="B196" s="182"/>
      <c r="C196" s="183"/>
      <c r="D196" s="184">
        <v>1</v>
      </c>
      <c r="E196" s="184"/>
      <c r="F196" s="184"/>
      <c r="G196" s="184"/>
      <c r="H196" s="182"/>
      <c r="I196" s="182"/>
      <c r="J196" s="182"/>
      <c r="K196" s="182"/>
      <c r="L196" s="182">
        <v>1</v>
      </c>
      <c r="M196" s="182"/>
      <c r="N196" s="182"/>
      <c r="O196" s="182">
        <v>1</v>
      </c>
      <c r="P196" s="182"/>
      <c r="Q196" s="182"/>
      <c r="R196" s="182"/>
      <c r="S196" s="182">
        <v>1</v>
      </c>
      <c r="T196" s="182"/>
      <c r="U196" s="182"/>
      <c r="V196" s="182"/>
      <c r="W196" s="182">
        <v>1</v>
      </c>
      <c r="X196" s="182"/>
      <c r="Y196" s="182">
        <v>1</v>
      </c>
      <c r="Z196" s="182"/>
      <c r="AA196" s="182"/>
      <c r="AB196" s="182"/>
      <c r="AC196" s="182"/>
      <c r="AD196" s="182"/>
      <c r="AE196" s="182"/>
      <c r="AF196" s="182"/>
      <c r="AG196" s="182"/>
      <c r="AH196" s="167">
        <v>6</v>
      </c>
      <c r="AI196" s="300" t="s">
        <v>929</v>
      </c>
      <c r="AJ196" s="186">
        <v>42367</v>
      </c>
      <c r="AK196" s="187"/>
      <c r="AL196" s="187">
        <f t="shared" si="123"/>
        <v>0</v>
      </c>
      <c r="AM196" s="187">
        <f t="shared" si="124"/>
        <v>13</v>
      </c>
      <c r="AN196" s="187">
        <f t="shared" si="125"/>
        <v>0</v>
      </c>
      <c r="AO196" s="187">
        <f t="shared" si="126"/>
        <v>0</v>
      </c>
      <c r="AP196" s="187">
        <f t="shared" si="127"/>
        <v>0</v>
      </c>
      <c r="AQ196" s="187">
        <f t="shared" si="128"/>
        <v>0</v>
      </c>
      <c r="AR196" s="187">
        <f t="shared" si="129"/>
        <v>0</v>
      </c>
      <c r="AS196" s="187">
        <f t="shared" si="130"/>
        <v>19</v>
      </c>
      <c r="AT196" s="187">
        <f t="shared" si="131"/>
        <v>13</v>
      </c>
      <c r="AU196" s="187">
        <f t="shared" si="132"/>
        <v>0</v>
      </c>
      <c r="AV196" s="187">
        <f t="shared" si="133"/>
        <v>0</v>
      </c>
      <c r="AW196" s="187">
        <f t="shared" si="134"/>
        <v>8</v>
      </c>
      <c r="AX196" s="187">
        <f t="shared" si="135"/>
        <v>0</v>
      </c>
      <c r="AY196" s="187">
        <f t="shared" si="136"/>
        <v>0</v>
      </c>
      <c r="AZ196" s="187">
        <f t="shared" si="137"/>
        <v>0</v>
      </c>
      <c r="BA196" s="187">
        <f t="shared" si="138"/>
        <v>16</v>
      </c>
      <c r="BB196" s="187">
        <f t="shared" si="139"/>
        <v>0</v>
      </c>
      <c r="BC196" s="187">
        <f t="shared" si="140"/>
        <v>10</v>
      </c>
      <c r="BD196" s="187">
        <f t="shared" si="141"/>
        <v>0</v>
      </c>
      <c r="BE196" s="187">
        <f t="shared" si="142"/>
        <v>0</v>
      </c>
      <c r="BF196" s="187">
        <f t="shared" si="143"/>
        <v>0</v>
      </c>
      <c r="BG196" s="187">
        <f t="shared" si="144"/>
        <v>0</v>
      </c>
      <c r="BH196" s="187">
        <f t="shared" si="145"/>
        <v>0</v>
      </c>
      <c r="BI196" s="187">
        <f t="shared" si="146"/>
        <v>0</v>
      </c>
      <c r="BJ196" s="273">
        <f t="shared" si="147"/>
        <v>79</v>
      </c>
      <c r="BK196" s="167">
        <f t="shared" ref="BK196" si="168">BJ196</f>
        <v>79</v>
      </c>
      <c r="BL196" s="167"/>
      <c r="BM196" s="644"/>
      <c r="BN196" s="644"/>
      <c r="BO196" s="644"/>
      <c r="BP196" s="644"/>
      <c r="BQ196" s="644"/>
      <c r="BR196" s="644"/>
      <c r="BS196" s="644"/>
      <c r="BT196" s="644"/>
      <c r="BU196" s="644"/>
      <c r="BV196" s="644"/>
      <c r="BW196" s="644"/>
      <c r="BX196" s="644"/>
      <c r="BY196" s="644"/>
      <c r="BZ196" s="644"/>
      <c r="CA196" s="644"/>
      <c r="CB196" s="644"/>
      <c r="CC196" s="644"/>
      <c r="CD196" s="644"/>
      <c r="CE196" s="644"/>
      <c r="CF196" s="644"/>
      <c r="CG196" s="644"/>
      <c r="CH196" s="644"/>
      <c r="CI196" s="644"/>
      <c r="CJ196" s="301" t="s">
        <v>756</v>
      </c>
      <c r="CK196" s="180"/>
      <c r="CL196" s="136"/>
    </row>
    <row r="197" spans="1:90">
      <c r="A197" s="181" t="s">
        <v>351</v>
      </c>
      <c r="B197" s="182"/>
      <c r="C197" s="183"/>
      <c r="D197" s="184">
        <v>1</v>
      </c>
      <c r="E197" s="184">
        <v>1</v>
      </c>
      <c r="F197" s="184"/>
      <c r="G197" s="184">
        <v>1</v>
      </c>
      <c r="H197" s="182"/>
      <c r="I197" s="182"/>
      <c r="J197" s="182"/>
      <c r="K197" s="182"/>
      <c r="L197" s="182">
        <v>1</v>
      </c>
      <c r="M197" s="182"/>
      <c r="N197" s="182"/>
      <c r="O197" s="182">
        <v>1</v>
      </c>
      <c r="P197" s="182"/>
      <c r="Q197" s="182"/>
      <c r="R197" s="182"/>
      <c r="S197" s="182"/>
      <c r="T197" s="182"/>
      <c r="U197" s="182"/>
      <c r="V197" s="182"/>
      <c r="W197" s="182">
        <v>1</v>
      </c>
      <c r="X197" s="182">
        <v>1</v>
      </c>
      <c r="Y197" s="182"/>
      <c r="Z197" s="182"/>
      <c r="AA197" s="182"/>
      <c r="AB197" s="182"/>
      <c r="AC197" s="182"/>
      <c r="AD197" s="182"/>
      <c r="AE197" s="182"/>
      <c r="AF197" s="182"/>
      <c r="AG197" s="182"/>
      <c r="AH197" s="167">
        <v>7</v>
      </c>
      <c r="AI197" s="300" t="s">
        <v>930</v>
      </c>
      <c r="AJ197" s="186">
        <v>42375</v>
      </c>
      <c r="AK197" s="187"/>
      <c r="AL197" s="187">
        <f t="shared" si="123"/>
        <v>0</v>
      </c>
      <c r="AM197" s="187">
        <f t="shared" si="124"/>
        <v>13</v>
      </c>
      <c r="AN197" s="187">
        <f t="shared" si="125"/>
        <v>8</v>
      </c>
      <c r="AO197" s="187">
        <f t="shared" si="126"/>
        <v>8</v>
      </c>
      <c r="AP197" s="187">
        <f t="shared" si="127"/>
        <v>0</v>
      </c>
      <c r="AQ197" s="187">
        <f t="shared" si="128"/>
        <v>0</v>
      </c>
      <c r="AR197" s="187">
        <f t="shared" si="129"/>
        <v>0</v>
      </c>
      <c r="AS197" s="187">
        <f t="shared" si="130"/>
        <v>19</v>
      </c>
      <c r="AT197" s="187">
        <f t="shared" si="131"/>
        <v>13</v>
      </c>
      <c r="AU197" s="187">
        <f t="shared" si="132"/>
        <v>0</v>
      </c>
      <c r="AV197" s="187">
        <f t="shared" si="133"/>
        <v>0</v>
      </c>
      <c r="AW197" s="187">
        <f t="shared" si="134"/>
        <v>0</v>
      </c>
      <c r="AX197" s="187">
        <f t="shared" si="135"/>
        <v>0</v>
      </c>
      <c r="AY197" s="187">
        <f t="shared" si="136"/>
        <v>0</v>
      </c>
      <c r="AZ197" s="187">
        <f t="shared" si="137"/>
        <v>0</v>
      </c>
      <c r="BA197" s="187">
        <f t="shared" si="138"/>
        <v>16</v>
      </c>
      <c r="BB197" s="187">
        <f t="shared" si="139"/>
        <v>13</v>
      </c>
      <c r="BC197" s="187">
        <f t="shared" si="140"/>
        <v>0</v>
      </c>
      <c r="BD197" s="187">
        <f t="shared" si="141"/>
        <v>0</v>
      </c>
      <c r="BE197" s="187">
        <f t="shared" si="142"/>
        <v>0</v>
      </c>
      <c r="BF197" s="187">
        <f t="shared" si="143"/>
        <v>0</v>
      </c>
      <c r="BG197" s="187">
        <f t="shared" si="144"/>
        <v>0</v>
      </c>
      <c r="BH197" s="187">
        <f t="shared" si="145"/>
        <v>0</v>
      </c>
      <c r="BI197" s="187">
        <f t="shared" si="146"/>
        <v>0</v>
      </c>
      <c r="BJ197" s="273">
        <f t="shared" si="147"/>
        <v>90</v>
      </c>
      <c r="BK197" s="167">
        <f t="shared" ref="BK197" si="169">BJ197</f>
        <v>90</v>
      </c>
      <c r="BL197" s="167"/>
      <c r="BM197" s="644"/>
      <c r="BN197" s="644"/>
      <c r="BO197" s="644"/>
      <c r="BP197" s="644"/>
      <c r="BQ197" s="644"/>
      <c r="BR197" s="644"/>
      <c r="BS197" s="644"/>
      <c r="BT197" s="644"/>
      <c r="BU197" s="644"/>
      <c r="BV197" s="644"/>
      <c r="BW197" s="644"/>
      <c r="BX197" s="644"/>
      <c r="BY197" s="644"/>
      <c r="BZ197" s="644"/>
      <c r="CA197" s="644"/>
      <c r="CB197" s="644"/>
      <c r="CC197" s="644"/>
      <c r="CD197" s="644"/>
      <c r="CE197" s="644"/>
      <c r="CF197" s="644"/>
      <c r="CG197" s="644"/>
      <c r="CH197" s="644"/>
      <c r="CI197" s="644"/>
      <c r="CJ197" s="301" t="s">
        <v>764</v>
      </c>
      <c r="CK197" s="180"/>
      <c r="CL197" s="136"/>
    </row>
    <row r="198" spans="1:90">
      <c r="A198" s="181" t="s">
        <v>352</v>
      </c>
      <c r="B198" s="182"/>
      <c r="C198" s="183"/>
      <c r="D198" s="184">
        <v>1</v>
      </c>
      <c r="E198" s="184"/>
      <c r="F198" s="184"/>
      <c r="G198" s="184"/>
      <c r="H198" s="182"/>
      <c r="I198" s="182"/>
      <c r="J198" s="182"/>
      <c r="K198" s="182"/>
      <c r="L198" s="182">
        <v>1</v>
      </c>
      <c r="M198" s="182"/>
      <c r="N198" s="182"/>
      <c r="O198" s="182"/>
      <c r="P198" s="182"/>
      <c r="Q198" s="302">
        <v>1</v>
      </c>
      <c r="R198" s="182"/>
      <c r="S198" s="182">
        <v>1</v>
      </c>
      <c r="T198" s="182"/>
      <c r="U198" s="182"/>
      <c r="V198" s="302">
        <v>1</v>
      </c>
      <c r="W198" s="182">
        <v>1</v>
      </c>
      <c r="X198" s="182">
        <v>1</v>
      </c>
      <c r="Y198" s="182">
        <v>1</v>
      </c>
      <c r="Z198" s="182"/>
      <c r="AA198" s="182"/>
      <c r="AB198" s="182"/>
      <c r="AC198" s="182"/>
      <c r="AD198" s="182">
        <v>1</v>
      </c>
      <c r="AE198" s="182"/>
      <c r="AF198" s="182"/>
      <c r="AG198" s="182"/>
      <c r="AH198" s="167">
        <v>9</v>
      </c>
      <c r="AI198" s="300" t="s">
        <v>931</v>
      </c>
      <c r="AJ198" s="186">
        <v>42343</v>
      </c>
      <c r="AK198" s="187"/>
      <c r="AL198" s="187">
        <f t="shared" si="123"/>
        <v>0</v>
      </c>
      <c r="AM198" s="187">
        <f t="shared" si="124"/>
        <v>13</v>
      </c>
      <c r="AN198" s="187">
        <f t="shared" si="125"/>
        <v>0</v>
      </c>
      <c r="AO198" s="187">
        <f t="shared" si="126"/>
        <v>0</v>
      </c>
      <c r="AP198" s="187">
        <f t="shared" si="127"/>
        <v>0</v>
      </c>
      <c r="AQ198" s="187">
        <f t="shared" si="128"/>
        <v>0</v>
      </c>
      <c r="AR198" s="187">
        <f t="shared" si="129"/>
        <v>0</v>
      </c>
      <c r="AS198" s="187">
        <f t="shared" si="130"/>
        <v>19</v>
      </c>
      <c r="AT198" s="187">
        <f t="shared" si="131"/>
        <v>0</v>
      </c>
      <c r="AU198" s="187">
        <f t="shared" si="132"/>
        <v>0</v>
      </c>
      <c r="AV198" s="187">
        <f t="shared" si="133"/>
        <v>3</v>
      </c>
      <c r="AW198" s="187">
        <f t="shared" si="134"/>
        <v>8</v>
      </c>
      <c r="AX198" s="187">
        <f t="shared" si="135"/>
        <v>0</v>
      </c>
      <c r="AY198" s="187">
        <f t="shared" si="136"/>
        <v>0</v>
      </c>
      <c r="AZ198" s="187">
        <f t="shared" si="137"/>
        <v>8</v>
      </c>
      <c r="BA198" s="187">
        <f t="shared" si="138"/>
        <v>16</v>
      </c>
      <c r="BB198" s="187">
        <f t="shared" si="139"/>
        <v>13</v>
      </c>
      <c r="BC198" s="187">
        <f t="shared" si="140"/>
        <v>10</v>
      </c>
      <c r="BD198" s="187">
        <f t="shared" si="141"/>
        <v>0</v>
      </c>
      <c r="BE198" s="187">
        <f t="shared" si="142"/>
        <v>0</v>
      </c>
      <c r="BF198" s="187">
        <f t="shared" si="143"/>
        <v>0</v>
      </c>
      <c r="BG198" s="187">
        <f t="shared" si="144"/>
        <v>8</v>
      </c>
      <c r="BH198" s="187">
        <f t="shared" si="145"/>
        <v>0</v>
      </c>
      <c r="BI198" s="187">
        <f t="shared" si="146"/>
        <v>0</v>
      </c>
      <c r="BJ198" s="273">
        <f t="shared" si="147"/>
        <v>95</v>
      </c>
      <c r="BK198" s="167">
        <f t="shared" si="38"/>
        <v>95</v>
      </c>
      <c r="BL198" s="167"/>
      <c r="BM198" s="644"/>
      <c r="BN198" s="644"/>
      <c r="BO198" s="644"/>
      <c r="BP198" s="644"/>
      <c r="BQ198" s="644"/>
      <c r="BR198" s="644"/>
      <c r="BS198" s="644"/>
      <c r="BT198" s="644"/>
      <c r="BU198" s="644"/>
      <c r="BV198" s="644"/>
      <c r="BW198" s="644"/>
      <c r="BX198" s="644"/>
      <c r="BY198" s="644"/>
      <c r="BZ198" s="644"/>
      <c r="CA198" s="644"/>
      <c r="CB198" s="644"/>
      <c r="CC198" s="644"/>
      <c r="CD198" s="644"/>
      <c r="CE198" s="644"/>
      <c r="CF198" s="644"/>
      <c r="CG198" s="644"/>
      <c r="CH198" s="644"/>
      <c r="CI198" s="644"/>
      <c r="CJ198" s="301" t="s">
        <v>740</v>
      </c>
      <c r="CK198" s="180"/>
      <c r="CL198" s="136"/>
    </row>
    <row r="199" spans="1:90" s="344" customFormat="1">
      <c r="A199" s="335" t="s">
        <v>354</v>
      </c>
      <c r="B199" s="182"/>
      <c r="C199" s="183"/>
      <c r="D199" s="184">
        <v>1</v>
      </c>
      <c r="E199" s="184">
        <v>1</v>
      </c>
      <c r="F199" s="184"/>
      <c r="G199" s="184">
        <v>1</v>
      </c>
      <c r="H199" s="182"/>
      <c r="I199" s="182"/>
      <c r="J199" s="182"/>
      <c r="K199" s="182"/>
      <c r="L199" s="182">
        <v>1</v>
      </c>
      <c r="M199" s="182"/>
      <c r="N199" s="182"/>
      <c r="O199" s="182"/>
      <c r="P199" s="182"/>
      <c r="Q199" s="182">
        <v>1</v>
      </c>
      <c r="R199" s="182"/>
      <c r="S199" s="182"/>
      <c r="T199" s="182"/>
      <c r="U199" s="182"/>
      <c r="V199" s="182"/>
      <c r="W199" s="182">
        <v>1</v>
      </c>
      <c r="X199" s="182">
        <v>1</v>
      </c>
      <c r="Y199" s="182"/>
      <c r="Z199" s="182"/>
      <c r="AA199" s="182"/>
      <c r="AB199" s="182"/>
      <c r="AC199" s="182"/>
      <c r="AD199" s="182"/>
      <c r="AE199" s="182"/>
      <c r="AF199" s="182"/>
      <c r="AG199" s="182"/>
      <c r="AH199" s="339">
        <v>7</v>
      </c>
      <c r="AI199" s="340" t="s">
        <v>786</v>
      </c>
      <c r="AJ199" s="341">
        <v>42375</v>
      </c>
      <c r="AK199" s="187"/>
      <c r="AL199" s="187">
        <f t="shared" si="123"/>
        <v>0</v>
      </c>
      <c r="AM199" s="187">
        <f t="shared" si="124"/>
        <v>13</v>
      </c>
      <c r="AN199" s="187">
        <f t="shared" si="125"/>
        <v>8</v>
      </c>
      <c r="AO199" s="187">
        <f t="shared" si="126"/>
        <v>8</v>
      </c>
      <c r="AP199" s="187">
        <f t="shared" si="127"/>
        <v>0</v>
      </c>
      <c r="AQ199" s="187">
        <f t="shared" si="128"/>
        <v>0</v>
      </c>
      <c r="AR199" s="187">
        <f t="shared" si="129"/>
        <v>0</v>
      </c>
      <c r="AS199" s="187">
        <f t="shared" si="130"/>
        <v>19</v>
      </c>
      <c r="AT199" s="187">
        <f t="shared" si="131"/>
        <v>0</v>
      </c>
      <c r="AU199" s="187">
        <f t="shared" si="132"/>
        <v>0</v>
      </c>
      <c r="AV199" s="187">
        <f t="shared" si="133"/>
        <v>3</v>
      </c>
      <c r="AW199" s="187">
        <f t="shared" si="134"/>
        <v>0</v>
      </c>
      <c r="AX199" s="187">
        <f t="shared" si="135"/>
        <v>0</v>
      </c>
      <c r="AY199" s="187">
        <f t="shared" si="136"/>
        <v>0</v>
      </c>
      <c r="AZ199" s="187">
        <f t="shared" si="137"/>
        <v>0</v>
      </c>
      <c r="BA199" s="187">
        <f t="shared" si="138"/>
        <v>16</v>
      </c>
      <c r="BB199" s="187">
        <f t="shared" si="139"/>
        <v>13</v>
      </c>
      <c r="BC199" s="187">
        <f t="shared" si="140"/>
        <v>0</v>
      </c>
      <c r="BD199" s="187">
        <f t="shared" si="141"/>
        <v>0</v>
      </c>
      <c r="BE199" s="187">
        <f t="shared" si="142"/>
        <v>0</v>
      </c>
      <c r="BF199" s="187">
        <f t="shared" si="143"/>
        <v>0</v>
      </c>
      <c r="BG199" s="187">
        <f t="shared" si="144"/>
        <v>0</v>
      </c>
      <c r="BH199" s="187">
        <f t="shared" si="145"/>
        <v>0</v>
      </c>
      <c r="BI199" s="187">
        <f t="shared" si="146"/>
        <v>0</v>
      </c>
      <c r="BJ199" s="273">
        <f t="shared" si="147"/>
        <v>80</v>
      </c>
      <c r="BK199" s="167">
        <f t="shared" si="38"/>
        <v>80</v>
      </c>
      <c r="BL199" s="167"/>
      <c r="BM199" s="644"/>
      <c r="BN199" s="644"/>
      <c r="BO199" s="644"/>
      <c r="BP199" s="644"/>
      <c r="BQ199" s="644"/>
      <c r="BR199" s="644"/>
      <c r="BS199" s="644"/>
      <c r="BT199" s="644"/>
      <c r="BU199" s="644"/>
      <c r="BV199" s="644"/>
      <c r="BW199" s="644"/>
      <c r="BX199" s="644"/>
      <c r="BY199" s="644"/>
      <c r="BZ199" s="644"/>
      <c r="CA199" s="644"/>
      <c r="CB199" s="644"/>
      <c r="CC199" s="644"/>
      <c r="CD199" s="644"/>
      <c r="CE199" s="644"/>
      <c r="CF199" s="644"/>
      <c r="CG199" s="644"/>
      <c r="CH199" s="644"/>
      <c r="CI199" s="644"/>
      <c r="CJ199" s="301" t="s">
        <v>787</v>
      </c>
      <c r="CK199" s="342"/>
      <c r="CL199" s="343"/>
    </row>
    <row r="200" spans="1:90">
      <c r="A200" s="181" t="s">
        <v>932</v>
      </c>
      <c r="B200" s="182"/>
      <c r="C200" s="183"/>
      <c r="D200" s="184"/>
      <c r="E200" s="184"/>
      <c r="F200" s="184"/>
      <c r="G200" s="184"/>
      <c r="H200" s="182"/>
      <c r="I200" s="182"/>
      <c r="J200" s="182"/>
      <c r="K200" s="182"/>
      <c r="L200" s="182">
        <v>1</v>
      </c>
      <c r="M200" s="182"/>
      <c r="N200" s="182"/>
      <c r="O200" s="182">
        <v>1</v>
      </c>
      <c r="P200" s="182"/>
      <c r="Q200" s="182"/>
      <c r="R200" s="182"/>
      <c r="S200" s="182"/>
      <c r="T200" s="182">
        <v>1</v>
      </c>
      <c r="U200" s="182"/>
      <c r="V200" s="182"/>
      <c r="W200" s="182"/>
      <c r="X200" s="182">
        <v>1</v>
      </c>
      <c r="Y200" s="320"/>
      <c r="Z200" s="182"/>
      <c r="AA200" s="302">
        <v>1</v>
      </c>
      <c r="AB200" s="182"/>
      <c r="AC200" s="182"/>
      <c r="AD200" s="182">
        <v>1</v>
      </c>
      <c r="AE200" s="182">
        <v>1</v>
      </c>
      <c r="AF200" s="182"/>
      <c r="AG200" s="182"/>
      <c r="AH200" s="167">
        <v>7</v>
      </c>
      <c r="AI200" s="328" t="s">
        <v>113</v>
      </c>
      <c r="AJ200" s="186">
        <v>42347</v>
      </c>
      <c r="AK200" s="187"/>
      <c r="AL200" s="187">
        <f t="shared" si="123"/>
        <v>0</v>
      </c>
      <c r="AM200" s="187">
        <f t="shared" si="124"/>
        <v>0</v>
      </c>
      <c r="AN200" s="187">
        <f t="shared" si="125"/>
        <v>0</v>
      </c>
      <c r="AO200" s="187">
        <f t="shared" si="126"/>
        <v>0</v>
      </c>
      <c r="AP200" s="187">
        <f t="shared" si="127"/>
        <v>0</v>
      </c>
      <c r="AQ200" s="187">
        <f t="shared" si="128"/>
        <v>0</v>
      </c>
      <c r="AR200" s="187">
        <f t="shared" si="129"/>
        <v>0</v>
      </c>
      <c r="AS200" s="187">
        <f t="shared" si="130"/>
        <v>19</v>
      </c>
      <c r="AT200" s="187">
        <f t="shared" si="131"/>
        <v>13</v>
      </c>
      <c r="AU200" s="187">
        <f t="shared" si="132"/>
        <v>0</v>
      </c>
      <c r="AV200" s="187">
        <f t="shared" si="133"/>
        <v>0</v>
      </c>
      <c r="AW200" s="187">
        <f t="shared" si="134"/>
        <v>0</v>
      </c>
      <c r="AX200" s="187">
        <f t="shared" si="135"/>
        <v>4</v>
      </c>
      <c r="AY200" s="187">
        <f t="shared" si="136"/>
        <v>0</v>
      </c>
      <c r="AZ200" s="187">
        <f t="shared" si="137"/>
        <v>0</v>
      </c>
      <c r="BA200" s="187">
        <f t="shared" si="138"/>
        <v>0</v>
      </c>
      <c r="BB200" s="187">
        <f t="shared" si="139"/>
        <v>13</v>
      </c>
      <c r="BC200" s="187">
        <f t="shared" si="140"/>
        <v>0</v>
      </c>
      <c r="BD200" s="187">
        <f t="shared" si="141"/>
        <v>0</v>
      </c>
      <c r="BE200" s="187">
        <f t="shared" si="142"/>
        <v>6</v>
      </c>
      <c r="BF200" s="187">
        <f t="shared" si="143"/>
        <v>0</v>
      </c>
      <c r="BG200" s="187">
        <f t="shared" si="144"/>
        <v>8</v>
      </c>
      <c r="BH200" s="187">
        <f t="shared" si="145"/>
        <v>2</v>
      </c>
      <c r="BI200" s="187">
        <f t="shared" si="146"/>
        <v>0</v>
      </c>
      <c r="BJ200" s="273">
        <f t="shared" si="147"/>
        <v>65</v>
      </c>
      <c r="BK200" s="167">
        <f t="shared" si="38"/>
        <v>65</v>
      </c>
      <c r="BL200" s="167"/>
      <c r="BM200" s="644"/>
      <c r="BN200" s="644"/>
      <c r="BO200" s="644"/>
      <c r="BP200" s="644"/>
      <c r="BQ200" s="644"/>
      <c r="BR200" s="644"/>
      <c r="BS200" s="644"/>
      <c r="BT200" s="644"/>
      <c r="BU200" s="644"/>
      <c r="BV200" s="644"/>
      <c r="BW200" s="644"/>
      <c r="BX200" s="644"/>
      <c r="BY200" s="644"/>
      <c r="BZ200" s="644"/>
      <c r="CA200" s="644"/>
      <c r="CB200" s="644"/>
      <c r="CC200" s="644"/>
      <c r="CD200" s="644"/>
      <c r="CE200" s="644"/>
      <c r="CF200" s="644"/>
      <c r="CG200" s="644"/>
      <c r="CH200" s="644"/>
      <c r="CI200" s="644"/>
      <c r="CJ200" s="301" t="s">
        <v>754</v>
      </c>
      <c r="CK200" s="180"/>
      <c r="CL200" s="136"/>
    </row>
    <row r="201" spans="1:90">
      <c r="A201" s="181" t="s">
        <v>357</v>
      </c>
      <c r="B201" s="182"/>
      <c r="C201" s="183"/>
      <c r="D201" s="302">
        <v>1</v>
      </c>
      <c r="E201" s="184">
        <v>1</v>
      </c>
      <c r="F201" s="184"/>
      <c r="G201" s="184">
        <v>1</v>
      </c>
      <c r="H201" s="182"/>
      <c r="I201" s="182"/>
      <c r="J201" s="182"/>
      <c r="K201" s="182"/>
      <c r="L201" s="182">
        <v>1</v>
      </c>
      <c r="M201" s="182"/>
      <c r="N201" s="182"/>
      <c r="O201" s="182">
        <v>1</v>
      </c>
      <c r="P201" s="182"/>
      <c r="Q201" s="182"/>
      <c r="R201" s="182"/>
      <c r="S201" s="182">
        <v>1</v>
      </c>
      <c r="T201" s="182"/>
      <c r="U201" s="182"/>
      <c r="V201" s="182"/>
      <c r="W201" s="182">
        <v>1</v>
      </c>
      <c r="X201" s="182">
        <v>1</v>
      </c>
      <c r="Y201" s="182">
        <v>1</v>
      </c>
      <c r="Z201" s="182"/>
      <c r="AA201" s="302">
        <v>1</v>
      </c>
      <c r="AB201" s="182"/>
      <c r="AC201" s="182"/>
      <c r="AD201" s="182"/>
      <c r="AE201" s="182"/>
      <c r="AF201" s="182"/>
      <c r="AG201" s="182"/>
      <c r="AH201" s="167">
        <v>10</v>
      </c>
      <c r="AI201" s="300" t="s">
        <v>933</v>
      </c>
      <c r="AJ201" s="186">
        <v>42360</v>
      </c>
      <c r="AK201" s="187"/>
      <c r="AL201" s="187">
        <f t="shared" si="123"/>
        <v>0</v>
      </c>
      <c r="AM201" s="187">
        <f t="shared" si="124"/>
        <v>13</v>
      </c>
      <c r="AN201" s="187">
        <f t="shared" si="125"/>
        <v>8</v>
      </c>
      <c r="AO201" s="187">
        <f t="shared" si="126"/>
        <v>8</v>
      </c>
      <c r="AP201" s="187">
        <f t="shared" si="127"/>
        <v>0</v>
      </c>
      <c r="AQ201" s="187">
        <f t="shared" si="128"/>
        <v>0</v>
      </c>
      <c r="AR201" s="187">
        <f t="shared" si="129"/>
        <v>0</v>
      </c>
      <c r="AS201" s="187">
        <f t="shared" si="130"/>
        <v>19</v>
      </c>
      <c r="AT201" s="187">
        <f t="shared" si="131"/>
        <v>13</v>
      </c>
      <c r="AU201" s="187">
        <f t="shared" si="132"/>
        <v>0</v>
      </c>
      <c r="AV201" s="187">
        <f t="shared" si="133"/>
        <v>0</v>
      </c>
      <c r="AW201" s="187">
        <f t="shared" si="134"/>
        <v>8</v>
      </c>
      <c r="AX201" s="187">
        <f t="shared" si="135"/>
        <v>0</v>
      </c>
      <c r="AY201" s="187">
        <f t="shared" si="136"/>
        <v>0</v>
      </c>
      <c r="AZ201" s="187">
        <f t="shared" si="137"/>
        <v>0</v>
      </c>
      <c r="BA201" s="187">
        <f t="shared" si="138"/>
        <v>16</v>
      </c>
      <c r="BB201" s="187">
        <f t="shared" si="139"/>
        <v>13</v>
      </c>
      <c r="BC201" s="187">
        <f t="shared" si="140"/>
        <v>10</v>
      </c>
      <c r="BD201" s="187">
        <f t="shared" si="141"/>
        <v>0</v>
      </c>
      <c r="BE201" s="187">
        <f t="shared" si="142"/>
        <v>6</v>
      </c>
      <c r="BF201" s="187">
        <f t="shared" si="143"/>
        <v>0</v>
      </c>
      <c r="BG201" s="187">
        <f t="shared" si="144"/>
        <v>0</v>
      </c>
      <c r="BH201" s="187">
        <f t="shared" si="145"/>
        <v>0</v>
      </c>
      <c r="BI201" s="187">
        <f t="shared" si="146"/>
        <v>0</v>
      </c>
      <c r="BJ201" s="273">
        <f t="shared" si="147"/>
        <v>100</v>
      </c>
      <c r="BK201" s="167">
        <f t="shared" ref="BK201" si="170">BJ201</f>
        <v>100</v>
      </c>
      <c r="BL201" s="167"/>
      <c r="BM201" s="644"/>
      <c r="BN201" s="644"/>
      <c r="BO201" s="644"/>
      <c r="BP201" s="644"/>
      <c r="BQ201" s="644"/>
      <c r="BR201" s="644"/>
      <c r="BS201" s="644"/>
      <c r="BT201" s="644"/>
      <c r="BU201" s="644"/>
      <c r="BV201" s="644"/>
      <c r="BW201" s="644"/>
      <c r="BX201" s="644"/>
      <c r="BY201" s="644"/>
      <c r="BZ201" s="644"/>
      <c r="CA201" s="644"/>
      <c r="CB201" s="644"/>
      <c r="CC201" s="644"/>
      <c r="CD201" s="644"/>
      <c r="CE201" s="644"/>
      <c r="CF201" s="644"/>
      <c r="CG201" s="644"/>
      <c r="CH201" s="644"/>
      <c r="CI201" s="644"/>
      <c r="CJ201" s="301" t="s">
        <v>756</v>
      </c>
      <c r="CK201" s="180"/>
      <c r="CL201" s="136"/>
    </row>
    <row r="202" spans="1:90">
      <c r="A202" s="181" t="s">
        <v>358</v>
      </c>
      <c r="B202" s="182"/>
      <c r="C202" s="183"/>
      <c r="D202" s="184"/>
      <c r="E202" s="184"/>
      <c r="F202" s="184"/>
      <c r="G202" s="184"/>
      <c r="H202" s="182"/>
      <c r="I202" s="182"/>
      <c r="J202" s="182"/>
      <c r="K202" s="182"/>
      <c r="L202" s="182">
        <v>1</v>
      </c>
      <c r="M202" s="182"/>
      <c r="N202" s="182"/>
      <c r="O202" s="182"/>
      <c r="P202" s="182"/>
      <c r="Q202" s="182"/>
      <c r="R202" s="182"/>
      <c r="S202" s="182"/>
      <c r="T202" s="182"/>
      <c r="U202" s="182"/>
      <c r="V202" s="182"/>
      <c r="W202" s="182"/>
      <c r="X202" s="182">
        <v>1</v>
      </c>
      <c r="Y202" s="182">
        <v>1</v>
      </c>
      <c r="Z202" s="182"/>
      <c r="AA202" s="182"/>
      <c r="AB202" s="182"/>
      <c r="AC202" s="182"/>
      <c r="AD202" s="182">
        <v>1</v>
      </c>
      <c r="AE202" s="182"/>
      <c r="AF202" s="182"/>
      <c r="AG202" s="182"/>
      <c r="AH202" s="167">
        <v>4</v>
      </c>
      <c r="AI202" s="300" t="s">
        <v>934</v>
      </c>
      <c r="AJ202" s="186">
        <v>42355</v>
      </c>
      <c r="AK202" s="187"/>
      <c r="AL202" s="187">
        <f t="shared" si="123"/>
        <v>0</v>
      </c>
      <c r="AM202" s="187">
        <f t="shared" si="124"/>
        <v>0</v>
      </c>
      <c r="AN202" s="187">
        <f t="shared" si="125"/>
        <v>0</v>
      </c>
      <c r="AO202" s="187">
        <f t="shared" si="126"/>
        <v>0</v>
      </c>
      <c r="AP202" s="187">
        <f t="shared" si="127"/>
        <v>0</v>
      </c>
      <c r="AQ202" s="187">
        <f t="shared" si="128"/>
        <v>0</v>
      </c>
      <c r="AR202" s="187">
        <f t="shared" si="129"/>
        <v>0</v>
      </c>
      <c r="AS202" s="187">
        <f t="shared" si="130"/>
        <v>19</v>
      </c>
      <c r="AT202" s="187">
        <f t="shared" si="131"/>
        <v>0</v>
      </c>
      <c r="AU202" s="187">
        <f t="shared" si="132"/>
        <v>0</v>
      </c>
      <c r="AV202" s="187">
        <f t="shared" si="133"/>
        <v>0</v>
      </c>
      <c r="AW202" s="187">
        <f t="shared" si="134"/>
        <v>0</v>
      </c>
      <c r="AX202" s="187">
        <f t="shared" si="135"/>
        <v>0</v>
      </c>
      <c r="AY202" s="187">
        <f t="shared" si="136"/>
        <v>0</v>
      </c>
      <c r="AZ202" s="187">
        <f t="shared" si="137"/>
        <v>0</v>
      </c>
      <c r="BA202" s="187">
        <f t="shared" si="138"/>
        <v>0</v>
      </c>
      <c r="BB202" s="187">
        <f t="shared" si="139"/>
        <v>13</v>
      </c>
      <c r="BC202" s="187">
        <f t="shared" si="140"/>
        <v>10</v>
      </c>
      <c r="BD202" s="187">
        <f t="shared" si="141"/>
        <v>0</v>
      </c>
      <c r="BE202" s="187">
        <f t="shared" si="142"/>
        <v>0</v>
      </c>
      <c r="BF202" s="187">
        <f t="shared" si="143"/>
        <v>0</v>
      </c>
      <c r="BG202" s="187">
        <f t="shared" si="144"/>
        <v>8</v>
      </c>
      <c r="BH202" s="187">
        <f t="shared" si="145"/>
        <v>0</v>
      </c>
      <c r="BI202" s="187">
        <f t="shared" si="146"/>
        <v>0</v>
      </c>
      <c r="BJ202" s="273">
        <f t="shared" si="147"/>
        <v>50</v>
      </c>
      <c r="BK202" s="167">
        <f t="shared" si="38"/>
        <v>50</v>
      </c>
      <c r="BL202" s="167"/>
      <c r="BM202" s="644"/>
      <c r="BN202" s="644"/>
      <c r="BO202" s="644"/>
      <c r="BP202" s="644"/>
      <c r="BQ202" s="644"/>
      <c r="BR202" s="644"/>
      <c r="BS202" s="644"/>
      <c r="BT202" s="644"/>
      <c r="BU202" s="644"/>
      <c r="BV202" s="644"/>
      <c r="BW202" s="644"/>
      <c r="BX202" s="644"/>
      <c r="BY202" s="644"/>
      <c r="BZ202" s="644"/>
      <c r="CA202" s="644"/>
      <c r="CB202" s="644"/>
      <c r="CC202" s="644"/>
      <c r="CD202" s="644"/>
      <c r="CE202" s="644"/>
      <c r="CF202" s="644"/>
      <c r="CG202" s="644"/>
      <c r="CH202" s="644"/>
      <c r="CI202" s="644"/>
      <c r="CJ202" s="301" t="s">
        <v>740</v>
      </c>
      <c r="CK202" s="180"/>
      <c r="CL202" s="136"/>
    </row>
    <row r="203" spans="1:90">
      <c r="A203" s="181" t="s">
        <v>359</v>
      </c>
      <c r="B203" s="182"/>
      <c r="C203" s="183"/>
      <c r="D203" s="184">
        <v>1</v>
      </c>
      <c r="E203" s="302">
        <v>1</v>
      </c>
      <c r="F203" s="302"/>
      <c r="G203" s="302">
        <v>1</v>
      </c>
      <c r="H203" s="182"/>
      <c r="I203" s="182"/>
      <c r="J203" s="182"/>
      <c r="K203" s="182"/>
      <c r="L203" s="182">
        <v>1</v>
      </c>
      <c r="M203" s="182"/>
      <c r="N203" s="182"/>
      <c r="O203" s="182">
        <v>1</v>
      </c>
      <c r="P203" s="182"/>
      <c r="Q203" s="182">
        <v>1</v>
      </c>
      <c r="R203" s="182"/>
      <c r="S203" s="182"/>
      <c r="T203" s="182"/>
      <c r="U203" s="182"/>
      <c r="V203" s="182"/>
      <c r="W203" s="182">
        <v>1</v>
      </c>
      <c r="X203" s="182">
        <v>1</v>
      </c>
      <c r="Y203" s="182"/>
      <c r="Z203" s="182"/>
      <c r="AA203" s="182">
        <v>1</v>
      </c>
      <c r="AB203" s="182"/>
      <c r="AC203" s="182"/>
      <c r="AD203" s="182">
        <v>1</v>
      </c>
      <c r="AE203" s="182"/>
      <c r="AF203" s="182"/>
      <c r="AG203" s="182"/>
      <c r="AH203" s="167">
        <v>10</v>
      </c>
      <c r="AI203" s="334" t="s">
        <v>935</v>
      </c>
      <c r="AJ203" s="186">
        <v>42374</v>
      </c>
      <c r="AK203" s="187"/>
      <c r="AL203" s="187">
        <f t="shared" si="123"/>
        <v>0</v>
      </c>
      <c r="AM203" s="187">
        <f t="shared" si="124"/>
        <v>13</v>
      </c>
      <c r="AN203" s="187">
        <f t="shared" si="125"/>
        <v>8</v>
      </c>
      <c r="AO203" s="187">
        <f t="shared" si="126"/>
        <v>8</v>
      </c>
      <c r="AP203" s="187">
        <f t="shared" si="127"/>
        <v>0</v>
      </c>
      <c r="AQ203" s="187">
        <f t="shared" si="128"/>
        <v>0</v>
      </c>
      <c r="AR203" s="187">
        <f t="shared" si="129"/>
        <v>0</v>
      </c>
      <c r="AS203" s="187">
        <f t="shared" si="130"/>
        <v>19</v>
      </c>
      <c r="AT203" s="187">
        <f t="shared" si="131"/>
        <v>13</v>
      </c>
      <c r="AU203" s="187">
        <f t="shared" si="132"/>
        <v>0</v>
      </c>
      <c r="AV203" s="187">
        <f t="shared" si="133"/>
        <v>3</v>
      </c>
      <c r="AW203" s="187">
        <f t="shared" si="134"/>
        <v>0</v>
      </c>
      <c r="AX203" s="187">
        <f t="shared" si="135"/>
        <v>0</v>
      </c>
      <c r="AY203" s="187">
        <f t="shared" si="136"/>
        <v>0</v>
      </c>
      <c r="AZ203" s="187">
        <f t="shared" si="137"/>
        <v>0</v>
      </c>
      <c r="BA203" s="187">
        <f t="shared" si="138"/>
        <v>16</v>
      </c>
      <c r="BB203" s="187">
        <f t="shared" si="139"/>
        <v>13</v>
      </c>
      <c r="BC203" s="187">
        <f t="shared" si="140"/>
        <v>0</v>
      </c>
      <c r="BD203" s="187">
        <f t="shared" si="141"/>
        <v>0</v>
      </c>
      <c r="BE203" s="187">
        <f t="shared" si="142"/>
        <v>6</v>
      </c>
      <c r="BF203" s="187">
        <f t="shared" si="143"/>
        <v>0</v>
      </c>
      <c r="BG203" s="187">
        <f t="shared" si="144"/>
        <v>8</v>
      </c>
      <c r="BH203" s="187">
        <f t="shared" si="145"/>
        <v>0</v>
      </c>
      <c r="BI203" s="187">
        <f t="shared" si="146"/>
        <v>0</v>
      </c>
      <c r="BJ203" s="273">
        <f t="shared" si="147"/>
        <v>98</v>
      </c>
      <c r="BK203" s="167">
        <f t="shared" ref="BK203" si="171">BJ203</f>
        <v>98</v>
      </c>
      <c r="BL203" s="167"/>
      <c r="BM203" s="644"/>
      <c r="BN203" s="644"/>
      <c r="BO203" s="644"/>
      <c r="BP203" s="644"/>
      <c r="BQ203" s="644"/>
      <c r="BR203" s="644"/>
      <c r="BS203" s="644"/>
      <c r="BT203" s="644"/>
      <c r="BU203" s="644"/>
      <c r="BV203" s="644"/>
      <c r="BW203" s="644"/>
      <c r="BX203" s="644"/>
      <c r="BY203" s="644"/>
      <c r="BZ203" s="644"/>
      <c r="CA203" s="644"/>
      <c r="CB203" s="644"/>
      <c r="CC203" s="644"/>
      <c r="CD203" s="644"/>
      <c r="CE203" s="644"/>
      <c r="CF203" s="644"/>
      <c r="CG203" s="644"/>
      <c r="CH203" s="644"/>
      <c r="CI203" s="644"/>
      <c r="CJ203" s="301" t="s">
        <v>752</v>
      </c>
      <c r="CK203" s="180"/>
      <c r="CL203" s="136"/>
    </row>
    <row r="204" spans="1:90" s="344" customFormat="1">
      <c r="A204" s="335" t="s">
        <v>360</v>
      </c>
      <c r="B204" s="182"/>
      <c r="C204" s="183"/>
      <c r="D204" s="314">
        <v>1</v>
      </c>
      <c r="E204" s="182">
        <v>1</v>
      </c>
      <c r="F204" s="182"/>
      <c r="G204" s="182">
        <v>1</v>
      </c>
      <c r="H204" s="182"/>
      <c r="I204" s="182"/>
      <c r="J204" s="182"/>
      <c r="K204" s="182"/>
      <c r="L204" s="182">
        <v>1</v>
      </c>
      <c r="M204" s="182"/>
      <c r="N204" s="182"/>
      <c r="O204" s="182"/>
      <c r="P204" s="182"/>
      <c r="Q204" s="182"/>
      <c r="R204" s="182"/>
      <c r="S204" s="182">
        <v>1</v>
      </c>
      <c r="T204" s="182"/>
      <c r="U204" s="182"/>
      <c r="V204" s="302">
        <v>1</v>
      </c>
      <c r="W204" s="302">
        <v>1</v>
      </c>
      <c r="X204" s="182">
        <v>1</v>
      </c>
      <c r="Y204" s="182">
        <v>1</v>
      </c>
      <c r="Z204" s="182"/>
      <c r="AA204" s="182"/>
      <c r="AB204" s="182"/>
      <c r="AC204" s="182"/>
      <c r="AD204" s="302">
        <v>1</v>
      </c>
      <c r="AE204" s="182"/>
      <c r="AF204" s="182"/>
      <c r="AG204" s="182"/>
      <c r="AH204" s="339">
        <v>10</v>
      </c>
      <c r="AI204" s="300" t="s">
        <v>856</v>
      </c>
      <c r="AJ204" s="341">
        <v>42375</v>
      </c>
      <c r="AK204" s="187"/>
      <c r="AL204" s="187">
        <f t="shared" si="123"/>
        <v>0</v>
      </c>
      <c r="AM204" s="187">
        <f t="shared" si="124"/>
        <v>13</v>
      </c>
      <c r="AN204" s="187">
        <f t="shared" si="125"/>
        <v>8</v>
      </c>
      <c r="AO204" s="187">
        <f t="shared" si="126"/>
        <v>8</v>
      </c>
      <c r="AP204" s="187">
        <f t="shared" si="127"/>
        <v>0</v>
      </c>
      <c r="AQ204" s="187">
        <f t="shared" si="128"/>
        <v>0</v>
      </c>
      <c r="AR204" s="187">
        <f t="shared" si="129"/>
        <v>0</v>
      </c>
      <c r="AS204" s="187">
        <f t="shared" si="130"/>
        <v>19</v>
      </c>
      <c r="AT204" s="187">
        <f t="shared" si="131"/>
        <v>0</v>
      </c>
      <c r="AU204" s="187">
        <f t="shared" si="132"/>
        <v>0</v>
      </c>
      <c r="AV204" s="187">
        <f t="shared" si="133"/>
        <v>0</v>
      </c>
      <c r="AW204" s="187">
        <f t="shared" si="134"/>
        <v>8</v>
      </c>
      <c r="AX204" s="187">
        <f t="shared" si="135"/>
        <v>0</v>
      </c>
      <c r="AY204" s="187">
        <f t="shared" si="136"/>
        <v>0</v>
      </c>
      <c r="AZ204" s="187">
        <f t="shared" si="137"/>
        <v>8</v>
      </c>
      <c r="BA204" s="187">
        <f t="shared" si="138"/>
        <v>16</v>
      </c>
      <c r="BB204" s="187">
        <f t="shared" si="139"/>
        <v>13</v>
      </c>
      <c r="BC204" s="187">
        <f t="shared" si="140"/>
        <v>10</v>
      </c>
      <c r="BD204" s="187">
        <f t="shared" si="141"/>
        <v>0</v>
      </c>
      <c r="BE204" s="187">
        <f t="shared" si="142"/>
        <v>0</v>
      </c>
      <c r="BF204" s="187">
        <f t="shared" si="143"/>
        <v>0</v>
      </c>
      <c r="BG204" s="187">
        <f t="shared" si="144"/>
        <v>8</v>
      </c>
      <c r="BH204" s="187">
        <f t="shared" si="145"/>
        <v>0</v>
      </c>
      <c r="BI204" s="187">
        <f t="shared" si="146"/>
        <v>0</v>
      </c>
      <c r="BJ204" s="273">
        <f t="shared" si="147"/>
        <v>95</v>
      </c>
      <c r="BK204" s="167">
        <f t="shared" ref="BK204" si="172">BJ204</f>
        <v>95</v>
      </c>
      <c r="BL204" s="167"/>
      <c r="BM204" s="644"/>
      <c r="BN204" s="644"/>
      <c r="BO204" s="644"/>
      <c r="BP204" s="644"/>
      <c r="BQ204" s="644"/>
      <c r="BR204" s="644"/>
      <c r="BS204" s="644"/>
      <c r="BT204" s="644"/>
      <c r="BU204" s="644"/>
      <c r="BV204" s="644"/>
      <c r="BW204" s="644"/>
      <c r="BX204" s="644"/>
      <c r="BY204" s="644"/>
      <c r="BZ204" s="644"/>
      <c r="CA204" s="644"/>
      <c r="CB204" s="644"/>
      <c r="CC204" s="644"/>
      <c r="CD204" s="644"/>
      <c r="CE204" s="644"/>
      <c r="CF204" s="644"/>
      <c r="CG204" s="644"/>
      <c r="CH204" s="644"/>
      <c r="CI204" s="644"/>
      <c r="CJ204" s="301" t="s">
        <v>756</v>
      </c>
      <c r="CK204" s="342"/>
      <c r="CL204" s="343"/>
    </row>
    <row r="205" spans="1:90">
      <c r="A205" s="181" t="s">
        <v>362</v>
      </c>
      <c r="B205" s="182"/>
      <c r="C205" s="183"/>
      <c r="D205" s="184">
        <v>1</v>
      </c>
      <c r="E205" s="184">
        <v>1</v>
      </c>
      <c r="F205" s="184"/>
      <c r="G205" s="184">
        <v>1</v>
      </c>
      <c r="H205" s="182"/>
      <c r="I205" s="182"/>
      <c r="J205" s="182"/>
      <c r="K205" s="182"/>
      <c r="L205" s="182">
        <v>1</v>
      </c>
      <c r="M205" s="182"/>
      <c r="N205" s="182"/>
      <c r="O205" s="182"/>
      <c r="P205" s="182"/>
      <c r="Q205" s="182"/>
      <c r="R205" s="182"/>
      <c r="S205" s="302">
        <v>1</v>
      </c>
      <c r="T205" s="182"/>
      <c r="U205" s="302">
        <v>1</v>
      </c>
      <c r="V205" s="182">
        <v>1</v>
      </c>
      <c r="W205" s="182">
        <v>1</v>
      </c>
      <c r="X205" s="182">
        <v>1</v>
      </c>
      <c r="Y205" s="182">
        <v>1</v>
      </c>
      <c r="Z205" s="182"/>
      <c r="AA205" s="182"/>
      <c r="AB205" s="182"/>
      <c r="AC205" s="182"/>
      <c r="AD205" s="182"/>
      <c r="AE205" s="182"/>
      <c r="AF205" s="182"/>
      <c r="AG205" s="182"/>
      <c r="AH205" s="167">
        <v>10</v>
      </c>
      <c r="AI205" s="300" t="s">
        <v>936</v>
      </c>
      <c r="AJ205" s="186">
        <v>42363</v>
      </c>
      <c r="AK205" s="187"/>
      <c r="AL205" s="187">
        <f t="shared" si="123"/>
        <v>0</v>
      </c>
      <c r="AM205" s="187">
        <f t="shared" si="124"/>
        <v>13</v>
      </c>
      <c r="AN205" s="187">
        <f t="shared" si="125"/>
        <v>8</v>
      </c>
      <c r="AO205" s="187">
        <f t="shared" si="126"/>
        <v>8</v>
      </c>
      <c r="AP205" s="187">
        <f t="shared" si="127"/>
        <v>0</v>
      </c>
      <c r="AQ205" s="187">
        <f t="shared" si="128"/>
        <v>0</v>
      </c>
      <c r="AR205" s="187">
        <f t="shared" si="129"/>
        <v>0</v>
      </c>
      <c r="AS205" s="187">
        <f t="shared" si="130"/>
        <v>19</v>
      </c>
      <c r="AT205" s="187">
        <f t="shared" si="131"/>
        <v>0</v>
      </c>
      <c r="AU205" s="187">
        <f t="shared" si="132"/>
        <v>0</v>
      </c>
      <c r="AV205" s="187">
        <f t="shared" si="133"/>
        <v>0</v>
      </c>
      <c r="AW205" s="187">
        <f t="shared" si="134"/>
        <v>8</v>
      </c>
      <c r="AX205" s="187">
        <f t="shared" si="135"/>
        <v>0</v>
      </c>
      <c r="AY205" s="187">
        <f t="shared" si="136"/>
        <v>2</v>
      </c>
      <c r="AZ205" s="187">
        <f t="shared" si="137"/>
        <v>8</v>
      </c>
      <c r="BA205" s="187">
        <f t="shared" si="138"/>
        <v>16</v>
      </c>
      <c r="BB205" s="187">
        <f t="shared" si="139"/>
        <v>13</v>
      </c>
      <c r="BC205" s="187">
        <f t="shared" si="140"/>
        <v>10</v>
      </c>
      <c r="BD205" s="187">
        <f t="shared" si="141"/>
        <v>0</v>
      </c>
      <c r="BE205" s="187">
        <f t="shared" si="142"/>
        <v>0</v>
      </c>
      <c r="BF205" s="187">
        <f t="shared" si="143"/>
        <v>0</v>
      </c>
      <c r="BG205" s="187">
        <f t="shared" si="144"/>
        <v>0</v>
      </c>
      <c r="BH205" s="187">
        <f t="shared" si="145"/>
        <v>0</v>
      </c>
      <c r="BI205" s="187">
        <f t="shared" si="146"/>
        <v>0</v>
      </c>
      <c r="BJ205" s="273">
        <f t="shared" si="147"/>
        <v>95</v>
      </c>
      <c r="BK205" s="167">
        <f t="shared" ref="BK205" si="173">BJ205</f>
        <v>95</v>
      </c>
      <c r="BL205" s="167"/>
      <c r="BM205" s="644"/>
      <c r="BN205" s="644"/>
      <c r="BO205" s="644"/>
      <c r="BP205" s="644"/>
      <c r="BQ205" s="644"/>
      <c r="BR205" s="644"/>
      <c r="BS205" s="644"/>
      <c r="BT205" s="644"/>
      <c r="BU205" s="644"/>
      <c r="BV205" s="644"/>
      <c r="BW205" s="644"/>
      <c r="BX205" s="644"/>
      <c r="BY205" s="644"/>
      <c r="BZ205" s="644"/>
      <c r="CA205" s="644"/>
      <c r="CB205" s="644"/>
      <c r="CC205" s="644"/>
      <c r="CD205" s="644"/>
      <c r="CE205" s="644"/>
      <c r="CF205" s="644"/>
      <c r="CG205" s="644"/>
      <c r="CH205" s="644"/>
      <c r="CI205" s="644"/>
      <c r="CJ205" s="301" t="s">
        <v>740</v>
      </c>
      <c r="CK205" s="180"/>
      <c r="CL205" s="136"/>
    </row>
    <row r="206" spans="1:90">
      <c r="A206" s="181" t="s">
        <v>364</v>
      </c>
      <c r="B206" s="182"/>
      <c r="C206" s="183"/>
      <c r="D206" s="184">
        <v>1</v>
      </c>
      <c r="E206" s="184"/>
      <c r="F206" s="184"/>
      <c r="G206" s="184"/>
      <c r="H206" s="182"/>
      <c r="I206" s="182"/>
      <c r="J206" s="182"/>
      <c r="K206" s="182"/>
      <c r="L206" s="182">
        <v>1</v>
      </c>
      <c r="M206" s="182"/>
      <c r="N206" s="182"/>
      <c r="O206" s="182">
        <v>1</v>
      </c>
      <c r="P206" s="182"/>
      <c r="Q206" s="320"/>
      <c r="R206" s="182"/>
      <c r="S206" s="302">
        <v>1</v>
      </c>
      <c r="T206" s="182"/>
      <c r="U206" s="182"/>
      <c r="V206" s="320"/>
      <c r="W206" s="182">
        <v>1</v>
      </c>
      <c r="X206" s="182">
        <v>1</v>
      </c>
      <c r="Y206" s="320"/>
      <c r="Z206" s="302">
        <v>1</v>
      </c>
      <c r="AA206" s="302">
        <v>1</v>
      </c>
      <c r="AB206" s="182"/>
      <c r="AC206" s="182"/>
      <c r="AD206" s="182"/>
      <c r="AE206" s="182"/>
      <c r="AF206" s="302">
        <v>1</v>
      </c>
      <c r="AG206" s="182"/>
      <c r="AH206" s="167">
        <v>9</v>
      </c>
      <c r="AI206" s="328" t="s">
        <v>937</v>
      </c>
      <c r="AJ206" s="186">
        <v>42350</v>
      </c>
      <c r="AK206" s="187"/>
      <c r="AL206" s="187">
        <f t="shared" si="123"/>
        <v>0</v>
      </c>
      <c r="AM206" s="187">
        <f t="shared" si="124"/>
        <v>13</v>
      </c>
      <c r="AN206" s="187">
        <f t="shared" si="125"/>
        <v>0</v>
      </c>
      <c r="AO206" s="187">
        <f t="shared" si="126"/>
        <v>0</v>
      </c>
      <c r="AP206" s="187">
        <f t="shared" si="127"/>
        <v>0</v>
      </c>
      <c r="AQ206" s="187">
        <f t="shared" si="128"/>
        <v>0</v>
      </c>
      <c r="AR206" s="187">
        <f t="shared" si="129"/>
        <v>0</v>
      </c>
      <c r="AS206" s="187">
        <f t="shared" si="130"/>
        <v>19</v>
      </c>
      <c r="AT206" s="187">
        <f t="shared" si="131"/>
        <v>13</v>
      </c>
      <c r="AU206" s="187">
        <f t="shared" si="132"/>
        <v>0</v>
      </c>
      <c r="AV206" s="187">
        <f t="shared" si="133"/>
        <v>0</v>
      </c>
      <c r="AW206" s="187">
        <f t="shared" si="134"/>
        <v>8</v>
      </c>
      <c r="AX206" s="187">
        <f t="shared" si="135"/>
        <v>0</v>
      </c>
      <c r="AY206" s="187">
        <f t="shared" si="136"/>
        <v>0</v>
      </c>
      <c r="AZ206" s="187">
        <f t="shared" si="137"/>
        <v>0</v>
      </c>
      <c r="BA206" s="187">
        <f t="shared" si="138"/>
        <v>16</v>
      </c>
      <c r="BB206" s="187">
        <f t="shared" si="139"/>
        <v>13</v>
      </c>
      <c r="BC206" s="187">
        <f t="shared" si="140"/>
        <v>0</v>
      </c>
      <c r="BD206" s="187">
        <f t="shared" si="141"/>
        <v>2</v>
      </c>
      <c r="BE206" s="187">
        <f t="shared" si="142"/>
        <v>6</v>
      </c>
      <c r="BF206" s="187">
        <f t="shared" si="143"/>
        <v>0</v>
      </c>
      <c r="BG206" s="187">
        <f t="shared" si="144"/>
        <v>0</v>
      </c>
      <c r="BH206" s="187">
        <f t="shared" si="145"/>
        <v>0</v>
      </c>
      <c r="BI206" s="187">
        <f t="shared" si="146"/>
        <v>3</v>
      </c>
      <c r="BJ206" s="273">
        <f t="shared" si="147"/>
        <v>91</v>
      </c>
      <c r="BK206" s="167">
        <f t="shared" si="38"/>
        <v>91</v>
      </c>
      <c r="BL206" s="167"/>
      <c r="BM206" s="644"/>
      <c r="BN206" s="644"/>
      <c r="BO206" s="644"/>
      <c r="BP206" s="644"/>
      <c r="BQ206" s="644"/>
      <c r="BR206" s="644"/>
      <c r="BS206" s="644"/>
      <c r="BT206" s="644"/>
      <c r="BU206" s="644"/>
      <c r="BV206" s="644"/>
      <c r="BW206" s="644"/>
      <c r="BX206" s="644"/>
      <c r="BY206" s="644"/>
      <c r="BZ206" s="644"/>
      <c r="CA206" s="644"/>
      <c r="CB206" s="644"/>
      <c r="CC206" s="644"/>
      <c r="CD206" s="644"/>
      <c r="CE206" s="644"/>
      <c r="CF206" s="644"/>
      <c r="CG206" s="644"/>
      <c r="CH206" s="644"/>
      <c r="CI206" s="644"/>
      <c r="CJ206" s="301" t="s">
        <v>809</v>
      </c>
      <c r="CK206" s="180"/>
      <c r="CL206" s="136"/>
    </row>
    <row r="207" spans="1:90">
      <c r="A207" s="181" t="s">
        <v>938</v>
      </c>
      <c r="B207" s="182"/>
      <c r="C207" s="183"/>
      <c r="D207" s="184">
        <v>1</v>
      </c>
      <c r="E207" s="184">
        <v>1</v>
      </c>
      <c r="F207" s="184"/>
      <c r="G207" s="184">
        <v>1</v>
      </c>
      <c r="H207" s="182"/>
      <c r="I207" s="182"/>
      <c r="J207" s="182"/>
      <c r="K207" s="182"/>
      <c r="L207" s="182">
        <v>1</v>
      </c>
      <c r="M207" s="182"/>
      <c r="N207" s="182"/>
      <c r="O207" s="182">
        <v>1</v>
      </c>
      <c r="P207" s="182"/>
      <c r="Q207" s="182">
        <v>1</v>
      </c>
      <c r="R207" s="182"/>
      <c r="S207" s="182">
        <v>1</v>
      </c>
      <c r="T207" s="182"/>
      <c r="U207" s="182"/>
      <c r="V207" s="182"/>
      <c r="W207" s="182">
        <v>1</v>
      </c>
      <c r="X207" s="182"/>
      <c r="Y207" s="182"/>
      <c r="Z207" s="302">
        <v>1</v>
      </c>
      <c r="AA207" s="182">
        <v>1</v>
      </c>
      <c r="AB207" s="182"/>
      <c r="AC207" s="182"/>
      <c r="AD207" s="182"/>
      <c r="AE207" s="182"/>
      <c r="AF207" s="182"/>
      <c r="AG207" s="182"/>
      <c r="AH207" s="167">
        <v>10</v>
      </c>
      <c r="AI207" s="300" t="s">
        <v>939</v>
      </c>
      <c r="AJ207" s="186">
        <v>42352</v>
      </c>
      <c r="AK207" s="187"/>
      <c r="AL207" s="187">
        <f t="shared" si="123"/>
        <v>0</v>
      </c>
      <c r="AM207" s="187">
        <f t="shared" si="124"/>
        <v>13</v>
      </c>
      <c r="AN207" s="187">
        <f t="shared" si="125"/>
        <v>8</v>
      </c>
      <c r="AO207" s="187">
        <f t="shared" si="126"/>
        <v>8</v>
      </c>
      <c r="AP207" s="187">
        <f t="shared" si="127"/>
        <v>0</v>
      </c>
      <c r="AQ207" s="187">
        <f t="shared" si="128"/>
        <v>0</v>
      </c>
      <c r="AR207" s="187">
        <f t="shared" si="129"/>
        <v>0</v>
      </c>
      <c r="AS207" s="187">
        <f t="shared" si="130"/>
        <v>19</v>
      </c>
      <c r="AT207" s="187">
        <f t="shared" si="131"/>
        <v>13</v>
      </c>
      <c r="AU207" s="187">
        <f t="shared" si="132"/>
        <v>0</v>
      </c>
      <c r="AV207" s="187">
        <f t="shared" si="133"/>
        <v>3</v>
      </c>
      <c r="AW207" s="187">
        <f t="shared" si="134"/>
        <v>8</v>
      </c>
      <c r="AX207" s="187">
        <f t="shared" si="135"/>
        <v>0</v>
      </c>
      <c r="AY207" s="187">
        <f t="shared" si="136"/>
        <v>0</v>
      </c>
      <c r="AZ207" s="187">
        <f t="shared" si="137"/>
        <v>0</v>
      </c>
      <c r="BA207" s="187">
        <f t="shared" si="138"/>
        <v>16</v>
      </c>
      <c r="BB207" s="187">
        <f t="shared" si="139"/>
        <v>0</v>
      </c>
      <c r="BC207" s="187">
        <f t="shared" si="140"/>
        <v>0</v>
      </c>
      <c r="BD207" s="187">
        <f t="shared" si="141"/>
        <v>2</v>
      </c>
      <c r="BE207" s="187">
        <f t="shared" si="142"/>
        <v>6</v>
      </c>
      <c r="BF207" s="187">
        <f t="shared" si="143"/>
        <v>0</v>
      </c>
      <c r="BG207" s="187">
        <f t="shared" si="144"/>
        <v>0</v>
      </c>
      <c r="BH207" s="187">
        <f t="shared" si="145"/>
        <v>0</v>
      </c>
      <c r="BI207" s="187">
        <f t="shared" si="146"/>
        <v>0</v>
      </c>
      <c r="BJ207" s="273">
        <f t="shared" si="147"/>
        <v>91</v>
      </c>
      <c r="BK207" s="167">
        <f t="shared" si="38"/>
        <v>91</v>
      </c>
      <c r="BL207" s="167"/>
      <c r="BM207" s="644"/>
      <c r="BN207" s="644"/>
      <c r="BO207" s="644"/>
      <c r="BP207" s="644"/>
      <c r="BQ207" s="644"/>
      <c r="BR207" s="644"/>
      <c r="BS207" s="644"/>
      <c r="BT207" s="644"/>
      <c r="BU207" s="644"/>
      <c r="BV207" s="644"/>
      <c r="BW207" s="644"/>
      <c r="BX207" s="644"/>
      <c r="BY207" s="644"/>
      <c r="BZ207" s="644"/>
      <c r="CA207" s="644"/>
      <c r="CB207" s="644"/>
      <c r="CC207" s="644"/>
      <c r="CD207" s="644"/>
      <c r="CE207" s="644"/>
      <c r="CF207" s="644"/>
      <c r="CG207" s="644"/>
      <c r="CH207" s="644"/>
      <c r="CI207" s="644"/>
      <c r="CJ207" s="301" t="s">
        <v>743</v>
      </c>
      <c r="CK207" s="180"/>
      <c r="CL207" s="136"/>
    </row>
    <row r="208" spans="1:90" s="344" customFormat="1">
      <c r="A208" s="335" t="s">
        <v>365</v>
      </c>
      <c r="B208" s="182"/>
      <c r="C208" s="183"/>
      <c r="D208" s="184">
        <v>1</v>
      </c>
      <c r="E208" s="184"/>
      <c r="F208" s="184"/>
      <c r="G208" s="184"/>
      <c r="H208" s="182"/>
      <c r="I208" s="182"/>
      <c r="J208" s="182"/>
      <c r="K208" s="182"/>
      <c r="L208" s="182">
        <v>1</v>
      </c>
      <c r="M208" s="182"/>
      <c r="N208" s="182"/>
      <c r="O208" s="182">
        <v>1</v>
      </c>
      <c r="P208" s="182"/>
      <c r="Q208" s="182"/>
      <c r="R208" s="182"/>
      <c r="S208" s="182"/>
      <c r="T208" s="182"/>
      <c r="U208" s="182"/>
      <c r="V208" s="182">
        <v>1</v>
      </c>
      <c r="W208" s="182">
        <v>1</v>
      </c>
      <c r="X208" s="182">
        <v>1</v>
      </c>
      <c r="Y208" s="182">
        <v>1</v>
      </c>
      <c r="Z208" s="182"/>
      <c r="AA208" s="182"/>
      <c r="AB208" s="182"/>
      <c r="AC208" s="182"/>
      <c r="AD208" s="182"/>
      <c r="AE208" s="182"/>
      <c r="AF208" s="182"/>
      <c r="AG208" s="182"/>
      <c r="AH208" s="167">
        <v>7</v>
      </c>
      <c r="AI208" s="329" t="s">
        <v>113</v>
      </c>
      <c r="AJ208" s="186">
        <v>42375</v>
      </c>
      <c r="AK208" s="187"/>
      <c r="AL208" s="187">
        <f t="shared" si="123"/>
        <v>0</v>
      </c>
      <c r="AM208" s="187">
        <f t="shared" si="124"/>
        <v>13</v>
      </c>
      <c r="AN208" s="187">
        <f t="shared" si="125"/>
        <v>0</v>
      </c>
      <c r="AO208" s="187">
        <f t="shared" si="126"/>
        <v>0</v>
      </c>
      <c r="AP208" s="187">
        <f t="shared" si="127"/>
        <v>0</v>
      </c>
      <c r="AQ208" s="187">
        <f t="shared" si="128"/>
        <v>0</v>
      </c>
      <c r="AR208" s="187">
        <f t="shared" si="129"/>
        <v>0</v>
      </c>
      <c r="AS208" s="187">
        <f t="shared" si="130"/>
        <v>19</v>
      </c>
      <c r="AT208" s="187">
        <f t="shared" si="131"/>
        <v>13</v>
      </c>
      <c r="AU208" s="187">
        <f t="shared" si="132"/>
        <v>0</v>
      </c>
      <c r="AV208" s="187">
        <f t="shared" si="133"/>
        <v>0</v>
      </c>
      <c r="AW208" s="187">
        <f t="shared" si="134"/>
        <v>0</v>
      </c>
      <c r="AX208" s="187">
        <f t="shared" si="135"/>
        <v>0</v>
      </c>
      <c r="AY208" s="187">
        <f t="shared" si="136"/>
        <v>0</v>
      </c>
      <c r="AZ208" s="187">
        <f t="shared" si="137"/>
        <v>8</v>
      </c>
      <c r="BA208" s="187">
        <f t="shared" si="138"/>
        <v>16</v>
      </c>
      <c r="BB208" s="187">
        <f t="shared" si="139"/>
        <v>13</v>
      </c>
      <c r="BC208" s="187">
        <f t="shared" si="140"/>
        <v>10</v>
      </c>
      <c r="BD208" s="187">
        <f t="shared" si="141"/>
        <v>0</v>
      </c>
      <c r="BE208" s="187">
        <f t="shared" si="142"/>
        <v>0</v>
      </c>
      <c r="BF208" s="187">
        <f t="shared" si="143"/>
        <v>0</v>
      </c>
      <c r="BG208" s="187">
        <f t="shared" si="144"/>
        <v>0</v>
      </c>
      <c r="BH208" s="187">
        <f t="shared" si="145"/>
        <v>0</v>
      </c>
      <c r="BI208" s="187">
        <f t="shared" si="146"/>
        <v>0</v>
      </c>
      <c r="BJ208" s="273">
        <f t="shared" si="147"/>
        <v>92</v>
      </c>
      <c r="BK208" s="167">
        <f t="shared" si="38"/>
        <v>92</v>
      </c>
      <c r="BL208" s="167"/>
      <c r="BM208" s="644"/>
      <c r="BN208" s="644"/>
      <c r="BO208" s="644"/>
      <c r="BP208" s="644"/>
      <c r="BQ208" s="644"/>
      <c r="BR208" s="644"/>
      <c r="BS208" s="644"/>
      <c r="BT208" s="644"/>
      <c r="BU208" s="644"/>
      <c r="BV208" s="644"/>
      <c r="BW208" s="644"/>
      <c r="BX208" s="644"/>
      <c r="BY208" s="644"/>
      <c r="BZ208" s="644"/>
      <c r="CA208" s="644"/>
      <c r="CB208" s="644"/>
      <c r="CC208" s="644"/>
      <c r="CD208" s="644"/>
      <c r="CE208" s="644"/>
      <c r="CF208" s="644"/>
      <c r="CG208" s="644"/>
      <c r="CH208" s="644"/>
      <c r="CI208" s="644"/>
      <c r="CJ208" s="301" t="s">
        <v>752</v>
      </c>
      <c r="CK208" s="343"/>
      <c r="CL208" s="343"/>
    </row>
    <row r="209" spans="1:90">
      <c r="A209" s="181" t="s">
        <v>366</v>
      </c>
      <c r="B209" s="182"/>
      <c r="C209" s="183"/>
      <c r="D209" s="184"/>
      <c r="E209" s="184">
        <v>1</v>
      </c>
      <c r="F209" s="184"/>
      <c r="G209" s="184">
        <v>1</v>
      </c>
      <c r="H209" s="182"/>
      <c r="I209" s="182"/>
      <c r="J209" s="182"/>
      <c r="K209" s="182"/>
      <c r="L209" s="182">
        <v>1</v>
      </c>
      <c r="M209" s="182"/>
      <c r="N209" s="182"/>
      <c r="O209" s="182">
        <v>1</v>
      </c>
      <c r="P209" s="182"/>
      <c r="Q209" s="182"/>
      <c r="R209" s="182"/>
      <c r="S209" s="182">
        <v>1</v>
      </c>
      <c r="T209" s="182"/>
      <c r="U209" s="182"/>
      <c r="V209" s="182"/>
      <c r="W209" s="182"/>
      <c r="X209" s="182"/>
      <c r="Y209" s="302">
        <v>1</v>
      </c>
      <c r="Z209" s="182"/>
      <c r="AA209" s="182">
        <v>1</v>
      </c>
      <c r="AB209" s="182"/>
      <c r="AC209" s="182"/>
      <c r="AD209" s="182"/>
      <c r="AE209" s="182"/>
      <c r="AF209" s="182"/>
      <c r="AG209" s="182"/>
      <c r="AH209" s="167">
        <v>7</v>
      </c>
      <c r="AI209" s="300" t="s">
        <v>940</v>
      </c>
      <c r="AJ209" s="186">
        <v>42375</v>
      </c>
      <c r="AK209" s="187"/>
      <c r="AL209" s="187">
        <f t="shared" si="123"/>
        <v>0</v>
      </c>
      <c r="AM209" s="187">
        <f t="shared" si="124"/>
        <v>0</v>
      </c>
      <c r="AN209" s="187">
        <f t="shared" si="125"/>
        <v>8</v>
      </c>
      <c r="AO209" s="187">
        <f t="shared" si="126"/>
        <v>8</v>
      </c>
      <c r="AP209" s="187">
        <f t="shared" si="127"/>
        <v>0</v>
      </c>
      <c r="AQ209" s="187">
        <f t="shared" si="128"/>
        <v>0</v>
      </c>
      <c r="AR209" s="187">
        <f t="shared" si="129"/>
        <v>0</v>
      </c>
      <c r="AS209" s="187">
        <f t="shared" si="130"/>
        <v>19</v>
      </c>
      <c r="AT209" s="187">
        <f t="shared" si="131"/>
        <v>13</v>
      </c>
      <c r="AU209" s="187">
        <f t="shared" si="132"/>
        <v>0</v>
      </c>
      <c r="AV209" s="187">
        <f t="shared" si="133"/>
        <v>0</v>
      </c>
      <c r="AW209" s="187">
        <f t="shared" si="134"/>
        <v>8</v>
      </c>
      <c r="AX209" s="187">
        <f t="shared" si="135"/>
        <v>0</v>
      </c>
      <c r="AY209" s="187">
        <f t="shared" si="136"/>
        <v>0</v>
      </c>
      <c r="AZ209" s="187">
        <f t="shared" si="137"/>
        <v>0</v>
      </c>
      <c r="BA209" s="187">
        <f t="shared" si="138"/>
        <v>0</v>
      </c>
      <c r="BB209" s="187">
        <f t="shared" si="139"/>
        <v>0</v>
      </c>
      <c r="BC209" s="187">
        <f t="shared" si="140"/>
        <v>10</v>
      </c>
      <c r="BD209" s="187">
        <f t="shared" si="141"/>
        <v>0</v>
      </c>
      <c r="BE209" s="187">
        <f t="shared" si="142"/>
        <v>6</v>
      </c>
      <c r="BF209" s="187">
        <f t="shared" si="143"/>
        <v>0</v>
      </c>
      <c r="BG209" s="187">
        <f t="shared" si="144"/>
        <v>0</v>
      </c>
      <c r="BH209" s="187">
        <f t="shared" si="145"/>
        <v>0</v>
      </c>
      <c r="BI209" s="187">
        <f t="shared" si="146"/>
        <v>0</v>
      </c>
      <c r="BJ209" s="273">
        <f t="shared" si="147"/>
        <v>72</v>
      </c>
      <c r="BK209" s="167">
        <f t="shared" ref="BK209" si="174">BJ209</f>
        <v>72</v>
      </c>
      <c r="BL209" s="167"/>
      <c r="BM209" s="644"/>
      <c r="BN209" s="644"/>
      <c r="BO209" s="644"/>
      <c r="BP209" s="644"/>
      <c r="BQ209" s="644"/>
      <c r="BR209" s="644"/>
      <c r="BS209" s="644"/>
      <c r="BT209" s="644"/>
      <c r="BU209" s="644"/>
      <c r="BV209" s="644"/>
      <c r="BW209" s="644"/>
      <c r="BX209" s="644"/>
      <c r="BY209" s="644"/>
      <c r="BZ209" s="644"/>
      <c r="CA209" s="644"/>
      <c r="CB209" s="644"/>
      <c r="CC209" s="644"/>
      <c r="CD209" s="644"/>
      <c r="CE209" s="644"/>
      <c r="CF209" s="644"/>
      <c r="CG209" s="644"/>
      <c r="CH209" s="644"/>
      <c r="CI209" s="644"/>
      <c r="CJ209" s="301" t="s">
        <v>787</v>
      </c>
      <c r="CK209" s="180"/>
      <c r="CL209" s="136"/>
    </row>
    <row r="210" spans="1:90">
      <c r="A210" s="181" t="s">
        <v>941</v>
      </c>
      <c r="B210" s="182"/>
      <c r="C210" s="183"/>
      <c r="D210" s="314">
        <v>1</v>
      </c>
      <c r="E210" s="184"/>
      <c r="F210" s="184"/>
      <c r="G210" s="184"/>
      <c r="H210" s="182"/>
      <c r="I210" s="182"/>
      <c r="J210" s="182"/>
      <c r="K210" s="182"/>
      <c r="L210" s="182">
        <v>1</v>
      </c>
      <c r="M210" s="182"/>
      <c r="N210" s="182"/>
      <c r="O210" s="182">
        <v>1</v>
      </c>
      <c r="P210" s="182"/>
      <c r="Q210" s="182"/>
      <c r="R210" s="182"/>
      <c r="S210" s="182"/>
      <c r="T210" s="182">
        <v>1</v>
      </c>
      <c r="U210" s="182"/>
      <c r="V210" s="182">
        <v>1</v>
      </c>
      <c r="W210" s="182">
        <v>1</v>
      </c>
      <c r="X210" s="182">
        <v>1</v>
      </c>
      <c r="Y210" s="182">
        <v>1</v>
      </c>
      <c r="Z210" s="182"/>
      <c r="AA210" s="182"/>
      <c r="AB210" s="182"/>
      <c r="AC210" s="182"/>
      <c r="AD210" s="182">
        <v>1</v>
      </c>
      <c r="AE210" s="182"/>
      <c r="AF210" s="302">
        <v>1</v>
      </c>
      <c r="AG210" s="182"/>
      <c r="AH210" s="167">
        <v>10</v>
      </c>
      <c r="AI210" s="334" t="s">
        <v>760</v>
      </c>
      <c r="AJ210" s="186">
        <v>42373</v>
      </c>
      <c r="AK210" s="187"/>
      <c r="AL210" s="187">
        <f t="shared" si="123"/>
        <v>0</v>
      </c>
      <c r="AM210" s="187">
        <f t="shared" si="124"/>
        <v>13</v>
      </c>
      <c r="AN210" s="187">
        <f t="shared" si="125"/>
        <v>0</v>
      </c>
      <c r="AO210" s="187">
        <f t="shared" si="126"/>
        <v>0</v>
      </c>
      <c r="AP210" s="187">
        <f t="shared" si="127"/>
        <v>0</v>
      </c>
      <c r="AQ210" s="187">
        <f t="shared" si="128"/>
        <v>0</v>
      </c>
      <c r="AR210" s="187">
        <f t="shared" si="129"/>
        <v>0</v>
      </c>
      <c r="AS210" s="187">
        <f t="shared" si="130"/>
        <v>19</v>
      </c>
      <c r="AT210" s="187">
        <f t="shared" si="131"/>
        <v>13</v>
      </c>
      <c r="AU210" s="187">
        <f t="shared" si="132"/>
        <v>0</v>
      </c>
      <c r="AV210" s="187">
        <f t="shared" si="133"/>
        <v>0</v>
      </c>
      <c r="AW210" s="187">
        <f t="shared" si="134"/>
        <v>0</v>
      </c>
      <c r="AX210" s="187">
        <f t="shared" si="135"/>
        <v>4</v>
      </c>
      <c r="AY210" s="187">
        <f t="shared" si="136"/>
        <v>0</v>
      </c>
      <c r="AZ210" s="187">
        <f t="shared" si="137"/>
        <v>8</v>
      </c>
      <c r="BA210" s="187">
        <f t="shared" si="138"/>
        <v>16</v>
      </c>
      <c r="BB210" s="187">
        <f t="shared" si="139"/>
        <v>13</v>
      </c>
      <c r="BC210" s="187">
        <f t="shared" si="140"/>
        <v>10</v>
      </c>
      <c r="BD210" s="187">
        <f t="shared" si="141"/>
        <v>0</v>
      </c>
      <c r="BE210" s="187">
        <f t="shared" si="142"/>
        <v>0</v>
      </c>
      <c r="BF210" s="187">
        <f t="shared" si="143"/>
        <v>0</v>
      </c>
      <c r="BG210" s="187">
        <f t="shared" si="144"/>
        <v>8</v>
      </c>
      <c r="BH210" s="187">
        <f t="shared" si="145"/>
        <v>0</v>
      </c>
      <c r="BI210" s="187">
        <f t="shared" si="146"/>
        <v>3</v>
      </c>
      <c r="BJ210" s="273">
        <f t="shared" si="147"/>
        <v>100</v>
      </c>
      <c r="BK210" s="167">
        <f t="shared" ref="BK210:BK211" si="175">BJ210</f>
        <v>100</v>
      </c>
      <c r="BL210" s="167"/>
      <c r="BM210" s="644"/>
      <c r="BN210" s="644"/>
      <c r="BO210" s="644"/>
      <c r="BP210" s="644"/>
      <c r="BQ210" s="644"/>
      <c r="BR210" s="644"/>
      <c r="BS210" s="644"/>
      <c r="BT210" s="644"/>
      <c r="BU210" s="644"/>
      <c r="BV210" s="644"/>
      <c r="BW210" s="644"/>
      <c r="BX210" s="644"/>
      <c r="BY210" s="644"/>
      <c r="BZ210" s="644"/>
      <c r="CA210" s="644"/>
      <c r="CB210" s="644"/>
      <c r="CC210" s="644"/>
      <c r="CD210" s="644"/>
      <c r="CE210" s="644"/>
      <c r="CF210" s="644"/>
      <c r="CG210" s="644"/>
      <c r="CH210" s="644"/>
      <c r="CI210" s="644"/>
      <c r="CJ210" s="301" t="s">
        <v>743</v>
      </c>
      <c r="CK210" s="180"/>
      <c r="CL210" s="136"/>
    </row>
    <row r="211" spans="1:90" s="344" customFormat="1">
      <c r="A211" s="335" t="s">
        <v>371</v>
      </c>
      <c r="B211" s="182"/>
      <c r="C211" s="183"/>
      <c r="D211" s="184"/>
      <c r="E211" s="184"/>
      <c r="F211" s="184"/>
      <c r="G211" s="184"/>
      <c r="H211" s="182"/>
      <c r="I211" s="182"/>
      <c r="J211" s="182"/>
      <c r="K211" s="182"/>
      <c r="L211" s="182">
        <v>1</v>
      </c>
      <c r="M211" s="182"/>
      <c r="N211" s="182"/>
      <c r="O211" s="182">
        <v>1</v>
      </c>
      <c r="P211" s="182"/>
      <c r="Q211" s="182"/>
      <c r="R211" s="182"/>
      <c r="S211" s="182"/>
      <c r="T211" s="182"/>
      <c r="U211" s="182"/>
      <c r="V211" s="182"/>
      <c r="W211" s="302">
        <v>1</v>
      </c>
      <c r="X211" s="182"/>
      <c r="Y211" s="182">
        <v>1</v>
      </c>
      <c r="Z211" s="182"/>
      <c r="AA211" s="182"/>
      <c r="AB211" s="182"/>
      <c r="AC211" s="182"/>
      <c r="AD211" s="182"/>
      <c r="AE211" s="182"/>
      <c r="AF211" s="182"/>
      <c r="AG211" s="182"/>
      <c r="AH211" s="339">
        <v>4</v>
      </c>
      <c r="AI211" s="340" t="s">
        <v>786</v>
      </c>
      <c r="AJ211" s="341">
        <v>42375</v>
      </c>
      <c r="AK211" s="187"/>
      <c r="AL211" s="187">
        <f t="shared" si="123"/>
        <v>0</v>
      </c>
      <c r="AM211" s="187">
        <f t="shared" si="124"/>
        <v>0</v>
      </c>
      <c r="AN211" s="187">
        <f t="shared" si="125"/>
        <v>0</v>
      </c>
      <c r="AO211" s="187">
        <f t="shared" si="126"/>
        <v>0</v>
      </c>
      <c r="AP211" s="187">
        <f t="shared" si="127"/>
        <v>0</v>
      </c>
      <c r="AQ211" s="187">
        <f t="shared" si="128"/>
        <v>0</v>
      </c>
      <c r="AR211" s="187">
        <f t="shared" si="129"/>
        <v>0</v>
      </c>
      <c r="AS211" s="187">
        <f t="shared" si="130"/>
        <v>19</v>
      </c>
      <c r="AT211" s="187">
        <f t="shared" si="131"/>
        <v>13</v>
      </c>
      <c r="AU211" s="187">
        <f t="shared" si="132"/>
        <v>0</v>
      </c>
      <c r="AV211" s="187">
        <f t="shared" si="133"/>
        <v>0</v>
      </c>
      <c r="AW211" s="187">
        <f t="shared" si="134"/>
        <v>0</v>
      </c>
      <c r="AX211" s="187">
        <f t="shared" si="135"/>
        <v>0</v>
      </c>
      <c r="AY211" s="187">
        <f t="shared" si="136"/>
        <v>0</v>
      </c>
      <c r="AZ211" s="187">
        <f t="shared" si="137"/>
        <v>0</v>
      </c>
      <c r="BA211" s="187">
        <f t="shared" si="138"/>
        <v>16</v>
      </c>
      <c r="BB211" s="187">
        <f t="shared" si="139"/>
        <v>0</v>
      </c>
      <c r="BC211" s="187">
        <f t="shared" si="140"/>
        <v>10</v>
      </c>
      <c r="BD211" s="187">
        <f t="shared" si="141"/>
        <v>0</v>
      </c>
      <c r="BE211" s="187">
        <f t="shared" si="142"/>
        <v>0</v>
      </c>
      <c r="BF211" s="187">
        <f t="shared" si="143"/>
        <v>0</v>
      </c>
      <c r="BG211" s="187">
        <f t="shared" si="144"/>
        <v>0</v>
      </c>
      <c r="BH211" s="187">
        <f t="shared" si="145"/>
        <v>0</v>
      </c>
      <c r="BI211" s="187">
        <f t="shared" si="146"/>
        <v>0</v>
      </c>
      <c r="BJ211" s="273">
        <f t="shared" si="147"/>
        <v>58</v>
      </c>
      <c r="BK211" s="167">
        <f t="shared" si="175"/>
        <v>58</v>
      </c>
      <c r="BL211" s="167"/>
      <c r="BM211" s="644"/>
      <c r="BN211" s="644"/>
      <c r="BO211" s="644"/>
      <c r="BP211" s="644"/>
      <c r="BQ211" s="644"/>
      <c r="BR211" s="644"/>
      <c r="BS211" s="644"/>
      <c r="BT211" s="644"/>
      <c r="BU211" s="644"/>
      <c r="BV211" s="644"/>
      <c r="BW211" s="644"/>
      <c r="BX211" s="644"/>
      <c r="BY211" s="644"/>
      <c r="BZ211" s="644"/>
      <c r="CA211" s="644"/>
      <c r="CB211" s="644"/>
      <c r="CC211" s="644"/>
      <c r="CD211" s="644"/>
      <c r="CE211" s="644"/>
      <c r="CF211" s="644"/>
      <c r="CG211" s="644"/>
      <c r="CH211" s="644"/>
      <c r="CI211" s="644"/>
      <c r="CJ211" s="301" t="s">
        <v>787</v>
      </c>
      <c r="CK211" s="342"/>
      <c r="CL211" s="343"/>
    </row>
    <row r="212" spans="1:90">
      <c r="A212" s="181" t="s">
        <v>372</v>
      </c>
      <c r="B212" s="182"/>
      <c r="C212" s="183"/>
      <c r="D212" s="184">
        <v>1</v>
      </c>
      <c r="E212" s="184"/>
      <c r="F212" s="184"/>
      <c r="G212" s="184"/>
      <c r="H212" s="182"/>
      <c r="I212" s="182"/>
      <c r="J212" s="182"/>
      <c r="K212" s="182"/>
      <c r="L212" s="182">
        <v>1</v>
      </c>
      <c r="M212" s="182"/>
      <c r="N212" s="182"/>
      <c r="O212" s="182">
        <v>1</v>
      </c>
      <c r="P212" s="182"/>
      <c r="Q212" s="182"/>
      <c r="R212" s="182"/>
      <c r="S212" s="182">
        <v>1</v>
      </c>
      <c r="T212" s="182"/>
      <c r="U212" s="182"/>
      <c r="V212" s="182">
        <v>1</v>
      </c>
      <c r="W212" s="182">
        <v>1</v>
      </c>
      <c r="X212" s="182">
        <v>1</v>
      </c>
      <c r="Y212" s="182">
        <v>1</v>
      </c>
      <c r="Z212" s="182"/>
      <c r="AA212" s="182">
        <v>1</v>
      </c>
      <c r="AB212" s="182"/>
      <c r="AC212" s="182"/>
      <c r="AD212" s="182">
        <v>1</v>
      </c>
      <c r="AE212" s="182"/>
      <c r="AF212" s="182"/>
      <c r="AG212" s="182"/>
      <c r="AH212" s="167">
        <v>10</v>
      </c>
      <c r="AI212" s="300" t="s">
        <v>942</v>
      </c>
      <c r="AJ212" s="186">
        <v>42366</v>
      </c>
      <c r="AK212" s="187"/>
      <c r="AL212" s="187">
        <f t="shared" si="123"/>
        <v>0</v>
      </c>
      <c r="AM212" s="187">
        <f t="shared" si="124"/>
        <v>13</v>
      </c>
      <c r="AN212" s="187">
        <f t="shared" si="125"/>
        <v>0</v>
      </c>
      <c r="AO212" s="187">
        <f t="shared" si="126"/>
        <v>0</v>
      </c>
      <c r="AP212" s="187">
        <f t="shared" si="127"/>
        <v>0</v>
      </c>
      <c r="AQ212" s="187">
        <f t="shared" si="128"/>
        <v>0</v>
      </c>
      <c r="AR212" s="187">
        <f t="shared" si="129"/>
        <v>0</v>
      </c>
      <c r="AS212" s="187">
        <f t="shared" si="130"/>
        <v>19</v>
      </c>
      <c r="AT212" s="187">
        <f t="shared" si="131"/>
        <v>13</v>
      </c>
      <c r="AU212" s="187">
        <f t="shared" si="132"/>
        <v>0</v>
      </c>
      <c r="AV212" s="187">
        <f t="shared" si="133"/>
        <v>0</v>
      </c>
      <c r="AW212" s="187">
        <f t="shared" si="134"/>
        <v>8</v>
      </c>
      <c r="AX212" s="187">
        <f t="shared" si="135"/>
        <v>0</v>
      </c>
      <c r="AY212" s="187">
        <f t="shared" si="136"/>
        <v>0</v>
      </c>
      <c r="AZ212" s="187">
        <f t="shared" si="137"/>
        <v>8</v>
      </c>
      <c r="BA212" s="187">
        <f t="shared" si="138"/>
        <v>16</v>
      </c>
      <c r="BB212" s="187">
        <f t="shared" si="139"/>
        <v>13</v>
      </c>
      <c r="BC212" s="187">
        <f t="shared" si="140"/>
        <v>10</v>
      </c>
      <c r="BD212" s="187">
        <f t="shared" si="141"/>
        <v>0</v>
      </c>
      <c r="BE212" s="187">
        <f t="shared" si="142"/>
        <v>6</v>
      </c>
      <c r="BF212" s="187">
        <f t="shared" si="143"/>
        <v>0</v>
      </c>
      <c r="BG212" s="187">
        <f t="shared" si="144"/>
        <v>8</v>
      </c>
      <c r="BH212" s="187">
        <f t="shared" si="145"/>
        <v>0</v>
      </c>
      <c r="BI212" s="187">
        <f t="shared" si="146"/>
        <v>0</v>
      </c>
      <c r="BJ212" s="273">
        <f t="shared" si="147"/>
        <v>100</v>
      </c>
      <c r="BK212" s="167">
        <f t="shared" ref="BK212:BK213" si="176">BJ212</f>
        <v>100</v>
      </c>
      <c r="BL212" s="167"/>
      <c r="BM212" s="644"/>
      <c r="BN212" s="644"/>
      <c r="BO212" s="644"/>
      <c r="BP212" s="644"/>
      <c r="BQ212" s="644"/>
      <c r="BR212" s="644"/>
      <c r="BS212" s="644"/>
      <c r="BT212" s="644"/>
      <c r="BU212" s="644"/>
      <c r="BV212" s="644"/>
      <c r="BW212" s="644"/>
      <c r="BX212" s="644"/>
      <c r="BY212" s="644"/>
      <c r="BZ212" s="644"/>
      <c r="CA212" s="644"/>
      <c r="CB212" s="644"/>
      <c r="CC212" s="644"/>
      <c r="CD212" s="644"/>
      <c r="CE212" s="644"/>
      <c r="CF212" s="644"/>
      <c r="CG212" s="644"/>
      <c r="CH212" s="644"/>
      <c r="CI212" s="644"/>
      <c r="CJ212" s="301" t="s">
        <v>865</v>
      </c>
      <c r="CK212" s="180"/>
      <c r="CL212" s="136"/>
    </row>
    <row r="213" spans="1:90">
      <c r="A213" s="181" t="s">
        <v>373</v>
      </c>
      <c r="B213" s="182"/>
      <c r="C213" s="183"/>
      <c r="D213" s="184">
        <v>1</v>
      </c>
      <c r="E213" s="184">
        <v>1</v>
      </c>
      <c r="F213" s="184"/>
      <c r="G213" s="184">
        <v>1</v>
      </c>
      <c r="H213" s="182"/>
      <c r="I213" s="182"/>
      <c r="J213" s="182"/>
      <c r="K213" s="182"/>
      <c r="L213" s="182">
        <v>1</v>
      </c>
      <c r="M213" s="182"/>
      <c r="N213" s="182"/>
      <c r="O213" s="182">
        <v>1</v>
      </c>
      <c r="P213" s="182"/>
      <c r="Q213" s="182"/>
      <c r="R213" s="182"/>
      <c r="S213" s="302">
        <v>1</v>
      </c>
      <c r="T213" s="182"/>
      <c r="U213" s="182"/>
      <c r="V213" s="182"/>
      <c r="W213" s="182">
        <v>1</v>
      </c>
      <c r="X213" s="182">
        <v>1</v>
      </c>
      <c r="Y213" s="182">
        <v>1</v>
      </c>
      <c r="Z213" s="182"/>
      <c r="AA213" s="182"/>
      <c r="AB213" s="182"/>
      <c r="AC213" s="182"/>
      <c r="AD213" s="182"/>
      <c r="AE213" s="182">
        <v>1</v>
      </c>
      <c r="AF213" s="182"/>
      <c r="AG213" s="182"/>
      <c r="AH213" s="167">
        <v>10</v>
      </c>
      <c r="AI213" s="340" t="s">
        <v>786</v>
      </c>
      <c r="AJ213" s="341">
        <v>42375</v>
      </c>
      <c r="AK213" s="187"/>
      <c r="AL213" s="187">
        <f t="shared" si="123"/>
        <v>0</v>
      </c>
      <c r="AM213" s="187">
        <f t="shared" si="124"/>
        <v>13</v>
      </c>
      <c r="AN213" s="187">
        <f t="shared" si="125"/>
        <v>8</v>
      </c>
      <c r="AO213" s="187">
        <f t="shared" si="126"/>
        <v>8</v>
      </c>
      <c r="AP213" s="187">
        <f t="shared" si="127"/>
        <v>0</v>
      </c>
      <c r="AQ213" s="187">
        <f t="shared" si="128"/>
        <v>0</v>
      </c>
      <c r="AR213" s="187">
        <f t="shared" si="129"/>
        <v>0</v>
      </c>
      <c r="AS213" s="187">
        <f t="shared" si="130"/>
        <v>19</v>
      </c>
      <c r="AT213" s="187">
        <f t="shared" si="131"/>
        <v>13</v>
      </c>
      <c r="AU213" s="187">
        <f t="shared" si="132"/>
        <v>0</v>
      </c>
      <c r="AV213" s="187">
        <f t="shared" si="133"/>
        <v>0</v>
      </c>
      <c r="AW213" s="187">
        <f t="shared" si="134"/>
        <v>8</v>
      </c>
      <c r="AX213" s="187">
        <f t="shared" si="135"/>
        <v>0</v>
      </c>
      <c r="AY213" s="187">
        <f t="shared" si="136"/>
        <v>0</v>
      </c>
      <c r="AZ213" s="187">
        <f t="shared" si="137"/>
        <v>0</v>
      </c>
      <c r="BA213" s="187">
        <f t="shared" si="138"/>
        <v>16</v>
      </c>
      <c r="BB213" s="187">
        <f t="shared" si="139"/>
        <v>13</v>
      </c>
      <c r="BC213" s="187">
        <f t="shared" si="140"/>
        <v>10</v>
      </c>
      <c r="BD213" s="187">
        <f t="shared" si="141"/>
        <v>0</v>
      </c>
      <c r="BE213" s="187">
        <f t="shared" si="142"/>
        <v>0</v>
      </c>
      <c r="BF213" s="187">
        <f t="shared" si="143"/>
        <v>0</v>
      </c>
      <c r="BG213" s="187">
        <f t="shared" si="144"/>
        <v>0</v>
      </c>
      <c r="BH213" s="187">
        <f t="shared" si="145"/>
        <v>2</v>
      </c>
      <c r="BI213" s="187">
        <f t="shared" si="146"/>
        <v>0</v>
      </c>
      <c r="BJ213" s="273">
        <f t="shared" si="147"/>
        <v>100</v>
      </c>
      <c r="BK213" s="167">
        <f t="shared" si="176"/>
        <v>100</v>
      </c>
      <c r="BL213" s="167"/>
      <c r="BM213" s="644"/>
      <c r="BN213" s="644"/>
      <c r="BO213" s="644"/>
      <c r="BP213" s="644"/>
      <c r="BQ213" s="644"/>
      <c r="BR213" s="644"/>
      <c r="BS213" s="644"/>
      <c r="BT213" s="644"/>
      <c r="BU213" s="644"/>
      <c r="BV213" s="644"/>
      <c r="BW213" s="644"/>
      <c r="BX213" s="644"/>
      <c r="BY213" s="644"/>
      <c r="BZ213" s="644"/>
      <c r="CA213" s="644"/>
      <c r="CB213" s="644"/>
      <c r="CC213" s="644"/>
      <c r="CD213" s="644"/>
      <c r="CE213" s="644"/>
      <c r="CF213" s="644"/>
      <c r="CG213" s="644"/>
      <c r="CH213" s="644"/>
      <c r="CI213" s="644"/>
      <c r="CJ213" s="301" t="s">
        <v>787</v>
      </c>
      <c r="CK213" s="180"/>
      <c r="CL213" s="136"/>
    </row>
    <row r="214" spans="1:90">
      <c r="A214" s="181" t="s">
        <v>376</v>
      </c>
      <c r="B214" s="182"/>
      <c r="C214" s="183"/>
      <c r="D214" s="184">
        <v>1</v>
      </c>
      <c r="E214" s="184">
        <v>1</v>
      </c>
      <c r="F214" s="184"/>
      <c r="G214" s="184">
        <v>1</v>
      </c>
      <c r="H214" s="182"/>
      <c r="I214" s="182"/>
      <c r="J214" s="182"/>
      <c r="K214" s="182"/>
      <c r="L214" s="182">
        <v>1</v>
      </c>
      <c r="M214" s="182"/>
      <c r="N214" s="182"/>
      <c r="O214" s="182">
        <v>1</v>
      </c>
      <c r="P214" s="182"/>
      <c r="Q214" s="182"/>
      <c r="R214" s="182"/>
      <c r="S214" s="182"/>
      <c r="T214" s="182"/>
      <c r="U214" s="182"/>
      <c r="V214" s="182"/>
      <c r="W214" s="182">
        <v>1</v>
      </c>
      <c r="X214" s="182">
        <v>1</v>
      </c>
      <c r="Y214" s="302">
        <v>1</v>
      </c>
      <c r="Z214" s="182"/>
      <c r="AA214" s="302">
        <v>1</v>
      </c>
      <c r="AB214" s="182"/>
      <c r="AC214" s="182"/>
      <c r="AD214" s="182">
        <v>1</v>
      </c>
      <c r="AE214" s="182"/>
      <c r="AF214" s="182"/>
      <c r="AG214" s="182"/>
      <c r="AH214" s="167">
        <v>10</v>
      </c>
      <c r="AI214" s="300" t="s">
        <v>943</v>
      </c>
      <c r="AJ214" s="186">
        <v>42331</v>
      </c>
      <c r="AK214" s="187"/>
      <c r="AL214" s="187">
        <f t="shared" si="123"/>
        <v>0</v>
      </c>
      <c r="AM214" s="187">
        <f t="shared" si="124"/>
        <v>13</v>
      </c>
      <c r="AN214" s="187">
        <f t="shared" si="125"/>
        <v>8</v>
      </c>
      <c r="AO214" s="187">
        <f t="shared" si="126"/>
        <v>8</v>
      </c>
      <c r="AP214" s="187">
        <f t="shared" si="127"/>
        <v>0</v>
      </c>
      <c r="AQ214" s="187">
        <f t="shared" si="128"/>
        <v>0</v>
      </c>
      <c r="AR214" s="187">
        <f t="shared" si="129"/>
        <v>0</v>
      </c>
      <c r="AS214" s="187">
        <f t="shared" si="130"/>
        <v>19</v>
      </c>
      <c r="AT214" s="187">
        <f t="shared" si="131"/>
        <v>13</v>
      </c>
      <c r="AU214" s="187">
        <f t="shared" si="132"/>
        <v>0</v>
      </c>
      <c r="AV214" s="187">
        <f t="shared" si="133"/>
        <v>0</v>
      </c>
      <c r="AW214" s="187">
        <f t="shared" si="134"/>
        <v>0</v>
      </c>
      <c r="AX214" s="187">
        <f t="shared" si="135"/>
        <v>0</v>
      </c>
      <c r="AY214" s="187">
        <f t="shared" si="136"/>
        <v>0</v>
      </c>
      <c r="AZ214" s="187">
        <f t="shared" si="137"/>
        <v>0</v>
      </c>
      <c r="BA214" s="187">
        <f t="shared" si="138"/>
        <v>16</v>
      </c>
      <c r="BB214" s="187">
        <f t="shared" si="139"/>
        <v>13</v>
      </c>
      <c r="BC214" s="187">
        <f t="shared" si="140"/>
        <v>10</v>
      </c>
      <c r="BD214" s="187">
        <f t="shared" si="141"/>
        <v>0</v>
      </c>
      <c r="BE214" s="187">
        <f t="shared" si="142"/>
        <v>6</v>
      </c>
      <c r="BF214" s="187">
        <f t="shared" si="143"/>
        <v>0</v>
      </c>
      <c r="BG214" s="187">
        <f t="shared" si="144"/>
        <v>8</v>
      </c>
      <c r="BH214" s="187">
        <f t="shared" si="145"/>
        <v>0</v>
      </c>
      <c r="BI214" s="187">
        <f t="shared" si="146"/>
        <v>0</v>
      </c>
      <c r="BJ214" s="273">
        <f t="shared" si="147"/>
        <v>100</v>
      </c>
      <c r="BK214" s="167">
        <f t="shared" si="38"/>
        <v>100</v>
      </c>
      <c r="BL214" s="167"/>
      <c r="BM214" s="644"/>
      <c r="BN214" s="644"/>
      <c r="BO214" s="644"/>
      <c r="BP214" s="644"/>
      <c r="BQ214" s="644"/>
      <c r="BR214" s="644"/>
      <c r="BS214" s="644"/>
      <c r="BT214" s="644"/>
      <c r="BU214" s="644"/>
      <c r="BV214" s="644"/>
      <c r="BW214" s="644"/>
      <c r="BX214" s="644"/>
      <c r="BY214" s="644"/>
      <c r="BZ214" s="644"/>
      <c r="CA214" s="644"/>
      <c r="CB214" s="644"/>
      <c r="CC214" s="644"/>
      <c r="CD214" s="644"/>
      <c r="CE214" s="644"/>
      <c r="CF214" s="644"/>
      <c r="CG214" s="644"/>
      <c r="CH214" s="644"/>
      <c r="CI214" s="644"/>
      <c r="CJ214" s="301" t="s">
        <v>752</v>
      </c>
      <c r="CK214" s="180"/>
      <c r="CL214" s="136"/>
    </row>
    <row r="215" spans="1:90">
      <c r="A215" s="181" t="s">
        <v>378</v>
      </c>
      <c r="B215" s="182"/>
      <c r="C215" s="183"/>
      <c r="D215" s="184">
        <v>1</v>
      </c>
      <c r="E215" s="184">
        <v>1</v>
      </c>
      <c r="F215" s="184"/>
      <c r="G215" s="184">
        <v>1</v>
      </c>
      <c r="H215" s="182"/>
      <c r="I215" s="182"/>
      <c r="J215" s="182"/>
      <c r="K215" s="182"/>
      <c r="L215" s="182">
        <v>1</v>
      </c>
      <c r="M215" s="182"/>
      <c r="N215" s="182"/>
      <c r="O215" s="182"/>
      <c r="P215" s="182"/>
      <c r="Q215" s="182"/>
      <c r="R215" s="182"/>
      <c r="S215" s="182">
        <v>1</v>
      </c>
      <c r="T215" s="182"/>
      <c r="U215" s="182"/>
      <c r="V215" s="302">
        <v>1</v>
      </c>
      <c r="W215" s="182">
        <v>1</v>
      </c>
      <c r="X215" s="182">
        <v>1</v>
      </c>
      <c r="Y215" s="302">
        <v>1</v>
      </c>
      <c r="Z215" s="182"/>
      <c r="AA215" s="182"/>
      <c r="AB215" s="182"/>
      <c r="AC215" s="182"/>
      <c r="AD215" s="302">
        <v>1</v>
      </c>
      <c r="AE215" s="182"/>
      <c r="AF215" s="182"/>
      <c r="AG215" s="182"/>
      <c r="AH215" s="167">
        <v>10</v>
      </c>
      <c r="AI215" s="300" t="s">
        <v>944</v>
      </c>
      <c r="AJ215" s="186">
        <v>42359</v>
      </c>
      <c r="AK215" s="187"/>
      <c r="AL215" s="187">
        <f t="shared" si="123"/>
        <v>0</v>
      </c>
      <c r="AM215" s="187">
        <f t="shared" si="124"/>
        <v>13</v>
      </c>
      <c r="AN215" s="187">
        <f t="shared" si="125"/>
        <v>8</v>
      </c>
      <c r="AO215" s="187">
        <f t="shared" si="126"/>
        <v>8</v>
      </c>
      <c r="AP215" s="187">
        <f t="shared" si="127"/>
        <v>0</v>
      </c>
      <c r="AQ215" s="187">
        <f t="shared" si="128"/>
        <v>0</v>
      </c>
      <c r="AR215" s="187">
        <f t="shared" si="129"/>
        <v>0</v>
      </c>
      <c r="AS215" s="187">
        <f t="shared" si="130"/>
        <v>19</v>
      </c>
      <c r="AT215" s="187">
        <f t="shared" si="131"/>
        <v>0</v>
      </c>
      <c r="AU215" s="187">
        <f t="shared" si="132"/>
        <v>0</v>
      </c>
      <c r="AV215" s="187">
        <f t="shared" si="133"/>
        <v>0</v>
      </c>
      <c r="AW215" s="187">
        <f t="shared" si="134"/>
        <v>8</v>
      </c>
      <c r="AX215" s="187">
        <f t="shared" si="135"/>
        <v>0</v>
      </c>
      <c r="AY215" s="187">
        <f t="shared" si="136"/>
        <v>0</v>
      </c>
      <c r="AZ215" s="187">
        <f t="shared" si="137"/>
        <v>8</v>
      </c>
      <c r="BA215" s="187">
        <f t="shared" si="138"/>
        <v>16</v>
      </c>
      <c r="BB215" s="187">
        <f t="shared" si="139"/>
        <v>13</v>
      </c>
      <c r="BC215" s="187">
        <f t="shared" si="140"/>
        <v>10</v>
      </c>
      <c r="BD215" s="187">
        <f t="shared" si="141"/>
        <v>0</v>
      </c>
      <c r="BE215" s="187">
        <f t="shared" si="142"/>
        <v>0</v>
      </c>
      <c r="BF215" s="187">
        <f t="shared" si="143"/>
        <v>0</v>
      </c>
      <c r="BG215" s="187">
        <f t="shared" si="144"/>
        <v>8</v>
      </c>
      <c r="BH215" s="187">
        <f t="shared" si="145"/>
        <v>0</v>
      </c>
      <c r="BI215" s="187">
        <f t="shared" si="146"/>
        <v>0</v>
      </c>
      <c r="BJ215" s="273">
        <f t="shared" si="147"/>
        <v>95</v>
      </c>
      <c r="BK215" s="167">
        <f t="shared" ref="BK215" si="177">BJ215</f>
        <v>95</v>
      </c>
      <c r="BL215" s="167"/>
      <c r="BM215" s="644"/>
      <c r="BN215" s="644"/>
      <c r="BO215" s="644"/>
      <c r="BP215" s="644"/>
      <c r="BQ215" s="644"/>
      <c r="BR215" s="644"/>
      <c r="BS215" s="644"/>
      <c r="BT215" s="644"/>
      <c r="BU215" s="644"/>
      <c r="BV215" s="644"/>
      <c r="BW215" s="644"/>
      <c r="BX215" s="644"/>
      <c r="BY215" s="644"/>
      <c r="BZ215" s="644"/>
      <c r="CA215" s="644"/>
      <c r="CB215" s="644"/>
      <c r="CC215" s="644"/>
      <c r="CD215" s="644"/>
      <c r="CE215" s="644"/>
      <c r="CF215" s="644"/>
      <c r="CG215" s="644"/>
      <c r="CH215" s="644"/>
      <c r="CI215" s="644"/>
      <c r="CJ215" s="301" t="s">
        <v>945</v>
      </c>
      <c r="CK215" s="180"/>
      <c r="CL215" s="136"/>
    </row>
    <row r="216" spans="1:90">
      <c r="A216" s="181" t="s">
        <v>381</v>
      </c>
      <c r="B216" s="182"/>
      <c r="C216" s="183"/>
      <c r="D216" s="184"/>
      <c r="E216" s="184"/>
      <c r="F216" s="184"/>
      <c r="G216" s="184"/>
      <c r="H216" s="182"/>
      <c r="I216" s="182"/>
      <c r="J216" s="182"/>
      <c r="K216" s="182"/>
      <c r="L216" s="182">
        <v>1</v>
      </c>
      <c r="M216" s="182"/>
      <c r="N216" s="182"/>
      <c r="O216" s="182"/>
      <c r="P216" s="182"/>
      <c r="Q216" s="182"/>
      <c r="R216" s="182"/>
      <c r="S216" s="182"/>
      <c r="T216" s="182"/>
      <c r="U216" s="182"/>
      <c r="V216" s="182"/>
      <c r="W216" s="182"/>
      <c r="X216" s="182">
        <v>1</v>
      </c>
      <c r="Y216" s="182"/>
      <c r="Z216" s="182"/>
      <c r="AA216" s="182">
        <v>1</v>
      </c>
      <c r="AB216" s="182"/>
      <c r="AC216" s="182"/>
      <c r="AD216" s="182"/>
      <c r="AE216" s="182"/>
      <c r="AF216" s="182"/>
      <c r="AG216" s="182"/>
      <c r="AH216" s="167">
        <v>3</v>
      </c>
      <c r="AI216" s="300" t="s">
        <v>946</v>
      </c>
      <c r="AJ216" s="186">
        <v>42370</v>
      </c>
      <c r="AK216" s="187"/>
      <c r="AL216" s="187">
        <f t="shared" ref="AL216:AL279" si="178">IF(B216=1,0,0)</f>
        <v>0</v>
      </c>
      <c r="AM216" s="187">
        <f t="shared" ref="AM216:AM279" si="179">IF(D216=1,13,0)</f>
        <v>0</v>
      </c>
      <c r="AN216" s="187">
        <f t="shared" ref="AN216:AN279" si="180">IF(E216=1,8,0)</f>
        <v>0</v>
      </c>
      <c r="AO216" s="187">
        <f t="shared" ref="AO216:AO279" si="181">IF(G216=1,8,0)</f>
        <v>0</v>
      </c>
      <c r="AP216" s="187">
        <f t="shared" ref="AP216:AP279" si="182">IF(I216=1,0,0)</f>
        <v>0</v>
      </c>
      <c r="AQ216" s="187">
        <f t="shared" ref="AQ216:AQ279" si="183">IF(J216=1,0,0)</f>
        <v>0</v>
      </c>
      <c r="AR216" s="187">
        <f t="shared" ref="AR216:AR279" si="184">IF(K216=1,0,0)</f>
        <v>0</v>
      </c>
      <c r="AS216" s="187">
        <f t="shared" ref="AS216:AS279" si="185">IF(L216=1,19,0)</f>
        <v>19</v>
      </c>
      <c r="AT216" s="187">
        <f t="shared" ref="AT216:AT279" si="186">IF(O216=1,13,0)</f>
        <v>0</v>
      </c>
      <c r="AU216" s="187">
        <f t="shared" ref="AU216:AU279" si="187">IF(P216=1,0,0)</f>
        <v>0</v>
      </c>
      <c r="AV216" s="187">
        <f t="shared" ref="AV216:AV279" si="188">IF(Q216=1,3,0)</f>
        <v>0</v>
      </c>
      <c r="AW216" s="187">
        <f t="shared" ref="AW216:AW279" si="189">IF(S216=1,8,0)</f>
        <v>0</v>
      </c>
      <c r="AX216" s="187">
        <f t="shared" ref="AX216:AX279" si="190">IF(T216=1,4,0)</f>
        <v>0</v>
      </c>
      <c r="AY216" s="187">
        <f t="shared" ref="AY216:AY279" si="191">IF(U216=1,2,0)</f>
        <v>0</v>
      </c>
      <c r="AZ216" s="187">
        <f t="shared" ref="AZ216:AZ279" si="192">IF(V216=1,8,0)</f>
        <v>0</v>
      </c>
      <c r="BA216" s="187">
        <f t="shared" ref="BA216:BA279" si="193">IF(W216=1,16,0)</f>
        <v>0</v>
      </c>
      <c r="BB216" s="187">
        <f t="shared" ref="BB216:BB279" si="194">IF(X216=1,13,0)</f>
        <v>13</v>
      </c>
      <c r="BC216" s="187">
        <f t="shared" ref="BC216:BC279" si="195">IF(Y216=1,10,0)</f>
        <v>0</v>
      </c>
      <c r="BD216" s="187">
        <f t="shared" ref="BD216:BD279" si="196">IF(Z216=1,2,0)</f>
        <v>0</v>
      </c>
      <c r="BE216" s="187">
        <f t="shared" ref="BE216:BE279" si="197">IF(AA216=1,6,0)</f>
        <v>6</v>
      </c>
      <c r="BF216" s="187">
        <f t="shared" ref="BF216:BF279" si="198">IF(AB216=1,1,0)</f>
        <v>0</v>
      </c>
      <c r="BG216" s="187">
        <f t="shared" ref="BG216:BG279" si="199">IF(AD216=1,8,0)</f>
        <v>0</v>
      </c>
      <c r="BH216" s="187">
        <f t="shared" ref="BH216:BH279" si="200">IF(AE216=1,2,0)</f>
        <v>0</v>
      </c>
      <c r="BI216" s="187">
        <f t="shared" ref="BI216:BI279" si="201">IF(AF216=1,3,0)</f>
        <v>0</v>
      </c>
      <c r="BJ216" s="273">
        <f t="shared" ref="BJ216:BJ279" si="202">LARGE(AL216:BI216,1)+LARGE(AL216:BI216,2)+LARGE(AL216:BI216,3)+LARGE(AL216:BI216,4)+LARGE(AL216:BI216,5)+LARGE(AL216:BI216,6)+LARGE(AL216:BI216,7)+LARGE(AL216:BI216,8)</f>
        <v>38</v>
      </c>
      <c r="BK216" s="167">
        <f t="shared" ref="BK216" si="203">BJ216</f>
        <v>38</v>
      </c>
      <c r="BL216" s="167"/>
      <c r="BM216" s="644"/>
      <c r="BN216" s="644"/>
      <c r="BO216" s="644"/>
      <c r="BP216" s="644"/>
      <c r="BQ216" s="644"/>
      <c r="BR216" s="644"/>
      <c r="BS216" s="644"/>
      <c r="BT216" s="644"/>
      <c r="BU216" s="644"/>
      <c r="BV216" s="644"/>
      <c r="BW216" s="644"/>
      <c r="BX216" s="644"/>
      <c r="BY216" s="644"/>
      <c r="BZ216" s="644"/>
      <c r="CA216" s="644"/>
      <c r="CB216" s="644"/>
      <c r="CC216" s="644"/>
      <c r="CD216" s="644"/>
      <c r="CE216" s="644"/>
      <c r="CF216" s="644"/>
      <c r="CG216" s="644"/>
      <c r="CH216" s="644"/>
      <c r="CI216" s="644"/>
      <c r="CJ216" s="301" t="s">
        <v>814</v>
      </c>
      <c r="CK216" s="180"/>
      <c r="CL216" s="136"/>
    </row>
    <row r="217" spans="1:90">
      <c r="A217" s="181" t="s">
        <v>382</v>
      </c>
      <c r="B217" s="182"/>
      <c r="C217" s="183"/>
      <c r="D217" s="184">
        <v>1</v>
      </c>
      <c r="E217" s="184">
        <v>1</v>
      </c>
      <c r="F217" s="184"/>
      <c r="G217" s="184">
        <v>1</v>
      </c>
      <c r="H217" s="182"/>
      <c r="I217" s="182"/>
      <c r="J217" s="182"/>
      <c r="K217" s="182"/>
      <c r="L217" s="182">
        <v>1</v>
      </c>
      <c r="M217" s="182"/>
      <c r="N217" s="182"/>
      <c r="O217" s="182"/>
      <c r="P217" s="182"/>
      <c r="Q217" s="182"/>
      <c r="R217" s="182"/>
      <c r="S217" s="182"/>
      <c r="T217" s="302">
        <v>1</v>
      </c>
      <c r="U217" s="182"/>
      <c r="V217" s="182">
        <v>1</v>
      </c>
      <c r="W217" s="182">
        <v>1</v>
      </c>
      <c r="X217" s="182">
        <v>1</v>
      </c>
      <c r="Y217" s="320"/>
      <c r="Z217" s="302">
        <v>1</v>
      </c>
      <c r="AA217" s="182"/>
      <c r="AB217" s="182"/>
      <c r="AC217" s="182"/>
      <c r="AD217" s="302">
        <v>1</v>
      </c>
      <c r="AE217" s="182"/>
      <c r="AF217" s="182"/>
      <c r="AG217" s="182"/>
      <c r="AH217" s="167">
        <v>10</v>
      </c>
      <c r="AI217" s="300" t="str">
        <f>HYPERLINK("http://bit.ly/1Iclj5h","Comment #92")</f>
        <v>Comment #92</v>
      </c>
      <c r="AJ217" s="186">
        <v>42332</v>
      </c>
      <c r="AK217" s="187"/>
      <c r="AL217" s="187">
        <f t="shared" si="178"/>
        <v>0</v>
      </c>
      <c r="AM217" s="187">
        <f t="shared" si="179"/>
        <v>13</v>
      </c>
      <c r="AN217" s="187">
        <f t="shared" si="180"/>
        <v>8</v>
      </c>
      <c r="AO217" s="187">
        <f t="shared" si="181"/>
        <v>8</v>
      </c>
      <c r="AP217" s="187">
        <f t="shared" si="182"/>
        <v>0</v>
      </c>
      <c r="AQ217" s="187">
        <f t="shared" si="183"/>
        <v>0</v>
      </c>
      <c r="AR217" s="187">
        <f t="shared" si="184"/>
        <v>0</v>
      </c>
      <c r="AS217" s="187">
        <f t="shared" si="185"/>
        <v>19</v>
      </c>
      <c r="AT217" s="187">
        <f t="shared" si="186"/>
        <v>0</v>
      </c>
      <c r="AU217" s="187">
        <f t="shared" si="187"/>
        <v>0</v>
      </c>
      <c r="AV217" s="187">
        <f t="shared" si="188"/>
        <v>0</v>
      </c>
      <c r="AW217" s="187">
        <f t="shared" si="189"/>
        <v>0</v>
      </c>
      <c r="AX217" s="187">
        <f t="shared" si="190"/>
        <v>4</v>
      </c>
      <c r="AY217" s="187">
        <f t="shared" si="191"/>
        <v>0</v>
      </c>
      <c r="AZ217" s="187">
        <f t="shared" si="192"/>
        <v>8</v>
      </c>
      <c r="BA217" s="187">
        <f t="shared" si="193"/>
        <v>16</v>
      </c>
      <c r="BB217" s="187">
        <f t="shared" si="194"/>
        <v>13</v>
      </c>
      <c r="BC217" s="187">
        <f t="shared" si="195"/>
        <v>0</v>
      </c>
      <c r="BD217" s="187">
        <f t="shared" si="196"/>
        <v>2</v>
      </c>
      <c r="BE217" s="187">
        <f t="shared" si="197"/>
        <v>0</v>
      </c>
      <c r="BF217" s="187">
        <f t="shared" si="198"/>
        <v>0</v>
      </c>
      <c r="BG217" s="187">
        <f t="shared" si="199"/>
        <v>8</v>
      </c>
      <c r="BH217" s="187">
        <f t="shared" si="200"/>
        <v>0</v>
      </c>
      <c r="BI217" s="187">
        <f t="shared" si="201"/>
        <v>0</v>
      </c>
      <c r="BJ217" s="273">
        <f t="shared" si="202"/>
        <v>93</v>
      </c>
      <c r="BK217" s="167">
        <f t="shared" ref="BK217:BK233" si="204">BJ217</f>
        <v>93</v>
      </c>
      <c r="BL217" s="167"/>
      <c r="BM217" s="644"/>
      <c r="BN217" s="644"/>
      <c r="BO217" s="644"/>
      <c r="BP217" s="644"/>
      <c r="BQ217" s="644"/>
      <c r="BR217" s="644"/>
      <c r="BS217" s="644"/>
      <c r="BT217" s="644"/>
      <c r="BU217" s="644"/>
      <c r="BV217" s="644"/>
      <c r="BW217" s="644"/>
      <c r="BX217" s="644"/>
      <c r="BY217" s="644"/>
      <c r="BZ217" s="644"/>
      <c r="CA217" s="644"/>
      <c r="CB217" s="644"/>
      <c r="CC217" s="644"/>
      <c r="CD217" s="644"/>
      <c r="CE217" s="644"/>
      <c r="CF217" s="644"/>
      <c r="CG217" s="644"/>
      <c r="CH217" s="644"/>
      <c r="CI217" s="644"/>
      <c r="CJ217" s="301" t="s">
        <v>746</v>
      </c>
      <c r="CK217" s="180"/>
      <c r="CL217" s="136"/>
    </row>
    <row r="218" spans="1:90">
      <c r="A218" s="181" t="s">
        <v>947</v>
      </c>
      <c r="B218" s="182"/>
      <c r="C218" s="183"/>
      <c r="D218" s="184">
        <v>1</v>
      </c>
      <c r="E218" s="184"/>
      <c r="F218" s="184"/>
      <c r="G218" s="184"/>
      <c r="H218" s="182"/>
      <c r="I218" s="182"/>
      <c r="J218" s="182"/>
      <c r="K218" s="182"/>
      <c r="L218" s="182">
        <v>1</v>
      </c>
      <c r="M218" s="182"/>
      <c r="N218" s="182"/>
      <c r="O218" s="182">
        <v>1</v>
      </c>
      <c r="P218" s="182"/>
      <c r="Q218" s="182"/>
      <c r="R218" s="182"/>
      <c r="S218" s="182">
        <v>1</v>
      </c>
      <c r="T218" s="182"/>
      <c r="U218" s="182"/>
      <c r="V218" s="182">
        <v>1</v>
      </c>
      <c r="W218" s="182"/>
      <c r="X218" s="182">
        <v>1</v>
      </c>
      <c r="Y218" s="182">
        <v>1</v>
      </c>
      <c r="Z218" s="182"/>
      <c r="AA218" s="182">
        <v>1</v>
      </c>
      <c r="AB218" s="182"/>
      <c r="AC218" s="182"/>
      <c r="AD218" s="182">
        <v>1</v>
      </c>
      <c r="AE218" s="182"/>
      <c r="AF218" s="182"/>
      <c r="AG218" s="182"/>
      <c r="AH218" s="167">
        <v>9</v>
      </c>
      <c r="AI218" s="300" t="s">
        <v>948</v>
      </c>
      <c r="AJ218" s="186">
        <v>42339</v>
      </c>
      <c r="AK218" s="187"/>
      <c r="AL218" s="187">
        <f t="shared" si="178"/>
        <v>0</v>
      </c>
      <c r="AM218" s="187">
        <f t="shared" si="179"/>
        <v>13</v>
      </c>
      <c r="AN218" s="187">
        <f t="shared" si="180"/>
        <v>0</v>
      </c>
      <c r="AO218" s="187">
        <f t="shared" si="181"/>
        <v>0</v>
      </c>
      <c r="AP218" s="187">
        <f t="shared" si="182"/>
        <v>0</v>
      </c>
      <c r="AQ218" s="187">
        <f t="shared" si="183"/>
        <v>0</v>
      </c>
      <c r="AR218" s="187">
        <f t="shared" si="184"/>
        <v>0</v>
      </c>
      <c r="AS218" s="187">
        <f t="shared" si="185"/>
        <v>19</v>
      </c>
      <c r="AT218" s="187">
        <f t="shared" si="186"/>
        <v>13</v>
      </c>
      <c r="AU218" s="187">
        <f t="shared" si="187"/>
        <v>0</v>
      </c>
      <c r="AV218" s="187">
        <f t="shared" si="188"/>
        <v>0</v>
      </c>
      <c r="AW218" s="187">
        <f t="shared" si="189"/>
        <v>8</v>
      </c>
      <c r="AX218" s="187">
        <f t="shared" si="190"/>
        <v>0</v>
      </c>
      <c r="AY218" s="187">
        <f t="shared" si="191"/>
        <v>0</v>
      </c>
      <c r="AZ218" s="187">
        <f t="shared" si="192"/>
        <v>8</v>
      </c>
      <c r="BA218" s="187">
        <f t="shared" si="193"/>
        <v>0</v>
      </c>
      <c r="BB218" s="187">
        <f t="shared" si="194"/>
        <v>13</v>
      </c>
      <c r="BC218" s="187">
        <f t="shared" si="195"/>
        <v>10</v>
      </c>
      <c r="BD218" s="187">
        <f t="shared" si="196"/>
        <v>0</v>
      </c>
      <c r="BE218" s="187">
        <f t="shared" si="197"/>
        <v>6</v>
      </c>
      <c r="BF218" s="187">
        <f t="shared" si="198"/>
        <v>0</v>
      </c>
      <c r="BG218" s="187">
        <f t="shared" si="199"/>
        <v>8</v>
      </c>
      <c r="BH218" s="187">
        <f t="shared" si="200"/>
        <v>0</v>
      </c>
      <c r="BI218" s="187">
        <f t="shared" si="201"/>
        <v>0</v>
      </c>
      <c r="BJ218" s="273">
        <f t="shared" si="202"/>
        <v>92</v>
      </c>
      <c r="BK218" s="167">
        <f t="shared" si="204"/>
        <v>92</v>
      </c>
      <c r="BL218" s="167"/>
      <c r="BM218" s="644"/>
      <c r="BN218" s="644"/>
      <c r="BO218" s="644"/>
      <c r="BP218" s="644"/>
      <c r="BQ218" s="644"/>
      <c r="BR218" s="644"/>
      <c r="BS218" s="644"/>
      <c r="BT218" s="644"/>
      <c r="BU218" s="644"/>
      <c r="BV218" s="644"/>
      <c r="BW218" s="644"/>
      <c r="BX218" s="644"/>
      <c r="BY218" s="644"/>
      <c r="BZ218" s="644"/>
      <c r="CA218" s="644"/>
      <c r="CB218" s="644"/>
      <c r="CC218" s="644"/>
      <c r="CD218" s="644"/>
      <c r="CE218" s="644"/>
      <c r="CF218" s="644"/>
      <c r="CG218" s="644"/>
      <c r="CH218" s="644"/>
      <c r="CI218" s="644"/>
      <c r="CJ218" s="301" t="s">
        <v>814</v>
      </c>
      <c r="CK218" s="180"/>
      <c r="CL218" s="136"/>
    </row>
    <row r="219" spans="1:90">
      <c r="A219" s="181" t="s">
        <v>386</v>
      </c>
      <c r="B219" s="182"/>
      <c r="C219" s="183"/>
      <c r="D219" s="314">
        <v>1</v>
      </c>
      <c r="E219" s="184">
        <v>1</v>
      </c>
      <c r="F219" s="184"/>
      <c r="G219" s="184">
        <v>1</v>
      </c>
      <c r="H219" s="182"/>
      <c r="I219" s="182"/>
      <c r="J219" s="182"/>
      <c r="K219" s="182"/>
      <c r="L219" s="182">
        <v>1</v>
      </c>
      <c r="M219" s="182"/>
      <c r="N219" s="182"/>
      <c r="O219" s="182"/>
      <c r="P219" s="182"/>
      <c r="Q219" s="182"/>
      <c r="R219" s="182"/>
      <c r="S219" s="302">
        <v>1</v>
      </c>
      <c r="T219" s="182"/>
      <c r="U219" s="182">
        <v>1</v>
      </c>
      <c r="V219" s="182"/>
      <c r="W219" s="182">
        <v>1</v>
      </c>
      <c r="X219" s="182"/>
      <c r="Y219" s="182">
        <v>1</v>
      </c>
      <c r="Z219" s="182">
        <v>1</v>
      </c>
      <c r="AA219" s="182"/>
      <c r="AB219" s="182"/>
      <c r="AC219" s="182"/>
      <c r="AD219" s="182">
        <v>1</v>
      </c>
      <c r="AE219" s="182"/>
      <c r="AF219" s="182"/>
      <c r="AG219" s="182"/>
      <c r="AH219" s="167">
        <v>10</v>
      </c>
      <c r="AI219" s="300" t="s">
        <v>949</v>
      </c>
      <c r="AJ219" s="186">
        <v>42359</v>
      </c>
      <c r="AK219" s="187"/>
      <c r="AL219" s="187">
        <f t="shared" si="178"/>
        <v>0</v>
      </c>
      <c r="AM219" s="187">
        <f t="shared" si="179"/>
        <v>13</v>
      </c>
      <c r="AN219" s="187">
        <f t="shared" si="180"/>
        <v>8</v>
      </c>
      <c r="AO219" s="187">
        <f t="shared" si="181"/>
        <v>8</v>
      </c>
      <c r="AP219" s="187">
        <f t="shared" si="182"/>
        <v>0</v>
      </c>
      <c r="AQ219" s="187">
        <f t="shared" si="183"/>
        <v>0</v>
      </c>
      <c r="AR219" s="187">
        <f t="shared" si="184"/>
        <v>0</v>
      </c>
      <c r="AS219" s="187">
        <f t="shared" si="185"/>
        <v>19</v>
      </c>
      <c r="AT219" s="187">
        <f t="shared" si="186"/>
        <v>0</v>
      </c>
      <c r="AU219" s="187">
        <f t="shared" si="187"/>
        <v>0</v>
      </c>
      <c r="AV219" s="187">
        <f t="shared" si="188"/>
        <v>0</v>
      </c>
      <c r="AW219" s="187">
        <f t="shared" si="189"/>
        <v>8</v>
      </c>
      <c r="AX219" s="187">
        <f t="shared" si="190"/>
        <v>0</v>
      </c>
      <c r="AY219" s="187">
        <f t="shared" si="191"/>
        <v>2</v>
      </c>
      <c r="AZ219" s="187">
        <f t="shared" si="192"/>
        <v>0</v>
      </c>
      <c r="BA219" s="187">
        <f t="shared" si="193"/>
        <v>16</v>
      </c>
      <c r="BB219" s="187">
        <f t="shared" si="194"/>
        <v>0</v>
      </c>
      <c r="BC219" s="187">
        <f t="shared" si="195"/>
        <v>10</v>
      </c>
      <c r="BD219" s="187">
        <f t="shared" si="196"/>
        <v>2</v>
      </c>
      <c r="BE219" s="187">
        <f t="shared" si="197"/>
        <v>0</v>
      </c>
      <c r="BF219" s="187">
        <f t="shared" si="198"/>
        <v>0</v>
      </c>
      <c r="BG219" s="187">
        <f t="shared" si="199"/>
        <v>8</v>
      </c>
      <c r="BH219" s="187">
        <f t="shared" si="200"/>
        <v>0</v>
      </c>
      <c r="BI219" s="187">
        <f t="shared" si="201"/>
        <v>0</v>
      </c>
      <c r="BJ219" s="273">
        <f t="shared" si="202"/>
        <v>90</v>
      </c>
      <c r="BK219" s="167">
        <f t="shared" ref="BK219" si="205">BJ219</f>
        <v>90</v>
      </c>
      <c r="BL219" s="167"/>
      <c r="BM219" s="644"/>
      <c r="BN219" s="644"/>
      <c r="BO219" s="644"/>
      <c r="BP219" s="644"/>
      <c r="BQ219" s="644"/>
      <c r="BR219" s="644"/>
      <c r="BS219" s="644"/>
      <c r="BT219" s="644"/>
      <c r="BU219" s="644"/>
      <c r="BV219" s="644"/>
      <c r="BW219" s="644"/>
      <c r="BX219" s="644"/>
      <c r="BY219" s="644"/>
      <c r="BZ219" s="644"/>
      <c r="CA219" s="644"/>
      <c r="CB219" s="644"/>
      <c r="CC219" s="644"/>
      <c r="CD219" s="644"/>
      <c r="CE219" s="644"/>
      <c r="CF219" s="644"/>
      <c r="CG219" s="644"/>
      <c r="CH219" s="644"/>
      <c r="CI219" s="644"/>
      <c r="CJ219" s="301" t="s">
        <v>740</v>
      </c>
      <c r="CK219" s="180"/>
      <c r="CL219" s="136"/>
    </row>
    <row r="220" spans="1:90" s="344" customFormat="1">
      <c r="A220" s="335" t="s">
        <v>387</v>
      </c>
      <c r="B220" s="182"/>
      <c r="C220" s="183"/>
      <c r="D220" s="184">
        <v>1</v>
      </c>
      <c r="E220" s="184">
        <v>1</v>
      </c>
      <c r="F220" s="184"/>
      <c r="G220" s="184">
        <v>1</v>
      </c>
      <c r="H220" s="182"/>
      <c r="I220" s="182"/>
      <c r="J220" s="182"/>
      <c r="K220" s="182"/>
      <c r="L220" s="182">
        <v>1</v>
      </c>
      <c r="M220" s="182"/>
      <c r="N220" s="182"/>
      <c r="O220" s="182">
        <v>1</v>
      </c>
      <c r="P220" s="182"/>
      <c r="Q220" s="182"/>
      <c r="R220" s="182"/>
      <c r="S220" s="182"/>
      <c r="T220" s="182">
        <v>1</v>
      </c>
      <c r="U220" s="302">
        <v>1</v>
      </c>
      <c r="V220" s="182"/>
      <c r="W220" s="182">
        <v>1</v>
      </c>
      <c r="X220" s="182"/>
      <c r="Y220" s="182"/>
      <c r="Z220" s="182">
        <v>1</v>
      </c>
      <c r="AA220" s="302">
        <v>1</v>
      </c>
      <c r="AB220" s="182"/>
      <c r="AC220" s="182"/>
      <c r="AD220" s="182"/>
      <c r="AE220" s="182"/>
      <c r="AF220" s="182"/>
      <c r="AG220" s="182"/>
      <c r="AH220" s="339">
        <v>10</v>
      </c>
      <c r="AI220" s="340" t="s">
        <v>950</v>
      </c>
      <c r="AJ220" s="341">
        <v>42367</v>
      </c>
      <c r="AK220" s="187"/>
      <c r="AL220" s="187">
        <f t="shared" si="178"/>
        <v>0</v>
      </c>
      <c r="AM220" s="187">
        <f t="shared" si="179"/>
        <v>13</v>
      </c>
      <c r="AN220" s="187">
        <f t="shared" si="180"/>
        <v>8</v>
      </c>
      <c r="AO220" s="187">
        <f t="shared" si="181"/>
        <v>8</v>
      </c>
      <c r="AP220" s="187">
        <f t="shared" si="182"/>
        <v>0</v>
      </c>
      <c r="AQ220" s="187">
        <f t="shared" si="183"/>
        <v>0</v>
      </c>
      <c r="AR220" s="187">
        <f t="shared" si="184"/>
        <v>0</v>
      </c>
      <c r="AS220" s="187">
        <f t="shared" si="185"/>
        <v>19</v>
      </c>
      <c r="AT220" s="187">
        <f t="shared" si="186"/>
        <v>13</v>
      </c>
      <c r="AU220" s="187">
        <f t="shared" si="187"/>
        <v>0</v>
      </c>
      <c r="AV220" s="187">
        <f t="shared" si="188"/>
        <v>0</v>
      </c>
      <c r="AW220" s="187">
        <f t="shared" si="189"/>
        <v>0</v>
      </c>
      <c r="AX220" s="187">
        <f t="shared" si="190"/>
        <v>4</v>
      </c>
      <c r="AY220" s="187">
        <f t="shared" si="191"/>
        <v>2</v>
      </c>
      <c r="AZ220" s="187">
        <f t="shared" si="192"/>
        <v>0</v>
      </c>
      <c r="BA220" s="187">
        <f t="shared" si="193"/>
        <v>16</v>
      </c>
      <c r="BB220" s="187">
        <f t="shared" si="194"/>
        <v>0</v>
      </c>
      <c r="BC220" s="187">
        <f t="shared" si="195"/>
        <v>0</v>
      </c>
      <c r="BD220" s="187">
        <f t="shared" si="196"/>
        <v>2</v>
      </c>
      <c r="BE220" s="187">
        <f t="shared" si="197"/>
        <v>6</v>
      </c>
      <c r="BF220" s="187">
        <f t="shared" si="198"/>
        <v>0</v>
      </c>
      <c r="BG220" s="187">
        <f t="shared" si="199"/>
        <v>0</v>
      </c>
      <c r="BH220" s="187">
        <f t="shared" si="200"/>
        <v>0</v>
      </c>
      <c r="BI220" s="187">
        <f t="shared" si="201"/>
        <v>0</v>
      </c>
      <c r="BJ220" s="273">
        <f t="shared" si="202"/>
        <v>87</v>
      </c>
      <c r="BK220" s="167">
        <f t="shared" ref="BK220" si="206">BJ220</f>
        <v>87</v>
      </c>
      <c r="BL220" s="167"/>
      <c r="BM220" s="644"/>
      <c r="BN220" s="644"/>
      <c r="BO220" s="644"/>
      <c r="BP220" s="644"/>
      <c r="BQ220" s="644"/>
      <c r="BR220" s="644"/>
      <c r="BS220" s="644"/>
      <c r="BT220" s="644"/>
      <c r="BU220" s="644"/>
      <c r="BV220" s="644"/>
      <c r="BW220" s="644"/>
      <c r="BX220" s="644"/>
      <c r="BY220" s="644"/>
      <c r="BZ220" s="644"/>
      <c r="CA220" s="644"/>
      <c r="CB220" s="644"/>
      <c r="CC220" s="644"/>
      <c r="CD220" s="644"/>
      <c r="CE220" s="644"/>
      <c r="CF220" s="644"/>
      <c r="CG220" s="644"/>
      <c r="CH220" s="644"/>
      <c r="CI220" s="644"/>
      <c r="CJ220" s="301" t="s">
        <v>843</v>
      </c>
      <c r="CK220" s="342"/>
      <c r="CL220" s="343"/>
    </row>
    <row r="221" spans="1:90">
      <c r="A221" s="181" t="s">
        <v>388</v>
      </c>
      <c r="B221" s="182"/>
      <c r="C221" s="183"/>
      <c r="D221" s="184">
        <v>1</v>
      </c>
      <c r="E221" s="184">
        <v>1</v>
      </c>
      <c r="F221" s="184"/>
      <c r="G221" s="184">
        <v>1</v>
      </c>
      <c r="H221" s="182"/>
      <c r="I221" s="182"/>
      <c r="J221" s="182"/>
      <c r="K221" s="182"/>
      <c r="L221" s="182">
        <v>1</v>
      </c>
      <c r="M221" s="182"/>
      <c r="N221" s="182"/>
      <c r="O221" s="182">
        <v>1</v>
      </c>
      <c r="P221" s="182"/>
      <c r="Q221" s="182"/>
      <c r="R221" s="182"/>
      <c r="S221" s="302">
        <v>1</v>
      </c>
      <c r="T221" s="182"/>
      <c r="U221" s="182"/>
      <c r="V221" s="302">
        <v>1</v>
      </c>
      <c r="W221" s="182">
        <v>1</v>
      </c>
      <c r="X221" s="182">
        <v>1</v>
      </c>
      <c r="Y221" s="182">
        <v>1</v>
      </c>
      <c r="Z221" s="182"/>
      <c r="AA221" s="182"/>
      <c r="AB221" s="182"/>
      <c r="AC221" s="182"/>
      <c r="AD221" s="182"/>
      <c r="AE221" s="182"/>
      <c r="AF221" s="182"/>
      <c r="AG221" s="182"/>
      <c r="AH221" s="167">
        <v>10</v>
      </c>
      <c r="AI221" s="300" t="s">
        <v>951</v>
      </c>
      <c r="AJ221" s="186">
        <v>42357</v>
      </c>
      <c r="AK221" s="187"/>
      <c r="AL221" s="187">
        <f t="shared" si="178"/>
        <v>0</v>
      </c>
      <c r="AM221" s="187">
        <f t="shared" si="179"/>
        <v>13</v>
      </c>
      <c r="AN221" s="187">
        <f t="shared" si="180"/>
        <v>8</v>
      </c>
      <c r="AO221" s="187">
        <f t="shared" si="181"/>
        <v>8</v>
      </c>
      <c r="AP221" s="187">
        <f t="shared" si="182"/>
        <v>0</v>
      </c>
      <c r="AQ221" s="187">
        <f t="shared" si="183"/>
        <v>0</v>
      </c>
      <c r="AR221" s="187">
        <f t="shared" si="184"/>
        <v>0</v>
      </c>
      <c r="AS221" s="187">
        <f t="shared" si="185"/>
        <v>19</v>
      </c>
      <c r="AT221" s="187">
        <f t="shared" si="186"/>
        <v>13</v>
      </c>
      <c r="AU221" s="187">
        <f t="shared" si="187"/>
        <v>0</v>
      </c>
      <c r="AV221" s="187">
        <f t="shared" si="188"/>
        <v>0</v>
      </c>
      <c r="AW221" s="187">
        <f t="shared" si="189"/>
        <v>8</v>
      </c>
      <c r="AX221" s="187">
        <f t="shared" si="190"/>
        <v>0</v>
      </c>
      <c r="AY221" s="187">
        <f t="shared" si="191"/>
        <v>0</v>
      </c>
      <c r="AZ221" s="187">
        <f t="shared" si="192"/>
        <v>8</v>
      </c>
      <c r="BA221" s="187">
        <f t="shared" si="193"/>
        <v>16</v>
      </c>
      <c r="BB221" s="187">
        <f t="shared" si="194"/>
        <v>13</v>
      </c>
      <c r="BC221" s="187">
        <f t="shared" si="195"/>
        <v>10</v>
      </c>
      <c r="BD221" s="187">
        <f t="shared" si="196"/>
        <v>0</v>
      </c>
      <c r="BE221" s="187">
        <f t="shared" si="197"/>
        <v>0</v>
      </c>
      <c r="BF221" s="187">
        <f t="shared" si="198"/>
        <v>0</v>
      </c>
      <c r="BG221" s="187">
        <f t="shared" si="199"/>
        <v>0</v>
      </c>
      <c r="BH221" s="187">
        <f t="shared" si="200"/>
        <v>0</v>
      </c>
      <c r="BI221" s="187">
        <f t="shared" si="201"/>
        <v>0</v>
      </c>
      <c r="BJ221" s="273">
        <f t="shared" si="202"/>
        <v>100</v>
      </c>
      <c r="BK221" s="167">
        <f t="shared" si="204"/>
        <v>100</v>
      </c>
      <c r="BL221" s="167"/>
      <c r="BM221" s="644"/>
      <c r="BN221" s="644"/>
      <c r="BO221" s="644"/>
      <c r="BP221" s="644"/>
      <c r="BQ221" s="644"/>
      <c r="BR221" s="644"/>
      <c r="BS221" s="644"/>
      <c r="BT221" s="644"/>
      <c r="BU221" s="644"/>
      <c r="BV221" s="644"/>
      <c r="BW221" s="644"/>
      <c r="BX221" s="644"/>
      <c r="BY221" s="644"/>
      <c r="BZ221" s="644"/>
      <c r="CA221" s="644"/>
      <c r="CB221" s="644"/>
      <c r="CC221" s="644"/>
      <c r="CD221" s="644"/>
      <c r="CE221" s="644"/>
      <c r="CF221" s="644"/>
      <c r="CG221" s="644"/>
      <c r="CH221" s="644"/>
      <c r="CI221" s="644"/>
      <c r="CJ221" s="301" t="s">
        <v>756</v>
      </c>
      <c r="CK221" s="180"/>
      <c r="CL221" s="136"/>
    </row>
    <row r="222" spans="1:90">
      <c r="A222" s="181" t="s">
        <v>390</v>
      </c>
      <c r="B222" s="182"/>
      <c r="C222" s="183"/>
      <c r="D222" s="184"/>
      <c r="E222" s="184"/>
      <c r="F222" s="184"/>
      <c r="G222" s="184"/>
      <c r="H222" s="182"/>
      <c r="I222" s="182"/>
      <c r="J222" s="182"/>
      <c r="K222" s="182"/>
      <c r="L222" s="182">
        <v>1</v>
      </c>
      <c r="M222" s="182"/>
      <c r="N222" s="182"/>
      <c r="O222" s="182">
        <v>1</v>
      </c>
      <c r="P222" s="182"/>
      <c r="Q222" s="182"/>
      <c r="R222" s="182"/>
      <c r="S222" s="182"/>
      <c r="T222" s="320"/>
      <c r="U222" s="182"/>
      <c r="V222" s="182"/>
      <c r="W222" s="302">
        <v>1</v>
      </c>
      <c r="X222" s="182"/>
      <c r="Y222" s="182"/>
      <c r="Z222" s="182"/>
      <c r="AA222" s="182">
        <v>1</v>
      </c>
      <c r="AB222" s="182"/>
      <c r="AC222" s="182"/>
      <c r="AD222" s="182"/>
      <c r="AE222" s="182"/>
      <c r="AF222" s="182"/>
      <c r="AG222" s="182"/>
      <c r="AH222" s="167">
        <v>4</v>
      </c>
      <c r="AI222" s="328" t="s">
        <v>113</v>
      </c>
      <c r="AJ222" s="186">
        <v>42344</v>
      </c>
      <c r="AK222" s="187"/>
      <c r="AL222" s="187">
        <f t="shared" si="178"/>
        <v>0</v>
      </c>
      <c r="AM222" s="187">
        <f t="shared" si="179"/>
        <v>0</v>
      </c>
      <c r="AN222" s="187">
        <f t="shared" si="180"/>
        <v>0</v>
      </c>
      <c r="AO222" s="187">
        <f t="shared" si="181"/>
        <v>0</v>
      </c>
      <c r="AP222" s="187">
        <f t="shared" si="182"/>
        <v>0</v>
      </c>
      <c r="AQ222" s="187">
        <f t="shared" si="183"/>
        <v>0</v>
      </c>
      <c r="AR222" s="187">
        <f t="shared" si="184"/>
        <v>0</v>
      </c>
      <c r="AS222" s="187">
        <f t="shared" si="185"/>
        <v>19</v>
      </c>
      <c r="AT222" s="187">
        <f t="shared" si="186"/>
        <v>13</v>
      </c>
      <c r="AU222" s="187">
        <f t="shared" si="187"/>
        <v>0</v>
      </c>
      <c r="AV222" s="187">
        <f t="shared" si="188"/>
        <v>0</v>
      </c>
      <c r="AW222" s="187">
        <f t="shared" si="189"/>
        <v>0</v>
      </c>
      <c r="AX222" s="187">
        <f t="shared" si="190"/>
        <v>0</v>
      </c>
      <c r="AY222" s="187">
        <f t="shared" si="191"/>
        <v>0</v>
      </c>
      <c r="AZ222" s="187">
        <f t="shared" si="192"/>
        <v>0</v>
      </c>
      <c r="BA222" s="187">
        <f t="shared" si="193"/>
        <v>16</v>
      </c>
      <c r="BB222" s="187">
        <f t="shared" si="194"/>
        <v>0</v>
      </c>
      <c r="BC222" s="187">
        <f t="shared" si="195"/>
        <v>0</v>
      </c>
      <c r="BD222" s="187">
        <f t="shared" si="196"/>
        <v>0</v>
      </c>
      <c r="BE222" s="187">
        <f t="shared" si="197"/>
        <v>6</v>
      </c>
      <c r="BF222" s="187">
        <f t="shared" si="198"/>
        <v>0</v>
      </c>
      <c r="BG222" s="187">
        <f t="shared" si="199"/>
        <v>0</v>
      </c>
      <c r="BH222" s="187">
        <f t="shared" si="200"/>
        <v>0</v>
      </c>
      <c r="BI222" s="187">
        <f t="shared" si="201"/>
        <v>0</v>
      </c>
      <c r="BJ222" s="273">
        <f t="shared" si="202"/>
        <v>54</v>
      </c>
      <c r="BK222" s="167">
        <f t="shared" si="204"/>
        <v>54</v>
      </c>
      <c r="BL222" s="167"/>
      <c r="BM222" s="644"/>
      <c r="BN222" s="644"/>
      <c r="BO222" s="644"/>
      <c r="BP222" s="644"/>
      <c r="BQ222" s="644"/>
      <c r="BR222" s="644"/>
      <c r="BS222" s="644"/>
      <c r="BT222" s="644"/>
      <c r="BU222" s="644"/>
      <c r="BV222" s="644"/>
      <c r="BW222" s="644"/>
      <c r="BX222" s="644"/>
      <c r="BY222" s="644"/>
      <c r="BZ222" s="644"/>
      <c r="CA222" s="644"/>
      <c r="CB222" s="644"/>
      <c r="CC222" s="644"/>
      <c r="CD222" s="644"/>
      <c r="CE222" s="644"/>
      <c r="CF222" s="644"/>
      <c r="CG222" s="644"/>
      <c r="CH222" s="644"/>
      <c r="CI222" s="644"/>
      <c r="CJ222" s="301" t="s">
        <v>814</v>
      </c>
      <c r="CK222" s="180"/>
      <c r="CL222" s="136"/>
    </row>
    <row r="223" spans="1:90" s="344" customFormat="1">
      <c r="A223" s="335" t="s">
        <v>391</v>
      </c>
      <c r="B223" s="182"/>
      <c r="C223" s="183"/>
      <c r="D223" s="184">
        <v>1</v>
      </c>
      <c r="E223" s="184"/>
      <c r="F223" s="184"/>
      <c r="G223" s="184"/>
      <c r="H223" s="182"/>
      <c r="I223" s="182"/>
      <c r="J223" s="182"/>
      <c r="K223" s="182"/>
      <c r="L223" s="182">
        <v>1</v>
      </c>
      <c r="M223" s="182"/>
      <c r="N223" s="182"/>
      <c r="O223" s="182">
        <v>1</v>
      </c>
      <c r="P223" s="182"/>
      <c r="Q223" s="182">
        <v>1</v>
      </c>
      <c r="R223" s="182"/>
      <c r="S223" s="182"/>
      <c r="T223" s="182">
        <v>1</v>
      </c>
      <c r="U223" s="182"/>
      <c r="V223" s="182"/>
      <c r="W223" s="302">
        <v>1</v>
      </c>
      <c r="X223" s="182">
        <v>1</v>
      </c>
      <c r="Y223" s="182">
        <v>1</v>
      </c>
      <c r="Z223" s="182">
        <v>1</v>
      </c>
      <c r="AA223" s="182"/>
      <c r="AB223" s="182"/>
      <c r="AC223" s="182"/>
      <c r="AD223" s="182"/>
      <c r="AE223" s="182"/>
      <c r="AF223" s="182"/>
      <c r="AG223" s="182"/>
      <c r="AH223" s="339">
        <v>9</v>
      </c>
      <c r="AI223" s="356" t="s">
        <v>392</v>
      </c>
      <c r="AJ223" s="341">
        <v>42375</v>
      </c>
      <c r="AK223" s="187"/>
      <c r="AL223" s="187">
        <f t="shared" si="178"/>
        <v>0</v>
      </c>
      <c r="AM223" s="187">
        <f t="shared" si="179"/>
        <v>13</v>
      </c>
      <c r="AN223" s="187">
        <f t="shared" si="180"/>
        <v>0</v>
      </c>
      <c r="AO223" s="187">
        <f t="shared" si="181"/>
        <v>0</v>
      </c>
      <c r="AP223" s="187">
        <f t="shared" si="182"/>
        <v>0</v>
      </c>
      <c r="AQ223" s="187">
        <f t="shared" si="183"/>
        <v>0</v>
      </c>
      <c r="AR223" s="187">
        <f t="shared" si="184"/>
        <v>0</v>
      </c>
      <c r="AS223" s="187">
        <f t="shared" si="185"/>
        <v>19</v>
      </c>
      <c r="AT223" s="187">
        <f t="shared" si="186"/>
        <v>13</v>
      </c>
      <c r="AU223" s="187">
        <f t="shared" si="187"/>
        <v>0</v>
      </c>
      <c r="AV223" s="187">
        <f t="shared" si="188"/>
        <v>3</v>
      </c>
      <c r="AW223" s="187">
        <f t="shared" si="189"/>
        <v>0</v>
      </c>
      <c r="AX223" s="187">
        <f t="shared" si="190"/>
        <v>4</v>
      </c>
      <c r="AY223" s="187">
        <f t="shared" si="191"/>
        <v>0</v>
      </c>
      <c r="AZ223" s="187">
        <f t="shared" si="192"/>
        <v>0</v>
      </c>
      <c r="BA223" s="187">
        <f t="shared" si="193"/>
        <v>16</v>
      </c>
      <c r="BB223" s="187">
        <f t="shared" si="194"/>
        <v>13</v>
      </c>
      <c r="BC223" s="187">
        <f t="shared" si="195"/>
        <v>10</v>
      </c>
      <c r="BD223" s="187">
        <f t="shared" si="196"/>
        <v>2</v>
      </c>
      <c r="BE223" s="187">
        <f t="shared" si="197"/>
        <v>0</v>
      </c>
      <c r="BF223" s="187">
        <f t="shared" si="198"/>
        <v>0</v>
      </c>
      <c r="BG223" s="187">
        <f t="shared" si="199"/>
        <v>0</v>
      </c>
      <c r="BH223" s="187">
        <f t="shared" si="200"/>
        <v>0</v>
      </c>
      <c r="BI223" s="187">
        <f t="shared" si="201"/>
        <v>0</v>
      </c>
      <c r="BJ223" s="273">
        <f t="shared" si="202"/>
        <v>91</v>
      </c>
      <c r="BK223" s="167">
        <f t="shared" ref="BK223" si="207">BJ223</f>
        <v>91</v>
      </c>
      <c r="BL223" s="167"/>
      <c r="BM223" s="644"/>
      <c r="BN223" s="644"/>
      <c r="BO223" s="644"/>
      <c r="BP223" s="644"/>
      <c r="BQ223" s="644"/>
      <c r="BR223" s="644"/>
      <c r="BS223" s="644"/>
      <c r="BT223" s="644"/>
      <c r="BU223" s="644"/>
      <c r="BV223" s="644"/>
      <c r="BW223" s="644"/>
      <c r="BX223" s="644"/>
      <c r="BY223" s="644"/>
      <c r="BZ223" s="644"/>
      <c r="CA223" s="644"/>
      <c r="CB223" s="644"/>
      <c r="CC223" s="644"/>
      <c r="CD223" s="644"/>
      <c r="CE223" s="644"/>
      <c r="CF223" s="644"/>
      <c r="CG223" s="644"/>
      <c r="CH223" s="644"/>
      <c r="CI223" s="644"/>
      <c r="CJ223" s="301"/>
      <c r="CK223" s="342"/>
      <c r="CL223" s="343"/>
    </row>
    <row r="224" spans="1:90" s="344" customFormat="1">
      <c r="A224" s="335" t="s">
        <v>653</v>
      </c>
      <c r="B224" s="182"/>
      <c r="C224" s="183"/>
      <c r="D224" s="184">
        <v>1</v>
      </c>
      <c r="E224" s="184"/>
      <c r="F224" s="184"/>
      <c r="G224" s="184"/>
      <c r="H224" s="182"/>
      <c r="I224" s="182"/>
      <c r="J224" s="182"/>
      <c r="K224" s="182"/>
      <c r="L224" s="182">
        <v>1</v>
      </c>
      <c r="M224" s="182"/>
      <c r="N224" s="182"/>
      <c r="O224" s="182">
        <v>1</v>
      </c>
      <c r="P224" s="182"/>
      <c r="Q224" s="182"/>
      <c r="R224" s="182"/>
      <c r="S224" s="182">
        <v>1</v>
      </c>
      <c r="T224" s="182"/>
      <c r="U224" s="182"/>
      <c r="V224" s="182"/>
      <c r="W224" s="182">
        <v>1</v>
      </c>
      <c r="X224" s="182"/>
      <c r="Y224" s="182">
        <v>1</v>
      </c>
      <c r="Z224" s="182"/>
      <c r="AA224" s="182">
        <v>1</v>
      </c>
      <c r="AB224" s="182"/>
      <c r="AC224" s="182"/>
      <c r="AD224" s="302">
        <v>1</v>
      </c>
      <c r="AE224" s="182"/>
      <c r="AF224" s="182">
        <v>1</v>
      </c>
      <c r="AG224" s="182"/>
      <c r="AH224" s="339">
        <v>9</v>
      </c>
      <c r="AI224" s="300" t="s">
        <v>952</v>
      </c>
      <c r="AJ224" s="341">
        <v>42375</v>
      </c>
      <c r="AK224" s="187"/>
      <c r="AL224" s="187">
        <f t="shared" si="178"/>
        <v>0</v>
      </c>
      <c r="AM224" s="187">
        <f t="shared" si="179"/>
        <v>13</v>
      </c>
      <c r="AN224" s="187">
        <f t="shared" si="180"/>
        <v>0</v>
      </c>
      <c r="AO224" s="187">
        <f t="shared" si="181"/>
        <v>0</v>
      </c>
      <c r="AP224" s="187">
        <f t="shared" si="182"/>
        <v>0</v>
      </c>
      <c r="AQ224" s="187">
        <f t="shared" si="183"/>
        <v>0</v>
      </c>
      <c r="AR224" s="187">
        <f t="shared" si="184"/>
        <v>0</v>
      </c>
      <c r="AS224" s="187">
        <f t="shared" si="185"/>
        <v>19</v>
      </c>
      <c r="AT224" s="187">
        <f t="shared" si="186"/>
        <v>13</v>
      </c>
      <c r="AU224" s="187">
        <f t="shared" si="187"/>
        <v>0</v>
      </c>
      <c r="AV224" s="187">
        <f t="shared" si="188"/>
        <v>0</v>
      </c>
      <c r="AW224" s="187">
        <f t="shared" si="189"/>
        <v>8</v>
      </c>
      <c r="AX224" s="187">
        <f t="shared" si="190"/>
        <v>0</v>
      </c>
      <c r="AY224" s="187">
        <f t="shared" si="191"/>
        <v>0</v>
      </c>
      <c r="AZ224" s="187">
        <f t="shared" si="192"/>
        <v>0</v>
      </c>
      <c r="BA224" s="187">
        <f t="shared" si="193"/>
        <v>16</v>
      </c>
      <c r="BB224" s="187">
        <f t="shared" si="194"/>
        <v>0</v>
      </c>
      <c r="BC224" s="187">
        <f t="shared" si="195"/>
        <v>10</v>
      </c>
      <c r="BD224" s="187">
        <f t="shared" si="196"/>
        <v>0</v>
      </c>
      <c r="BE224" s="187">
        <f t="shared" si="197"/>
        <v>6</v>
      </c>
      <c r="BF224" s="187">
        <f t="shared" si="198"/>
        <v>0</v>
      </c>
      <c r="BG224" s="187">
        <f t="shared" si="199"/>
        <v>8</v>
      </c>
      <c r="BH224" s="187">
        <f t="shared" si="200"/>
        <v>0</v>
      </c>
      <c r="BI224" s="187">
        <f t="shared" si="201"/>
        <v>3</v>
      </c>
      <c r="BJ224" s="273">
        <f t="shared" si="202"/>
        <v>93</v>
      </c>
      <c r="BK224" s="167">
        <f t="shared" ref="BK224" si="208">BJ224</f>
        <v>93</v>
      </c>
      <c r="BL224" s="339"/>
      <c r="BM224" s="182"/>
      <c r="BN224" s="182"/>
      <c r="BO224" s="182"/>
      <c r="BP224" s="182"/>
      <c r="BQ224" s="182"/>
      <c r="BR224" s="182"/>
      <c r="BS224" s="182"/>
      <c r="BT224" s="182"/>
      <c r="BU224" s="182"/>
      <c r="BV224" s="182"/>
      <c r="BW224" s="182"/>
      <c r="BX224" s="182"/>
      <c r="BY224" s="182"/>
      <c r="BZ224" s="182"/>
      <c r="CA224" s="182"/>
      <c r="CB224" s="182"/>
      <c r="CC224" s="182"/>
      <c r="CD224" s="182"/>
      <c r="CE224" s="182"/>
      <c r="CF224" s="182"/>
      <c r="CG224" s="182"/>
      <c r="CH224" s="182"/>
      <c r="CI224" s="182"/>
      <c r="CJ224" s="635"/>
      <c r="CK224" s="342"/>
      <c r="CL224" s="343"/>
    </row>
    <row r="225" spans="1:90">
      <c r="A225" s="331" t="s">
        <v>394</v>
      </c>
      <c r="B225" s="182"/>
      <c r="C225" s="183"/>
      <c r="D225" s="184">
        <v>1</v>
      </c>
      <c r="E225" s="184"/>
      <c r="F225" s="184"/>
      <c r="G225" s="184"/>
      <c r="H225" s="182"/>
      <c r="I225" s="182"/>
      <c r="J225" s="182"/>
      <c r="K225" s="182"/>
      <c r="L225" s="182">
        <v>1</v>
      </c>
      <c r="M225" s="182"/>
      <c r="N225" s="182"/>
      <c r="O225" s="182">
        <v>1</v>
      </c>
      <c r="P225" s="182"/>
      <c r="Q225" s="182"/>
      <c r="R225" s="182"/>
      <c r="S225" s="182"/>
      <c r="T225" s="182"/>
      <c r="U225" s="182"/>
      <c r="V225" s="182">
        <v>1</v>
      </c>
      <c r="W225" s="182">
        <v>1</v>
      </c>
      <c r="X225" s="182">
        <v>1</v>
      </c>
      <c r="Y225" s="182">
        <v>1</v>
      </c>
      <c r="Z225" s="182"/>
      <c r="AA225" s="182"/>
      <c r="AB225" s="182"/>
      <c r="AC225" s="182"/>
      <c r="AD225" s="182"/>
      <c r="AE225" s="182">
        <v>1</v>
      </c>
      <c r="AF225" s="182">
        <v>1</v>
      </c>
      <c r="AG225" s="182"/>
      <c r="AH225" s="167">
        <v>9</v>
      </c>
      <c r="AI225" s="329" t="s">
        <v>113</v>
      </c>
      <c r="AJ225" s="186">
        <v>42342</v>
      </c>
      <c r="AK225" s="187"/>
      <c r="AL225" s="187">
        <f t="shared" si="178"/>
        <v>0</v>
      </c>
      <c r="AM225" s="187">
        <f t="shared" si="179"/>
        <v>13</v>
      </c>
      <c r="AN225" s="187">
        <f t="shared" si="180"/>
        <v>0</v>
      </c>
      <c r="AO225" s="187">
        <f t="shared" si="181"/>
        <v>0</v>
      </c>
      <c r="AP225" s="187">
        <f t="shared" si="182"/>
        <v>0</v>
      </c>
      <c r="AQ225" s="187">
        <f t="shared" si="183"/>
        <v>0</v>
      </c>
      <c r="AR225" s="187">
        <f t="shared" si="184"/>
        <v>0</v>
      </c>
      <c r="AS225" s="187">
        <f t="shared" si="185"/>
        <v>19</v>
      </c>
      <c r="AT225" s="187">
        <f t="shared" si="186"/>
        <v>13</v>
      </c>
      <c r="AU225" s="187">
        <f t="shared" si="187"/>
        <v>0</v>
      </c>
      <c r="AV225" s="187">
        <f t="shared" si="188"/>
        <v>0</v>
      </c>
      <c r="AW225" s="187">
        <f t="shared" si="189"/>
        <v>0</v>
      </c>
      <c r="AX225" s="187">
        <f t="shared" si="190"/>
        <v>0</v>
      </c>
      <c r="AY225" s="187">
        <f t="shared" si="191"/>
        <v>0</v>
      </c>
      <c r="AZ225" s="187">
        <f t="shared" si="192"/>
        <v>8</v>
      </c>
      <c r="BA225" s="187">
        <f t="shared" si="193"/>
        <v>16</v>
      </c>
      <c r="BB225" s="187">
        <f t="shared" si="194"/>
        <v>13</v>
      </c>
      <c r="BC225" s="187">
        <f t="shared" si="195"/>
        <v>10</v>
      </c>
      <c r="BD225" s="187">
        <f t="shared" si="196"/>
        <v>0</v>
      </c>
      <c r="BE225" s="187">
        <f t="shared" si="197"/>
        <v>0</v>
      </c>
      <c r="BF225" s="187">
        <f t="shared" si="198"/>
        <v>0</v>
      </c>
      <c r="BG225" s="187">
        <f t="shared" si="199"/>
        <v>0</v>
      </c>
      <c r="BH225" s="187">
        <f t="shared" si="200"/>
        <v>2</v>
      </c>
      <c r="BI225" s="187">
        <f t="shared" si="201"/>
        <v>3</v>
      </c>
      <c r="BJ225" s="273">
        <f t="shared" si="202"/>
        <v>95</v>
      </c>
      <c r="BK225" s="167">
        <f t="shared" si="204"/>
        <v>95</v>
      </c>
      <c r="BL225" s="167"/>
      <c r="BM225" s="644"/>
      <c r="BN225" s="644"/>
      <c r="BO225" s="644"/>
      <c r="BP225" s="644"/>
      <c r="BQ225" s="644"/>
      <c r="BR225" s="644"/>
      <c r="BS225" s="644"/>
      <c r="BT225" s="644"/>
      <c r="BU225" s="644"/>
      <c r="BV225" s="644"/>
      <c r="BW225" s="644"/>
      <c r="BX225" s="644"/>
      <c r="BY225" s="644"/>
      <c r="BZ225" s="644"/>
      <c r="CA225" s="644"/>
      <c r="CB225" s="644"/>
      <c r="CC225" s="644"/>
      <c r="CD225" s="644"/>
      <c r="CE225" s="644"/>
      <c r="CF225" s="644"/>
      <c r="CG225" s="644"/>
      <c r="CH225" s="644"/>
      <c r="CI225" s="644"/>
      <c r="CJ225" s="301" t="s">
        <v>749</v>
      </c>
      <c r="CK225" s="180"/>
      <c r="CL225" s="136"/>
    </row>
    <row r="226" spans="1:90" s="344" customFormat="1">
      <c r="A226" s="335" t="s">
        <v>396</v>
      </c>
      <c r="B226" s="182"/>
      <c r="C226" s="183"/>
      <c r="D226" s="184"/>
      <c r="E226" s="184">
        <v>1</v>
      </c>
      <c r="F226" s="184"/>
      <c r="G226" s="184">
        <v>1</v>
      </c>
      <c r="H226" s="182"/>
      <c r="I226" s="182"/>
      <c r="J226" s="182"/>
      <c r="K226" s="182"/>
      <c r="L226" s="182">
        <v>1</v>
      </c>
      <c r="M226" s="182"/>
      <c r="N226" s="182"/>
      <c r="O226" s="182">
        <v>1</v>
      </c>
      <c r="P226" s="182"/>
      <c r="Q226" s="302">
        <v>1</v>
      </c>
      <c r="R226" s="182"/>
      <c r="S226" s="182"/>
      <c r="T226" s="302">
        <v>1</v>
      </c>
      <c r="U226" s="182"/>
      <c r="V226" s="182"/>
      <c r="W226" s="182">
        <v>1</v>
      </c>
      <c r="X226" s="302">
        <v>1</v>
      </c>
      <c r="Y226" s="302">
        <v>1</v>
      </c>
      <c r="Z226" s="182">
        <v>1</v>
      </c>
      <c r="AA226" s="182"/>
      <c r="AB226" s="182"/>
      <c r="AC226" s="182"/>
      <c r="AD226" s="182"/>
      <c r="AE226" s="182"/>
      <c r="AF226" s="182"/>
      <c r="AG226" s="182"/>
      <c r="AH226" s="339">
        <v>10</v>
      </c>
      <c r="AI226" s="300" t="s">
        <v>856</v>
      </c>
      <c r="AJ226" s="341">
        <v>42375</v>
      </c>
      <c r="AK226" s="187"/>
      <c r="AL226" s="187">
        <f t="shared" si="178"/>
        <v>0</v>
      </c>
      <c r="AM226" s="187">
        <f t="shared" si="179"/>
        <v>0</v>
      </c>
      <c r="AN226" s="187">
        <f t="shared" si="180"/>
        <v>8</v>
      </c>
      <c r="AO226" s="187">
        <f t="shared" si="181"/>
        <v>8</v>
      </c>
      <c r="AP226" s="187">
        <f t="shared" si="182"/>
        <v>0</v>
      </c>
      <c r="AQ226" s="187">
        <f t="shared" si="183"/>
        <v>0</v>
      </c>
      <c r="AR226" s="187">
        <f t="shared" si="184"/>
        <v>0</v>
      </c>
      <c r="AS226" s="187">
        <f t="shared" si="185"/>
        <v>19</v>
      </c>
      <c r="AT226" s="187">
        <f t="shared" si="186"/>
        <v>13</v>
      </c>
      <c r="AU226" s="187">
        <f t="shared" si="187"/>
        <v>0</v>
      </c>
      <c r="AV226" s="187">
        <f t="shared" si="188"/>
        <v>3</v>
      </c>
      <c r="AW226" s="187">
        <f t="shared" si="189"/>
        <v>0</v>
      </c>
      <c r="AX226" s="187">
        <f t="shared" si="190"/>
        <v>4</v>
      </c>
      <c r="AY226" s="187">
        <f t="shared" si="191"/>
        <v>0</v>
      </c>
      <c r="AZ226" s="187">
        <f t="shared" si="192"/>
        <v>0</v>
      </c>
      <c r="BA226" s="187">
        <f t="shared" si="193"/>
        <v>16</v>
      </c>
      <c r="BB226" s="187">
        <f t="shared" si="194"/>
        <v>13</v>
      </c>
      <c r="BC226" s="187">
        <f t="shared" si="195"/>
        <v>10</v>
      </c>
      <c r="BD226" s="187">
        <f t="shared" si="196"/>
        <v>2</v>
      </c>
      <c r="BE226" s="187">
        <f t="shared" si="197"/>
        <v>0</v>
      </c>
      <c r="BF226" s="187">
        <f t="shared" si="198"/>
        <v>0</v>
      </c>
      <c r="BG226" s="187">
        <f t="shared" si="199"/>
        <v>0</v>
      </c>
      <c r="BH226" s="187">
        <f t="shared" si="200"/>
        <v>0</v>
      </c>
      <c r="BI226" s="187">
        <f t="shared" si="201"/>
        <v>0</v>
      </c>
      <c r="BJ226" s="273">
        <f t="shared" si="202"/>
        <v>91</v>
      </c>
      <c r="BK226" s="167">
        <f t="shared" ref="BK226" si="209">BJ226</f>
        <v>91</v>
      </c>
      <c r="BL226" s="167"/>
      <c r="BM226" s="644"/>
      <c r="BN226" s="644"/>
      <c r="BO226" s="644"/>
      <c r="BP226" s="644"/>
      <c r="BQ226" s="644"/>
      <c r="BR226" s="644"/>
      <c r="BS226" s="644"/>
      <c r="BT226" s="644"/>
      <c r="BU226" s="644"/>
      <c r="BV226" s="644"/>
      <c r="BW226" s="644"/>
      <c r="BX226" s="644"/>
      <c r="BY226" s="644"/>
      <c r="BZ226" s="644"/>
      <c r="CA226" s="644"/>
      <c r="CB226" s="644"/>
      <c r="CC226" s="644"/>
      <c r="CD226" s="644"/>
      <c r="CE226" s="644"/>
      <c r="CF226" s="644"/>
      <c r="CG226" s="644"/>
      <c r="CH226" s="644"/>
      <c r="CI226" s="644"/>
      <c r="CJ226" s="301" t="s">
        <v>756</v>
      </c>
      <c r="CK226" s="342"/>
      <c r="CL226" s="343"/>
    </row>
    <row r="227" spans="1:90">
      <c r="A227" s="335" t="s">
        <v>398</v>
      </c>
      <c r="B227" s="182"/>
      <c r="C227" s="183"/>
      <c r="D227" s="184">
        <v>1</v>
      </c>
      <c r="E227" s="184"/>
      <c r="F227" s="184"/>
      <c r="G227" s="184"/>
      <c r="H227" s="182"/>
      <c r="I227" s="182"/>
      <c r="J227" s="182"/>
      <c r="K227" s="182"/>
      <c r="L227" s="182">
        <v>1</v>
      </c>
      <c r="M227" s="182"/>
      <c r="N227" s="182"/>
      <c r="O227" s="182">
        <v>1</v>
      </c>
      <c r="P227" s="182"/>
      <c r="Q227" s="182"/>
      <c r="R227" s="182"/>
      <c r="S227" s="182"/>
      <c r="T227" s="302">
        <v>1</v>
      </c>
      <c r="U227" s="182"/>
      <c r="V227" s="302">
        <v>1</v>
      </c>
      <c r="W227" s="182">
        <v>1</v>
      </c>
      <c r="X227" s="302">
        <v>1</v>
      </c>
      <c r="Y227" s="182"/>
      <c r="Z227" s="302">
        <v>1</v>
      </c>
      <c r="AA227" s="182">
        <v>1</v>
      </c>
      <c r="AB227" s="182"/>
      <c r="AC227" s="182"/>
      <c r="AD227" s="182">
        <v>1</v>
      </c>
      <c r="AE227" s="182"/>
      <c r="AF227" s="182"/>
      <c r="AG227" s="182"/>
      <c r="AH227" s="167">
        <v>10</v>
      </c>
      <c r="AI227" s="329" t="s">
        <v>115</v>
      </c>
      <c r="AJ227" s="186">
        <v>42359</v>
      </c>
      <c r="AK227" s="187"/>
      <c r="AL227" s="187">
        <f t="shared" si="178"/>
        <v>0</v>
      </c>
      <c r="AM227" s="187">
        <f t="shared" si="179"/>
        <v>13</v>
      </c>
      <c r="AN227" s="187">
        <f t="shared" si="180"/>
        <v>0</v>
      </c>
      <c r="AO227" s="187">
        <f t="shared" si="181"/>
        <v>0</v>
      </c>
      <c r="AP227" s="187">
        <f t="shared" si="182"/>
        <v>0</v>
      </c>
      <c r="AQ227" s="187">
        <f t="shared" si="183"/>
        <v>0</v>
      </c>
      <c r="AR227" s="187">
        <f t="shared" si="184"/>
        <v>0</v>
      </c>
      <c r="AS227" s="187">
        <f t="shared" si="185"/>
        <v>19</v>
      </c>
      <c r="AT227" s="187">
        <f t="shared" si="186"/>
        <v>13</v>
      </c>
      <c r="AU227" s="187">
        <f t="shared" si="187"/>
        <v>0</v>
      </c>
      <c r="AV227" s="187">
        <f t="shared" si="188"/>
        <v>0</v>
      </c>
      <c r="AW227" s="187">
        <f t="shared" si="189"/>
        <v>0</v>
      </c>
      <c r="AX227" s="187">
        <f t="shared" si="190"/>
        <v>4</v>
      </c>
      <c r="AY227" s="187">
        <f t="shared" si="191"/>
        <v>0</v>
      </c>
      <c r="AZ227" s="187">
        <f t="shared" si="192"/>
        <v>8</v>
      </c>
      <c r="BA227" s="187">
        <f t="shared" si="193"/>
        <v>16</v>
      </c>
      <c r="BB227" s="187">
        <f t="shared" si="194"/>
        <v>13</v>
      </c>
      <c r="BC227" s="187">
        <f t="shared" si="195"/>
        <v>0</v>
      </c>
      <c r="BD227" s="187">
        <f t="shared" si="196"/>
        <v>2</v>
      </c>
      <c r="BE227" s="187">
        <f t="shared" si="197"/>
        <v>6</v>
      </c>
      <c r="BF227" s="187">
        <f t="shared" si="198"/>
        <v>0</v>
      </c>
      <c r="BG227" s="187">
        <f t="shared" si="199"/>
        <v>8</v>
      </c>
      <c r="BH227" s="187">
        <f t="shared" si="200"/>
        <v>0</v>
      </c>
      <c r="BI227" s="187">
        <f t="shared" si="201"/>
        <v>0</v>
      </c>
      <c r="BJ227" s="273">
        <f t="shared" si="202"/>
        <v>96</v>
      </c>
      <c r="BK227" s="167">
        <f t="shared" ref="BK227" si="210">BJ227</f>
        <v>96</v>
      </c>
      <c r="BL227" s="167"/>
      <c r="BM227" s="644"/>
      <c r="BN227" s="644"/>
      <c r="BO227" s="644"/>
      <c r="BP227" s="644"/>
      <c r="BQ227" s="644"/>
      <c r="BR227" s="644"/>
      <c r="BS227" s="644"/>
      <c r="BT227" s="644"/>
      <c r="BU227" s="644"/>
      <c r="BV227" s="644"/>
      <c r="BW227" s="644"/>
      <c r="BX227" s="644"/>
      <c r="BY227" s="644"/>
      <c r="BZ227" s="644"/>
      <c r="CA227" s="644"/>
      <c r="CB227" s="644"/>
      <c r="CC227" s="644"/>
      <c r="CD227" s="644"/>
      <c r="CE227" s="644"/>
      <c r="CF227" s="644"/>
      <c r="CG227" s="644"/>
      <c r="CH227" s="644"/>
      <c r="CI227" s="644"/>
      <c r="CJ227" s="301" t="s">
        <v>953</v>
      </c>
      <c r="CK227" s="180"/>
      <c r="CL227" s="136"/>
    </row>
    <row r="228" spans="1:90">
      <c r="A228" s="335" t="s">
        <v>401</v>
      </c>
      <c r="B228" s="182"/>
      <c r="C228" s="183"/>
      <c r="D228" s="184"/>
      <c r="E228" s="184">
        <v>1</v>
      </c>
      <c r="F228" s="184"/>
      <c r="G228" s="184">
        <v>1</v>
      </c>
      <c r="H228" s="182"/>
      <c r="I228" s="182"/>
      <c r="J228" s="182"/>
      <c r="K228" s="182"/>
      <c r="L228" s="182">
        <v>1</v>
      </c>
      <c r="M228" s="182"/>
      <c r="N228" s="182"/>
      <c r="O228" s="182"/>
      <c r="P228" s="182"/>
      <c r="Q228" s="182"/>
      <c r="R228" s="182"/>
      <c r="S228" s="182"/>
      <c r="T228" s="182"/>
      <c r="U228" s="182">
        <v>1</v>
      </c>
      <c r="V228" s="182"/>
      <c r="W228" s="182"/>
      <c r="X228" s="182">
        <v>1</v>
      </c>
      <c r="Y228" s="182"/>
      <c r="Z228" s="182"/>
      <c r="AA228" s="182"/>
      <c r="AB228" s="182">
        <v>1</v>
      </c>
      <c r="AC228" s="182"/>
      <c r="AD228" s="182"/>
      <c r="AE228" s="182"/>
      <c r="AF228" s="182"/>
      <c r="AG228" s="182"/>
      <c r="AH228" s="167">
        <v>6</v>
      </c>
      <c r="AI228" s="329" t="s">
        <v>113</v>
      </c>
      <c r="AJ228" s="186">
        <v>42352</v>
      </c>
      <c r="AK228" s="187"/>
      <c r="AL228" s="187">
        <f t="shared" si="178"/>
        <v>0</v>
      </c>
      <c r="AM228" s="187">
        <f t="shared" si="179"/>
        <v>0</v>
      </c>
      <c r="AN228" s="187">
        <f t="shared" si="180"/>
        <v>8</v>
      </c>
      <c r="AO228" s="187">
        <f t="shared" si="181"/>
        <v>8</v>
      </c>
      <c r="AP228" s="187">
        <f t="shared" si="182"/>
        <v>0</v>
      </c>
      <c r="AQ228" s="187">
        <f t="shared" si="183"/>
        <v>0</v>
      </c>
      <c r="AR228" s="187">
        <f t="shared" si="184"/>
        <v>0</v>
      </c>
      <c r="AS228" s="187">
        <f t="shared" si="185"/>
        <v>19</v>
      </c>
      <c r="AT228" s="187">
        <f t="shared" si="186"/>
        <v>0</v>
      </c>
      <c r="AU228" s="187">
        <f t="shared" si="187"/>
        <v>0</v>
      </c>
      <c r="AV228" s="187">
        <f t="shared" si="188"/>
        <v>0</v>
      </c>
      <c r="AW228" s="187">
        <f t="shared" si="189"/>
        <v>0</v>
      </c>
      <c r="AX228" s="187">
        <f t="shared" si="190"/>
        <v>0</v>
      </c>
      <c r="AY228" s="187">
        <f t="shared" si="191"/>
        <v>2</v>
      </c>
      <c r="AZ228" s="187">
        <f t="shared" si="192"/>
        <v>0</v>
      </c>
      <c r="BA228" s="187">
        <f t="shared" si="193"/>
        <v>0</v>
      </c>
      <c r="BB228" s="187">
        <f t="shared" si="194"/>
        <v>13</v>
      </c>
      <c r="BC228" s="187">
        <f t="shared" si="195"/>
        <v>0</v>
      </c>
      <c r="BD228" s="187">
        <f t="shared" si="196"/>
        <v>0</v>
      </c>
      <c r="BE228" s="187">
        <f t="shared" si="197"/>
        <v>0</v>
      </c>
      <c r="BF228" s="187">
        <f t="shared" si="198"/>
        <v>1</v>
      </c>
      <c r="BG228" s="187">
        <f t="shared" si="199"/>
        <v>0</v>
      </c>
      <c r="BH228" s="187">
        <f t="shared" si="200"/>
        <v>0</v>
      </c>
      <c r="BI228" s="187">
        <f t="shared" si="201"/>
        <v>0</v>
      </c>
      <c r="BJ228" s="273">
        <f t="shared" si="202"/>
        <v>51</v>
      </c>
      <c r="BK228" s="167">
        <f t="shared" si="204"/>
        <v>51</v>
      </c>
      <c r="BL228" s="167"/>
      <c r="BM228" s="644"/>
      <c r="BN228" s="644"/>
      <c r="BO228" s="644"/>
      <c r="BP228" s="644"/>
      <c r="BQ228" s="644"/>
      <c r="BR228" s="644"/>
      <c r="BS228" s="644"/>
      <c r="BT228" s="644"/>
      <c r="BU228" s="644"/>
      <c r="BV228" s="644"/>
      <c r="BW228" s="644"/>
      <c r="BX228" s="644"/>
      <c r="BY228" s="644"/>
      <c r="BZ228" s="644"/>
      <c r="CA228" s="644"/>
      <c r="CB228" s="644"/>
      <c r="CC228" s="644"/>
      <c r="CD228" s="644"/>
      <c r="CE228" s="644"/>
      <c r="CF228" s="644"/>
      <c r="CG228" s="644"/>
      <c r="CH228" s="644"/>
      <c r="CI228" s="644"/>
      <c r="CJ228" s="301" t="s">
        <v>805</v>
      </c>
      <c r="CK228" s="180"/>
      <c r="CL228" s="136"/>
    </row>
    <row r="229" spans="1:90">
      <c r="A229" s="335" t="s">
        <v>692</v>
      </c>
      <c r="B229" s="182"/>
      <c r="C229" s="183"/>
      <c r="D229" s="184">
        <v>1</v>
      </c>
      <c r="E229" s="184"/>
      <c r="F229" s="184"/>
      <c r="G229" s="184"/>
      <c r="H229" s="182"/>
      <c r="I229" s="182"/>
      <c r="J229" s="182"/>
      <c r="K229" s="182"/>
      <c r="L229" s="182">
        <v>1</v>
      </c>
      <c r="M229" s="182"/>
      <c r="N229" s="182"/>
      <c r="O229" s="182">
        <v>1</v>
      </c>
      <c r="P229" s="182"/>
      <c r="Q229" s="182"/>
      <c r="R229" s="182"/>
      <c r="S229" s="182"/>
      <c r="T229" s="182"/>
      <c r="U229" s="182"/>
      <c r="V229" s="182">
        <v>1</v>
      </c>
      <c r="W229" s="182">
        <v>1</v>
      </c>
      <c r="X229" s="182"/>
      <c r="Y229" s="182">
        <v>1</v>
      </c>
      <c r="Z229" s="182"/>
      <c r="AA229" s="182"/>
      <c r="AB229" s="182"/>
      <c r="AC229" s="182"/>
      <c r="AD229" s="182"/>
      <c r="AE229" s="182"/>
      <c r="AF229" s="182"/>
      <c r="AG229" s="182"/>
      <c r="AH229" s="167">
        <v>6</v>
      </c>
      <c r="AI229" s="337" t="s">
        <v>741</v>
      </c>
      <c r="AJ229" s="186">
        <v>42356</v>
      </c>
      <c r="AK229" s="187"/>
      <c r="AL229" s="187">
        <f t="shared" si="178"/>
        <v>0</v>
      </c>
      <c r="AM229" s="187">
        <f t="shared" si="179"/>
        <v>13</v>
      </c>
      <c r="AN229" s="187">
        <f t="shared" si="180"/>
        <v>0</v>
      </c>
      <c r="AO229" s="187">
        <f t="shared" si="181"/>
        <v>0</v>
      </c>
      <c r="AP229" s="187">
        <f t="shared" si="182"/>
        <v>0</v>
      </c>
      <c r="AQ229" s="187">
        <f t="shared" si="183"/>
        <v>0</v>
      </c>
      <c r="AR229" s="187">
        <f t="shared" si="184"/>
        <v>0</v>
      </c>
      <c r="AS229" s="187">
        <f t="shared" si="185"/>
        <v>19</v>
      </c>
      <c r="AT229" s="187">
        <f t="shared" si="186"/>
        <v>13</v>
      </c>
      <c r="AU229" s="187">
        <f t="shared" si="187"/>
        <v>0</v>
      </c>
      <c r="AV229" s="187">
        <f t="shared" si="188"/>
        <v>0</v>
      </c>
      <c r="AW229" s="187">
        <f t="shared" si="189"/>
        <v>0</v>
      </c>
      <c r="AX229" s="187">
        <f t="shared" si="190"/>
        <v>0</v>
      </c>
      <c r="AY229" s="187">
        <f t="shared" si="191"/>
        <v>0</v>
      </c>
      <c r="AZ229" s="187">
        <f t="shared" si="192"/>
        <v>8</v>
      </c>
      <c r="BA229" s="187">
        <f t="shared" si="193"/>
        <v>16</v>
      </c>
      <c r="BB229" s="187">
        <f t="shared" si="194"/>
        <v>0</v>
      </c>
      <c r="BC229" s="187">
        <f t="shared" si="195"/>
        <v>10</v>
      </c>
      <c r="BD229" s="187">
        <f t="shared" si="196"/>
        <v>0</v>
      </c>
      <c r="BE229" s="187">
        <f t="shared" si="197"/>
        <v>0</v>
      </c>
      <c r="BF229" s="187">
        <f t="shared" si="198"/>
        <v>0</v>
      </c>
      <c r="BG229" s="187">
        <f t="shared" si="199"/>
        <v>0</v>
      </c>
      <c r="BH229" s="187">
        <f t="shared" si="200"/>
        <v>0</v>
      </c>
      <c r="BI229" s="187">
        <f t="shared" si="201"/>
        <v>0</v>
      </c>
      <c r="BJ229" s="273">
        <f t="shared" si="202"/>
        <v>79</v>
      </c>
      <c r="BK229" s="167">
        <f t="shared" si="204"/>
        <v>79</v>
      </c>
      <c r="BL229" s="167"/>
      <c r="BM229" s="644"/>
      <c r="BN229" s="644"/>
      <c r="BO229" s="644"/>
      <c r="BP229" s="644"/>
      <c r="BQ229" s="644"/>
      <c r="BR229" s="644"/>
      <c r="BS229" s="644"/>
      <c r="BT229" s="644"/>
      <c r="BU229" s="644"/>
      <c r="BV229" s="644"/>
      <c r="BW229" s="644"/>
      <c r="BX229" s="644"/>
      <c r="BY229" s="644"/>
      <c r="BZ229" s="644"/>
      <c r="CA229" s="644"/>
      <c r="CB229" s="644"/>
      <c r="CC229" s="644"/>
      <c r="CD229" s="644"/>
      <c r="CE229" s="644"/>
      <c r="CF229" s="644"/>
      <c r="CG229" s="644"/>
      <c r="CH229" s="644"/>
      <c r="CI229" s="644"/>
      <c r="CJ229" s="301" t="s">
        <v>740</v>
      </c>
      <c r="CK229" s="180"/>
      <c r="CL229" s="136"/>
    </row>
    <row r="230" spans="1:90">
      <c r="A230" s="335" t="s">
        <v>480</v>
      </c>
      <c r="B230" s="182"/>
      <c r="C230" s="183"/>
      <c r="D230" s="184"/>
      <c r="E230" s="184"/>
      <c r="F230" s="184"/>
      <c r="G230" s="184"/>
      <c r="H230" s="182"/>
      <c r="I230" s="182"/>
      <c r="J230" s="182"/>
      <c r="K230" s="182"/>
      <c r="L230" s="182">
        <v>1</v>
      </c>
      <c r="M230" s="182"/>
      <c r="N230" s="182"/>
      <c r="O230" s="182"/>
      <c r="P230" s="182"/>
      <c r="Q230" s="182"/>
      <c r="R230" s="182"/>
      <c r="S230" s="182"/>
      <c r="T230" s="182"/>
      <c r="U230" s="182"/>
      <c r="V230" s="182"/>
      <c r="W230" s="182">
        <v>1</v>
      </c>
      <c r="X230" s="182"/>
      <c r="Y230" s="182"/>
      <c r="Z230" s="182"/>
      <c r="AA230" s="182"/>
      <c r="AB230" s="182"/>
      <c r="AC230" s="182"/>
      <c r="AD230" s="182"/>
      <c r="AE230" s="182"/>
      <c r="AF230" s="182"/>
      <c r="AG230" s="182"/>
      <c r="AH230" s="167">
        <v>2</v>
      </c>
      <c r="AI230" s="337"/>
      <c r="AJ230" s="186">
        <v>42375</v>
      </c>
      <c r="AK230" s="187"/>
      <c r="AL230" s="187">
        <f t="shared" si="178"/>
        <v>0</v>
      </c>
      <c r="AM230" s="187">
        <f t="shared" si="179"/>
        <v>0</v>
      </c>
      <c r="AN230" s="187">
        <f t="shared" si="180"/>
        <v>0</v>
      </c>
      <c r="AO230" s="187">
        <f t="shared" si="181"/>
        <v>0</v>
      </c>
      <c r="AP230" s="187">
        <f t="shared" si="182"/>
        <v>0</v>
      </c>
      <c r="AQ230" s="187">
        <f t="shared" si="183"/>
        <v>0</v>
      </c>
      <c r="AR230" s="187">
        <f t="shared" si="184"/>
        <v>0</v>
      </c>
      <c r="AS230" s="187">
        <f t="shared" si="185"/>
        <v>19</v>
      </c>
      <c r="AT230" s="187">
        <f t="shared" si="186"/>
        <v>0</v>
      </c>
      <c r="AU230" s="187">
        <f t="shared" si="187"/>
        <v>0</v>
      </c>
      <c r="AV230" s="187">
        <f t="shared" si="188"/>
        <v>0</v>
      </c>
      <c r="AW230" s="187">
        <f t="shared" si="189"/>
        <v>0</v>
      </c>
      <c r="AX230" s="187">
        <f t="shared" si="190"/>
        <v>0</v>
      </c>
      <c r="AY230" s="187">
        <f t="shared" si="191"/>
        <v>0</v>
      </c>
      <c r="AZ230" s="187">
        <f t="shared" si="192"/>
        <v>0</v>
      </c>
      <c r="BA230" s="187">
        <f t="shared" si="193"/>
        <v>16</v>
      </c>
      <c r="BB230" s="187">
        <f t="shared" si="194"/>
        <v>0</v>
      </c>
      <c r="BC230" s="187">
        <f t="shared" si="195"/>
        <v>0</v>
      </c>
      <c r="BD230" s="187">
        <f t="shared" si="196"/>
        <v>0</v>
      </c>
      <c r="BE230" s="187">
        <f t="shared" si="197"/>
        <v>0</v>
      </c>
      <c r="BF230" s="187">
        <f t="shared" si="198"/>
        <v>0</v>
      </c>
      <c r="BG230" s="187">
        <f t="shared" si="199"/>
        <v>0</v>
      </c>
      <c r="BH230" s="187">
        <f t="shared" si="200"/>
        <v>0</v>
      </c>
      <c r="BI230" s="187">
        <f t="shared" si="201"/>
        <v>0</v>
      </c>
      <c r="BJ230" s="273">
        <f t="shared" si="202"/>
        <v>35</v>
      </c>
      <c r="BK230" s="167">
        <f t="shared" si="204"/>
        <v>35</v>
      </c>
      <c r="BL230" s="167"/>
      <c r="BM230" s="644"/>
      <c r="BN230" s="644"/>
      <c r="BO230" s="644"/>
      <c r="BP230" s="644"/>
      <c r="BQ230" s="644"/>
      <c r="BR230" s="644"/>
      <c r="BS230" s="644"/>
      <c r="BT230" s="644"/>
      <c r="BU230" s="644"/>
      <c r="BV230" s="644"/>
      <c r="BW230" s="644"/>
      <c r="BX230" s="644"/>
      <c r="BY230" s="644"/>
      <c r="BZ230" s="644"/>
      <c r="CA230" s="644"/>
      <c r="CB230" s="644"/>
      <c r="CC230" s="644"/>
      <c r="CD230" s="644"/>
      <c r="CE230" s="644"/>
      <c r="CF230" s="644"/>
      <c r="CG230" s="644"/>
      <c r="CH230" s="644"/>
      <c r="CI230" s="644"/>
      <c r="CJ230" s="301"/>
      <c r="CK230" s="180"/>
      <c r="CL230" s="136"/>
    </row>
    <row r="231" spans="1:90">
      <c r="A231" s="335" t="s">
        <v>480</v>
      </c>
      <c r="B231" s="360"/>
      <c r="C231" s="183"/>
      <c r="D231" s="184"/>
      <c r="E231" s="184"/>
      <c r="F231" s="184"/>
      <c r="G231" s="184"/>
      <c r="H231" s="182"/>
      <c r="I231" s="182"/>
      <c r="J231" s="182"/>
      <c r="K231" s="182"/>
      <c r="L231" s="182">
        <v>1</v>
      </c>
      <c r="M231" s="182"/>
      <c r="N231" s="182"/>
      <c r="O231" s="182">
        <v>1</v>
      </c>
      <c r="P231" s="182"/>
      <c r="Q231" s="182">
        <v>1</v>
      </c>
      <c r="R231" s="182"/>
      <c r="S231" s="182">
        <v>1</v>
      </c>
      <c r="T231" s="182"/>
      <c r="U231" s="182"/>
      <c r="V231" s="182">
        <v>1</v>
      </c>
      <c r="W231" s="182"/>
      <c r="X231" s="182">
        <v>1</v>
      </c>
      <c r="Y231" s="182">
        <v>1</v>
      </c>
      <c r="Z231" s="182"/>
      <c r="AA231" s="182">
        <v>1</v>
      </c>
      <c r="AB231" s="182"/>
      <c r="AC231" s="182"/>
      <c r="AD231" s="182">
        <v>1</v>
      </c>
      <c r="AE231" s="182">
        <v>1</v>
      </c>
      <c r="AF231" s="182"/>
      <c r="AG231" s="182"/>
      <c r="AH231" s="167">
        <v>10</v>
      </c>
      <c r="AI231" s="337"/>
      <c r="AJ231" s="186">
        <v>42371</v>
      </c>
      <c r="AK231" s="187"/>
      <c r="AL231" s="187">
        <f t="shared" si="178"/>
        <v>0</v>
      </c>
      <c r="AM231" s="187">
        <f t="shared" si="179"/>
        <v>0</v>
      </c>
      <c r="AN231" s="187">
        <f t="shared" si="180"/>
        <v>0</v>
      </c>
      <c r="AO231" s="187">
        <f t="shared" si="181"/>
        <v>0</v>
      </c>
      <c r="AP231" s="187">
        <f t="shared" si="182"/>
        <v>0</v>
      </c>
      <c r="AQ231" s="187">
        <f t="shared" si="183"/>
        <v>0</v>
      </c>
      <c r="AR231" s="187">
        <f t="shared" si="184"/>
        <v>0</v>
      </c>
      <c r="AS231" s="187">
        <f t="shared" si="185"/>
        <v>19</v>
      </c>
      <c r="AT231" s="187">
        <f t="shared" si="186"/>
        <v>13</v>
      </c>
      <c r="AU231" s="187">
        <f t="shared" si="187"/>
        <v>0</v>
      </c>
      <c r="AV231" s="187">
        <f t="shared" si="188"/>
        <v>3</v>
      </c>
      <c r="AW231" s="187">
        <f t="shared" si="189"/>
        <v>8</v>
      </c>
      <c r="AX231" s="187">
        <f t="shared" si="190"/>
        <v>0</v>
      </c>
      <c r="AY231" s="187">
        <f t="shared" si="191"/>
        <v>0</v>
      </c>
      <c r="AZ231" s="187">
        <f t="shared" si="192"/>
        <v>8</v>
      </c>
      <c r="BA231" s="187">
        <f t="shared" si="193"/>
        <v>0</v>
      </c>
      <c r="BB231" s="187">
        <f t="shared" si="194"/>
        <v>13</v>
      </c>
      <c r="BC231" s="187">
        <f t="shared" si="195"/>
        <v>10</v>
      </c>
      <c r="BD231" s="187">
        <f t="shared" si="196"/>
        <v>0</v>
      </c>
      <c r="BE231" s="187">
        <f t="shared" si="197"/>
        <v>6</v>
      </c>
      <c r="BF231" s="187">
        <f t="shared" si="198"/>
        <v>0</v>
      </c>
      <c r="BG231" s="187">
        <f t="shared" si="199"/>
        <v>8</v>
      </c>
      <c r="BH231" s="187">
        <f t="shared" si="200"/>
        <v>2</v>
      </c>
      <c r="BI231" s="187">
        <f t="shared" si="201"/>
        <v>0</v>
      </c>
      <c r="BJ231" s="273">
        <f t="shared" si="202"/>
        <v>85</v>
      </c>
      <c r="BK231" s="167">
        <f t="shared" ref="BK231" si="211">BJ231</f>
        <v>85</v>
      </c>
      <c r="BL231" s="167"/>
      <c r="BM231" s="644"/>
      <c r="BN231" s="644"/>
      <c r="BO231" s="644"/>
      <c r="BP231" s="644"/>
      <c r="BQ231" s="644"/>
      <c r="BR231" s="644"/>
      <c r="BS231" s="644"/>
      <c r="BT231" s="644"/>
      <c r="BU231" s="644"/>
      <c r="BV231" s="644"/>
      <c r="BW231" s="644"/>
      <c r="BX231" s="644"/>
      <c r="BY231" s="644"/>
      <c r="BZ231" s="644"/>
      <c r="CA231" s="644"/>
      <c r="CB231" s="644"/>
      <c r="CC231" s="644"/>
      <c r="CD231" s="644"/>
      <c r="CE231" s="644"/>
      <c r="CF231" s="644"/>
      <c r="CG231" s="644"/>
      <c r="CH231" s="644"/>
      <c r="CI231" s="644"/>
      <c r="CJ231" s="301"/>
      <c r="CK231" s="180"/>
      <c r="CL231" s="136"/>
    </row>
    <row r="232" spans="1:90">
      <c r="A232" s="335" t="s">
        <v>480</v>
      </c>
      <c r="B232" s="182"/>
      <c r="C232" s="183"/>
      <c r="D232" s="184"/>
      <c r="E232" s="184"/>
      <c r="F232" s="184"/>
      <c r="G232" s="184"/>
      <c r="H232" s="182"/>
      <c r="I232" s="182"/>
      <c r="J232" s="182"/>
      <c r="K232" s="182"/>
      <c r="L232" s="182">
        <v>1</v>
      </c>
      <c r="M232" s="182"/>
      <c r="N232" s="182"/>
      <c r="O232" s="182">
        <v>1</v>
      </c>
      <c r="P232" s="182"/>
      <c r="Q232" s="182"/>
      <c r="R232" s="182"/>
      <c r="S232" s="182">
        <v>1</v>
      </c>
      <c r="T232" s="182"/>
      <c r="U232" s="182"/>
      <c r="V232" s="182"/>
      <c r="W232" s="182"/>
      <c r="X232" s="182">
        <v>1</v>
      </c>
      <c r="Y232" s="182"/>
      <c r="Z232" s="182"/>
      <c r="AA232" s="182">
        <v>1</v>
      </c>
      <c r="AB232" s="182"/>
      <c r="AC232" s="182"/>
      <c r="AD232" s="182">
        <v>1</v>
      </c>
      <c r="AE232" s="182"/>
      <c r="AF232" s="182"/>
      <c r="AG232" s="182"/>
      <c r="AH232" s="167">
        <v>6</v>
      </c>
      <c r="AI232" s="329"/>
      <c r="AJ232" s="186">
        <v>42352</v>
      </c>
      <c r="AK232" s="187"/>
      <c r="AL232" s="187">
        <f t="shared" si="178"/>
        <v>0</v>
      </c>
      <c r="AM232" s="187">
        <f t="shared" si="179"/>
        <v>0</v>
      </c>
      <c r="AN232" s="187">
        <f t="shared" si="180"/>
        <v>0</v>
      </c>
      <c r="AO232" s="187">
        <f t="shared" si="181"/>
        <v>0</v>
      </c>
      <c r="AP232" s="187">
        <f t="shared" si="182"/>
        <v>0</v>
      </c>
      <c r="AQ232" s="187">
        <f t="shared" si="183"/>
        <v>0</v>
      </c>
      <c r="AR232" s="187">
        <f t="shared" si="184"/>
        <v>0</v>
      </c>
      <c r="AS232" s="187">
        <f t="shared" si="185"/>
        <v>19</v>
      </c>
      <c r="AT232" s="187">
        <f t="shared" si="186"/>
        <v>13</v>
      </c>
      <c r="AU232" s="187">
        <f t="shared" si="187"/>
        <v>0</v>
      </c>
      <c r="AV232" s="187">
        <f t="shared" si="188"/>
        <v>0</v>
      </c>
      <c r="AW232" s="187">
        <f t="shared" si="189"/>
        <v>8</v>
      </c>
      <c r="AX232" s="187">
        <f t="shared" si="190"/>
        <v>0</v>
      </c>
      <c r="AY232" s="187">
        <f t="shared" si="191"/>
        <v>0</v>
      </c>
      <c r="AZ232" s="187">
        <f t="shared" si="192"/>
        <v>0</v>
      </c>
      <c r="BA232" s="187">
        <f t="shared" si="193"/>
        <v>0</v>
      </c>
      <c r="BB232" s="187">
        <f t="shared" si="194"/>
        <v>13</v>
      </c>
      <c r="BC232" s="187">
        <f t="shared" si="195"/>
        <v>0</v>
      </c>
      <c r="BD232" s="187">
        <f t="shared" si="196"/>
        <v>0</v>
      </c>
      <c r="BE232" s="187">
        <f t="shared" si="197"/>
        <v>6</v>
      </c>
      <c r="BF232" s="187">
        <f t="shared" si="198"/>
        <v>0</v>
      </c>
      <c r="BG232" s="187">
        <f t="shared" si="199"/>
        <v>8</v>
      </c>
      <c r="BH232" s="187">
        <f t="shared" si="200"/>
        <v>0</v>
      </c>
      <c r="BI232" s="187">
        <f t="shared" si="201"/>
        <v>0</v>
      </c>
      <c r="BJ232" s="273">
        <f t="shared" si="202"/>
        <v>67</v>
      </c>
      <c r="BK232" s="167">
        <f t="shared" si="204"/>
        <v>67</v>
      </c>
      <c r="BL232" s="167"/>
      <c r="BM232" s="644"/>
      <c r="BN232" s="644"/>
      <c r="BO232" s="644"/>
      <c r="BP232" s="644"/>
      <c r="BQ232" s="644"/>
      <c r="BR232" s="644"/>
      <c r="BS232" s="644"/>
      <c r="BT232" s="644"/>
      <c r="BU232" s="644"/>
      <c r="BV232" s="644"/>
      <c r="BW232" s="644"/>
      <c r="BX232" s="644"/>
      <c r="BY232" s="644"/>
      <c r="BZ232" s="644"/>
      <c r="CA232" s="644"/>
      <c r="CB232" s="644"/>
      <c r="CC232" s="644"/>
      <c r="CD232" s="644"/>
      <c r="CE232" s="644"/>
      <c r="CF232" s="644"/>
      <c r="CG232" s="644"/>
      <c r="CH232" s="644"/>
      <c r="CI232" s="644"/>
      <c r="CJ232" s="301"/>
      <c r="CK232" s="180"/>
      <c r="CL232" s="136"/>
    </row>
    <row r="233" spans="1:90">
      <c r="A233" s="181" t="s">
        <v>480</v>
      </c>
      <c r="B233" s="182"/>
      <c r="C233" s="183"/>
      <c r="D233" s="184"/>
      <c r="E233" s="184">
        <v>1</v>
      </c>
      <c r="F233" s="184"/>
      <c r="G233" s="184">
        <v>1</v>
      </c>
      <c r="H233" s="182"/>
      <c r="I233" s="182"/>
      <c r="J233" s="182"/>
      <c r="K233" s="182"/>
      <c r="L233" s="182">
        <v>1</v>
      </c>
      <c r="M233" s="182"/>
      <c r="N233" s="182"/>
      <c r="O233" s="182">
        <v>1</v>
      </c>
      <c r="P233" s="182"/>
      <c r="Q233" s="182"/>
      <c r="R233" s="182"/>
      <c r="S233" s="182"/>
      <c r="T233" s="182"/>
      <c r="U233" s="182">
        <v>1</v>
      </c>
      <c r="V233" s="182"/>
      <c r="W233" s="182">
        <v>1</v>
      </c>
      <c r="X233" s="182"/>
      <c r="Y233" s="182"/>
      <c r="Z233" s="182"/>
      <c r="AA233" s="182">
        <v>1</v>
      </c>
      <c r="AB233" s="182">
        <v>1</v>
      </c>
      <c r="AC233" s="182"/>
      <c r="AD233" s="182">
        <v>1</v>
      </c>
      <c r="AE233" s="182"/>
      <c r="AF233" s="182"/>
      <c r="AG233" s="182"/>
      <c r="AH233" s="167">
        <v>9</v>
      </c>
      <c r="AI233" s="300"/>
      <c r="AJ233" s="186">
        <v>42336</v>
      </c>
      <c r="AK233" s="187"/>
      <c r="AL233" s="187">
        <f t="shared" si="178"/>
        <v>0</v>
      </c>
      <c r="AM233" s="187">
        <f t="shared" si="179"/>
        <v>0</v>
      </c>
      <c r="AN233" s="187">
        <f t="shared" si="180"/>
        <v>8</v>
      </c>
      <c r="AO233" s="187">
        <f t="shared" si="181"/>
        <v>8</v>
      </c>
      <c r="AP233" s="187">
        <f t="shared" si="182"/>
        <v>0</v>
      </c>
      <c r="AQ233" s="187">
        <f t="shared" si="183"/>
        <v>0</v>
      </c>
      <c r="AR233" s="187">
        <f t="shared" si="184"/>
        <v>0</v>
      </c>
      <c r="AS233" s="187">
        <f t="shared" si="185"/>
        <v>19</v>
      </c>
      <c r="AT233" s="187">
        <f t="shared" si="186"/>
        <v>13</v>
      </c>
      <c r="AU233" s="187">
        <f t="shared" si="187"/>
        <v>0</v>
      </c>
      <c r="AV233" s="187">
        <f t="shared" si="188"/>
        <v>0</v>
      </c>
      <c r="AW233" s="187">
        <f t="shared" si="189"/>
        <v>0</v>
      </c>
      <c r="AX233" s="187">
        <f t="shared" si="190"/>
        <v>0</v>
      </c>
      <c r="AY233" s="187">
        <f t="shared" si="191"/>
        <v>2</v>
      </c>
      <c r="AZ233" s="187">
        <f t="shared" si="192"/>
        <v>0</v>
      </c>
      <c r="BA233" s="187">
        <f t="shared" si="193"/>
        <v>16</v>
      </c>
      <c r="BB233" s="187">
        <f t="shared" si="194"/>
        <v>0</v>
      </c>
      <c r="BC233" s="187">
        <f t="shared" si="195"/>
        <v>0</v>
      </c>
      <c r="BD233" s="187">
        <f t="shared" si="196"/>
        <v>0</v>
      </c>
      <c r="BE233" s="187">
        <f t="shared" si="197"/>
        <v>6</v>
      </c>
      <c r="BF233" s="187">
        <f t="shared" si="198"/>
        <v>1</v>
      </c>
      <c r="BG233" s="187">
        <f t="shared" si="199"/>
        <v>8</v>
      </c>
      <c r="BH233" s="187">
        <f t="shared" si="200"/>
        <v>0</v>
      </c>
      <c r="BI233" s="187">
        <f t="shared" si="201"/>
        <v>0</v>
      </c>
      <c r="BJ233" s="273">
        <f t="shared" si="202"/>
        <v>80</v>
      </c>
      <c r="BK233" s="167">
        <f t="shared" si="204"/>
        <v>80</v>
      </c>
      <c r="BL233" s="167"/>
      <c r="BM233" s="644"/>
      <c r="BN233" s="644"/>
      <c r="BO233" s="644"/>
      <c r="BP233" s="644"/>
      <c r="BQ233" s="644"/>
      <c r="BR233" s="644"/>
      <c r="BS233" s="644"/>
      <c r="BT233" s="644"/>
      <c r="BU233" s="644"/>
      <c r="BV233" s="644"/>
      <c r="BW233" s="644"/>
      <c r="BX233" s="644"/>
      <c r="BY233" s="644"/>
      <c r="BZ233" s="644"/>
      <c r="CA233" s="644"/>
      <c r="CB233" s="644"/>
      <c r="CC233" s="644"/>
      <c r="CD233" s="644"/>
      <c r="CE233" s="644"/>
      <c r="CF233" s="644"/>
      <c r="CG233" s="644"/>
      <c r="CH233" s="644"/>
      <c r="CI233" s="644"/>
      <c r="CJ233" s="301"/>
      <c r="CK233" s="180"/>
      <c r="CL233" s="136"/>
    </row>
    <row r="234" spans="1:90" ht="15.75">
      <c r="A234" s="178"/>
      <c r="B234" s="787" t="s">
        <v>404</v>
      </c>
      <c r="C234" s="788"/>
      <c r="D234" s="788"/>
      <c r="E234" s="788"/>
      <c r="F234" s="788"/>
      <c r="G234" s="788"/>
      <c r="H234" s="788"/>
      <c r="I234" s="788"/>
      <c r="J234" s="788"/>
      <c r="K234" s="788"/>
      <c r="L234" s="788"/>
      <c r="M234" s="788"/>
      <c r="N234" s="788"/>
      <c r="O234" s="788"/>
      <c r="P234" s="788"/>
      <c r="Q234" s="788"/>
      <c r="R234" s="788"/>
      <c r="S234" s="788"/>
      <c r="T234" s="788"/>
      <c r="U234" s="788"/>
      <c r="V234" s="788"/>
      <c r="W234" s="788"/>
      <c r="X234" s="788"/>
      <c r="Y234" s="788"/>
      <c r="Z234" s="788"/>
      <c r="AA234" s="788"/>
      <c r="AB234" s="788"/>
      <c r="AC234" s="788"/>
      <c r="AD234" s="788"/>
      <c r="AE234" s="788"/>
      <c r="AF234" s="788"/>
      <c r="AG234" s="788"/>
      <c r="AH234" s="193"/>
      <c r="AI234" s="194"/>
      <c r="AJ234" s="194"/>
      <c r="AK234" s="194"/>
      <c r="AL234" s="187">
        <f t="shared" si="178"/>
        <v>0</v>
      </c>
      <c r="AM234" s="187">
        <f t="shared" si="179"/>
        <v>0</v>
      </c>
      <c r="AN234" s="187">
        <f t="shared" si="180"/>
        <v>0</v>
      </c>
      <c r="AO234" s="187">
        <f t="shared" si="181"/>
        <v>0</v>
      </c>
      <c r="AP234" s="187">
        <f t="shared" si="182"/>
        <v>0</v>
      </c>
      <c r="AQ234" s="187">
        <f t="shared" si="183"/>
        <v>0</v>
      </c>
      <c r="AR234" s="187">
        <f t="shared" si="184"/>
        <v>0</v>
      </c>
      <c r="AS234" s="187">
        <f t="shared" si="185"/>
        <v>0</v>
      </c>
      <c r="AT234" s="187">
        <f t="shared" si="186"/>
        <v>0</v>
      </c>
      <c r="AU234" s="187">
        <f t="shared" si="187"/>
        <v>0</v>
      </c>
      <c r="AV234" s="187">
        <f t="shared" si="188"/>
        <v>0</v>
      </c>
      <c r="AW234" s="187">
        <f t="shared" si="189"/>
        <v>0</v>
      </c>
      <c r="AX234" s="187">
        <f t="shared" si="190"/>
        <v>0</v>
      </c>
      <c r="AY234" s="187">
        <f t="shared" si="191"/>
        <v>0</v>
      </c>
      <c r="AZ234" s="187">
        <f t="shared" si="192"/>
        <v>0</v>
      </c>
      <c r="BA234" s="187">
        <f t="shared" si="193"/>
        <v>0</v>
      </c>
      <c r="BB234" s="187">
        <f t="shared" si="194"/>
        <v>0</v>
      </c>
      <c r="BC234" s="187">
        <f t="shared" si="195"/>
        <v>0</v>
      </c>
      <c r="BD234" s="187">
        <f t="shared" si="196"/>
        <v>0</v>
      </c>
      <c r="BE234" s="187">
        <f t="shared" si="197"/>
        <v>0</v>
      </c>
      <c r="BF234" s="187">
        <f t="shared" si="198"/>
        <v>0</v>
      </c>
      <c r="BG234" s="187">
        <f t="shared" si="199"/>
        <v>0</v>
      </c>
      <c r="BH234" s="187">
        <f t="shared" si="200"/>
        <v>0</v>
      </c>
      <c r="BI234" s="187">
        <f t="shared" si="201"/>
        <v>0</v>
      </c>
      <c r="BJ234" s="273">
        <f t="shared" si="202"/>
        <v>0</v>
      </c>
      <c r="BK234" s="641"/>
      <c r="BL234" s="195"/>
      <c r="BM234" s="641"/>
      <c r="BN234" s="641"/>
      <c r="BO234" s="641"/>
      <c r="BP234" s="641"/>
      <c r="BQ234" s="641"/>
      <c r="BR234" s="641"/>
      <c r="BS234" s="641"/>
      <c r="BT234" s="641"/>
      <c r="BU234" s="641"/>
      <c r="BV234" s="641"/>
      <c r="BW234" s="641"/>
      <c r="BX234" s="641"/>
      <c r="BY234" s="641"/>
      <c r="BZ234" s="641"/>
      <c r="CA234" s="641"/>
      <c r="CB234" s="641"/>
      <c r="CC234" s="641"/>
      <c r="CD234" s="641"/>
      <c r="CE234" s="641"/>
      <c r="CF234" s="641"/>
      <c r="CG234" s="641"/>
      <c r="CH234" s="641"/>
      <c r="CI234" s="641"/>
      <c r="CJ234" s="301"/>
      <c r="CK234" s="180"/>
      <c r="CL234" s="136"/>
    </row>
    <row r="235" spans="1:90" s="344" customFormat="1">
      <c r="A235" s="374" t="s">
        <v>954</v>
      </c>
      <c r="B235" s="189"/>
      <c r="C235" s="189"/>
      <c r="D235" s="189">
        <v>1</v>
      </c>
      <c r="E235" s="189"/>
      <c r="F235" s="189"/>
      <c r="G235" s="189"/>
      <c r="H235" s="189"/>
      <c r="I235" s="189"/>
      <c r="J235" s="189"/>
      <c r="K235" s="189"/>
      <c r="L235" s="189">
        <v>1</v>
      </c>
      <c r="M235" s="189"/>
      <c r="N235" s="189"/>
      <c r="O235" s="189">
        <v>1</v>
      </c>
      <c r="P235" s="189"/>
      <c r="Q235" s="189">
        <v>1</v>
      </c>
      <c r="R235" s="189"/>
      <c r="S235" s="189"/>
      <c r="T235" s="189"/>
      <c r="U235" s="189"/>
      <c r="V235" s="189"/>
      <c r="W235" s="189">
        <v>1</v>
      </c>
      <c r="X235" s="189">
        <v>1</v>
      </c>
      <c r="Y235" s="189"/>
      <c r="Z235" s="189"/>
      <c r="AA235" s="189"/>
      <c r="AB235" s="189"/>
      <c r="AC235" s="189"/>
      <c r="AD235" s="189"/>
      <c r="AE235" s="189"/>
      <c r="AF235" s="189"/>
      <c r="AG235" s="189"/>
      <c r="AH235" s="196">
        <v>6</v>
      </c>
      <c r="AI235" s="371" t="s">
        <v>955</v>
      </c>
      <c r="AJ235" s="370">
        <v>42375</v>
      </c>
      <c r="AK235" s="352"/>
      <c r="AL235" s="187">
        <f t="shared" si="178"/>
        <v>0</v>
      </c>
      <c r="AM235" s="187">
        <f t="shared" si="179"/>
        <v>13</v>
      </c>
      <c r="AN235" s="187">
        <f t="shared" si="180"/>
        <v>0</v>
      </c>
      <c r="AO235" s="187">
        <f t="shared" si="181"/>
        <v>0</v>
      </c>
      <c r="AP235" s="187">
        <f t="shared" si="182"/>
        <v>0</v>
      </c>
      <c r="AQ235" s="187">
        <f t="shared" si="183"/>
        <v>0</v>
      </c>
      <c r="AR235" s="187">
        <f t="shared" si="184"/>
        <v>0</v>
      </c>
      <c r="AS235" s="187">
        <f t="shared" si="185"/>
        <v>19</v>
      </c>
      <c r="AT235" s="187">
        <f t="shared" si="186"/>
        <v>13</v>
      </c>
      <c r="AU235" s="187">
        <f t="shared" si="187"/>
        <v>0</v>
      </c>
      <c r="AV235" s="187">
        <f t="shared" si="188"/>
        <v>3</v>
      </c>
      <c r="AW235" s="187">
        <f t="shared" si="189"/>
        <v>0</v>
      </c>
      <c r="AX235" s="187">
        <f t="shared" si="190"/>
        <v>0</v>
      </c>
      <c r="AY235" s="187">
        <f t="shared" si="191"/>
        <v>0</v>
      </c>
      <c r="AZ235" s="187">
        <f t="shared" si="192"/>
        <v>0</v>
      </c>
      <c r="BA235" s="187">
        <f t="shared" si="193"/>
        <v>16</v>
      </c>
      <c r="BB235" s="187">
        <f t="shared" si="194"/>
        <v>13</v>
      </c>
      <c r="BC235" s="187">
        <f t="shared" si="195"/>
        <v>0</v>
      </c>
      <c r="BD235" s="187">
        <f t="shared" si="196"/>
        <v>0</v>
      </c>
      <c r="BE235" s="187">
        <f t="shared" si="197"/>
        <v>0</v>
      </c>
      <c r="BF235" s="187">
        <f t="shared" si="198"/>
        <v>0</v>
      </c>
      <c r="BG235" s="187">
        <f t="shared" si="199"/>
        <v>0</v>
      </c>
      <c r="BH235" s="187">
        <f t="shared" si="200"/>
        <v>0</v>
      </c>
      <c r="BI235" s="187">
        <f t="shared" si="201"/>
        <v>0</v>
      </c>
      <c r="BJ235" s="273">
        <f t="shared" si="202"/>
        <v>77</v>
      </c>
      <c r="BK235" s="339">
        <f t="shared" ref="BK235:BK255" si="212">BJ235</f>
        <v>77</v>
      </c>
      <c r="BL235" s="339"/>
      <c r="BM235" s="182"/>
      <c r="BN235" s="182"/>
      <c r="BO235" s="182"/>
      <c r="BP235" s="182"/>
      <c r="BQ235" s="182"/>
      <c r="BR235" s="182"/>
      <c r="BS235" s="182"/>
      <c r="BT235" s="182"/>
      <c r="BU235" s="182"/>
      <c r="BV235" s="182"/>
      <c r="BW235" s="182"/>
      <c r="BX235" s="182"/>
      <c r="BY235" s="182"/>
      <c r="BZ235" s="182"/>
      <c r="CA235" s="182"/>
      <c r="CB235" s="182"/>
      <c r="CC235" s="182"/>
      <c r="CD235" s="182"/>
      <c r="CE235" s="182"/>
      <c r="CF235" s="182"/>
      <c r="CG235" s="182"/>
      <c r="CH235" s="182"/>
      <c r="CI235" s="182"/>
      <c r="CJ235" s="635" t="s">
        <v>743</v>
      </c>
      <c r="CK235" s="343"/>
      <c r="CL235" s="343"/>
    </row>
    <row r="236" spans="1:90">
      <c r="A236" s="178" t="s">
        <v>956</v>
      </c>
      <c r="B236" s="155"/>
      <c r="C236" s="155"/>
      <c r="D236" s="367"/>
      <c r="E236" s="155">
        <v>1</v>
      </c>
      <c r="F236" s="189"/>
      <c r="G236" s="189">
        <v>1</v>
      </c>
      <c r="H236" s="189"/>
      <c r="I236" s="189"/>
      <c r="J236" s="189"/>
      <c r="K236" s="189"/>
      <c r="L236" s="189">
        <v>1</v>
      </c>
      <c r="M236" s="189"/>
      <c r="N236" s="189"/>
      <c r="O236" s="189">
        <v>1</v>
      </c>
      <c r="P236" s="189"/>
      <c r="Q236" s="189"/>
      <c r="R236" s="189"/>
      <c r="S236" s="189"/>
      <c r="T236" s="189"/>
      <c r="U236" s="189"/>
      <c r="V236" s="189"/>
      <c r="W236" s="366">
        <v>1</v>
      </c>
      <c r="X236" s="189">
        <v>1</v>
      </c>
      <c r="Y236" s="189"/>
      <c r="Z236" s="189"/>
      <c r="AA236" s="189">
        <v>1</v>
      </c>
      <c r="AB236" s="189"/>
      <c r="AC236" s="189"/>
      <c r="AD236" s="189">
        <v>1</v>
      </c>
      <c r="AE236" s="189"/>
      <c r="AF236" s="189"/>
      <c r="AG236" s="189"/>
      <c r="AH236" s="196">
        <v>8</v>
      </c>
      <c r="AI236" s="368" t="s">
        <v>955</v>
      </c>
      <c r="AJ236" s="192">
        <v>42375</v>
      </c>
      <c r="AK236" s="187"/>
      <c r="AL236" s="187">
        <f t="shared" si="178"/>
        <v>0</v>
      </c>
      <c r="AM236" s="187">
        <f t="shared" si="179"/>
        <v>0</v>
      </c>
      <c r="AN236" s="187">
        <f t="shared" si="180"/>
        <v>8</v>
      </c>
      <c r="AO236" s="187">
        <f t="shared" si="181"/>
        <v>8</v>
      </c>
      <c r="AP236" s="187">
        <f t="shared" si="182"/>
        <v>0</v>
      </c>
      <c r="AQ236" s="187">
        <f t="shared" si="183"/>
        <v>0</v>
      </c>
      <c r="AR236" s="187">
        <f t="shared" si="184"/>
        <v>0</v>
      </c>
      <c r="AS236" s="187">
        <f t="shared" si="185"/>
        <v>19</v>
      </c>
      <c r="AT236" s="187">
        <f t="shared" si="186"/>
        <v>13</v>
      </c>
      <c r="AU236" s="187">
        <f t="shared" si="187"/>
        <v>0</v>
      </c>
      <c r="AV236" s="187">
        <f t="shared" si="188"/>
        <v>0</v>
      </c>
      <c r="AW236" s="187">
        <f t="shared" si="189"/>
        <v>0</v>
      </c>
      <c r="AX236" s="187">
        <f t="shared" si="190"/>
        <v>0</v>
      </c>
      <c r="AY236" s="187">
        <f t="shared" si="191"/>
        <v>0</v>
      </c>
      <c r="AZ236" s="187">
        <f t="shared" si="192"/>
        <v>0</v>
      </c>
      <c r="BA236" s="187">
        <f t="shared" si="193"/>
        <v>16</v>
      </c>
      <c r="BB236" s="187">
        <f t="shared" si="194"/>
        <v>13</v>
      </c>
      <c r="BC236" s="187">
        <f t="shared" si="195"/>
        <v>0</v>
      </c>
      <c r="BD236" s="187">
        <f t="shared" si="196"/>
        <v>0</v>
      </c>
      <c r="BE236" s="187">
        <f t="shared" si="197"/>
        <v>6</v>
      </c>
      <c r="BF236" s="187">
        <f t="shared" si="198"/>
        <v>0</v>
      </c>
      <c r="BG236" s="187">
        <f t="shared" si="199"/>
        <v>8</v>
      </c>
      <c r="BH236" s="187">
        <f t="shared" si="200"/>
        <v>0</v>
      </c>
      <c r="BI236" s="187">
        <f t="shared" si="201"/>
        <v>0</v>
      </c>
      <c r="BJ236" s="273">
        <f t="shared" si="202"/>
        <v>91</v>
      </c>
      <c r="BK236" s="167">
        <f t="shared" ref="BK236" si="213">BJ236</f>
        <v>91</v>
      </c>
      <c r="BL236" s="167"/>
      <c r="BM236" s="644"/>
      <c r="BN236" s="644"/>
      <c r="BO236" s="644"/>
      <c r="BP236" s="644"/>
      <c r="BQ236" s="644"/>
      <c r="BR236" s="644"/>
      <c r="BS236" s="644"/>
      <c r="BT236" s="644"/>
      <c r="BU236" s="644"/>
      <c r="BV236" s="644"/>
      <c r="BW236" s="644"/>
      <c r="BX236" s="644"/>
      <c r="BY236" s="644"/>
      <c r="BZ236" s="644"/>
      <c r="CA236" s="644"/>
      <c r="CB236" s="644"/>
      <c r="CC236" s="644"/>
      <c r="CD236" s="644"/>
      <c r="CE236" s="644"/>
      <c r="CF236" s="644"/>
      <c r="CG236" s="644"/>
      <c r="CH236" s="644"/>
      <c r="CI236" s="644"/>
      <c r="CJ236" s="301" t="s">
        <v>768</v>
      </c>
      <c r="CK236" s="136"/>
      <c r="CL236" s="136"/>
    </row>
    <row r="237" spans="1:90" s="344" customFormat="1">
      <c r="A237" s="374" t="s">
        <v>957</v>
      </c>
      <c r="B237" s="189"/>
      <c r="C237" s="189"/>
      <c r="D237" s="366">
        <v>1</v>
      </c>
      <c r="E237" s="189"/>
      <c r="F237" s="189"/>
      <c r="G237" s="189"/>
      <c r="H237" s="189"/>
      <c r="I237" s="189"/>
      <c r="J237" s="189"/>
      <c r="K237" s="189"/>
      <c r="L237" s="189">
        <v>1</v>
      </c>
      <c r="M237" s="189"/>
      <c r="N237" s="189"/>
      <c r="O237" s="189">
        <v>1</v>
      </c>
      <c r="P237" s="189"/>
      <c r="Q237" s="189"/>
      <c r="R237" s="189"/>
      <c r="S237" s="189"/>
      <c r="T237" s="189"/>
      <c r="U237" s="189"/>
      <c r="V237" s="189">
        <v>1</v>
      </c>
      <c r="W237" s="366">
        <v>1</v>
      </c>
      <c r="X237" s="189">
        <v>1</v>
      </c>
      <c r="Y237" s="189">
        <v>1</v>
      </c>
      <c r="Z237" s="189"/>
      <c r="AA237" s="366">
        <v>1</v>
      </c>
      <c r="AB237" s="189"/>
      <c r="AC237" s="189"/>
      <c r="AD237" s="189"/>
      <c r="AE237" s="189">
        <v>1</v>
      </c>
      <c r="AF237" s="189"/>
      <c r="AG237" s="189"/>
      <c r="AH237" s="196">
        <v>9</v>
      </c>
      <c r="AI237" s="368" t="s">
        <v>955</v>
      </c>
      <c r="AJ237" s="192">
        <v>42375</v>
      </c>
      <c r="AK237" s="187"/>
      <c r="AL237" s="187">
        <f t="shared" si="178"/>
        <v>0</v>
      </c>
      <c r="AM237" s="187">
        <f t="shared" si="179"/>
        <v>13</v>
      </c>
      <c r="AN237" s="187">
        <f t="shared" si="180"/>
        <v>0</v>
      </c>
      <c r="AO237" s="187">
        <f t="shared" si="181"/>
        <v>0</v>
      </c>
      <c r="AP237" s="187">
        <f t="shared" si="182"/>
        <v>0</v>
      </c>
      <c r="AQ237" s="187">
        <f t="shared" si="183"/>
        <v>0</v>
      </c>
      <c r="AR237" s="187">
        <f t="shared" si="184"/>
        <v>0</v>
      </c>
      <c r="AS237" s="187">
        <f t="shared" si="185"/>
        <v>19</v>
      </c>
      <c r="AT237" s="187">
        <f t="shared" si="186"/>
        <v>13</v>
      </c>
      <c r="AU237" s="187">
        <f t="shared" si="187"/>
        <v>0</v>
      </c>
      <c r="AV237" s="187">
        <f t="shared" si="188"/>
        <v>0</v>
      </c>
      <c r="AW237" s="187">
        <f t="shared" si="189"/>
        <v>0</v>
      </c>
      <c r="AX237" s="187">
        <f t="shared" si="190"/>
        <v>0</v>
      </c>
      <c r="AY237" s="187">
        <f t="shared" si="191"/>
        <v>0</v>
      </c>
      <c r="AZ237" s="187">
        <f t="shared" si="192"/>
        <v>8</v>
      </c>
      <c r="BA237" s="187">
        <f t="shared" si="193"/>
        <v>16</v>
      </c>
      <c r="BB237" s="187">
        <f t="shared" si="194"/>
        <v>13</v>
      </c>
      <c r="BC237" s="187">
        <f t="shared" si="195"/>
        <v>10</v>
      </c>
      <c r="BD237" s="187">
        <f t="shared" si="196"/>
        <v>0</v>
      </c>
      <c r="BE237" s="187">
        <f t="shared" si="197"/>
        <v>6</v>
      </c>
      <c r="BF237" s="187">
        <f t="shared" si="198"/>
        <v>0</v>
      </c>
      <c r="BG237" s="187">
        <f t="shared" si="199"/>
        <v>0</v>
      </c>
      <c r="BH237" s="187">
        <f t="shared" si="200"/>
        <v>2</v>
      </c>
      <c r="BI237" s="187">
        <f t="shared" si="201"/>
        <v>0</v>
      </c>
      <c r="BJ237" s="273">
        <f t="shared" si="202"/>
        <v>98</v>
      </c>
      <c r="BK237" s="167">
        <f t="shared" ref="BK237" si="214">BJ237</f>
        <v>98</v>
      </c>
      <c r="BL237" s="167"/>
      <c r="BM237" s="644"/>
      <c r="BN237" s="644"/>
      <c r="BO237" s="644"/>
      <c r="BP237" s="644"/>
      <c r="BQ237" s="644"/>
      <c r="BR237" s="644"/>
      <c r="BS237" s="644"/>
      <c r="BT237" s="644"/>
      <c r="BU237" s="644"/>
      <c r="BV237" s="644"/>
      <c r="BW237" s="644"/>
      <c r="BX237" s="644"/>
      <c r="BY237" s="644"/>
      <c r="BZ237" s="644"/>
      <c r="CA237" s="644"/>
      <c r="CB237" s="644"/>
      <c r="CC237" s="644"/>
      <c r="CD237" s="644"/>
      <c r="CE237" s="644"/>
      <c r="CF237" s="644"/>
      <c r="CG237" s="644"/>
      <c r="CH237" s="644"/>
      <c r="CI237" s="644"/>
      <c r="CJ237" s="301" t="s">
        <v>768</v>
      </c>
      <c r="CK237" s="343"/>
      <c r="CL237" s="343"/>
    </row>
    <row r="238" spans="1:90" s="344" customFormat="1">
      <c r="A238" s="374" t="s">
        <v>958</v>
      </c>
      <c r="B238" s="189"/>
      <c r="C238" s="189"/>
      <c r="D238" s="189">
        <v>1</v>
      </c>
      <c r="E238" s="189"/>
      <c r="F238" s="189"/>
      <c r="G238" s="189"/>
      <c r="H238" s="189"/>
      <c r="I238" s="189"/>
      <c r="J238" s="189"/>
      <c r="K238" s="189"/>
      <c r="L238" s="189">
        <v>1</v>
      </c>
      <c r="M238" s="189"/>
      <c r="N238" s="189"/>
      <c r="O238" s="189">
        <v>1</v>
      </c>
      <c r="P238" s="189"/>
      <c r="Q238" s="366">
        <v>1</v>
      </c>
      <c r="R238" s="189"/>
      <c r="S238" s="189">
        <v>1</v>
      </c>
      <c r="T238" s="189"/>
      <c r="U238" s="189"/>
      <c r="V238" s="189">
        <v>1</v>
      </c>
      <c r="W238" s="189">
        <v>1</v>
      </c>
      <c r="X238" s="189">
        <v>1</v>
      </c>
      <c r="Y238" s="189">
        <v>1</v>
      </c>
      <c r="Z238" s="189"/>
      <c r="AA238" s="189"/>
      <c r="AB238" s="189"/>
      <c r="AC238" s="189"/>
      <c r="AD238" s="189"/>
      <c r="AE238" s="189"/>
      <c r="AF238" s="189"/>
      <c r="AG238" s="189"/>
      <c r="AH238" s="196">
        <v>9</v>
      </c>
      <c r="AI238" s="372" t="s">
        <v>959</v>
      </c>
      <c r="AJ238" s="370">
        <v>42376</v>
      </c>
      <c r="AK238" s="187"/>
      <c r="AL238" s="187">
        <f t="shared" si="178"/>
        <v>0</v>
      </c>
      <c r="AM238" s="187">
        <f t="shared" si="179"/>
        <v>13</v>
      </c>
      <c r="AN238" s="187">
        <f t="shared" si="180"/>
        <v>0</v>
      </c>
      <c r="AO238" s="187">
        <f t="shared" si="181"/>
        <v>0</v>
      </c>
      <c r="AP238" s="187">
        <f t="shared" si="182"/>
        <v>0</v>
      </c>
      <c r="AQ238" s="187">
        <f t="shared" si="183"/>
        <v>0</v>
      </c>
      <c r="AR238" s="187">
        <f t="shared" si="184"/>
        <v>0</v>
      </c>
      <c r="AS238" s="187">
        <f t="shared" si="185"/>
        <v>19</v>
      </c>
      <c r="AT238" s="187">
        <f t="shared" si="186"/>
        <v>13</v>
      </c>
      <c r="AU238" s="187">
        <f t="shared" si="187"/>
        <v>0</v>
      </c>
      <c r="AV238" s="187">
        <f t="shared" si="188"/>
        <v>3</v>
      </c>
      <c r="AW238" s="187">
        <f t="shared" si="189"/>
        <v>8</v>
      </c>
      <c r="AX238" s="187">
        <f t="shared" si="190"/>
        <v>0</v>
      </c>
      <c r="AY238" s="187">
        <f t="shared" si="191"/>
        <v>0</v>
      </c>
      <c r="AZ238" s="187">
        <f t="shared" si="192"/>
        <v>8</v>
      </c>
      <c r="BA238" s="187">
        <f t="shared" si="193"/>
        <v>16</v>
      </c>
      <c r="BB238" s="187">
        <f t="shared" si="194"/>
        <v>13</v>
      </c>
      <c r="BC238" s="187">
        <f t="shared" si="195"/>
        <v>10</v>
      </c>
      <c r="BD238" s="187">
        <f t="shared" si="196"/>
        <v>0</v>
      </c>
      <c r="BE238" s="187">
        <f t="shared" si="197"/>
        <v>0</v>
      </c>
      <c r="BF238" s="187">
        <f t="shared" si="198"/>
        <v>0</v>
      </c>
      <c r="BG238" s="187">
        <f t="shared" si="199"/>
        <v>0</v>
      </c>
      <c r="BH238" s="187">
        <f t="shared" si="200"/>
        <v>0</v>
      </c>
      <c r="BI238" s="187">
        <f t="shared" si="201"/>
        <v>0</v>
      </c>
      <c r="BJ238" s="273">
        <f t="shared" si="202"/>
        <v>100</v>
      </c>
      <c r="BK238" s="167">
        <f t="shared" ref="BK238" si="215">BJ238</f>
        <v>100</v>
      </c>
      <c r="BL238" s="167"/>
      <c r="BM238" s="644"/>
      <c r="BN238" s="644"/>
      <c r="BO238" s="644"/>
      <c r="BP238" s="644"/>
      <c r="BQ238" s="644"/>
      <c r="BR238" s="644"/>
      <c r="BS238" s="644"/>
      <c r="BT238" s="644"/>
      <c r="BU238" s="644"/>
      <c r="BV238" s="644"/>
      <c r="BW238" s="644"/>
      <c r="BX238" s="644"/>
      <c r="BY238" s="644"/>
      <c r="BZ238" s="644"/>
      <c r="CA238" s="644"/>
      <c r="CB238" s="644"/>
      <c r="CC238" s="644"/>
      <c r="CD238" s="644"/>
      <c r="CE238" s="644"/>
      <c r="CF238" s="644"/>
      <c r="CG238" s="644"/>
      <c r="CH238" s="644"/>
      <c r="CI238" s="644"/>
      <c r="CJ238" s="301" t="s">
        <v>740</v>
      </c>
      <c r="CK238" s="343"/>
      <c r="CL238" s="343"/>
    </row>
    <row r="239" spans="1:90" s="344" customFormat="1">
      <c r="A239" s="374" t="s">
        <v>960</v>
      </c>
      <c r="B239" s="189"/>
      <c r="C239" s="189"/>
      <c r="D239" s="189">
        <v>1</v>
      </c>
      <c r="E239" s="189"/>
      <c r="F239" s="189"/>
      <c r="G239" s="189"/>
      <c r="H239" s="189"/>
      <c r="I239" s="189"/>
      <c r="J239" s="189"/>
      <c r="K239" s="189"/>
      <c r="L239" s="189">
        <v>1</v>
      </c>
      <c r="M239" s="189"/>
      <c r="N239" s="189"/>
      <c r="O239" s="189"/>
      <c r="P239" s="189"/>
      <c r="Q239" s="189"/>
      <c r="R239" s="189"/>
      <c r="S239" s="189"/>
      <c r="T239" s="189"/>
      <c r="U239" s="189"/>
      <c r="V239" s="366">
        <v>1</v>
      </c>
      <c r="W239" s="189"/>
      <c r="X239" s="189">
        <v>1</v>
      </c>
      <c r="Y239" s="189">
        <v>1</v>
      </c>
      <c r="Z239" s="189"/>
      <c r="AA239" s="189"/>
      <c r="AB239" s="189"/>
      <c r="AC239" s="189"/>
      <c r="AD239" s="189">
        <v>1</v>
      </c>
      <c r="AE239" s="189"/>
      <c r="AF239" s="189"/>
      <c r="AG239" s="189"/>
      <c r="AH239" s="196">
        <v>6</v>
      </c>
      <c r="AI239" s="368" t="s">
        <v>955</v>
      </c>
      <c r="AJ239" s="192">
        <v>42375</v>
      </c>
      <c r="AK239" s="187"/>
      <c r="AL239" s="187">
        <f t="shared" si="178"/>
        <v>0</v>
      </c>
      <c r="AM239" s="187">
        <f t="shared" si="179"/>
        <v>13</v>
      </c>
      <c r="AN239" s="187">
        <f t="shared" si="180"/>
        <v>0</v>
      </c>
      <c r="AO239" s="187">
        <f t="shared" si="181"/>
        <v>0</v>
      </c>
      <c r="AP239" s="187">
        <f t="shared" si="182"/>
        <v>0</v>
      </c>
      <c r="AQ239" s="187">
        <f t="shared" si="183"/>
        <v>0</v>
      </c>
      <c r="AR239" s="187">
        <f t="shared" si="184"/>
        <v>0</v>
      </c>
      <c r="AS239" s="187">
        <f t="shared" si="185"/>
        <v>19</v>
      </c>
      <c r="AT239" s="187">
        <f t="shared" si="186"/>
        <v>0</v>
      </c>
      <c r="AU239" s="187">
        <f t="shared" si="187"/>
        <v>0</v>
      </c>
      <c r="AV239" s="187">
        <f t="shared" si="188"/>
        <v>0</v>
      </c>
      <c r="AW239" s="187">
        <f t="shared" si="189"/>
        <v>0</v>
      </c>
      <c r="AX239" s="187">
        <f t="shared" si="190"/>
        <v>0</v>
      </c>
      <c r="AY239" s="187">
        <f t="shared" si="191"/>
        <v>0</v>
      </c>
      <c r="AZ239" s="187">
        <f t="shared" si="192"/>
        <v>8</v>
      </c>
      <c r="BA239" s="187">
        <f t="shared" si="193"/>
        <v>0</v>
      </c>
      <c r="BB239" s="187">
        <f t="shared" si="194"/>
        <v>13</v>
      </c>
      <c r="BC239" s="187">
        <f t="shared" si="195"/>
        <v>10</v>
      </c>
      <c r="BD239" s="187">
        <f t="shared" si="196"/>
        <v>0</v>
      </c>
      <c r="BE239" s="187">
        <f t="shared" si="197"/>
        <v>0</v>
      </c>
      <c r="BF239" s="187">
        <f t="shared" si="198"/>
        <v>0</v>
      </c>
      <c r="BG239" s="187">
        <f t="shared" si="199"/>
        <v>8</v>
      </c>
      <c r="BH239" s="187">
        <f t="shared" si="200"/>
        <v>0</v>
      </c>
      <c r="BI239" s="187">
        <f t="shared" si="201"/>
        <v>0</v>
      </c>
      <c r="BJ239" s="273">
        <f t="shared" si="202"/>
        <v>71</v>
      </c>
      <c r="BK239" s="167">
        <f t="shared" ref="BK239" si="216">BJ239</f>
        <v>71</v>
      </c>
      <c r="BL239" s="167"/>
      <c r="BM239" s="644"/>
      <c r="BN239" s="644"/>
      <c r="BO239" s="644"/>
      <c r="BP239" s="644"/>
      <c r="BQ239" s="644"/>
      <c r="BR239" s="644"/>
      <c r="BS239" s="644"/>
      <c r="BT239" s="644"/>
      <c r="BU239" s="644"/>
      <c r="BV239" s="644"/>
      <c r="BW239" s="644"/>
      <c r="BX239" s="644"/>
      <c r="BY239" s="644"/>
      <c r="BZ239" s="644"/>
      <c r="CA239" s="644"/>
      <c r="CB239" s="644"/>
      <c r="CC239" s="644"/>
      <c r="CD239" s="644"/>
      <c r="CE239" s="644"/>
      <c r="CF239" s="644"/>
      <c r="CG239" s="644"/>
      <c r="CH239" s="644"/>
      <c r="CI239" s="644"/>
      <c r="CJ239" s="301" t="s">
        <v>748</v>
      </c>
      <c r="CK239" s="343"/>
      <c r="CL239" s="343"/>
    </row>
    <row r="240" spans="1:90" s="344" customFormat="1">
      <c r="A240" s="374" t="s">
        <v>406</v>
      </c>
      <c r="B240" s="189"/>
      <c r="C240" s="189"/>
      <c r="D240" s="189">
        <v>1</v>
      </c>
      <c r="E240" s="367"/>
      <c r="F240" s="189"/>
      <c r="G240" s="189">
        <v>1</v>
      </c>
      <c r="H240" s="189"/>
      <c r="I240" s="189"/>
      <c r="J240" s="189"/>
      <c r="K240" s="189"/>
      <c r="L240" s="189">
        <v>1</v>
      </c>
      <c r="M240" s="189"/>
      <c r="N240" s="189"/>
      <c r="O240" s="189">
        <v>1</v>
      </c>
      <c r="P240" s="189"/>
      <c r="Q240" s="189"/>
      <c r="R240" s="189"/>
      <c r="S240" s="189"/>
      <c r="T240" s="189"/>
      <c r="U240" s="189"/>
      <c r="V240" s="189">
        <v>1</v>
      </c>
      <c r="W240" s="189">
        <v>1</v>
      </c>
      <c r="X240" s="189">
        <v>1</v>
      </c>
      <c r="Y240" s="189">
        <v>1</v>
      </c>
      <c r="Z240" s="189"/>
      <c r="AA240" s="189"/>
      <c r="AB240" s="189"/>
      <c r="AC240" s="189"/>
      <c r="AD240" s="366">
        <v>1</v>
      </c>
      <c r="AE240" s="189">
        <v>1</v>
      </c>
      <c r="AF240" s="189"/>
      <c r="AG240" s="189"/>
      <c r="AH240" s="196">
        <v>10</v>
      </c>
      <c r="AI240" s="368" t="s">
        <v>955</v>
      </c>
      <c r="AJ240" s="192">
        <v>42375</v>
      </c>
      <c r="AK240" s="187"/>
      <c r="AL240" s="187">
        <f t="shared" si="178"/>
        <v>0</v>
      </c>
      <c r="AM240" s="187">
        <f t="shared" si="179"/>
        <v>13</v>
      </c>
      <c r="AN240" s="187">
        <f t="shared" si="180"/>
        <v>0</v>
      </c>
      <c r="AO240" s="187">
        <f t="shared" si="181"/>
        <v>8</v>
      </c>
      <c r="AP240" s="187">
        <f t="shared" si="182"/>
        <v>0</v>
      </c>
      <c r="AQ240" s="187">
        <f t="shared" si="183"/>
        <v>0</v>
      </c>
      <c r="AR240" s="187">
        <f t="shared" si="184"/>
        <v>0</v>
      </c>
      <c r="AS240" s="187">
        <f t="shared" si="185"/>
        <v>19</v>
      </c>
      <c r="AT240" s="187">
        <f t="shared" si="186"/>
        <v>13</v>
      </c>
      <c r="AU240" s="187">
        <f t="shared" si="187"/>
        <v>0</v>
      </c>
      <c r="AV240" s="187">
        <f t="shared" si="188"/>
        <v>0</v>
      </c>
      <c r="AW240" s="187">
        <f t="shared" si="189"/>
        <v>0</v>
      </c>
      <c r="AX240" s="187">
        <f t="shared" si="190"/>
        <v>0</v>
      </c>
      <c r="AY240" s="187">
        <f t="shared" si="191"/>
        <v>0</v>
      </c>
      <c r="AZ240" s="187">
        <f t="shared" si="192"/>
        <v>8</v>
      </c>
      <c r="BA240" s="187">
        <f t="shared" si="193"/>
        <v>16</v>
      </c>
      <c r="BB240" s="187">
        <f t="shared" si="194"/>
        <v>13</v>
      </c>
      <c r="BC240" s="187">
        <f t="shared" si="195"/>
        <v>10</v>
      </c>
      <c r="BD240" s="187">
        <f t="shared" si="196"/>
        <v>0</v>
      </c>
      <c r="BE240" s="187">
        <f t="shared" si="197"/>
        <v>0</v>
      </c>
      <c r="BF240" s="187">
        <f t="shared" si="198"/>
        <v>0</v>
      </c>
      <c r="BG240" s="187">
        <f t="shared" si="199"/>
        <v>8</v>
      </c>
      <c r="BH240" s="187">
        <f t="shared" si="200"/>
        <v>2</v>
      </c>
      <c r="BI240" s="187">
        <f t="shared" si="201"/>
        <v>0</v>
      </c>
      <c r="BJ240" s="273">
        <f t="shared" si="202"/>
        <v>100</v>
      </c>
      <c r="BK240" s="167">
        <f t="shared" ref="BK240" si="217">BJ240</f>
        <v>100</v>
      </c>
      <c r="BL240" s="167"/>
      <c r="BM240" s="644"/>
      <c r="BN240" s="644"/>
      <c r="BO240" s="644"/>
      <c r="BP240" s="644"/>
      <c r="BQ240" s="644"/>
      <c r="BR240" s="644"/>
      <c r="BS240" s="644"/>
      <c r="BT240" s="644"/>
      <c r="BU240" s="644"/>
      <c r="BV240" s="644"/>
      <c r="BW240" s="644"/>
      <c r="BX240" s="644"/>
      <c r="BY240" s="644"/>
      <c r="BZ240" s="644"/>
      <c r="CA240" s="644"/>
      <c r="CB240" s="644"/>
      <c r="CC240" s="644"/>
      <c r="CD240" s="644"/>
      <c r="CE240" s="644"/>
      <c r="CF240" s="644"/>
      <c r="CG240" s="644"/>
      <c r="CH240" s="644"/>
      <c r="CI240" s="644"/>
      <c r="CJ240" s="301" t="s">
        <v>853</v>
      </c>
      <c r="CK240" s="343"/>
      <c r="CL240" s="343"/>
    </row>
    <row r="241" spans="1:90" s="344" customFormat="1">
      <c r="A241" s="374" t="s">
        <v>961</v>
      </c>
      <c r="B241" s="189"/>
      <c r="C241" s="189"/>
      <c r="D241" s="189"/>
      <c r="E241" s="189"/>
      <c r="F241" s="189"/>
      <c r="G241" s="189"/>
      <c r="H241" s="189"/>
      <c r="I241" s="189"/>
      <c r="J241" s="189"/>
      <c r="K241" s="189"/>
      <c r="L241" s="189">
        <v>1</v>
      </c>
      <c r="M241" s="189"/>
      <c r="N241" s="189"/>
      <c r="O241" s="189">
        <v>1</v>
      </c>
      <c r="P241" s="189"/>
      <c r="Q241" s="189"/>
      <c r="R241" s="189"/>
      <c r="S241" s="189">
        <v>1</v>
      </c>
      <c r="T241" s="189"/>
      <c r="U241" s="189"/>
      <c r="V241" s="189"/>
      <c r="W241" s="189">
        <v>1</v>
      </c>
      <c r="X241" s="189"/>
      <c r="Y241" s="189">
        <v>1</v>
      </c>
      <c r="Z241" s="189"/>
      <c r="AA241" s="189"/>
      <c r="AB241" s="189"/>
      <c r="AC241" s="189"/>
      <c r="AD241" s="189"/>
      <c r="AE241" s="189"/>
      <c r="AF241" s="189"/>
      <c r="AG241" s="189"/>
      <c r="AH241" s="196">
        <v>5</v>
      </c>
      <c r="AI241" s="368" t="s">
        <v>955</v>
      </c>
      <c r="AJ241" s="192">
        <v>42375</v>
      </c>
      <c r="AK241" s="187"/>
      <c r="AL241" s="187">
        <f t="shared" si="178"/>
        <v>0</v>
      </c>
      <c r="AM241" s="187">
        <f t="shared" si="179"/>
        <v>0</v>
      </c>
      <c r="AN241" s="187">
        <f t="shared" si="180"/>
        <v>0</v>
      </c>
      <c r="AO241" s="187">
        <f t="shared" si="181"/>
        <v>0</v>
      </c>
      <c r="AP241" s="187">
        <f t="shared" si="182"/>
        <v>0</v>
      </c>
      <c r="AQ241" s="187">
        <f t="shared" si="183"/>
        <v>0</v>
      </c>
      <c r="AR241" s="187">
        <f t="shared" si="184"/>
        <v>0</v>
      </c>
      <c r="AS241" s="187">
        <f t="shared" si="185"/>
        <v>19</v>
      </c>
      <c r="AT241" s="187">
        <f t="shared" si="186"/>
        <v>13</v>
      </c>
      <c r="AU241" s="187">
        <f t="shared" si="187"/>
        <v>0</v>
      </c>
      <c r="AV241" s="187">
        <f t="shared" si="188"/>
        <v>0</v>
      </c>
      <c r="AW241" s="187">
        <f t="shared" si="189"/>
        <v>8</v>
      </c>
      <c r="AX241" s="187">
        <f t="shared" si="190"/>
        <v>0</v>
      </c>
      <c r="AY241" s="187">
        <f t="shared" si="191"/>
        <v>0</v>
      </c>
      <c r="AZ241" s="187">
        <f t="shared" si="192"/>
        <v>0</v>
      </c>
      <c r="BA241" s="187">
        <f t="shared" si="193"/>
        <v>16</v>
      </c>
      <c r="BB241" s="187">
        <f t="shared" si="194"/>
        <v>0</v>
      </c>
      <c r="BC241" s="187">
        <f t="shared" si="195"/>
        <v>10</v>
      </c>
      <c r="BD241" s="187">
        <f t="shared" si="196"/>
        <v>0</v>
      </c>
      <c r="BE241" s="187">
        <f t="shared" si="197"/>
        <v>0</v>
      </c>
      <c r="BF241" s="187">
        <f t="shared" si="198"/>
        <v>0</v>
      </c>
      <c r="BG241" s="187">
        <f t="shared" si="199"/>
        <v>0</v>
      </c>
      <c r="BH241" s="187">
        <f t="shared" si="200"/>
        <v>0</v>
      </c>
      <c r="BI241" s="187">
        <f t="shared" si="201"/>
        <v>0</v>
      </c>
      <c r="BJ241" s="273">
        <f t="shared" si="202"/>
        <v>66</v>
      </c>
      <c r="BK241" s="167">
        <f t="shared" ref="BK241" si="218">BJ241</f>
        <v>66</v>
      </c>
      <c r="BL241" s="167"/>
      <c r="BM241" s="644"/>
      <c r="BN241" s="644"/>
      <c r="BO241" s="644"/>
      <c r="BP241" s="644"/>
      <c r="BQ241" s="644"/>
      <c r="BR241" s="644"/>
      <c r="BS241" s="644"/>
      <c r="BT241" s="644"/>
      <c r="BU241" s="644"/>
      <c r="BV241" s="644"/>
      <c r="BW241" s="644"/>
      <c r="BX241" s="644"/>
      <c r="BY241" s="644"/>
      <c r="BZ241" s="644"/>
      <c r="CA241" s="644"/>
      <c r="CB241" s="644"/>
      <c r="CC241" s="644"/>
      <c r="CD241" s="644"/>
      <c r="CE241" s="644"/>
      <c r="CF241" s="644"/>
      <c r="CG241" s="644"/>
      <c r="CH241" s="644"/>
      <c r="CI241" s="644"/>
      <c r="CJ241" s="301" t="s">
        <v>743</v>
      </c>
      <c r="CK241" s="343"/>
      <c r="CL241" s="343"/>
    </row>
    <row r="242" spans="1:90">
      <c r="A242" s="178" t="s">
        <v>659</v>
      </c>
      <c r="B242" s="155"/>
      <c r="C242" s="155"/>
      <c r="D242" s="155"/>
      <c r="E242" s="155">
        <v>1</v>
      </c>
      <c r="F242" s="189"/>
      <c r="G242" s="189">
        <v>1</v>
      </c>
      <c r="H242" s="189"/>
      <c r="I242" s="189"/>
      <c r="J242" s="189"/>
      <c r="K242" s="189"/>
      <c r="L242" s="189">
        <v>1</v>
      </c>
      <c r="M242" s="189"/>
      <c r="N242" s="189"/>
      <c r="O242" s="189">
        <v>1</v>
      </c>
      <c r="P242" s="189"/>
      <c r="Q242" s="189"/>
      <c r="R242" s="189"/>
      <c r="S242" s="189"/>
      <c r="T242" s="189"/>
      <c r="U242" s="189">
        <v>1</v>
      </c>
      <c r="V242" s="189"/>
      <c r="W242" s="189">
        <v>1</v>
      </c>
      <c r="X242" s="189"/>
      <c r="Y242" s="189"/>
      <c r="Z242" s="189"/>
      <c r="AA242" s="189">
        <v>1</v>
      </c>
      <c r="AB242" s="189"/>
      <c r="AC242" s="189"/>
      <c r="AD242" s="189"/>
      <c r="AE242" s="189"/>
      <c r="AF242" s="189"/>
      <c r="AG242" s="189"/>
      <c r="AH242" s="196">
        <v>7</v>
      </c>
      <c r="AI242" s="368" t="s">
        <v>955</v>
      </c>
      <c r="AJ242" s="192">
        <v>42375</v>
      </c>
      <c r="AK242" s="187"/>
      <c r="AL242" s="187">
        <f t="shared" si="178"/>
        <v>0</v>
      </c>
      <c r="AM242" s="187">
        <f t="shared" si="179"/>
        <v>0</v>
      </c>
      <c r="AN242" s="187">
        <f t="shared" si="180"/>
        <v>8</v>
      </c>
      <c r="AO242" s="187">
        <f t="shared" si="181"/>
        <v>8</v>
      </c>
      <c r="AP242" s="187">
        <f t="shared" si="182"/>
        <v>0</v>
      </c>
      <c r="AQ242" s="187">
        <f t="shared" si="183"/>
        <v>0</v>
      </c>
      <c r="AR242" s="187">
        <f t="shared" si="184"/>
        <v>0</v>
      </c>
      <c r="AS242" s="187">
        <f t="shared" si="185"/>
        <v>19</v>
      </c>
      <c r="AT242" s="187">
        <f t="shared" si="186"/>
        <v>13</v>
      </c>
      <c r="AU242" s="187">
        <f t="shared" si="187"/>
        <v>0</v>
      </c>
      <c r="AV242" s="187">
        <f t="shared" si="188"/>
        <v>0</v>
      </c>
      <c r="AW242" s="187">
        <f t="shared" si="189"/>
        <v>0</v>
      </c>
      <c r="AX242" s="187">
        <f t="shared" si="190"/>
        <v>0</v>
      </c>
      <c r="AY242" s="187">
        <f t="shared" si="191"/>
        <v>2</v>
      </c>
      <c r="AZ242" s="187">
        <f t="shared" si="192"/>
        <v>0</v>
      </c>
      <c r="BA242" s="187">
        <f t="shared" si="193"/>
        <v>16</v>
      </c>
      <c r="BB242" s="187">
        <f t="shared" si="194"/>
        <v>0</v>
      </c>
      <c r="BC242" s="187">
        <f t="shared" si="195"/>
        <v>0</v>
      </c>
      <c r="BD242" s="187">
        <f t="shared" si="196"/>
        <v>0</v>
      </c>
      <c r="BE242" s="187">
        <f t="shared" si="197"/>
        <v>6</v>
      </c>
      <c r="BF242" s="187">
        <f t="shared" si="198"/>
        <v>0</v>
      </c>
      <c r="BG242" s="187">
        <f t="shared" si="199"/>
        <v>0</v>
      </c>
      <c r="BH242" s="187">
        <f t="shared" si="200"/>
        <v>0</v>
      </c>
      <c r="BI242" s="187">
        <f t="shared" si="201"/>
        <v>0</v>
      </c>
      <c r="BJ242" s="273">
        <f t="shared" si="202"/>
        <v>72</v>
      </c>
      <c r="BK242" s="167">
        <f t="shared" ref="BK242:BK243" si="219">BJ242</f>
        <v>72</v>
      </c>
      <c r="BL242" s="167"/>
      <c r="BM242" s="644"/>
      <c r="BN242" s="644"/>
      <c r="BO242" s="644"/>
      <c r="BP242" s="644"/>
      <c r="BQ242" s="644"/>
      <c r="BR242" s="644"/>
      <c r="BS242" s="644"/>
      <c r="BT242" s="644"/>
      <c r="BU242" s="644"/>
      <c r="BV242" s="644"/>
      <c r="BW242" s="644"/>
      <c r="BX242" s="644"/>
      <c r="BY242" s="644"/>
      <c r="BZ242" s="644"/>
      <c r="CA242" s="644"/>
      <c r="CB242" s="644"/>
      <c r="CC242" s="644"/>
      <c r="CD242" s="644"/>
      <c r="CE242" s="644"/>
      <c r="CF242" s="644"/>
      <c r="CG242" s="644"/>
      <c r="CH242" s="644"/>
      <c r="CI242" s="644"/>
      <c r="CJ242" s="301" t="s">
        <v>853</v>
      </c>
      <c r="CK242" s="136"/>
      <c r="CL242" s="136"/>
    </row>
    <row r="243" spans="1:90">
      <c r="A243" s="178" t="s">
        <v>409</v>
      </c>
      <c r="B243" s="155"/>
      <c r="C243" s="155"/>
      <c r="D243" s="155"/>
      <c r="E243" s="155"/>
      <c r="F243" s="189"/>
      <c r="G243" s="189"/>
      <c r="H243" s="189"/>
      <c r="I243" s="189"/>
      <c r="J243" s="189"/>
      <c r="K243" s="189"/>
      <c r="L243" s="189">
        <v>1</v>
      </c>
      <c r="M243" s="189"/>
      <c r="N243" s="189"/>
      <c r="O243" s="189">
        <v>1</v>
      </c>
      <c r="P243" s="189"/>
      <c r="Q243" s="189"/>
      <c r="R243" s="189"/>
      <c r="S243" s="189"/>
      <c r="T243" s="189"/>
      <c r="U243" s="189"/>
      <c r="V243" s="189"/>
      <c r="W243" s="189">
        <v>1</v>
      </c>
      <c r="X243" s="189"/>
      <c r="Y243" s="189"/>
      <c r="Z243" s="189"/>
      <c r="AA243" s="189"/>
      <c r="AB243" s="189"/>
      <c r="AC243" s="189"/>
      <c r="AD243" s="189"/>
      <c r="AE243" s="189"/>
      <c r="AF243" s="189"/>
      <c r="AG243" s="189"/>
      <c r="AH243" s="196">
        <v>3</v>
      </c>
      <c r="AI243" s="368" t="s">
        <v>955</v>
      </c>
      <c r="AJ243" s="192">
        <v>42376</v>
      </c>
      <c r="AK243" s="187"/>
      <c r="AL243" s="187">
        <f t="shared" si="178"/>
        <v>0</v>
      </c>
      <c r="AM243" s="187">
        <f t="shared" si="179"/>
        <v>0</v>
      </c>
      <c r="AN243" s="187">
        <f t="shared" si="180"/>
        <v>0</v>
      </c>
      <c r="AO243" s="187">
        <f t="shared" si="181"/>
        <v>0</v>
      </c>
      <c r="AP243" s="187">
        <f t="shared" si="182"/>
        <v>0</v>
      </c>
      <c r="AQ243" s="187">
        <f t="shared" si="183"/>
        <v>0</v>
      </c>
      <c r="AR243" s="187">
        <f t="shared" si="184"/>
        <v>0</v>
      </c>
      <c r="AS243" s="187">
        <f t="shared" si="185"/>
        <v>19</v>
      </c>
      <c r="AT243" s="187">
        <f t="shared" si="186"/>
        <v>13</v>
      </c>
      <c r="AU243" s="187">
        <f t="shared" si="187"/>
        <v>0</v>
      </c>
      <c r="AV243" s="187">
        <f t="shared" si="188"/>
        <v>0</v>
      </c>
      <c r="AW243" s="187">
        <f t="shared" si="189"/>
        <v>0</v>
      </c>
      <c r="AX243" s="187">
        <f t="shared" si="190"/>
        <v>0</v>
      </c>
      <c r="AY243" s="187">
        <f t="shared" si="191"/>
        <v>0</v>
      </c>
      <c r="AZ243" s="187">
        <f t="shared" si="192"/>
        <v>0</v>
      </c>
      <c r="BA243" s="187">
        <f t="shared" si="193"/>
        <v>16</v>
      </c>
      <c r="BB243" s="187">
        <f t="shared" si="194"/>
        <v>0</v>
      </c>
      <c r="BC243" s="187">
        <f t="shared" si="195"/>
        <v>0</v>
      </c>
      <c r="BD243" s="187">
        <f t="shared" si="196"/>
        <v>0</v>
      </c>
      <c r="BE243" s="187">
        <f t="shared" si="197"/>
        <v>0</v>
      </c>
      <c r="BF243" s="187">
        <f t="shared" si="198"/>
        <v>0</v>
      </c>
      <c r="BG243" s="187">
        <f t="shared" si="199"/>
        <v>0</v>
      </c>
      <c r="BH243" s="187">
        <f t="shared" si="200"/>
        <v>0</v>
      </c>
      <c r="BI243" s="187">
        <f t="shared" si="201"/>
        <v>0</v>
      </c>
      <c r="BJ243" s="273">
        <f t="shared" si="202"/>
        <v>48</v>
      </c>
      <c r="BK243" s="167">
        <f t="shared" si="219"/>
        <v>48</v>
      </c>
      <c r="BL243" s="167"/>
      <c r="BM243" s="644"/>
      <c r="BN243" s="644"/>
      <c r="BO243" s="644"/>
      <c r="BP243" s="644"/>
      <c r="BQ243" s="644"/>
      <c r="BR243" s="644"/>
      <c r="BS243" s="644"/>
      <c r="BT243" s="644"/>
      <c r="BU243" s="644"/>
      <c r="BV243" s="644"/>
      <c r="BW243" s="644"/>
      <c r="BX243" s="644"/>
      <c r="BY243" s="644"/>
      <c r="BZ243" s="644"/>
      <c r="CA243" s="644"/>
      <c r="CB243" s="644"/>
      <c r="CC243" s="644"/>
      <c r="CD243" s="644"/>
      <c r="CE243" s="644"/>
      <c r="CF243" s="644"/>
      <c r="CG243" s="644"/>
      <c r="CH243" s="644"/>
      <c r="CI243" s="644"/>
      <c r="CJ243" s="301" t="s">
        <v>743</v>
      </c>
      <c r="CK243" s="136"/>
      <c r="CL243" s="136"/>
    </row>
    <row r="244" spans="1:90">
      <c r="A244" s="178" t="s">
        <v>660</v>
      </c>
      <c r="B244" s="155"/>
      <c r="C244" s="155"/>
      <c r="D244" s="155">
        <v>1</v>
      </c>
      <c r="E244" s="155">
        <v>1</v>
      </c>
      <c r="F244" s="189"/>
      <c r="G244" s="189">
        <v>1</v>
      </c>
      <c r="H244" s="189"/>
      <c r="I244" s="189"/>
      <c r="J244" s="189"/>
      <c r="K244" s="189"/>
      <c r="L244" s="189">
        <v>1</v>
      </c>
      <c r="M244" s="189"/>
      <c r="N244" s="189"/>
      <c r="O244" s="189"/>
      <c r="P244" s="189"/>
      <c r="Q244" s="189">
        <v>1</v>
      </c>
      <c r="R244" s="189"/>
      <c r="S244" s="189"/>
      <c r="T244" s="366">
        <v>1</v>
      </c>
      <c r="U244" s="189"/>
      <c r="V244" s="366">
        <v>1</v>
      </c>
      <c r="W244" s="189">
        <v>1</v>
      </c>
      <c r="X244" s="366">
        <v>1</v>
      </c>
      <c r="Y244" s="189"/>
      <c r="Z244" s="189">
        <v>1</v>
      </c>
      <c r="AA244" s="189"/>
      <c r="AB244" s="189"/>
      <c r="AC244" s="189"/>
      <c r="AD244" s="189"/>
      <c r="AE244" s="189"/>
      <c r="AF244" s="189"/>
      <c r="AG244" s="189"/>
      <c r="AH244" s="196">
        <v>10</v>
      </c>
      <c r="AI244" s="368" t="s">
        <v>955</v>
      </c>
      <c r="AJ244" s="192">
        <v>42382</v>
      </c>
      <c r="AK244" s="187"/>
      <c r="AL244" s="187">
        <f t="shared" si="178"/>
        <v>0</v>
      </c>
      <c r="AM244" s="187">
        <f t="shared" si="179"/>
        <v>13</v>
      </c>
      <c r="AN244" s="187">
        <f t="shared" si="180"/>
        <v>8</v>
      </c>
      <c r="AO244" s="187">
        <f t="shared" si="181"/>
        <v>8</v>
      </c>
      <c r="AP244" s="187">
        <f t="shared" si="182"/>
        <v>0</v>
      </c>
      <c r="AQ244" s="187">
        <f t="shared" si="183"/>
        <v>0</v>
      </c>
      <c r="AR244" s="187">
        <f t="shared" si="184"/>
        <v>0</v>
      </c>
      <c r="AS244" s="187">
        <f t="shared" si="185"/>
        <v>19</v>
      </c>
      <c r="AT244" s="187">
        <f t="shared" si="186"/>
        <v>0</v>
      </c>
      <c r="AU244" s="187">
        <f t="shared" si="187"/>
        <v>0</v>
      </c>
      <c r="AV244" s="187">
        <f t="shared" si="188"/>
        <v>3</v>
      </c>
      <c r="AW244" s="187">
        <f t="shared" si="189"/>
        <v>0</v>
      </c>
      <c r="AX244" s="187">
        <f t="shared" si="190"/>
        <v>4</v>
      </c>
      <c r="AY244" s="187">
        <f t="shared" si="191"/>
        <v>0</v>
      </c>
      <c r="AZ244" s="187">
        <f t="shared" si="192"/>
        <v>8</v>
      </c>
      <c r="BA244" s="187">
        <f t="shared" si="193"/>
        <v>16</v>
      </c>
      <c r="BB244" s="187">
        <f t="shared" si="194"/>
        <v>13</v>
      </c>
      <c r="BC244" s="187">
        <f t="shared" si="195"/>
        <v>0</v>
      </c>
      <c r="BD244" s="187">
        <f t="shared" si="196"/>
        <v>2</v>
      </c>
      <c r="BE244" s="187">
        <f t="shared" si="197"/>
        <v>0</v>
      </c>
      <c r="BF244" s="187">
        <f t="shared" si="198"/>
        <v>0</v>
      </c>
      <c r="BG244" s="187">
        <f t="shared" si="199"/>
        <v>0</v>
      </c>
      <c r="BH244" s="187">
        <f t="shared" si="200"/>
        <v>0</v>
      </c>
      <c r="BI244" s="187">
        <f t="shared" si="201"/>
        <v>0</v>
      </c>
      <c r="BJ244" s="273">
        <f t="shared" si="202"/>
        <v>89</v>
      </c>
      <c r="BK244" s="167">
        <f t="shared" ref="BK244" si="220">BJ244</f>
        <v>89</v>
      </c>
      <c r="BL244" s="167"/>
      <c r="BM244" s="644"/>
      <c r="BN244" s="644"/>
      <c r="BO244" s="644"/>
      <c r="BP244" s="644"/>
      <c r="BQ244" s="644"/>
      <c r="BR244" s="644"/>
      <c r="BS244" s="644"/>
      <c r="BT244" s="644"/>
      <c r="BU244" s="644"/>
      <c r="BV244" s="644"/>
      <c r="BW244" s="644"/>
      <c r="BX244" s="644"/>
      <c r="BY244" s="644"/>
      <c r="BZ244" s="644"/>
      <c r="CA244" s="644"/>
      <c r="CB244" s="644"/>
      <c r="CC244" s="644"/>
      <c r="CD244" s="644"/>
      <c r="CE244" s="644"/>
      <c r="CF244" s="644"/>
      <c r="CG244" s="644"/>
      <c r="CH244" s="644"/>
      <c r="CI244" s="644"/>
      <c r="CJ244" s="301" t="s">
        <v>743</v>
      </c>
      <c r="CK244" s="136"/>
      <c r="CL244" s="136"/>
    </row>
    <row r="245" spans="1:90">
      <c r="A245" s="178" t="s">
        <v>135</v>
      </c>
      <c r="B245" s="155"/>
      <c r="C245" s="155"/>
      <c r="D245" s="155">
        <v>1</v>
      </c>
      <c r="E245" s="155">
        <v>1</v>
      </c>
      <c r="F245" s="189"/>
      <c r="G245" s="189">
        <v>1</v>
      </c>
      <c r="H245" s="189"/>
      <c r="I245" s="189"/>
      <c r="J245" s="189"/>
      <c r="K245" s="189"/>
      <c r="L245" s="189">
        <v>1</v>
      </c>
      <c r="M245" s="189"/>
      <c r="N245" s="189"/>
      <c r="O245" s="189"/>
      <c r="P245" s="189"/>
      <c r="Q245" s="189"/>
      <c r="R245" s="189"/>
      <c r="S245" s="189"/>
      <c r="T245" s="189"/>
      <c r="U245" s="189"/>
      <c r="V245" s="189">
        <v>1</v>
      </c>
      <c r="W245" s="189">
        <v>1</v>
      </c>
      <c r="X245" s="189">
        <v>1</v>
      </c>
      <c r="Y245" s="189">
        <v>1</v>
      </c>
      <c r="Z245" s="189"/>
      <c r="AA245" s="189"/>
      <c r="AB245" s="189"/>
      <c r="AC245" s="189"/>
      <c r="AD245" s="189">
        <v>1</v>
      </c>
      <c r="AE245" s="189"/>
      <c r="AF245" s="189">
        <v>1</v>
      </c>
      <c r="AG245" s="189"/>
      <c r="AH245" s="196">
        <v>10</v>
      </c>
      <c r="AI245" s="191" t="s">
        <v>962</v>
      </c>
      <c r="AJ245" s="192">
        <v>42375</v>
      </c>
      <c r="AK245" s="187"/>
      <c r="AL245" s="187">
        <f t="shared" si="178"/>
        <v>0</v>
      </c>
      <c r="AM245" s="187">
        <f t="shared" si="179"/>
        <v>13</v>
      </c>
      <c r="AN245" s="187">
        <f t="shared" si="180"/>
        <v>8</v>
      </c>
      <c r="AO245" s="187">
        <f t="shared" si="181"/>
        <v>8</v>
      </c>
      <c r="AP245" s="187">
        <f t="shared" si="182"/>
        <v>0</v>
      </c>
      <c r="AQ245" s="187">
        <f t="shared" si="183"/>
        <v>0</v>
      </c>
      <c r="AR245" s="187">
        <f t="shared" si="184"/>
        <v>0</v>
      </c>
      <c r="AS245" s="187">
        <f t="shared" si="185"/>
        <v>19</v>
      </c>
      <c r="AT245" s="187">
        <f t="shared" si="186"/>
        <v>0</v>
      </c>
      <c r="AU245" s="187">
        <f t="shared" si="187"/>
        <v>0</v>
      </c>
      <c r="AV245" s="187">
        <f t="shared" si="188"/>
        <v>0</v>
      </c>
      <c r="AW245" s="187">
        <f t="shared" si="189"/>
        <v>0</v>
      </c>
      <c r="AX245" s="187">
        <f t="shared" si="190"/>
        <v>0</v>
      </c>
      <c r="AY245" s="187">
        <f t="shared" si="191"/>
        <v>0</v>
      </c>
      <c r="AZ245" s="187">
        <f t="shared" si="192"/>
        <v>8</v>
      </c>
      <c r="BA245" s="187">
        <f t="shared" si="193"/>
        <v>16</v>
      </c>
      <c r="BB245" s="187">
        <f t="shared" si="194"/>
        <v>13</v>
      </c>
      <c r="BC245" s="187">
        <f t="shared" si="195"/>
        <v>10</v>
      </c>
      <c r="BD245" s="187">
        <f t="shared" si="196"/>
        <v>0</v>
      </c>
      <c r="BE245" s="187">
        <f t="shared" si="197"/>
        <v>0</v>
      </c>
      <c r="BF245" s="187">
        <f t="shared" si="198"/>
        <v>0</v>
      </c>
      <c r="BG245" s="187">
        <f t="shared" si="199"/>
        <v>8</v>
      </c>
      <c r="BH245" s="187">
        <f t="shared" si="200"/>
        <v>0</v>
      </c>
      <c r="BI245" s="187">
        <f t="shared" si="201"/>
        <v>3</v>
      </c>
      <c r="BJ245" s="273">
        <f t="shared" si="202"/>
        <v>95</v>
      </c>
      <c r="BK245" s="167">
        <f t="shared" ref="BK245:BK247" si="221">BJ245</f>
        <v>95</v>
      </c>
      <c r="BL245" s="167"/>
      <c r="BM245" s="644"/>
      <c r="BN245" s="644"/>
      <c r="BO245" s="644"/>
      <c r="BP245" s="644"/>
      <c r="BQ245" s="644"/>
      <c r="BR245" s="644"/>
      <c r="BS245" s="644"/>
      <c r="BT245" s="644"/>
      <c r="BU245" s="644"/>
      <c r="BV245" s="644"/>
      <c r="BW245" s="644"/>
      <c r="BX245" s="644"/>
      <c r="BY245" s="644"/>
      <c r="BZ245" s="644"/>
      <c r="CA245" s="644"/>
      <c r="CB245" s="644"/>
      <c r="CC245" s="644"/>
      <c r="CD245" s="644"/>
      <c r="CE245" s="644"/>
      <c r="CF245" s="644"/>
      <c r="CG245" s="644"/>
      <c r="CH245" s="644"/>
      <c r="CI245" s="644"/>
      <c r="CJ245" s="301" t="s">
        <v>754</v>
      </c>
      <c r="CK245" s="136"/>
      <c r="CL245" s="136"/>
    </row>
    <row r="246" spans="1:90">
      <c r="A246" s="178" t="s">
        <v>411</v>
      </c>
      <c r="B246" s="155"/>
      <c r="C246" s="155"/>
      <c r="D246" s="155">
        <v>1</v>
      </c>
      <c r="E246" s="155"/>
      <c r="F246" s="189"/>
      <c r="G246" s="189">
        <v>1</v>
      </c>
      <c r="H246" s="189"/>
      <c r="I246" s="189"/>
      <c r="J246" s="189"/>
      <c r="K246" s="189"/>
      <c r="L246" s="189">
        <v>1</v>
      </c>
      <c r="M246" s="189"/>
      <c r="N246" s="189"/>
      <c r="O246" s="189">
        <v>1</v>
      </c>
      <c r="P246" s="189"/>
      <c r="Q246" s="189"/>
      <c r="R246" s="189"/>
      <c r="S246" s="189"/>
      <c r="T246" s="189"/>
      <c r="U246" s="189"/>
      <c r="V246" s="189"/>
      <c r="W246" s="189"/>
      <c r="X246" s="189">
        <v>1</v>
      </c>
      <c r="Y246" s="189"/>
      <c r="Z246" s="189"/>
      <c r="AA246" s="189">
        <v>1</v>
      </c>
      <c r="AB246" s="189"/>
      <c r="AC246" s="189"/>
      <c r="AD246" s="189"/>
      <c r="AE246" s="189"/>
      <c r="AF246" s="189"/>
      <c r="AG246" s="189"/>
      <c r="AH246" s="196">
        <v>6</v>
      </c>
      <c r="AI246" s="368" t="s">
        <v>955</v>
      </c>
      <c r="AJ246" s="192">
        <v>42379</v>
      </c>
      <c r="AK246" s="187"/>
      <c r="AL246" s="187">
        <f t="shared" si="178"/>
        <v>0</v>
      </c>
      <c r="AM246" s="187">
        <f t="shared" si="179"/>
        <v>13</v>
      </c>
      <c r="AN246" s="187">
        <f t="shared" si="180"/>
        <v>0</v>
      </c>
      <c r="AO246" s="187">
        <f t="shared" si="181"/>
        <v>8</v>
      </c>
      <c r="AP246" s="187">
        <f t="shared" si="182"/>
        <v>0</v>
      </c>
      <c r="AQ246" s="187">
        <f t="shared" si="183"/>
        <v>0</v>
      </c>
      <c r="AR246" s="187">
        <f t="shared" si="184"/>
        <v>0</v>
      </c>
      <c r="AS246" s="187">
        <f t="shared" si="185"/>
        <v>19</v>
      </c>
      <c r="AT246" s="187">
        <f t="shared" si="186"/>
        <v>13</v>
      </c>
      <c r="AU246" s="187">
        <f t="shared" si="187"/>
        <v>0</v>
      </c>
      <c r="AV246" s="187">
        <f t="shared" si="188"/>
        <v>0</v>
      </c>
      <c r="AW246" s="187">
        <f t="shared" si="189"/>
        <v>0</v>
      </c>
      <c r="AX246" s="187">
        <f t="shared" si="190"/>
        <v>0</v>
      </c>
      <c r="AY246" s="187">
        <f t="shared" si="191"/>
        <v>0</v>
      </c>
      <c r="AZ246" s="187">
        <f t="shared" si="192"/>
        <v>0</v>
      </c>
      <c r="BA246" s="187">
        <f t="shared" si="193"/>
        <v>0</v>
      </c>
      <c r="BB246" s="187">
        <f t="shared" si="194"/>
        <v>13</v>
      </c>
      <c r="BC246" s="187">
        <f t="shared" si="195"/>
        <v>0</v>
      </c>
      <c r="BD246" s="187">
        <f t="shared" si="196"/>
        <v>0</v>
      </c>
      <c r="BE246" s="187">
        <f t="shared" si="197"/>
        <v>6</v>
      </c>
      <c r="BF246" s="187">
        <f t="shared" si="198"/>
        <v>0</v>
      </c>
      <c r="BG246" s="187">
        <f t="shared" si="199"/>
        <v>0</v>
      </c>
      <c r="BH246" s="187">
        <f t="shared" si="200"/>
        <v>0</v>
      </c>
      <c r="BI246" s="187">
        <f t="shared" si="201"/>
        <v>0</v>
      </c>
      <c r="BJ246" s="273">
        <f t="shared" si="202"/>
        <v>72</v>
      </c>
      <c r="BK246" s="167">
        <f t="shared" si="221"/>
        <v>72</v>
      </c>
      <c r="BL246" s="167"/>
      <c r="BM246" s="644"/>
      <c r="BN246" s="644"/>
      <c r="BO246" s="644"/>
      <c r="BP246" s="644"/>
      <c r="BQ246" s="644"/>
      <c r="BR246" s="644"/>
      <c r="BS246" s="644"/>
      <c r="BT246" s="644"/>
      <c r="BU246" s="644"/>
      <c r="BV246" s="644"/>
      <c r="BW246" s="644"/>
      <c r="BX246" s="644"/>
      <c r="BY246" s="644"/>
      <c r="BZ246" s="644"/>
      <c r="CA246" s="644"/>
      <c r="CB246" s="644"/>
      <c r="CC246" s="644"/>
      <c r="CD246" s="644"/>
      <c r="CE246" s="644"/>
      <c r="CF246" s="644"/>
      <c r="CG246" s="644"/>
      <c r="CH246" s="644"/>
      <c r="CI246" s="644"/>
      <c r="CJ246" s="301" t="s">
        <v>743</v>
      </c>
      <c r="CK246" s="136"/>
      <c r="CL246" s="136"/>
    </row>
    <row r="247" spans="1:90">
      <c r="A247" s="178" t="s">
        <v>963</v>
      </c>
      <c r="B247" s="155"/>
      <c r="C247" s="155"/>
      <c r="D247" s="155">
        <v>1</v>
      </c>
      <c r="E247" s="155">
        <v>1</v>
      </c>
      <c r="F247" s="189"/>
      <c r="G247" s="189">
        <v>1</v>
      </c>
      <c r="H247" s="189"/>
      <c r="I247" s="189"/>
      <c r="J247" s="189"/>
      <c r="K247" s="189"/>
      <c r="L247" s="189">
        <v>1</v>
      </c>
      <c r="M247" s="189"/>
      <c r="N247" s="189"/>
      <c r="O247" s="189">
        <v>1</v>
      </c>
      <c r="P247" s="189"/>
      <c r="Q247" s="189"/>
      <c r="R247" s="189"/>
      <c r="S247" s="189">
        <v>1</v>
      </c>
      <c r="T247" s="189"/>
      <c r="U247" s="189"/>
      <c r="V247" s="189"/>
      <c r="W247" s="189">
        <v>1</v>
      </c>
      <c r="X247" s="189">
        <v>1</v>
      </c>
      <c r="Y247" s="189">
        <v>1</v>
      </c>
      <c r="Z247" s="189"/>
      <c r="AA247" s="189"/>
      <c r="AB247" s="189"/>
      <c r="AC247" s="189"/>
      <c r="AD247" s="189">
        <v>1</v>
      </c>
      <c r="AE247" s="189"/>
      <c r="AF247" s="189"/>
      <c r="AG247" s="189"/>
      <c r="AH247" s="196">
        <v>10</v>
      </c>
      <c r="AI247" s="368" t="s">
        <v>955</v>
      </c>
      <c r="AJ247" s="192">
        <v>42375</v>
      </c>
      <c r="AK247" s="187"/>
      <c r="AL247" s="187">
        <f t="shared" si="178"/>
        <v>0</v>
      </c>
      <c r="AM247" s="187">
        <f t="shared" si="179"/>
        <v>13</v>
      </c>
      <c r="AN247" s="187">
        <f t="shared" si="180"/>
        <v>8</v>
      </c>
      <c r="AO247" s="187">
        <f t="shared" si="181"/>
        <v>8</v>
      </c>
      <c r="AP247" s="187">
        <f t="shared" si="182"/>
        <v>0</v>
      </c>
      <c r="AQ247" s="187">
        <f t="shared" si="183"/>
        <v>0</v>
      </c>
      <c r="AR247" s="187">
        <f t="shared" si="184"/>
        <v>0</v>
      </c>
      <c r="AS247" s="187">
        <f t="shared" si="185"/>
        <v>19</v>
      </c>
      <c r="AT247" s="187">
        <f t="shared" si="186"/>
        <v>13</v>
      </c>
      <c r="AU247" s="187">
        <f t="shared" si="187"/>
        <v>0</v>
      </c>
      <c r="AV247" s="187">
        <f t="shared" si="188"/>
        <v>0</v>
      </c>
      <c r="AW247" s="187">
        <f t="shared" si="189"/>
        <v>8</v>
      </c>
      <c r="AX247" s="187">
        <f t="shared" si="190"/>
        <v>0</v>
      </c>
      <c r="AY247" s="187">
        <f t="shared" si="191"/>
        <v>0</v>
      </c>
      <c r="AZ247" s="187">
        <f t="shared" si="192"/>
        <v>0</v>
      </c>
      <c r="BA247" s="187">
        <f t="shared" si="193"/>
        <v>16</v>
      </c>
      <c r="BB247" s="187">
        <f t="shared" si="194"/>
        <v>13</v>
      </c>
      <c r="BC247" s="187">
        <f t="shared" si="195"/>
        <v>10</v>
      </c>
      <c r="BD247" s="187">
        <f t="shared" si="196"/>
        <v>0</v>
      </c>
      <c r="BE247" s="187">
        <f t="shared" si="197"/>
        <v>0</v>
      </c>
      <c r="BF247" s="187">
        <f t="shared" si="198"/>
        <v>0</v>
      </c>
      <c r="BG247" s="187">
        <f t="shared" si="199"/>
        <v>8</v>
      </c>
      <c r="BH247" s="187">
        <f t="shared" si="200"/>
        <v>0</v>
      </c>
      <c r="BI247" s="187">
        <f t="shared" si="201"/>
        <v>0</v>
      </c>
      <c r="BJ247" s="273">
        <f t="shared" si="202"/>
        <v>100</v>
      </c>
      <c r="BK247" s="167">
        <f t="shared" si="221"/>
        <v>100</v>
      </c>
      <c r="BL247" s="167"/>
      <c r="BM247" s="644"/>
      <c r="BN247" s="644"/>
      <c r="BO247" s="644"/>
      <c r="BP247" s="644"/>
      <c r="BQ247" s="644"/>
      <c r="BR247" s="644"/>
      <c r="BS247" s="644"/>
      <c r="BT247" s="644"/>
      <c r="BU247" s="644"/>
      <c r="BV247" s="644"/>
      <c r="BW247" s="644"/>
      <c r="BX247" s="644"/>
      <c r="BY247" s="644"/>
      <c r="BZ247" s="644"/>
      <c r="CA247" s="644"/>
      <c r="CB247" s="644"/>
      <c r="CC247" s="644"/>
      <c r="CD247" s="644"/>
      <c r="CE247" s="644"/>
      <c r="CF247" s="644"/>
      <c r="CG247" s="644"/>
      <c r="CH247" s="644"/>
      <c r="CI247" s="644"/>
      <c r="CJ247" s="301" t="s">
        <v>743</v>
      </c>
      <c r="CK247" s="136"/>
      <c r="CL247" s="136"/>
    </row>
    <row r="248" spans="1:90">
      <c r="A248" s="178" t="s">
        <v>413</v>
      </c>
      <c r="B248" s="155"/>
      <c r="C248" s="155"/>
      <c r="D248" s="155">
        <v>1</v>
      </c>
      <c r="E248" s="155">
        <v>1</v>
      </c>
      <c r="F248" s="189"/>
      <c r="G248" s="189">
        <v>1</v>
      </c>
      <c r="H248" s="189"/>
      <c r="I248" s="189"/>
      <c r="J248" s="189"/>
      <c r="K248" s="189"/>
      <c r="L248" s="189">
        <v>1</v>
      </c>
      <c r="M248" s="189"/>
      <c r="N248" s="189"/>
      <c r="O248" s="189">
        <v>1</v>
      </c>
      <c r="P248" s="189"/>
      <c r="Q248" s="189"/>
      <c r="R248" s="189"/>
      <c r="S248" s="189"/>
      <c r="T248" s="189"/>
      <c r="U248" s="189"/>
      <c r="V248" s="189">
        <v>1</v>
      </c>
      <c r="W248" s="189">
        <v>1</v>
      </c>
      <c r="X248" s="189">
        <v>1</v>
      </c>
      <c r="Y248" s="189">
        <v>1</v>
      </c>
      <c r="Z248" s="189"/>
      <c r="AA248" s="189"/>
      <c r="AB248" s="189"/>
      <c r="AC248" s="189"/>
      <c r="AD248" s="366">
        <v>1</v>
      </c>
      <c r="AE248" s="189"/>
      <c r="AF248" s="189"/>
      <c r="AG248" s="189"/>
      <c r="AH248" s="196">
        <v>10</v>
      </c>
      <c r="AI248" s="368" t="s">
        <v>955</v>
      </c>
      <c r="AJ248" s="192">
        <v>42375</v>
      </c>
      <c r="AK248" s="187"/>
      <c r="AL248" s="187">
        <f t="shared" si="178"/>
        <v>0</v>
      </c>
      <c r="AM248" s="187">
        <f t="shared" si="179"/>
        <v>13</v>
      </c>
      <c r="AN248" s="187">
        <f t="shared" si="180"/>
        <v>8</v>
      </c>
      <c r="AO248" s="187">
        <f t="shared" si="181"/>
        <v>8</v>
      </c>
      <c r="AP248" s="187">
        <f t="shared" si="182"/>
        <v>0</v>
      </c>
      <c r="AQ248" s="187">
        <f t="shared" si="183"/>
        <v>0</v>
      </c>
      <c r="AR248" s="187">
        <f t="shared" si="184"/>
        <v>0</v>
      </c>
      <c r="AS248" s="187">
        <f t="shared" si="185"/>
        <v>19</v>
      </c>
      <c r="AT248" s="187">
        <f t="shared" si="186"/>
        <v>13</v>
      </c>
      <c r="AU248" s="187">
        <f t="shared" si="187"/>
        <v>0</v>
      </c>
      <c r="AV248" s="187">
        <f t="shared" si="188"/>
        <v>0</v>
      </c>
      <c r="AW248" s="187">
        <f t="shared" si="189"/>
        <v>0</v>
      </c>
      <c r="AX248" s="187">
        <f t="shared" si="190"/>
        <v>0</v>
      </c>
      <c r="AY248" s="187">
        <f t="shared" si="191"/>
        <v>0</v>
      </c>
      <c r="AZ248" s="187">
        <f t="shared" si="192"/>
        <v>8</v>
      </c>
      <c r="BA248" s="187">
        <f t="shared" si="193"/>
        <v>16</v>
      </c>
      <c r="BB248" s="187">
        <f t="shared" si="194"/>
        <v>13</v>
      </c>
      <c r="BC248" s="187">
        <f t="shared" si="195"/>
        <v>10</v>
      </c>
      <c r="BD248" s="187">
        <f t="shared" si="196"/>
        <v>0</v>
      </c>
      <c r="BE248" s="187">
        <f t="shared" si="197"/>
        <v>0</v>
      </c>
      <c r="BF248" s="187">
        <f t="shared" si="198"/>
        <v>0</v>
      </c>
      <c r="BG248" s="187">
        <f t="shared" si="199"/>
        <v>8</v>
      </c>
      <c r="BH248" s="187">
        <f t="shared" si="200"/>
        <v>0</v>
      </c>
      <c r="BI248" s="187">
        <f t="shared" si="201"/>
        <v>0</v>
      </c>
      <c r="BJ248" s="273">
        <f t="shared" si="202"/>
        <v>100</v>
      </c>
      <c r="BK248" s="167">
        <f t="shared" ref="BK248" si="222">BJ248</f>
        <v>100</v>
      </c>
      <c r="BL248" s="167"/>
      <c r="BM248" s="644"/>
      <c r="BN248" s="644"/>
      <c r="BO248" s="644"/>
      <c r="BP248" s="644"/>
      <c r="BQ248" s="644"/>
      <c r="BR248" s="644"/>
      <c r="BS248" s="644"/>
      <c r="BT248" s="644"/>
      <c r="BU248" s="644"/>
      <c r="BV248" s="644"/>
      <c r="BW248" s="644"/>
      <c r="BX248" s="644"/>
      <c r="BY248" s="644"/>
      <c r="BZ248" s="644"/>
      <c r="CA248" s="644"/>
      <c r="CB248" s="644"/>
      <c r="CC248" s="644"/>
      <c r="CD248" s="644"/>
      <c r="CE248" s="644"/>
      <c r="CF248" s="644"/>
      <c r="CG248" s="644"/>
      <c r="CH248" s="644"/>
      <c r="CI248" s="644"/>
      <c r="CJ248" s="301" t="s">
        <v>758</v>
      </c>
      <c r="CK248" s="136"/>
      <c r="CL248" s="136"/>
    </row>
    <row r="249" spans="1:90" s="344" customFormat="1">
      <c r="A249" s="374" t="s">
        <v>414</v>
      </c>
      <c r="B249" s="189"/>
      <c r="C249" s="189"/>
      <c r="D249" s="189">
        <v>1</v>
      </c>
      <c r="E249" s="189"/>
      <c r="F249" s="189"/>
      <c r="G249" s="189"/>
      <c r="H249" s="189"/>
      <c r="I249" s="189">
        <v>1</v>
      </c>
      <c r="J249" s="189"/>
      <c r="K249" s="189"/>
      <c r="L249" s="189">
        <v>1</v>
      </c>
      <c r="M249" s="189"/>
      <c r="N249" s="189"/>
      <c r="O249" s="189"/>
      <c r="P249" s="189"/>
      <c r="Q249" s="189"/>
      <c r="R249" s="189"/>
      <c r="S249" s="189"/>
      <c r="T249" s="189"/>
      <c r="U249" s="189"/>
      <c r="V249" s="189">
        <v>1</v>
      </c>
      <c r="W249" s="189">
        <v>1</v>
      </c>
      <c r="X249" s="189">
        <v>1</v>
      </c>
      <c r="Y249" s="189">
        <v>1</v>
      </c>
      <c r="Z249" s="189"/>
      <c r="AA249" s="189"/>
      <c r="AB249" s="189"/>
      <c r="AC249" s="189"/>
      <c r="AD249" s="189"/>
      <c r="AE249" s="189"/>
      <c r="AF249" s="189">
        <v>1</v>
      </c>
      <c r="AG249" s="189"/>
      <c r="AH249" s="196">
        <v>8</v>
      </c>
      <c r="AI249" s="368" t="s">
        <v>955</v>
      </c>
      <c r="AJ249" s="192">
        <v>42380</v>
      </c>
      <c r="AK249" s="187"/>
      <c r="AL249" s="187">
        <f t="shared" si="178"/>
        <v>0</v>
      </c>
      <c r="AM249" s="187">
        <f t="shared" si="179"/>
        <v>13</v>
      </c>
      <c r="AN249" s="187">
        <f t="shared" si="180"/>
        <v>0</v>
      </c>
      <c r="AO249" s="187">
        <f t="shared" si="181"/>
        <v>0</v>
      </c>
      <c r="AP249" s="187">
        <f t="shared" si="182"/>
        <v>0</v>
      </c>
      <c r="AQ249" s="187">
        <f t="shared" si="183"/>
        <v>0</v>
      </c>
      <c r="AR249" s="187">
        <f t="shared" si="184"/>
        <v>0</v>
      </c>
      <c r="AS249" s="187">
        <f t="shared" si="185"/>
        <v>19</v>
      </c>
      <c r="AT249" s="187">
        <f t="shared" si="186"/>
        <v>0</v>
      </c>
      <c r="AU249" s="187">
        <f t="shared" si="187"/>
        <v>0</v>
      </c>
      <c r="AV249" s="187">
        <f t="shared" si="188"/>
        <v>0</v>
      </c>
      <c r="AW249" s="187">
        <f t="shared" si="189"/>
        <v>0</v>
      </c>
      <c r="AX249" s="187">
        <f t="shared" si="190"/>
        <v>0</v>
      </c>
      <c r="AY249" s="187">
        <f t="shared" si="191"/>
        <v>0</v>
      </c>
      <c r="AZ249" s="187">
        <f t="shared" si="192"/>
        <v>8</v>
      </c>
      <c r="BA249" s="187">
        <f t="shared" si="193"/>
        <v>16</v>
      </c>
      <c r="BB249" s="187">
        <f t="shared" si="194"/>
        <v>13</v>
      </c>
      <c r="BC249" s="187">
        <f t="shared" si="195"/>
        <v>10</v>
      </c>
      <c r="BD249" s="187">
        <f t="shared" si="196"/>
        <v>0</v>
      </c>
      <c r="BE249" s="187">
        <f t="shared" si="197"/>
        <v>0</v>
      </c>
      <c r="BF249" s="187">
        <f t="shared" si="198"/>
        <v>0</v>
      </c>
      <c r="BG249" s="187">
        <f t="shared" si="199"/>
        <v>0</v>
      </c>
      <c r="BH249" s="187">
        <f t="shared" si="200"/>
        <v>0</v>
      </c>
      <c r="BI249" s="187">
        <f t="shared" si="201"/>
        <v>3</v>
      </c>
      <c r="BJ249" s="273">
        <f t="shared" si="202"/>
        <v>82</v>
      </c>
      <c r="BK249" s="167">
        <f t="shared" ref="BK249" si="223">BJ249</f>
        <v>82</v>
      </c>
      <c r="BL249" s="167"/>
      <c r="BM249" s="644"/>
      <c r="BN249" s="644"/>
      <c r="BO249" s="644"/>
      <c r="BP249" s="644"/>
      <c r="BQ249" s="644"/>
      <c r="BR249" s="644"/>
      <c r="BS249" s="644"/>
      <c r="BT249" s="644"/>
      <c r="BU249" s="644"/>
      <c r="BV249" s="644"/>
      <c r="BW249" s="644"/>
      <c r="BX249" s="644"/>
      <c r="BY249" s="644"/>
      <c r="BZ249" s="644"/>
      <c r="CA249" s="644"/>
      <c r="CB249" s="644"/>
      <c r="CC249" s="644"/>
      <c r="CD249" s="644"/>
      <c r="CE249" s="644"/>
      <c r="CF249" s="644"/>
      <c r="CG249" s="644"/>
      <c r="CH249" s="644"/>
      <c r="CI249" s="644"/>
      <c r="CJ249" s="301" t="s">
        <v>743</v>
      </c>
      <c r="CK249" s="343"/>
      <c r="CL249" s="343"/>
    </row>
    <row r="250" spans="1:90">
      <c r="A250" s="178" t="s">
        <v>964</v>
      </c>
      <c r="B250" s="155"/>
      <c r="C250" s="155"/>
      <c r="D250" s="155"/>
      <c r="E250" s="155">
        <v>1</v>
      </c>
      <c r="F250" s="189"/>
      <c r="G250" s="189">
        <v>1</v>
      </c>
      <c r="H250" s="189"/>
      <c r="I250" s="189"/>
      <c r="J250" s="189"/>
      <c r="K250" s="189"/>
      <c r="L250" s="189">
        <v>1</v>
      </c>
      <c r="M250" s="189"/>
      <c r="N250" s="189"/>
      <c r="O250" s="189">
        <v>1</v>
      </c>
      <c r="P250" s="189"/>
      <c r="Q250" s="189"/>
      <c r="R250" s="189"/>
      <c r="S250" s="189"/>
      <c r="T250" s="189"/>
      <c r="U250" s="366">
        <v>1</v>
      </c>
      <c r="V250" s="189"/>
      <c r="W250" s="189">
        <v>1</v>
      </c>
      <c r="X250" s="366">
        <v>1</v>
      </c>
      <c r="Y250" s="189"/>
      <c r="Z250" s="189"/>
      <c r="AA250" s="189">
        <v>1</v>
      </c>
      <c r="AB250" s="189"/>
      <c r="AC250" s="189"/>
      <c r="AD250" s="189">
        <v>1</v>
      </c>
      <c r="AE250" s="189"/>
      <c r="AF250" s="189">
        <v>1</v>
      </c>
      <c r="AG250" s="189"/>
      <c r="AH250" s="196">
        <v>10</v>
      </c>
      <c r="AI250" s="191" t="s">
        <v>965</v>
      </c>
      <c r="AJ250" s="192">
        <v>42376</v>
      </c>
      <c r="AK250" s="187"/>
      <c r="AL250" s="187">
        <f t="shared" si="178"/>
        <v>0</v>
      </c>
      <c r="AM250" s="187">
        <f t="shared" si="179"/>
        <v>0</v>
      </c>
      <c r="AN250" s="187">
        <f t="shared" si="180"/>
        <v>8</v>
      </c>
      <c r="AO250" s="187">
        <f t="shared" si="181"/>
        <v>8</v>
      </c>
      <c r="AP250" s="187">
        <f t="shared" si="182"/>
        <v>0</v>
      </c>
      <c r="AQ250" s="187">
        <f t="shared" si="183"/>
        <v>0</v>
      </c>
      <c r="AR250" s="187">
        <f t="shared" si="184"/>
        <v>0</v>
      </c>
      <c r="AS250" s="187">
        <f t="shared" si="185"/>
        <v>19</v>
      </c>
      <c r="AT250" s="187">
        <f t="shared" si="186"/>
        <v>13</v>
      </c>
      <c r="AU250" s="187">
        <f t="shared" si="187"/>
        <v>0</v>
      </c>
      <c r="AV250" s="187">
        <f t="shared" si="188"/>
        <v>0</v>
      </c>
      <c r="AW250" s="187">
        <f t="shared" si="189"/>
        <v>0</v>
      </c>
      <c r="AX250" s="187">
        <f t="shared" si="190"/>
        <v>0</v>
      </c>
      <c r="AY250" s="187">
        <f t="shared" si="191"/>
        <v>2</v>
      </c>
      <c r="AZ250" s="187">
        <f t="shared" si="192"/>
        <v>0</v>
      </c>
      <c r="BA250" s="187">
        <f t="shared" si="193"/>
        <v>16</v>
      </c>
      <c r="BB250" s="187">
        <f t="shared" si="194"/>
        <v>13</v>
      </c>
      <c r="BC250" s="187">
        <f t="shared" si="195"/>
        <v>0</v>
      </c>
      <c r="BD250" s="187">
        <f t="shared" si="196"/>
        <v>0</v>
      </c>
      <c r="BE250" s="187">
        <f t="shared" si="197"/>
        <v>6</v>
      </c>
      <c r="BF250" s="187">
        <f t="shared" si="198"/>
        <v>0</v>
      </c>
      <c r="BG250" s="187">
        <f t="shared" si="199"/>
        <v>8</v>
      </c>
      <c r="BH250" s="187">
        <f t="shared" si="200"/>
        <v>0</v>
      </c>
      <c r="BI250" s="187">
        <f t="shared" si="201"/>
        <v>3</v>
      </c>
      <c r="BJ250" s="273">
        <f t="shared" si="202"/>
        <v>91</v>
      </c>
      <c r="BK250" s="167">
        <f t="shared" ref="BK250" si="224">BJ250</f>
        <v>91</v>
      </c>
      <c r="BL250" s="167"/>
      <c r="BM250" s="644"/>
      <c r="BN250" s="644"/>
      <c r="BO250" s="644"/>
      <c r="BP250" s="644"/>
      <c r="BQ250" s="644"/>
      <c r="BR250" s="644"/>
      <c r="BS250" s="644"/>
      <c r="BT250" s="644"/>
      <c r="BU250" s="644"/>
      <c r="BV250" s="644"/>
      <c r="BW250" s="644"/>
      <c r="BX250" s="644"/>
      <c r="BY250" s="644"/>
      <c r="BZ250" s="644"/>
      <c r="CA250" s="644"/>
      <c r="CB250" s="644"/>
      <c r="CC250" s="644"/>
      <c r="CD250" s="644"/>
      <c r="CE250" s="644"/>
      <c r="CF250" s="644"/>
      <c r="CG250" s="644"/>
      <c r="CH250" s="644"/>
      <c r="CI250" s="644"/>
      <c r="CJ250" s="301" t="s">
        <v>841</v>
      </c>
      <c r="CK250" s="136"/>
      <c r="CL250" s="136"/>
    </row>
    <row r="251" spans="1:90">
      <c r="A251" s="178" t="s">
        <v>966</v>
      </c>
      <c r="B251" s="155"/>
      <c r="C251" s="155"/>
      <c r="D251" s="155"/>
      <c r="E251" s="155"/>
      <c r="F251" s="189"/>
      <c r="G251" s="189"/>
      <c r="H251" s="189"/>
      <c r="I251" s="189"/>
      <c r="J251" s="189"/>
      <c r="K251" s="189"/>
      <c r="L251" s="189">
        <v>1</v>
      </c>
      <c r="M251" s="189"/>
      <c r="N251" s="189"/>
      <c r="O251" s="189"/>
      <c r="P251" s="189"/>
      <c r="Q251" s="189"/>
      <c r="R251" s="189"/>
      <c r="S251" s="189"/>
      <c r="T251" s="189">
        <v>1</v>
      </c>
      <c r="U251" s="189"/>
      <c r="V251" s="189">
        <v>1</v>
      </c>
      <c r="W251" s="189">
        <v>1</v>
      </c>
      <c r="X251" s="189">
        <v>1</v>
      </c>
      <c r="Y251" s="189">
        <v>1</v>
      </c>
      <c r="Z251" s="189">
        <v>1</v>
      </c>
      <c r="AA251" s="189">
        <v>1</v>
      </c>
      <c r="AB251" s="189"/>
      <c r="AC251" s="189"/>
      <c r="AD251" s="189">
        <v>1</v>
      </c>
      <c r="AE251" s="189"/>
      <c r="AF251" s="189">
        <v>1</v>
      </c>
      <c r="AG251" s="189"/>
      <c r="AH251" s="196">
        <v>10</v>
      </c>
      <c r="AI251" s="191" t="s">
        <v>967</v>
      </c>
      <c r="AJ251" s="192">
        <v>42376</v>
      </c>
      <c r="AK251" s="187"/>
      <c r="AL251" s="187">
        <f t="shared" si="178"/>
        <v>0</v>
      </c>
      <c r="AM251" s="187">
        <f t="shared" si="179"/>
        <v>0</v>
      </c>
      <c r="AN251" s="187">
        <f t="shared" si="180"/>
        <v>0</v>
      </c>
      <c r="AO251" s="187">
        <f t="shared" si="181"/>
        <v>0</v>
      </c>
      <c r="AP251" s="187">
        <f t="shared" si="182"/>
        <v>0</v>
      </c>
      <c r="AQ251" s="187">
        <f t="shared" si="183"/>
        <v>0</v>
      </c>
      <c r="AR251" s="187">
        <f t="shared" si="184"/>
        <v>0</v>
      </c>
      <c r="AS251" s="187">
        <f t="shared" si="185"/>
        <v>19</v>
      </c>
      <c r="AT251" s="187">
        <f t="shared" si="186"/>
        <v>0</v>
      </c>
      <c r="AU251" s="187">
        <f t="shared" si="187"/>
        <v>0</v>
      </c>
      <c r="AV251" s="187">
        <f t="shared" si="188"/>
        <v>0</v>
      </c>
      <c r="AW251" s="187">
        <f t="shared" si="189"/>
        <v>0</v>
      </c>
      <c r="AX251" s="187">
        <f t="shared" si="190"/>
        <v>4</v>
      </c>
      <c r="AY251" s="187">
        <f t="shared" si="191"/>
        <v>0</v>
      </c>
      <c r="AZ251" s="187">
        <f t="shared" si="192"/>
        <v>8</v>
      </c>
      <c r="BA251" s="187">
        <f t="shared" si="193"/>
        <v>16</v>
      </c>
      <c r="BB251" s="187">
        <f t="shared" si="194"/>
        <v>13</v>
      </c>
      <c r="BC251" s="187">
        <f t="shared" si="195"/>
        <v>10</v>
      </c>
      <c r="BD251" s="187">
        <f t="shared" si="196"/>
        <v>2</v>
      </c>
      <c r="BE251" s="187">
        <f t="shared" si="197"/>
        <v>6</v>
      </c>
      <c r="BF251" s="187">
        <f t="shared" si="198"/>
        <v>0</v>
      </c>
      <c r="BG251" s="187">
        <f t="shared" si="199"/>
        <v>8</v>
      </c>
      <c r="BH251" s="187">
        <f t="shared" si="200"/>
        <v>0</v>
      </c>
      <c r="BI251" s="187">
        <f t="shared" si="201"/>
        <v>3</v>
      </c>
      <c r="BJ251" s="273">
        <f t="shared" si="202"/>
        <v>84</v>
      </c>
      <c r="BK251" s="167">
        <f t="shared" ref="BK251" si="225">BJ251</f>
        <v>84</v>
      </c>
      <c r="BL251" s="167"/>
      <c r="BM251" s="644"/>
      <c r="BN251" s="644"/>
      <c r="BO251" s="644"/>
      <c r="BP251" s="644"/>
      <c r="BQ251" s="644"/>
      <c r="BR251" s="644"/>
      <c r="BS251" s="644"/>
      <c r="BT251" s="644"/>
      <c r="BU251" s="644"/>
      <c r="BV251" s="644"/>
      <c r="BW251" s="644"/>
      <c r="BX251" s="644"/>
      <c r="BY251" s="644"/>
      <c r="BZ251" s="644"/>
      <c r="CA251" s="644"/>
      <c r="CB251" s="644"/>
      <c r="CC251" s="644"/>
      <c r="CD251" s="644"/>
      <c r="CE251" s="644"/>
      <c r="CF251" s="644"/>
      <c r="CG251" s="644"/>
      <c r="CH251" s="644"/>
      <c r="CI251" s="644"/>
      <c r="CJ251" s="301" t="s">
        <v>764</v>
      </c>
      <c r="CK251" s="136"/>
      <c r="CL251" s="136"/>
    </row>
    <row r="252" spans="1:90">
      <c r="A252" s="178" t="s">
        <v>156</v>
      </c>
      <c r="B252" s="155"/>
      <c r="C252" s="155"/>
      <c r="D252" s="155">
        <v>1</v>
      </c>
      <c r="E252" s="155">
        <v>1</v>
      </c>
      <c r="F252" s="189"/>
      <c r="G252" s="189">
        <v>1</v>
      </c>
      <c r="H252" s="189"/>
      <c r="I252" s="189"/>
      <c r="J252" s="189"/>
      <c r="K252" s="189"/>
      <c r="L252" s="189">
        <v>1</v>
      </c>
      <c r="M252" s="189"/>
      <c r="N252" s="189"/>
      <c r="O252" s="189">
        <v>1</v>
      </c>
      <c r="P252" s="189"/>
      <c r="Q252" s="189"/>
      <c r="R252" s="189"/>
      <c r="S252" s="189">
        <v>1</v>
      </c>
      <c r="T252" s="189"/>
      <c r="U252" s="189"/>
      <c r="V252" s="366">
        <v>1</v>
      </c>
      <c r="W252" s="189">
        <v>1</v>
      </c>
      <c r="X252" s="366">
        <v>1</v>
      </c>
      <c r="Y252" s="189"/>
      <c r="Z252" s="367"/>
      <c r="AA252" s="189"/>
      <c r="AB252" s="366">
        <v>1</v>
      </c>
      <c r="AC252" s="189"/>
      <c r="AD252" s="189"/>
      <c r="AE252" s="189"/>
      <c r="AF252" s="189"/>
      <c r="AG252" s="189"/>
      <c r="AH252" s="196">
        <v>10</v>
      </c>
      <c r="AI252" s="191" t="s">
        <v>968</v>
      </c>
      <c r="AJ252" s="192">
        <v>42375</v>
      </c>
      <c r="AK252" s="187"/>
      <c r="AL252" s="187">
        <f t="shared" si="178"/>
        <v>0</v>
      </c>
      <c r="AM252" s="187">
        <f t="shared" si="179"/>
        <v>13</v>
      </c>
      <c r="AN252" s="187">
        <f t="shared" si="180"/>
        <v>8</v>
      </c>
      <c r="AO252" s="187">
        <f t="shared" si="181"/>
        <v>8</v>
      </c>
      <c r="AP252" s="187">
        <f t="shared" si="182"/>
        <v>0</v>
      </c>
      <c r="AQ252" s="187">
        <f t="shared" si="183"/>
        <v>0</v>
      </c>
      <c r="AR252" s="187">
        <f t="shared" si="184"/>
        <v>0</v>
      </c>
      <c r="AS252" s="187">
        <f t="shared" si="185"/>
        <v>19</v>
      </c>
      <c r="AT252" s="187">
        <f t="shared" si="186"/>
        <v>13</v>
      </c>
      <c r="AU252" s="187">
        <f t="shared" si="187"/>
        <v>0</v>
      </c>
      <c r="AV252" s="187">
        <f t="shared" si="188"/>
        <v>0</v>
      </c>
      <c r="AW252" s="187">
        <f t="shared" si="189"/>
        <v>8</v>
      </c>
      <c r="AX252" s="187">
        <f t="shared" si="190"/>
        <v>0</v>
      </c>
      <c r="AY252" s="187">
        <f t="shared" si="191"/>
        <v>0</v>
      </c>
      <c r="AZ252" s="187">
        <f t="shared" si="192"/>
        <v>8</v>
      </c>
      <c r="BA252" s="187">
        <f t="shared" si="193"/>
        <v>16</v>
      </c>
      <c r="BB252" s="187">
        <f t="shared" si="194"/>
        <v>13</v>
      </c>
      <c r="BC252" s="187">
        <f t="shared" si="195"/>
        <v>0</v>
      </c>
      <c r="BD252" s="187">
        <f t="shared" si="196"/>
        <v>0</v>
      </c>
      <c r="BE252" s="187">
        <f t="shared" si="197"/>
        <v>0</v>
      </c>
      <c r="BF252" s="187">
        <f t="shared" si="198"/>
        <v>1</v>
      </c>
      <c r="BG252" s="187">
        <f t="shared" si="199"/>
        <v>0</v>
      </c>
      <c r="BH252" s="187">
        <f t="shared" si="200"/>
        <v>0</v>
      </c>
      <c r="BI252" s="187">
        <f t="shared" si="201"/>
        <v>0</v>
      </c>
      <c r="BJ252" s="273">
        <f t="shared" si="202"/>
        <v>98</v>
      </c>
      <c r="BK252" s="167">
        <f t="shared" ref="BK252" si="226">BJ252</f>
        <v>98</v>
      </c>
      <c r="BL252" s="167"/>
      <c r="BM252" s="644"/>
      <c r="BN252" s="644"/>
      <c r="BO252" s="644"/>
      <c r="BP252" s="644"/>
      <c r="BQ252" s="644"/>
      <c r="BR252" s="644"/>
      <c r="BS252" s="644"/>
      <c r="BT252" s="644"/>
      <c r="BU252" s="644"/>
      <c r="BV252" s="644"/>
      <c r="BW252" s="644"/>
      <c r="BX252" s="644"/>
      <c r="BY252" s="644"/>
      <c r="BZ252" s="644"/>
      <c r="CA252" s="644"/>
      <c r="CB252" s="644"/>
      <c r="CC252" s="644"/>
      <c r="CD252" s="644"/>
      <c r="CE252" s="644"/>
      <c r="CF252" s="644"/>
      <c r="CG252" s="644"/>
      <c r="CH252" s="644"/>
      <c r="CI252" s="644"/>
      <c r="CJ252" s="301" t="s">
        <v>805</v>
      </c>
      <c r="CK252" s="136"/>
      <c r="CL252" s="136"/>
    </row>
    <row r="253" spans="1:90" s="344" customFormat="1">
      <c r="A253" s="374" t="s">
        <v>162</v>
      </c>
      <c r="B253" s="189"/>
      <c r="C253" s="189"/>
      <c r="D253" s="189">
        <v>1</v>
      </c>
      <c r="E253" s="189">
        <v>1</v>
      </c>
      <c r="F253" s="189"/>
      <c r="G253" s="189">
        <v>1</v>
      </c>
      <c r="H253" s="189"/>
      <c r="I253" s="189"/>
      <c r="J253" s="367"/>
      <c r="K253" s="189"/>
      <c r="L253" s="189">
        <v>1</v>
      </c>
      <c r="M253" s="189"/>
      <c r="N253" s="189"/>
      <c r="O253" s="189">
        <v>1</v>
      </c>
      <c r="P253" s="189"/>
      <c r="Q253" s="189"/>
      <c r="R253" s="189"/>
      <c r="S253" s="189"/>
      <c r="T253" s="189"/>
      <c r="U253" s="189"/>
      <c r="V253" s="367"/>
      <c r="W253" s="366">
        <v>1</v>
      </c>
      <c r="X253" s="189"/>
      <c r="Y253" s="366">
        <v>1</v>
      </c>
      <c r="Z253" s="189">
        <v>1</v>
      </c>
      <c r="AA253" s="189"/>
      <c r="AB253" s="189"/>
      <c r="AC253" s="189"/>
      <c r="AD253" s="189"/>
      <c r="AE253" s="189"/>
      <c r="AF253" s="189"/>
      <c r="AG253" s="189"/>
      <c r="AH253" s="196">
        <v>8</v>
      </c>
      <c r="AI253" s="372" t="s">
        <v>969</v>
      </c>
      <c r="AJ253" s="370">
        <v>42376</v>
      </c>
      <c r="AK253" s="187"/>
      <c r="AL253" s="187">
        <f t="shared" si="178"/>
        <v>0</v>
      </c>
      <c r="AM253" s="187">
        <f t="shared" si="179"/>
        <v>13</v>
      </c>
      <c r="AN253" s="187">
        <f t="shared" si="180"/>
        <v>8</v>
      </c>
      <c r="AO253" s="187">
        <f t="shared" si="181"/>
        <v>8</v>
      </c>
      <c r="AP253" s="187">
        <f t="shared" si="182"/>
        <v>0</v>
      </c>
      <c r="AQ253" s="187">
        <f t="shared" si="183"/>
        <v>0</v>
      </c>
      <c r="AR253" s="187">
        <f t="shared" si="184"/>
        <v>0</v>
      </c>
      <c r="AS253" s="187">
        <f t="shared" si="185"/>
        <v>19</v>
      </c>
      <c r="AT253" s="187">
        <f t="shared" si="186"/>
        <v>13</v>
      </c>
      <c r="AU253" s="187">
        <f t="shared" si="187"/>
        <v>0</v>
      </c>
      <c r="AV253" s="187">
        <f t="shared" si="188"/>
        <v>0</v>
      </c>
      <c r="AW253" s="187">
        <f t="shared" si="189"/>
        <v>0</v>
      </c>
      <c r="AX253" s="187">
        <f t="shared" si="190"/>
        <v>0</v>
      </c>
      <c r="AY253" s="187">
        <f t="shared" si="191"/>
        <v>0</v>
      </c>
      <c r="AZ253" s="187">
        <f t="shared" si="192"/>
        <v>0</v>
      </c>
      <c r="BA253" s="187">
        <f t="shared" si="193"/>
        <v>16</v>
      </c>
      <c r="BB253" s="187">
        <f t="shared" si="194"/>
        <v>0</v>
      </c>
      <c r="BC253" s="187">
        <f t="shared" si="195"/>
        <v>10</v>
      </c>
      <c r="BD253" s="187">
        <f t="shared" si="196"/>
        <v>2</v>
      </c>
      <c r="BE253" s="187">
        <f t="shared" si="197"/>
        <v>0</v>
      </c>
      <c r="BF253" s="187">
        <f t="shared" si="198"/>
        <v>0</v>
      </c>
      <c r="BG253" s="187">
        <f t="shared" si="199"/>
        <v>0</v>
      </c>
      <c r="BH253" s="187">
        <f t="shared" si="200"/>
        <v>0</v>
      </c>
      <c r="BI253" s="187">
        <f t="shared" si="201"/>
        <v>0</v>
      </c>
      <c r="BJ253" s="273">
        <f t="shared" si="202"/>
        <v>89</v>
      </c>
      <c r="BK253" s="167">
        <f t="shared" ref="BK253" si="227">BJ253</f>
        <v>89</v>
      </c>
      <c r="BL253" s="167"/>
      <c r="BM253" s="644"/>
      <c r="BN253" s="644"/>
      <c r="BO253" s="644"/>
      <c r="BP253" s="644"/>
      <c r="BQ253" s="644"/>
      <c r="BR253" s="644"/>
      <c r="BS253" s="644"/>
      <c r="BT253" s="644"/>
      <c r="BU253" s="644"/>
      <c r="BV253" s="644"/>
      <c r="BW253" s="644"/>
      <c r="BX253" s="644"/>
      <c r="BY253" s="644"/>
      <c r="BZ253" s="644"/>
      <c r="CA253" s="644"/>
      <c r="CB253" s="644"/>
      <c r="CC253" s="644"/>
      <c r="CD253" s="644"/>
      <c r="CE253" s="644"/>
      <c r="CF253" s="644"/>
      <c r="CG253" s="644"/>
      <c r="CH253" s="644"/>
      <c r="CI253" s="644"/>
      <c r="CJ253" s="301" t="s">
        <v>805</v>
      </c>
      <c r="CK253" s="343"/>
      <c r="CL253" s="343"/>
    </row>
    <row r="254" spans="1:90">
      <c r="A254" s="178" t="s">
        <v>417</v>
      </c>
      <c r="B254" s="155"/>
      <c r="C254" s="155"/>
      <c r="D254" s="367"/>
      <c r="E254" s="155"/>
      <c r="F254" s="189"/>
      <c r="G254" s="189"/>
      <c r="H254" s="189"/>
      <c r="I254" s="189"/>
      <c r="J254" s="189"/>
      <c r="K254" s="189"/>
      <c r="L254" s="189">
        <v>1</v>
      </c>
      <c r="M254" s="189"/>
      <c r="N254" s="189"/>
      <c r="O254" s="189">
        <v>1</v>
      </c>
      <c r="P254" s="189"/>
      <c r="Q254" s="189"/>
      <c r="R254" s="189"/>
      <c r="S254" s="366">
        <v>1</v>
      </c>
      <c r="T254" s="366">
        <v>1</v>
      </c>
      <c r="U254" s="189"/>
      <c r="V254" s="189">
        <v>1</v>
      </c>
      <c r="W254" s="367"/>
      <c r="X254" s="189">
        <v>1</v>
      </c>
      <c r="Y254" s="189">
        <v>1</v>
      </c>
      <c r="Z254" s="189"/>
      <c r="AA254" s="189">
        <v>1</v>
      </c>
      <c r="AB254" s="189"/>
      <c r="AC254" s="189"/>
      <c r="AD254" s="366">
        <v>1</v>
      </c>
      <c r="AE254" s="189">
        <v>1</v>
      </c>
      <c r="AF254" s="189"/>
      <c r="AG254" s="189"/>
      <c r="AH254" s="196">
        <v>10</v>
      </c>
      <c r="AI254" s="368" t="s">
        <v>955</v>
      </c>
      <c r="AJ254" s="192">
        <v>42375</v>
      </c>
      <c r="AK254" s="187"/>
      <c r="AL254" s="187">
        <f t="shared" si="178"/>
        <v>0</v>
      </c>
      <c r="AM254" s="187">
        <f t="shared" si="179"/>
        <v>0</v>
      </c>
      <c r="AN254" s="187">
        <f t="shared" si="180"/>
        <v>0</v>
      </c>
      <c r="AO254" s="187">
        <f t="shared" si="181"/>
        <v>0</v>
      </c>
      <c r="AP254" s="187">
        <f t="shared" si="182"/>
        <v>0</v>
      </c>
      <c r="AQ254" s="187">
        <f t="shared" si="183"/>
        <v>0</v>
      </c>
      <c r="AR254" s="187">
        <f t="shared" si="184"/>
        <v>0</v>
      </c>
      <c r="AS254" s="187">
        <f t="shared" si="185"/>
        <v>19</v>
      </c>
      <c r="AT254" s="187">
        <f t="shared" si="186"/>
        <v>13</v>
      </c>
      <c r="AU254" s="187">
        <f t="shared" si="187"/>
        <v>0</v>
      </c>
      <c r="AV254" s="187">
        <f t="shared" si="188"/>
        <v>0</v>
      </c>
      <c r="AW254" s="187">
        <f t="shared" si="189"/>
        <v>8</v>
      </c>
      <c r="AX254" s="187">
        <f t="shared" si="190"/>
        <v>4</v>
      </c>
      <c r="AY254" s="187">
        <f t="shared" si="191"/>
        <v>0</v>
      </c>
      <c r="AZ254" s="187">
        <f t="shared" si="192"/>
        <v>8</v>
      </c>
      <c r="BA254" s="187">
        <f t="shared" si="193"/>
        <v>0</v>
      </c>
      <c r="BB254" s="187">
        <f t="shared" si="194"/>
        <v>13</v>
      </c>
      <c r="BC254" s="187">
        <f t="shared" si="195"/>
        <v>10</v>
      </c>
      <c r="BD254" s="187">
        <f t="shared" si="196"/>
        <v>0</v>
      </c>
      <c r="BE254" s="187">
        <f t="shared" si="197"/>
        <v>6</v>
      </c>
      <c r="BF254" s="187">
        <f t="shared" si="198"/>
        <v>0</v>
      </c>
      <c r="BG254" s="187">
        <f t="shared" si="199"/>
        <v>8</v>
      </c>
      <c r="BH254" s="187">
        <f t="shared" si="200"/>
        <v>2</v>
      </c>
      <c r="BI254" s="187">
        <f t="shared" si="201"/>
        <v>0</v>
      </c>
      <c r="BJ254" s="273">
        <f t="shared" si="202"/>
        <v>85</v>
      </c>
      <c r="BK254" s="167">
        <f t="shared" si="212"/>
        <v>85</v>
      </c>
      <c r="BL254" s="167"/>
      <c r="BM254" s="644"/>
      <c r="BN254" s="644"/>
      <c r="BO254" s="644"/>
      <c r="BP254" s="644"/>
      <c r="BQ254" s="644"/>
      <c r="BR254" s="644"/>
      <c r="BS254" s="644"/>
      <c r="BT254" s="644"/>
      <c r="BU254" s="644"/>
      <c r="BV254" s="644"/>
      <c r="BW254" s="644"/>
      <c r="BX254" s="644"/>
      <c r="BY254" s="644"/>
      <c r="BZ254" s="644"/>
      <c r="CA254" s="644"/>
      <c r="CB254" s="644"/>
      <c r="CC254" s="644"/>
      <c r="CD254" s="644"/>
      <c r="CE254" s="644"/>
      <c r="CF254" s="644"/>
      <c r="CG254" s="644"/>
      <c r="CH254" s="644"/>
      <c r="CI254" s="644"/>
      <c r="CJ254" s="301" t="s">
        <v>743</v>
      </c>
      <c r="CK254" s="136"/>
      <c r="CL254" s="136"/>
    </row>
    <row r="255" spans="1:90" ht="12.75" customHeight="1">
      <c r="A255" s="375" t="s">
        <v>662</v>
      </c>
      <c r="B255" s="155"/>
      <c r="C255" s="155"/>
      <c r="D255" s="155"/>
      <c r="E255" s="155"/>
      <c r="F255" s="189"/>
      <c r="G255" s="189"/>
      <c r="H255" s="189"/>
      <c r="I255" s="189"/>
      <c r="J255" s="189"/>
      <c r="K255" s="189"/>
      <c r="L255" s="189">
        <v>1</v>
      </c>
      <c r="M255" s="189"/>
      <c r="N255" s="189"/>
      <c r="O255" s="189">
        <v>1</v>
      </c>
      <c r="P255" s="189"/>
      <c r="Q255" s="189"/>
      <c r="R255" s="189"/>
      <c r="S255" s="189"/>
      <c r="T255" s="189"/>
      <c r="U255" s="189"/>
      <c r="V255" s="189">
        <v>1</v>
      </c>
      <c r="W255" s="189"/>
      <c r="X255" s="189">
        <v>1</v>
      </c>
      <c r="Y255" s="189"/>
      <c r="Z255" s="189"/>
      <c r="AA255" s="189"/>
      <c r="AB255" s="189"/>
      <c r="AC255" s="189"/>
      <c r="AD255" s="189"/>
      <c r="AE255" s="189"/>
      <c r="AF255" s="189"/>
      <c r="AG255" s="189"/>
      <c r="AH255" s="196">
        <v>4</v>
      </c>
      <c r="AI255" s="368" t="s">
        <v>955</v>
      </c>
      <c r="AJ255" s="192">
        <v>42375</v>
      </c>
      <c r="AK255" s="187"/>
      <c r="AL255" s="187">
        <f t="shared" si="178"/>
        <v>0</v>
      </c>
      <c r="AM255" s="187">
        <f t="shared" si="179"/>
        <v>0</v>
      </c>
      <c r="AN255" s="187">
        <f t="shared" si="180"/>
        <v>0</v>
      </c>
      <c r="AO255" s="187">
        <f t="shared" si="181"/>
        <v>0</v>
      </c>
      <c r="AP255" s="187">
        <f t="shared" si="182"/>
        <v>0</v>
      </c>
      <c r="AQ255" s="187">
        <f t="shared" si="183"/>
        <v>0</v>
      </c>
      <c r="AR255" s="187">
        <f t="shared" si="184"/>
        <v>0</v>
      </c>
      <c r="AS255" s="187">
        <f t="shared" si="185"/>
        <v>19</v>
      </c>
      <c r="AT255" s="187">
        <f t="shared" si="186"/>
        <v>13</v>
      </c>
      <c r="AU255" s="187">
        <f t="shared" si="187"/>
        <v>0</v>
      </c>
      <c r="AV255" s="187">
        <f t="shared" si="188"/>
        <v>0</v>
      </c>
      <c r="AW255" s="187">
        <f t="shared" si="189"/>
        <v>0</v>
      </c>
      <c r="AX255" s="187">
        <f t="shared" si="190"/>
        <v>0</v>
      </c>
      <c r="AY255" s="187">
        <f t="shared" si="191"/>
        <v>0</v>
      </c>
      <c r="AZ255" s="187">
        <f t="shared" si="192"/>
        <v>8</v>
      </c>
      <c r="BA255" s="187">
        <f t="shared" si="193"/>
        <v>0</v>
      </c>
      <c r="BB255" s="187">
        <f t="shared" si="194"/>
        <v>13</v>
      </c>
      <c r="BC255" s="187">
        <f t="shared" si="195"/>
        <v>0</v>
      </c>
      <c r="BD255" s="187">
        <f t="shared" si="196"/>
        <v>0</v>
      </c>
      <c r="BE255" s="187">
        <f t="shared" si="197"/>
        <v>0</v>
      </c>
      <c r="BF255" s="187">
        <f t="shared" si="198"/>
        <v>0</v>
      </c>
      <c r="BG255" s="187">
        <f t="shared" si="199"/>
        <v>0</v>
      </c>
      <c r="BH255" s="187">
        <f t="shared" si="200"/>
        <v>0</v>
      </c>
      <c r="BI255" s="187">
        <f t="shared" si="201"/>
        <v>0</v>
      </c>
      <c r="BJ255" s="273">
        <f t="shared" si="202"/>
        <v>53</v>
      </c>
      <c r="BK255" s="167">
        <f t="shared" si="212"/>
        <v>53</v>
      </c>
      <c r="BL255" s="167"/>
      <c r="BM255" s="644"/>
      <c r="BN255" s="644"/>
      <c r="BO255" s="644"/>
      <c r="BP255" s="644"/>
      <c r="BQ255" s="644"/>
      <c r="BR255" s="644"/>
      <c r="BS255" s="644"/>
      <c r="BT255" s="644"/>
      <c r="BU255" s="644"/>
      <c r="BV255" s="644"/>
      <c r="BW255" s="644"/>
      <c r="BX255" s="644"/>
      <c r="BY255" s="644"/>
      <c r="BZ255" s="644"/>
      <c r="CA255" s="644"/>
      <c r="CB255" s="644"/>
      <c r="CC255" s="644"/>
      <c r="CD255" s="644"/>
      <c r="CE255" s="644"/>
      <c r="CF255" s="644"/>
      <c r="CG255" s="644"/>
      <c r="CH255" s="644"/>
      <c r="CI255" s="644"/>
      <c r="CJ255" s="301" t="s">
        <v>768</v>
      </c>
      <c r="CK255" s="136"/>
      <c r="CL255" s="136"/>
    </row>
    <row r="256" spans="1:90" s="344" customFormat="1">
      <c r="A256" s="374" t="s">
        <v>663</v>
      </c>
      <c r="B256" s="189"/>
      <c r="C256" s="189"/>
      <c r="D256" s="366">
        <v>1</v>
      </c>
      <c r="E256" s="189">
        <v>1</v>
      </c>
      <c r="F256" s="189"/>
      <c r="G256" s="189">
        <v>1</v>
      </c>
      <c r="H256" s="189"/>
      <c r="I256" s="189"/>
      <c r="J256" s="189"/>
      <c r="K256" s="189"/>
      <c r="L256" s="189">
        <v>1</v>
      </c>
      <c r="M256" s="189"/>
      <c r="N256" s="189"/>
      <c r="O256" s="189"/>
      <c r="P256" s="189"/>
      <c r="Q256" s="189"/>
      <c r="R256" s="189"/>
      <c r="S256" s="189"/>
      <c r="T256" s="189"/>
      <c r="U256" s="189">
        <v>1</v>
      </c>
      <c r="V256" s="189">
        <v>1</v>
      </c>
      <c r="W256" s="189">
        <v>1</v>
      </c>
      <c r="X256" s="366">
        <v>1</v>
      </c>
      <c r="Y256" s="189">
        <v>1</v>
      </c>
      <c r="Z256" s="189"/>
      <c r="AA256" s="189"/>
      <c r="AB256" s="189"/>
      <c r="AC256" s="189"/>
      <c r="AD256" s="189"/>
      <c r="AE256" s="189"/>
      <c r="AF256" s="189"/>
      <c r="AG256" s="189"/>
      <c r="AH256" s="196">
        <v>9</v>
      </c>
      <c r="AI256" s="368" t="s">
        <v>955</v>
      </c>
      <c r="AJ256" s="192">
        <v>42375</v>
      </c>
      <c r="AK256" s="187"/>
      <c r="AL256" s="187">
        <f t="shared" si="178"/>
        <v>0</v>
      </c>
      <c r="AM256" s="187">
        <f t="shared" si="179"/>
        <v>13</v>
      </c>
      <c r="AN256" s="187">
        <f t="shared" si="180"/>
        <v>8</v>
      </c>
      <c r="AO256" s="187">
        <f t="shared" si="181"/>
        <v>8</v>
      </c>
      <c r="AP256" s="187">
        <f t="shared" si="182"/>
        <v>0</v>
      </c>
      <c r="AQ256" s="187">
        <f t="shared" si="183"/>
        <v>0</v>
      </c>
      <c r="AR256" s="187">
        <f t="shared" si="184"/>
        <v>0</v>
      </c>
      <c r="AS256" s="187">
        <f t="shared" si="185"/>
        <v>19</v>
      </c>
      <c r="AT256" s="187">
        <f t="shared" si="186"/>
        <v>0</v>
      </c>
      <c r="AU256" s="187">
        <f t="shared" si="187"/>
        <v>0</v>
      </c>
      <c r="AV256" s="187">
        <f t="shared" si="188"/>
        <v>0</v>
      </c>
      <c r="AW256" s="187">
        <f t="shared" si="189"/>
        <v>0</v>
      </c>
      <c r="AX256" s="187">
        <f t="shared" si="190"/>
        <v>0</v>
      </c>
      <c r="AY256" s="187">
        <f t="shared" si="191"/>
        <v>2</v>
      </c>
      <c r="AZ256" s="187">
        <f t="shared" si="192"/>
        <v>8</v>
      </c>
      <c r="BA256" s="187">
        <f t="shared" si="193"/>
        <v>16</v>
      </c>
      <c r="BB256" s="187">
        <f t="shared" si="194"/>
        <v>13</v>
      </c>
      <c r="BC256" s="187">
        <f t="shared" si="195"/>
        <v>10</v>
      </c>
      <c r="BD256" s="187">
        <f t="shared" si="196"/>
        <v>0</v>
      </c>
      <c r="BE256" s="187">
        <f t="shared" si="197"/>
        <v>0</v>
      </c>
      <c r="BF256" s="187">
        <f t="shared" si="198"/>
        <v>0</v>
      </c>
      <c r="BG256" s="187">
        <f t="shared" si="199"/>
        <v>0</v>
      </c>
      <c r="BH256" s="187">
        <f t="shared" si="200"/>
        <v>0</v>
      </c>
      <c r="BI256" s="187">
        <f t="shared" si="201"/>
        <v>0</v>
      </c>
      <c r="BJ256" s="273">
        <f t="shared" si="202"/>
        <v>95</v>
      </c>
      <c r="BK256" s="167">
        <f t="shared" ref="BK256" si="228">BJ256</f>
        <v>95</v>
      </c>
      <c r="BL256" s="167"/>
      <c r="BM256" s="644"/>
      <c r="BN256" s="644"/>
      <c r="BO256" s="644"/>
      <c r="BP256" s="644"/>
      <c r="BQ256" s="644"/>
      <c r="BR256" s="644"/>
      <c r="BS256" s="644"/>
      <c r="BT256" s="644"/>
      <c r="BU256" s="644"/>
      <c r="BV256" s="644"/>
      <c r="BW256" s="644"/>
      <c r="BX256" s="644"/>
      <c r="BY256" s="644"/>
      <c r="BZ256" s="644"/>
      <c r="CA256" s="644"/>
      <c r="CB256" s="644"/>
      <c r="CC256" s="644"/>
      <c r="CD256" s="644"/>
      <c r="CE256" s="644"/>
      <c r="CF256" s="644"/>
      <c r="CG256" s="644"/>
      <c r="CH256" s="644"/>
      <c r="CI256" s="644"/>
      <c r="CJ256" s="301" t="s">
        <v>743</v>
      </c>
      <c r="CK256" s="343"/>
      <c r="CL256" s="343"/>
    </row>
    <row r="257" spans="1:90" s="344" customFormat="1">
      <c r="A257" s="374" t="s">
        <v>664</v>
      </c>
      <c r="B257" s="189"/>
      <c r="C257" s="189"/>
      <c r="D257" s="189"/>
      <c r="E257" s="189"/>
      <c r="F257" s="189"/>
      <c r="G257" s="189"/>
      <c r="H257" s="189"/>
      <c r="I257" s="189"/>
      <c r="J257" s="189"/>
      <c r="K257" s="189"/>
      <c r="L257" s="189">
        <v>1</v>
      </c>
      <c r="M257" s="189"/>
      <c r="N257" s="189"/>
      <c r="O257" s="189">
        <v>1</v>
      </c>
      <c r="P257" s="189"/>
      <c r="Q257" s="189">
        <v>1</v>
      </c>
      <c r="R257" s="189"/>
      <c r="S257" s="366">
        <v>1</v>
      </c>
      <c r="T257" s="189"/>
      <c r="U257" s="189"/>
      <c r="V257" s="189">
        <v>1</v>
      </c>
      <c r="W257" s="189"/>
      <c r="X257" s="189">
        <v>1</v>
      </c>
      <c r="Y257" s="189">
        <v>1</v>
      </c>
      <c r="Z257" s="189"/>
      <c r="AA257" s="189">
        <v>1</v>
      </c>
      <c r="AB257" s="189"/>
      <c r="AC257" s="189"/>
      <c r="AD257" s="189">
        <v>1</v>
      </c>
      <c r="AE257" s="189"/>
      <c r="AF257" s="366">
        <v>1</v>
      </c>
      <c r="AG257" s="189"/>
      <c r="AH257" s="196">
        <v>10</v>
      </c>
      <c r="AI257" s="368" t="s">
        <v>955</v>
      </c>
      <c r="AJ257" s="192">
        <v>42375</v>
      </c>
      <c r="AK257" s="187"/>
      <c r="AL257" s="187">
        <f t="shared" si="178"/>
        <v>0</v>
      </c>
      <c r="AM257" s="187">
        <f t="shared" si="179"/>
        <v>0</v>
      </c>
      <c r="AN257" s="187">
        <f t="shared" si="180"/>
        <v>0</v>
      </c>
      <c r="AO257" s="187">
        <f t="shared" si="181"/>
        <v>0</v>
      </c>
      <c r="AP257" s="187">
        <f t="shared" si="182"/>
        <v>0</v>
      </c>
      <c r="AQ257" s="187">
        <f t="shared" si="183"/>
        <v>0</v>
      </c>
      <c r="AR257" s="187">
        <f t="shared" si="184"/>
        <v>0</v>
      </c>
      <c r="AS257" s="187">
        <f t="shared" si="185"/>
        <v>19</v>
      </c>
      <c r="AT257" s="187">
        <f t="shared" si="186"/>
        <v>13</v>
      </c>
      <c r="AU257" s="187">
        <f t="shared" si="187"/>
        <v>0</v>
      </c>
      <c r="AV257" s="187">
        <f t="shared" si="188"/>
        <v>3</v>
      </c>
      <c r="AW257" s="187">
        <f t="shared" si="189"/>
        <v>8</v>
      </c>
      <c r="AX257" s="187">
        <f t="shared" si="190"/>
        <v>0</v>
      </c>
      <c r="AY257" s="187">
        <f t="shared" si="191"/>
        <v>0</v>
      </c>
      <c r="AZ257" s="187">
        <f t="shared" si="192"/>
        <v>8</v>
      </c>
      <c r="BA257" s="187">
        <f t="shared" si="193"/>
        <v>0</v>
      </c>
      <c r="BB257" s="187">
        <f t="shared" si="194"/>
        <v>13</v>
      </c>
      <c r="BC257" s="187">
        <f t="shared" si="195"/>
        <v>10</v>
      </c>
      <c r="BD257" s="187">
        <f t="shared" si="196"/>
        <v>0</v>
      </c>
      <c r="BE257" s="187">
        <f t="shared" si="197"/>
        <v>6</v>
      </c>
      <c r="BF257" s="187">
        <f t="shared" si="198"/>
        <v>0</v>
      </c>
      <c r="BG257" s="187">
        <f t="shared" si="199"/>
        <v>8</v>
      </c>
      <c r="BH257" s="187">
        <f t="shared" si="200"/>
        <v>0</v>
      </c>
      <c r="BI257" s="187">
        <f t="shared" si="201"/>
        <v>3</v>
      </c>
      <c r="BJ257" s="273">
        <f t="shared" si="202"/>
        <v>85</v>
      </c>
      <c r="BK257" s="167">
        <f t="shared" ref="BK257" si="229">BJ257</f>
        <v>85</v>
      </c>
      <c r="BL257" s="167"/>
      <c r="BM257" s="644"/>
      <c r="BN257" s="644"/>
      <c r="BO257" s="644"/>
      <c r="BP257" s="644"/>
      <c r="BQ257" s="644"/>
      <c r="BR257" s="644"/>
      <c r="BS257" s="644"/>
      <c r="BT257" s="644"/>
      <c r="BU257" s="644"/>
      <c r="BV257" s="644"/>
      <c r="BW257" s="644"/>
      <c r="BX257" s="644"/>
      <c r="BY257" s="644"/>
      <c r="BZ257" s="644"/>
      <c r="CA257" s="644"/>
      <c r="CB257" s="644"/>
      <c r="CC257" s="644"/>
      <c r="CD257" s="644"/>
      <c r="CE257" s="644"/>
      <c r="CF257" s="644"/>
      <c r="CG257" s="644"/>
      <c r="CH257" s="644"/>
      <c r="CI257" s="644"/>
      <c r="CJ257" s="301" t="s">
        <v>743</v>
      </c>
      <c r="CK257" s="343"/>
      <c r="CL257" s="343"/>
    </row>
    <row r="258" spans="1:90" s="344" customFormat="1">
      <c r="A258" s="374" t="s">
        <v>665</v>
      </c>
      <c r="B258" s="189"/>
      <c r="C258" s="189"/>
      <c r="D258" s="189">
        <v>1</v>
      </c>
      <c r="E258" s="189"/>
      <c r="F258" s="189"/>
      <c r="G258" s="189"/>
      <c r="H258" s="189"/>
      <c r="I258" s="189"/>
      <c r="J258" s="189"/>
      <c r="K258" s="189"/>
      <c r="L258" s="189">
        <v>1</v>
      </c>
      <c r="M258" s="189"/>
      <c r="N258" s="189"/>
      <c r="O258" s="189">
        <v>1</v>
      </c>
      <c r="P258" s="189"/>
      <c r="Q258" s="189"/>
      <c r="R258" s="189"/>
      <c r="S258" s="189"/>
      <c r="T258" s="189"/>
      <c r="U258" s="189"/>
      <c r="V258" s="189">
        <v>1</v>
      </c>
      <c r="W258" s="189">
        <v>1</v>
      </c>
      <c r="X258" s="189"/>
      <c r="Y258" s="189">
        <v>1</v>
      </c>
      <c r="Z258" s="189"/>
      <c r="AA258" s="189">
        <v>1</v>
      </c>
      <c r="AB258" s="189"/>
      <c r="AC258" s="189"/>
      <c r="AD258" s="189">
        <v>1</v>
      </c>
      <c r="AE258" s="189"/>
      <c r="AF258" s="189"/>
      <c r="AG258" s="189"/>
      <c r="AH258" s="196">
        <v>8</v>
      </c>
      <c r="AI258" s="368" t="s">
        <v>955</v>
      </c>
      <c r="AJ258" s="192">
        <v>42382</v>
      </c>
      <c r="AK258" s="187"/>
      <c r="AL258" s="187">
        <f t="shared" si="178"/>
        <v>0</v>
      </c>
      <c r="AM258" s="187">
        <f t="shared" si="179"/>
        <v>13</v>
      </c>
      <c r="AN258" s="187">
        <f t="shared" si="180"/>
        <v>0</v>
      </c>
      <c r="AO258" s="187">
        <f t="shared" si="181"/>
        <v>0</v>
      </c>
      <c r="AP258" s="187">
        <f t="shared" si="182"/>
        <v>0</v>
      </c>
      <c r="AQ258" s="187">
        <f t="shared" si="183"/>
        <v>0</v>
      </c>
      <c r="AR258" s="187">
        <f t="shared" si="184"/>
        <v>0</v>
      </c>
      <c r="AS258" s="187">
        <f t="shared" si="185"/>
        <v>19</v>
      </c>
      <c r="AT258" s="187">
        <f t="shared" si="186"/>
        <v>13</v>
      </c>
      <c r="AU258" s="187">
        <f t="shared" si="187"/>
        <v>0</v>
      </c>
      <c r="AV258" s="187">
        <f t="shared" si="188"/>
        <v>0</v>
      </c>
      <c r="AW258" s="187">
        <f t="shared" si="189"/>
        <v>0</v>
      </c>
      <c r="AX258" s="187">
        <f t="shared" si="190"/>
        <v>0</v>
      </c>
      <c r="AY258" s="187">
        <f t="shared" si="191"/>
        <v>0</v>
      </c>
      <c r="AZ258" s="187">
        <f t="shared" si="192"/>
        <v>8</v>
      </c>
      <c r="BA258" s="187">
        <f t="shared" si="193"/>
        <v>16</v>
      </c>
      <c r="BB258" s="187">
        <f t="shared" si="194"/>
        <v>0</v>
      </c>
      <c r="BC258" s="187">
        <f t="shared" si="195"/>
        <v>10</v>
      </c>
      <c r="BD258" s="187">
        <f t="shared" si="196"/>
        <v>0</v>
      </c>
      <c r="BE258" s="187">
        <f t="shared" si="197"/>
        <v>6</v>
      </c>
      <c r="BF258" s="187">
        <f t="shared" si="198"/>
        <v>0</v>
      </c>
      <c r="BG258" s="187">
        <f t="shared" si="199"/>
        <v>8</v>
      </c>
      <c r="BH258" s="187">
        <f t="shared" si="200"/>
        <v>0</v>
      </c>
      <c r="BI258" s="187">
        <f t="shared" si="201"/>
        <v>0</v>
      </c>
      <c r="BJ258" s="273">
        <f t="shared" si="202"/>
        <v>93</v>
      </c>
      <c r="BK258" s="167">
        <f t="shared" ref="BK258" si="230">BJ258</f>
        <v>93</v>
      </c>
      <c r="BL258" s="167"/>
      <c r="BM258" s="644"/>
      <c r="BN258" s="644"/>
      <c r="BO258" s="644"/>
      <c r="BP258" s="644"/>
      <c r="BQ258" s="644"/>
      <c r="BR258" s="644"/>
      <c r="BS258" s="644"/>
      <c r="BT258" s="644"/>
      <c r="BU258" s="644"/>
      <c r="BV258" s="644"/>
      <c r="BW258" s="644"/>
      <c r="BX258" s="644"/>
      <c r="BY258" s="644"/>
      <c r="BZ258" s="644"/>
      <c r="CA258" s="644"/>
      <c r="CB258" s="644"/>
      <c r="CC258" s="644"/>
      <c r="CD258" s="644"/>
      <c r="CE258" s="644"/>
      <c r="CF258" s="644"/>
      <c r="CG258" s="644"/>
      <c r="CH258" s="644"/>
      <c r="CI258" s="644"/>
      <c r="CJ258" s="301" t="s">
        <v>743</v>
      </c>
      <c r="CK258" s="343"/>
      <c r="CL258" s="343"/>
    </row>
    <row r="259" spans="1:90" s="344" customFormat="1">
      <c r="A259" s="374" t="s">
        <v>970</v>
      </c>
      <c r="B259" s="189"/>
      <c r="C259" s="189"/>
      <c r="D259" s="189"/>
      <c r="E259" s="189">
        <v>1</v>
      </c>
      <c r="F259" s="189"/>
      <c r="G259" s="189">
        <v>1</v>
      </c>
      <c r="H259" s="189"/>
      <c r="I259" s="189"/>
      <c r="J259" s="189"/>
      <c r="K259" s="189"/>
      <c r="L259" s="189">
        <v>1</v>
      </c>
      <c r="M259" s="189"/>
      <c r="N259" s="189"/>
      <c r="O259" s="189"/>
      <c r="P259" s="189"/>
      <c r="Q259" s="189">
        <v>1</v>
      </c>
      <c r="R259" s="189"/>
      <c r="S259" s="189">
        <v>1</v>
      </c>
      <c r="T259" s="189"/>
      <c r="U259" s="189">
        <v>1</v>
      </c>
      <c r="V259" s="189"/>
      <c r="W259" s="189">
        <v>1</v>
      </c>
      <c r="X259" s="189">
        <v>1</v>
      </c>
      <c r="Y259" s="189"/>
      <c r="Z259" s="189">
        <v>1</v>
      </c>
      <c r="AA259" s="189"/>
      <c r="AB259" s="189">
        <v>1</v>
      </c>
      <c r="AC259" s="189"/>
      <c r="AD259" s="189"/>
      <c r="AE259" s="189"/>
      <c r="AF259" s="189"/>
      <c r="AG259" s="189"/>
      <c r="AH259" s="196">
        <v>10</v>
      </c>
      <c r="AI259" s="368" t="s">
        <v>955</v>
      </c>
      <c r="AJ259" s="370">
        <v>42379</v>
      </c>
      <c r="AK259" s="187"/>
      <c r="AL259" s="187">
        <f t="shared" si="178"/>
        <v>0</v>
      </c>
      <c r="AM259" s="187">
        <f t="shared" si="179"/>
        <v>0</v>
      </c>
      <c r="AN259" s="187">
        <f t="shared" si="180"/>
        <v>8</v>
      </c>
      <c r="AO259" s="187">
        <f t="shared" si="181"/>
        <v>8</v>
      </c>
      <c r="AP259" s="187">
        <f t="shared" si="182"/>
        <v>0</v>
      </c>
      <c r="AQ259" s="187">
        <f t="shared" si="183"/>
        <v>0</v>
      </c>
      <c r="AR259" s="187">
        <f t="shared" si="184"/>
        <v>0</v>
      </c>
      <c r="AS259" s="187">
        <f t="shared" si="185"/>
        <v>19</v>
      </c>
      <c r="AT259" s="187">
        <f t="shared" si="186"/>
        <v>0</v>
      </c>
      <c r="AU259" s="187">
        <f t="shared" si="187"/>
        <v>0</v>
      </c>
      <c r="AV259" s="187">
        <f t="shared" si="188"/>
        <v>3</v>
      </c>
      <c r="AW259" s="187">
        <f t="shared" si="189"/>
        <v>8</v>
      </c>
      <c r="AX259" s="187">
        <f t="shared" si="190"/>
        <v>0</v>
      </c>
      <c r="AY259" s="187">
        <f t="shared" si="191"/>
        <v>2</v>
      </c>
      <c r="AZ259" s="187">
        <f t="shared" si="192"/>
        <v>0</v>
      </c>
      <c r="BA259" s="187">
        <f t="shared" si="193"/>
        <v>16</v>
      </c>
      <c r="BB259" s="187">
        <f t="shared" si="194"/>
        <v>13</v>
      </c>
      <c r="BC259" s="187">
        <f t="shared" si="195"/>
        <v>0</v>
      </c>
      <c r="BD259" s="187">
        <f t="shared" si="196"/>
        <v>2</v>
      </c>
      <c r="BE259" s="187">
        <f t="shared" si="197"/>
        <v>0</v>
      </c>
      <c r="BF259" s="187">
        <f t="shared" si="198"/>
        <v>1</v>
      </c>
      <c r="BG259" s="187">
        <f t="shared" si="199"/>
        <v>0</v>
      </c>
      <c r="BH259" s="187">
        <f t="shared" si="200"/>
        <v>0</v>
      </c>
      <c r="BI259" s="187">
        <f t="shared" si="201"/>
        <v>0</v>
      </c>
      <c r="BJ259" s="273">
        <f t="shared" si="202"/>
        <v>77</v>
      </c>
      <c r="BK259" s="167">
        <f t="shared" ref="BK259" si="231">BJ259</f>
        <v>77</v>
      </c>
      <c r="BL259" s="167"/>
      <c r="BM259" s="644"/>
      <c r="BN259" s="644"/>
      <c r="BO259" s="644"/>
      <c r="BP259" s="644"/>
      <c r="BQ259" s="644"/>
      <c r="BR259" s="644"/>
      <c r="BS259" s="644"/>
      <c r="BT259" s="644"/>
      <c r="BU259" s="644"/>
      <c r="BV259" s="644"/>
      <c r="BW259" s="644"/>
      <c r="BX259" s="644"/>
      <c r="BY259" s="644"/>
      <c r="BZ259" s="644"/>
      <c r="CA259" s="644"/>
      <c r="CB259" s="644"/>
      <c r="CC259" s="644"/>
      <c r="CD259" s="644"/>
      <c r="CE259" s="644"/>
      <c r="CF259" s="644"/>
      <c r="CG259" s="644"/>
      <c r="CH259" s="644"/>
      <c r="CI259" s="644"/>
      <c r="CJ259" s="301" t="s">
        <v>743</v>
      </c>
      <c r="CK259" s="343"/>
      <c r="CL259" s="343"/>
    </row>
    <row r="260" spans="1:90" s="344" customFormat="1">
      <c r="A260" s="476" t="s">
        <v>183</v>
      </c>
      <c r="B260" s="189"/>
      <c r="C260" s="189"/>
      <c r="D260" s="366">
        <v>1</v>
      </c>
      <c r="E260" s="189"/>
      <c r="F260" s="189"/>
      <c r="G260" s="189"/>
      <c r="H260" s="189"/>
      <c r="I260" s="189"/>
      <c r="J260" s="189"/>
      <c r="K260" s="189"/>
      <c r="L260" s="189">
        <v>1</v>
      </c>
      <c r="M260" s="189"/>
      <c r="N260" s="189"/>
      <c r="O260" s="189">
        <v>1</v>
      </c>
      <c r="P260" s="189"/>
      <c r="Q260" s="189"/>
      <c r="R260" s="189"/>
      <c r="S260" s="189"/>
      <c r="T260" s="189"/>
      <c r="U260" s="189"/>
      <c r="V260" s="189"/>
      <c r="W260" s="189">
        <v>1</v>
      </c>
      <c r="X260" s="189"/>
      <c r="Y260" s="189"/>
      <c r="Z260" s="189"/>
      <c r="AA260" s="189"/>
      <c r="AB260" s="189"/>
      <c r="AC260" s="189"/>
      <c r="AD260" s="189"/>
      <c r="AE260" s="189"/>
      <c r="AF260" s="189"/>
      <c r="AG260" s="189"/>
      <c r="AH260" s="196">
        <v>4</v>
      </c>
      <c r="AI260" s="641" t="s">
        <v>113</v>
      </c>
      <c r="AJ260" s="370">
        <v>42383</v>
      </c>
      <c r="AK260" s="187"/>
      <c r="AL260" s="187">
        <f t="shared" si="178"/>
        <v>0</v>
      </c>
      <c r="AM260" s="187">
        <f t="shared" si="179"/>
        <v>13</v>
      </c>
      <c r="AN260" s="187">
        <f t="shared" si="180"/>
        <v>0</v>
      </c>
      <c r="AO260" s="187">
        <f t="shared" si="181"/>
        <v>0</v>
      </c>
      <c r="AP260" s="187">
        <f t="shared" si="182"/>
        <v>0</v>
      </c>
      <c r="AQ260" s="187">
        <f t="shared" si="183"/>
        <v>0</v>
      </c>
      <c r="AR260" s="187">
        <f t="shared" si="184"/>
        <v>0</v>
      </c>
      <c r="AS260" s="187">
        <f t="shared" si="185"/>
        <v>19</v>
      </c>
      <c r="AT260" s="187">
        <f t="shared" si="186"/>
        <v>13</v>
      </c>
      <c r="AU260" s="187">
        <f t="shared" si="187"/>
        <v>0</v>
      </c>
      <c r="AV260" s="187">
        <f t="shared" si="188"/>
        <v>0</v>
      </c>
      <c r="AW260" s="187">
        <f t="shared" si="189"/>
        <v>0</v>
      </c>
      <c r="AX260" s="187">
        <f t="shared" si="190"/>
        <v>0</v>
      </c>
      <c r="AY260" s="187">
        <f t="shared" si="191"/>
        <v>0</v>
      </c>
      <c r="AZ260" s="187">
        <f t="shared" si="192"/>
        <v>0</v>
      </c>
      <c r="BA260" s="187">
        <f t="shared" si="193"/>
        <v>16</v>
      </c>
      <c r="BB260" s="187">
        <f t="shared" si="194"/>
        <v>0</v>
      </c>
      <c r="BC260" s="187">
        <f t="shared" si="195"/>
        <v>0</v>
      </c>
      <c r="BD260" s="187">
        <f t="shared" si="196"/>
        <v>0</v>
      </c>
      <c r="BE260" s="187">
        <f t="shared" si="197"/>
        <v>0</v>
      </c>
      <c r="BF260" s="187">
        <f t="shared" si="198"/>
        <v>0</v>
      </c>
      <c r="BG260" s="187">
        <f t="shared" si="199"/>
        <v>0</v>
      </c>
      <c r="BH260" s="187">
        <f t="shared" si="200"/>
        <v>0</v>
      </c>
      <c r="BI260" s="187">
        <f t="shared" si="201"/>
        <v>0</v>
      </c>
      <c r="BJ260" s="273">
        <f t="shared" si="202"/>
        <v>61</v>
      </c>
      <c r="BK260" s="167">
        <f t="shared" ref="BK260" si="232">BJ260</f>
        <v>61</v>
      </c>
      <c r="BL260" s="167"/>
      <c r="BM260" s="644"/>
      <c r="BN260" s="644"/>
      <c r="BO260" s="644"/>
      <c r="BP260" s="644"/>
      <c r="BQ260" s="644"/>
      <c r="BR260" s="644"/>
      <c r="BS260" s="644"/>
      <c r="BT260" s="644"/>
      <c r="BU260" s="644"/>
      <c r="BV260" s="644"/>
      <c r="BW260" s="644"/>
      <c r="BX260" s="644"/>
      <c r="BY260" s="644"/>
      <c r="BZ260" s="644"/>
      <c r="CA260" s="644"/>
      <c r="CB260" s="644"/>
      <c r="CC260" s="644"/>
      <c r="CD260" s="644"/>
      <c r="CE260" s="644"/>
      <c r="CF260" s="644"/>
      <c r="CG260" s="644"/>
      <c r="CH260" s="644"/>
      <c r="CI260" s="644"/>
      <c r="CJ260" s="301" t="s">
        <v>805</v>
      </c>
      <c r="CK260" s="343"/>
      <c r="CL260" s="343"/>
    </row>
    <row r="261" spans="1:90" s="344" customFormat="1" ht="12.75" customHeight="1">
      <c r="A261" s="374" t="s">
        <v>421</v>
      </c>
      <c r="B261" s="189"/>
      <c r="C261" s="189"/>
      <c r="D261" s="366">
        <v>1</v>
      </c>
      <c r="E261" s="189">
        <v>1</v>
      </c>
      <c r="F261" s="189"/>
      <c r="G261" s="189">
        <v>1</v>
      </c>
      <c r="H261" s="189"/>
      <c r="I261" s="189"/>
      <c r="J261" s="189"/>
      <c r="K261" s="189"/>
      <c r="L261" s="189">
        <v>1</v>
      </c>
      <c r="M261" s="189"/>
      <c r="N261" s="189"/>
      <c r="O261" s="189"/>
      <c r="P261" s="189"/>
      <c r="Q261" s="189">
        <v>1</v>
      </c>
      <c r="R261" s="189"/>
      <c r="S261" s="189"/>
      <c r="T261" s="366">
        <v>1</v>
      </c>
      <c r="U261" s="189"/>
      <c r="V261" s="189"/>
      <c r="W261" s="366">
        <v>1</v>
      </c>
      <c r="X261" s="189">
        <v>1</v>
      </c>
      <c r="Y261" s="189"/>
      <c r="Z261" s="189"/>
      <c r="AA261" s="189"/>
      <c r="AB261" s="189"/>
      <c r="AC261" s="189"/>
      <c r="AD261" s="366">
        <v>1</v>
      </c>
      <c r="AE261" s="189"/>
      <c r="AF261" s="189">
        <v>1</v>
      </c>
      <c r="AG261" s="189"/>
      <c r="AH261" s="196">
        <v>10</v>
      </c>
      <c r="AI261" s="368" t="s">
        <v>955</v>
      </c>
      <c r="AJ261" s="192">
        <v>42375</v>
      </c>
      <c r="AK261" s="187"/>
      <c r="AL261" s="187">
        <f t="shared" si="178"/>
        <v>0</v>
      </c>
      <c r="AM261" s="187">
        <f t="shared" si="179"/>
        <v>13</v>
      </c>
      <c r="AN261" s="187">
        <f t="shared" si="180"/>
        <v>8</v>
      </c>
      <c r="AO261" s="187">
        <f t="shared" si="181"/>
        <v>8</v>
      </c>
      <c r="AP261" s="187">
        <f t="shared" si="182"/>
        <v>0</v>
      </c>
      <c r="AQ261" s="187">
        <f t="shared" si="183"/>
        <v>0</v>
      </c>
      <c r="AR261" s="187">
        <f t="shared" si="184"/>
        <v>0</v>
      </c>
      <c r="AS261" s="187">
        <f t="shared" si="185"/>
        <v>19</v>
      </c>
      <c r="AT261" s="187">
        <f t="shared" si="186"/>
        <v>0</v>
      </c>
      <c r="AU261" s="187">
        <f t="shared" si="187"/>
        <v>0</v>
      </c>
      <c r="AV261" s="187">
        <f t="shared" si="188"/>
        <v>3</v>
      </c>
      <c r="AW261" s="187">
        <f t="shared" si="189"/>
        <v>0</v>
      </c>
      <c r="AX261" s="187">
        <f t="shared" si="190"/>
        <v>4</v>
      </c>
      <c r="AY261" s="187">
        <f t="shared" si="191"/>
        <v>0</v>
      </c>
      <c r="AZ261" s="187">
        <f t="shared" si="192"/>
        <v>0</v>
      </c>
      <c r="BA261" s="187">
        <f t="shared" si="193"/>
        <v>16</v>
      </c>
      <c r="BB261" s="187">
        <f t="shared" si="194"/>
        <v>13</v>
      </c>
      <c r="BC261" s="187">
        <f t="shared" si="195"/>
        <v>0</v>
      </c>
      <c r="BD261" s="187">
        <f t="shared" si="196"/>
        <v>0</v>
      </c>
      <c r="BE261" s="187">
        <f t="shared" si="197"/>
        <v>0</v>
      </c>
      <c r="BF261" s="187">
        <f t="shared" si="198"/>
        <v>0</v>
      </c>
      <c r="BG261" s="187">
        <f t="shared" si="199"/>
        <v>8</v>
      </c>
      <c r="BH261" s="187">
        <f t="shared" si="200"/>
        <v>0</v>
      </c>
      <c r="BI261" s="187">
        <f t="shared" si="201"/>
        <v>3</v>
      </c>
      <c r="BJ261" s="273">
        <f t="shared" si="202"/>
        <v>89</v>
      </c>
      <c r="BK261" s="167">
        <f t="shared" ref="BK261:BK271" si="233">BJ261</f>
        <v>89</v>
      </c>
      <c r="BL261" s="167"/>
      <c r="BM261" s="644"/>
      <c r="BN261" s="644"/>
      <c r="BO261" s="644"/>
      <c r="BP261" s="644"/>
      <c r="BQ261" s="644"/>
      <c r="BR261" s="644"/>
      <c r="BS261" s="644"/>
      <c r="BT261" s="644"/>
      <c r="BU261" s="644"/>
      <c r="BV261" s="644"/>
      <c r="BW261" s="644"/>
      <c r="BX261" s="644"/>
      <c r="BY261" s="644"/>
      <c r="BZ261" s="644"/>
      <c r="CA261" s="644"/>
      <c r="CB261" s="644"/>
      <c r="CC261" s="644"/>
      <c r="CD261" s="644"/>
      <c r="CE261" s="644"/>
      <c r="CF261" s="644"/>
      <c r="CG261" s="644"/>
      <c r="CH261" s="644"/>
      <c r="CI261" s="644"/>
      <c r="CJ261" s="301" t="s">
        <v>809</v>
      </c>
      <c r="CK261" s="343"/>
      <c r="CL261" s="343"/>
    </row>
    <row r="262" spans="1:90" s="344" customFormat="1" ht="12.75" customHeight="1">
      <c r="A262" s="476" t="s">
        <v>184</v>
      </c>
      <c r="B262" s="189"/>
      <c r="C262" s="189"/>
      <c r="D262" s="189">
        <v>1</v>
      </c>
      <c r="E262" s="189"/>
      <c r="F262" s="189"/>
      <c r="G262" s="189"/>
      <c r="H262" s="189"/>
      <c r="I262" s="189"/>
      <c r="J262" s="189"/>
      <c r="K262" s="189"/>
      <c r="L262" s="189">
        <v>1</v>
      </c>
      <c r="M262" s="189"/>
      <c r="N262" s="189"/>
      <c r="O262" s="189"/>
      <c r="P262" s="189"/>
      <c r="Q262" s="189"/>
      <c r="R262" s="189"/>
      <c r="S262" s="189">
        <v>1</v>
      </c>
      <c r="T262" s="189">
        <v>1</v>
      </c>
      <c r="U262" s="189"/>
      <c r="V262" s="189">
        <v>1</v>
      </c>
      <c r="W262" s="189">
        <v>1</v>
      </c>
      <c r="X262" s="189">
        <v>1</v>
      </c>
      <c r="Y262" s="189">
        <v>1</v>
      </c>
      <c r="Z262" s="189"/>
      <c r="AA262" s="189"/>
      <c r="AB262" s="189"/>
      <c r="AC262" s="189"/>
      <c r="AD262" s="189">
        <v>1</v>
      </c>
      <c r="AE262" s="189"/>
      <c r="AF262" s="189">
        <v>1</v>
      </c>
      <c r="AG262" s="189"/>
      <c r="AH262" s="196">
        <v>10</v>
      </c>
      <c r="AI262" s="134" t="s">
        <v>113</v>
      </c>
      <c r="AJ262" s="370">
        <v>42383</v>
      </c>
      <c r="AK262" s="187"/>
      <c r="AL262" s="187">
        <f t="shared" si="178"/>
        <v>0</v>
      </c>
      <c r="AM262" s="187">
        <f t="shared" si="179"/>
        <v>13</v>
      </c>
      <c r="AN262" s="187">
        <f t="shared" si="180"/>
        <v>0</v>
      </c>
      <c r="AO262" s="187">
        <f t="shared" si="181"/>
        <v>0</v>
      </c>
      <c r="AP262" s="187">
        <f t="shared" si="182"/>
        <v>0</v>
      </c>
      <c r="AQ262" s="187">
        <f t="shared" si="183"/>
        <v>0</v>
      </c>
      <c r="AR262" s="187">
        <f t="shared" si="184"/>
        <v>0</v>
      </c>
      <c r="AS262" s="187">
        <f t="shared" si="185"/>
        <v>19</v>
      </c>
      <c r="AT262" s="187">
        <f t="shared" si="186"/>
        <v>0</v>
      </c>
      <c r="AU262" s="187">
        <f t="shared" si="187"/>
        <v>0</v>
      </c>
      <c r="AV262" s="187">
        <f t="shared" si="188"/>
        <v>0</v>
      </c>
      <c r="AW262" s="187">
        <f t="shared" si="189"/>
        <v>8</v>
      </c>
      <c r="AX262" s="187">
        <f t="shared" si="190"/>
        <v>4</v>
      </c>
      <c r="AY262" s="187">
        <f t="shared" si="191"/>
        <v>0</v>
      </c>
      <c r="AZ262" s="187">
        <f t="shared" si="192"/>
        <v>8</v>
      </c>
      <c r="BA262" s="187">
        <f t="shared" si="193"/>
        <v>16</v>
      </c>
      <c r="BB262" s="187">
        <f t="shared" si="194"/>
        <v>13</v>
      </c>
      <c r="BC262" s="187">
        <f t="shared" si="195"/>
        <v>10</v>
      </c>
      <c r="BD262" s="187">
        <f t="shared" si="196"/>
        <v>0</v>
      </c>
      <c r="BE262" s="187">
        <f t="shared" si="197"/>
        <v>0</v>
      </c>
      <c r="BF262" s="187">
        <f t="shared" si="198"/>
        <v>0</v>
      </c>
      <c r="BG262" s="187">
        <f t="shared" si="199"/>
        <v>8</v>
      </c>
      <c r="BH262" s="187">
        <f t="shared" si="200"/>
        <v>0</v>
      </c>
      <c r="BI262" s="187">
        <f t="shared" si="201"/>
        <v>3</v>
      </c>
      <c r="BJ262" s="273">
        <f t="shared" si="202"/>
        <v>95</v>
      </c>
      <c r="BK262" s="167">
        <f t="shared" ref="BK262" si="234">BJ262</f>
        <v>95</v>
      </c>
      <c r="BL262" s="167"/>
      <c r="BM262" s="644"/>
      <c r="BN262" s="644"/>
      <c r="BO262" s="644"/>
      <c r="BP262" s="644"/>
      <c r="BQ262" s="644"/>
      <c r="BR262" s="644"/>
      <c r="BS262" s="644"/>
      <c r="BT262" s="644"/>
      <c r="BU262" s="644"/>
      <c r="BV262" s="644"/>
      <c r="BW262" s="644"/>
      <c r="BX262" s="644"/>
      <c r="BY262" s="644"/>
      <c r="BZ262" s="644"/>
      <c r="CA262" s="644"/>
      <c r="CB262" s="644"/>
      <c r="CC262" s="644"/>
      <c r="CD262" s="644"/>
      <c r="CE262" s="644"/>
      <c r="CF262" s="644"/>
      <c r="CG262" s="644"/>
      <c r="CH262" s="644"/>
      <c r="CI262" s="644"/>
      <c r="CJ262" s="301" t="s">
        <v>807</v>
      </c>
      <c r="CK262" s="343"/>
      <c r="CL262" s="343"/>
    </row>
    <row r="263" spans="1:90" s="344" customFormat="1" ht="12.75" customHeight="1">
      <c r="A263" s="374" t="s">
        <v>190</v>
      </c>
      <c r="B263" s="189"/>
      <c r="C263" s="189"/>
      <c r="D263" s="366">
        <v>1</v>
      </c>
      <c r="E263" s="189"/>
      <c r="F263" s="189"/>
      <c r="G263" s="189"/>
      <c r="H263" s="189"/>
      <c r="I263" s="189"/>
      <c r="J263" s="189"/>
      <c r="K263" s="189"/>
      <c r="L263" s="189">
        <v>1</v>
      </c>
      <c r="M263" s="189"/>
      <c r="N263" s="189"/>
      <c r="O263" s="189"/>
      <c r="P263" s="189"/>
      <c r="Q263" s="189"/>
      <c r="R263" s="189"/>
      <c r="S263" s="189"/>
      <c r="T263" s="189"/>
      <c r="U263" s="189"/>
      <c r="V263" s="189"/>
      <c r="W263" s="366">
        <v>1</v>
      </c>
      <c r="X263" s="189">
        <v>1</v>
      </c>
      <c r="Y263" s="189"/>
      <c r="Z263" s="189"/>
      <c r="AA263" s="189"/>
      <c r="AB263" s="189"/>
      <c r="AC263" s="189"/>
      <c r="AD263" s="189">
        <v>1</v>
      </c>
      <c r="AE263" s="189"/>
      <c r="AF263" s="189"/>
      <c r="AG263" s="189"/>
      <c r="AH263" s="196">
        <v>5</v>
      </c>
      <c r="AI263" s="372" t="s">
        <v>971</v>
      </c>
      <c r="AJ263" s="370">
        <v>42377</v>
      </c>
      <c r="AK263" s="187"/>
      <c r="AL263" s="187">
        <f t="shared" si="178"/>
        <v>0</v>
      </c>
      <c r="AM263" s="187">
        <f t="shared" si="179"/>
        <v>13</v>
      </c>
      <c r="AN263" s="187">
        <f t="shared" si="180"/>
        <v>0</v>
      </c>
      <c r="AO263" s="187">
        <f t="shared" si="181"/>
        <v>0</v>
      </c>
      <c r="AP263" s="187">
        <f t="shared" si="182"/>
        <v>0</v>
      </c>
      <c r="AQ263" s="187">
        <f t="shared" si="183"/>
        <v>0</v>
      </c>
      <c r="AR263" s="187">
        <f t="shared" si="184"/>
        <v>0</v>
      </c>
      <c r="AS263" s="187">
        <f t="shared" si="185"/>
        <v>19</v>
      </c>
      <c r="AT263" s="187">
        <f t="shared" si="186"/>
        <v>0</v>
      </c>
      <c r="AU263" s="187">
        <f t="shared" si="187"/>
        <v>0</v>
      </c>
      <c r="AV263" s="187">
        <f t="shared" si="188"/>
        <v>0</v>
      </c>
      <c r="AW263" s="187">
        <f t="shared" si="189"/>
        <v>0</v>
      </c>
      <c r="AX263" s="187">
        <f t="shared" si="190"/>
        <v>0</v>
      </c>
      <c r="AY263" s="187">
        <f t="shared" si="191"/>
        <v>0</v>
      </c>
      <c r="AZ263" s="187">
        <f t="shared" si="192"/>
        <v>0</v>
      </c>
      <c r="BA263" s="187">
        <f t="shared" si="193"/>
        <v>16</v>
      </c>
      <c r="BB263" s="187">
        <f t="shared" si="194"/>
        <v>13</v>
      </c>
      <c r="BC263" s="187">
        <f t="shared" si="195"/>
        <v>0</v>
      </c>
      <c r="BD263" s="187">
        <f t="shared" si="196"/>
        <v>0</v>
      </c>
      <c r="BE263" s="187">
        <f t="shared" si="197"/>
        <v>0</v>
      </c>
      <c r="BF263" s="187">
        <f t="shared" si="198"/>
        <v>0</v>
      </c>
      <c r="BG263" s="187">
        <f t="shared" si="199"/>
        <v>8</v>
      </c>
      <c r="BH263" s="187">
        <f t="shared" si="200"/>
        <v>0</v>
      </c>
      <c r="BI263" s="187">
        <f t="shared" si="201"/>
        <v>0</v>
      </c>
      <c r="BJ263" s="273">
        <f t="shared" si="202"/>
        <v>69</v>
      </c>
      <c r="BK263" s="167">
        <f t="shared" ref="BK263" si="235">BJ263</f>
        <v>69</v>
      </c>
      <c r="BL263" s="167"/>
      <c r="BM263" s="644"/>
      <c r="BN263" s="644"/>
      <c r="BO263" s="644"/>
      <c r="BP263" s="644"/>
      <c r="BQ263" s="644"/>
      <c r="BR263" s="644"/>
      <c r="BS263" s="644"/>
      <c r="BT263" s="644"/>
      <c r="BU263" s="644"/>
      <c r="BV263" s="644"/>
      <c r="BW263" s="644"/>
      <c r="BX263" s="644"/>
      <c r="BY263" s="644"/>
      <c r="BZ263" s="644"/>
      <c r="CA263" s="644"/>
      <c r="CB263" s="644"/>
      <c r="CC263" s="644"/>
      <c r="CD263" s="644"/>
      <c r="CE263" s="644"/>
      <c r="CF263" s="644"/>
      <c r="CG263" s="644"/>
      <c r="CH263" s="644"/>
      <c r="CI263" s="644"/>
      <c r="CJ263" s="301" t="s">
        <v>843</v>
      </c>
      <c r="CK263" s="343"/>
      <c r="CL263" s="343"/>
    </row>
    <row r="264" spans="1:90" s="344" customFormat="1" ht="12.75" customHeight="1">
      <c r="A264" s="374" t="s">
        <v>972</v>
      </c>
      <c r="B264" s="189"/>
      <c r="C264" s="189"/>
      <c r="D264" s="189">
        <v>1</v>
      </c>
      <c r="E264" s="189">
        <v>1</v>
      </c>
      <c r="F264" s="189"/>
      <c r="G264" s="189"/>
      <c r="H264" s="189"/>
      <c r="I264" s="189"/>
      <c r="J264" s="189"/>
      <c r="K264" s="189"/>
      <c r="L264" s="189">
        <v>1</v>
      </c>
      <c r="M264" s="189"/>
      <c r="N264" s="189"/>
      <c r="O264" s="189">
        <v>1</v>
      </c>
      <c r="P264" s="189"/>
      <c r="Q264" s="189"/>
      <c r="R264" s="189"/>
      <c r="S264" s="189">
        <v>1</v>
      </c>
      <c r="T264" s="189"/>
      <c r="U264" s="189"/>
      <c r="V264" s="189"/>
      <c r="W264" s="189">
        <v>1</v>
      </c>
      <c r="X264" s="366">
        <v>1</v>
      </c>
      <c r="Y264" s="189"/>
      <c r="Z264" s="189"/>
      <c r="AA264" s="189">
        <v>1</v>
      </c>
      <c r="AB264" s="189"/>
      <c r="AC264" s="189"/>
      <c r="AD264" s="189">
        <v>1</v>
      </c>
      <c r="AE264" s="189">
        <v>1</v>
      </c>
      <c r="AF264" s="189"/>
      <c r="AG264" s="189"/>
      <c r="AH264" s="196">
        <v>10</v>
      </c>
      <c r="AI264" s="134" t="s">
        <v>113</v>
      </c>
      <c r="AJ264" s="370">
        <v>42382</v>
      </c>
      <c r="AK264" s="187"/>
      <c r="AL264" s="187">
        <f t="shared" si="178"/>
        <v>0</v>
      </c>
      <c r="AM264" s="187">
        <f t="shared" si="179"/>
        <v>13</v>
      </c>
      <c r="AN264" s="187">
        <f t="shared" si="180"/>
        <v>8</v>
      </c>
      <c r="AO264" s="187">
        <f t="shared" si="181"/>
        <v>0</v>
      </c>
      <c r="AP264" s="187">
        <f t="shared" si="182"/>
        <v>0</v>
      </c>
      <c r="AQ264" s="187">
        <f t="shared" si="183"/>
        <v>0</v>
      </c>
      <c r="AR264" s="187">
        <f t="shared" si="184"/>
        <v>0</v>
      </c>
      <c r="AS264" s="187">
        <f t="shared" si="185"/>
        <v>19</v>
      </c>
      <c r="AT264" s="187">
        <f t="shared" si="186"/>
        <v>13</v>
      </c>
      <c r="AU264" s="187">
        <f t="shared" si="187"/>
        <v>0</v>
      </c>
      <c r="AV264" s="187">
        <f t="shared" si="188"/>
        <v>0</v>
      </c>
      <c r="AW264" s="187">
        <f t="shared" si="189"/>
        <v>8</v>
      </c>
      <c r="AX264" s="187">
        <f t="shared" si="190"/>
        <v>0</v>
      </c>
      <c r="AY264" s="187">
        <f t="shared" si="191"/>
        <v>0</v>
      </c>
      <c r="AZ264" s="187">
        <f t="shared" si="192"/>
        <v>0</v>
      </c>
      <c r="BA264" s="187">
        <f t="shared" si="193"/>
        <v>16</v>
      </c>
      <c r="BB264" s="187">
        <f t="shared" si="194"/>
        <v>13</v>
      </c>
      <c r="BC264" s="187">
        <f t="shared" si="195"/>
        <v>0</v>
      </c>
      <c r="BD264" s="187">
        <f t="shared" si="196"/>
        <v>0</v>
      </c>
      <c r="BE264" s="187">
        <f t="shared" si="197"/>
        <v>6</v>
      </c>
      <c r="BF264" s="187">
        <f t="shared" si="198"/>
        <v>0</v>
      </c>
      <c r="BG264" s="187">
        <f t="shared" si="199"/>
        <v>8</v>
      </c>
      <c r="BH264" s="187">
        <f t="shared" si="200"/>
        <v>2</v>
      </c>
      <c r="BI264" s="187">
        <f t="shared" si="201"/>
        <v>0</v>
      </c>
      <c r="BJ264" s="273">
        <f t="shared" si="202"/>
        <v>98</v>
      </c>
      <c r="BK264" s="167">
        <f t="shared" ref="BK264" si="236">BJ264</f>
        <v>98</v>
      </c>
      <c r="BL264" s="167"/>
      <c r="BM264" s="644"/>
      <c r="BN264" s="644"/>
      <c r="BO264" s="644"/>
      <c r="BP264" s="644"/>
      <c r="BQ264" s="644"/>
      <c r="BR264" s="644"/>
      <c r="BS264" s="644"/>
      <c r="BT264" s="644"/>
      <c r="BU264" s="644"/>
      <c r="BV264" s="644"/>
      <c r="BW264" s="644"/>
      <c r="BX264" s="644"/>
      <c r="BY264" s="644"/>
      <c r="BZ264" s="644"/>
      <c r="CA264" s="644"/>
      <c r="CB264" s="644"/>
      <c r="CC264" s="644"/>
      <c r="CD264" s="644"/>
      <c r="CE264" s="644"/>
      <c r="CF264" s="644"/>
      <c r="CG264" s="644"/>
      <c r="CH264" s="644"/>
      <c r="CI264" s="644"/>
      <c r="CJ264" s="301" t="s">
        <v>841</v>
      </c>
      <c r="CK264" s="343"/>
      <c r="CL264" s="343"/>
    </row>
    <row r="265" spans="1:90" s="344" customFormat="1" ht="12.75" customHeight="1">
      <c r="A265" s="374" t="s">
        <v>973</v>
      </c>
      <c r="B265" s="189"/>
      <c r="C265" s="189"/>
      <c r="D265" s="189">
        <v>1</v>
      </c>
      <c r="E265" s="189">
        <v>1</v>
      </c>
      <c r="F265" s="189"/>
      <c r="G265" s="189">
        <v>1</v>
      </c>
      <c r="H265" s="189"/>
      <c r="I265" s="189"/>
      <c r="J265" s="189"/>
      <c r="K265" s="189"/>
      <c r="L265" s="189">
        <v>1</v>
      </c>
      <c r="M265" s="189"/>
      <c r="N265" s="189"/>
      <c r="O265" s="189"/>
      <c r="P265" s="189"/>
      <c r="Q265" s="189"/>
      <c r="R265" s="189"/>
      <c r="S265" s="189"/>
      <c r="T265" s="189"/>
      <c r="U265" s="189"/>
      <c r="V265" s="366">
        <v>1</v>
      </c>
      <c r="W265" s="189">
        <v>1</v>
      </c>
      <c r="X265" s="189">
        <v>1</v>
      </c>
      <c r="Y265" s="366">
        <v>1</v>
      </c>
      <c r="Z265" s="189"/>
      <c r="AA265" s="189"/>
      <c r="AB265" s="189"/>
      <c r="AC265" s="189"/>
      <c r="AD265" s="189"/>
      <c r="AE265" s="189"/>
      <c r="AF265" s="189">
        <v>1</v>
      </c>
      <c r="AG265" s="189"/>
      <c r="AH265" s="196">
        <v>9</v>
      </c>
      <c r="AI265" s="368" t="s">
        <v>955</v>
      </c>
      <c r="AJ265" s="192">
        <v>42375</v>
      </c>
      <c r="AK265" s="187"/>
      <c r="AL265" s="187">
        <f t="shared" si="178"/>
        <v>0</v>
      </c>
      <c r="AM265" s="187">
        <f t="shared" si="179"/>
        <v>13</v>
      </c>
      <c r="AN265" s="187">
        <f t="shared" si="180"/>
        <v>8</v>
      </c>
      <c r="AO265" s="187">
        <f t="shared" si="181"/>
        <v>8</v>
      </c>
      <c r="AP265" s="187">
        <f t="shared" si="182"/>
        <v>0</v>
      </c>
      <c r="AQ265" s="187">
        <f t="shared" si="183"/>
        <v>0</v>
      </c>
      <c r="AR265" s="187">
        <f t="shared" si="184"/>
        <v>0</v>
      </c>
      <c r="AS265" s="187">
        <f t="shared" si="185"/>
        <v>19</v>
      </c>
      <c r="AT265" s="187">
        <f t="shared" si="186"/>
        <v>0</v>
      </c>
      <c r="AU265" s="187">
        <f t="shared" si="187"/>
        <v>0</v>
      </c>
      <c r="AV265" s="187">
        <f t="shared" si="188"/>
        <v>0</v>
      </c>
      <c r="AW265" s="187">
        <f t="shared" si="189"/>
        <v>0</v>
      </c>
      <c r="AX265" s="187">
        <f t="shared" si="190"/>
        <v>0</v>
      </c>
      <c r="AY265" s="187">
        <f t="shared" si="191"/>
        <v>0</v>
      </c>
      <c r="AZ265" s="187">
        <f t="shared" si="192"/>
        <v>8</v>
      </c>
      <c r="BA265" s="187">
        <f t="shared" si="193"/>
        <v>16</v>
      </c>
      <c r="BB265" s="187">
        <f t="shared" si="194"/>
        <v>13</v>
      </c>
      <c r="BC265" s="187">
        <f t="shared" si="195"/>
        <v>10</v>
      </c>
      <c r="BD265" s="187">
        <f t="shared" si="196"/>
        <v>0</v>
      </c>
      <c r="BE265" s="187">
        <f t="shared" si="197"/>
        <v>0</v>
      </c>
      <c r="BF265" s="187">
        <f t="shared" si="198"/>
        <v>0</v>
      </c>
      <c r="BG265" s="187">
        <f t="shared" si="199"/>
        <v>0</v>
      </c>
      <c r="BH265" s="187">
        <f t="shared" si="200"/>
        <v>0</v>
      </c>
      <c r="BI265" s="187">
        <f t="shared" si="201"/>
        <v>3</v>
      </c>
      <c r="BJ265" s="273">
        <f t="shared" si="202"/>
        <v>95</v>
      </c>
      <c r="BK265" s="167">
        <f t="shared" ref="BK265" si="237">BJ265</f>
        <v>95</v>
      </c>
      <c r="BL265" s="167"/>
      <c r="BM265" s="644"/>
      <c r="BN265" s="644"/>
      <c r="BO265" s="644"/>
      <c r="BP265" s="644"/>
      <c r="BQ265" s="644"/>
      <c r="BR265" s="644"/>
      <c r="BS265" s="644"/>
      <c r="BT265" s="644"/>
      <c r="BU265" s="644"/>
      <c r="BV265" s="644"/>
      <c r="BW265" s="644"/>
      <c r="BX265" s="644"/>
      <c r="BY265" s="644"/>
      <c r="BZ265" s="644"/>
      <c r="CA265" s="644"/>
      <c r="CB265" s="644"/>
      <c r="CC265" s="644"/>
      <c r="CD265" s="644"/>
      <c r="CE265" s="644"/>
      <c r="CF265" s="644"/>
      <c r="CG265" s="644"/>
      <c r="CH265" s="644"/>
      <c r="CI265" s="644"/>
      <c r="CJ265" s="301" t="s">
        <v>809</v>
      </c>
      <c r="CK265" s="343"/>
      <c r="CL265" s="343"/>
    </row>
    <row r="266" spans="1:90" s="344" customFormat="1" ht="12.75" customHeight="1">
      <c r="A266" s="374" t="s">
        <v>974</v>
      </c>
      <c r="B266" s="189"/>
      <c r="C266" s="189"/>
      <c r="D266" s="189">
        <v>1</v>
      </c>
      <c r="E266" s="189">
        <v>1</v>
      </c>
      <c r="F266" s="189"/>
      <c r="G266" s="189">
        <v>1</v>
      </c>
      <c r="H266" s="189"/>
      <c r="I266" s="189"/>
      <c r="J266" s="189"/>
      <c r="K266" s="189"/>
      <c r="L266" s="189">
        <v>1</v>
      </c>
      <c r="M266" s="189"/>
      <c r="N266" s="189"/>
      <c r="O266" s="189">
        <v>1</v>
      </c>
      <c r="P266" s="189"/>
      <c r="Q266" s="366">
        <v>1</v>
      </c>
      <c r="R266" s="189"/>
      <c r="S266" s="189"/>
      <c r="T266" s="189"/>
      <c r="U266" s="189"/>
      <c r="V266" s="189"/>
      <c r="W266" s="189">
        <v>1</v>
      </c>
      <c r="X266" s="189">
        <v>1</v>
      </c>
      <c r="Y266" s="189">
        <v>1</v>
      </c>
      <c r="Z266" s="189">
        <v>1</v>
      </c>
      <c r="AA266" s="189"/>
      <c r="AB266" s="189"/>
      <c r="AC266" s="189"/>
      <c r="AD266" s="189"/>
      <c r="AE266" s="189"/>
      <c r="AF266" s="189"/>
      <c r="AG266" s="189"/>
      <c r="AH266" s="196">
        <v>10</v>
      </c>
      <c r="AI266" s="368" t="s">
        <v>955</v>
      </c>
      <c r="AJ266" s="192">
        <v>42375</v>
      </c>
      <c r="AK266" s="187"/>
      <c r="AL266" s="187">
        <f t="shared" si="178"/>
        <v>0</v>
      </c>
      <c r="AM266" s="187">
        <f t="shared" si="179"/>
        <v>13</v>
      </c>
      <c r="AN266" s="187">
        <f t="shared" si="180"/>
        <v>8</v>
      </c>
      <c r="AO266" s="187">
        <f t="shared" si="181"/>
        <v>8</v>
      </c>
      <c r="AP266" s="187">
        <f t="shared" si="182"/>
        <v>0</v>
      </c>
      <c r="AQ266" s="187">
        <f t="shared" si="183"/>
        <v>0</v>
      </c>
      <c r="AR266" s="187">
        <f t="shared" si="184"/>
        <v>0</v>
      </c>
      <c r="AS266" s="187">
        <f t="shared" si="185"/>
        <v>19</v>
      </c>
      <c r="AT266" s="187">
        <f t="shared" si="186"/>
        <v>13</v>
      </c>
      <c r="AU266" s="187">
        <f t="shared" si="187"/>
        <v>0</v>
      </c>
      <c r="AV266" s="187">
        <f t="shared" si="188"/>
        <v>3</v>
      </c>
      <c r="AW266" s="187">
        <f t="shared" si="189"/>
        <v>0</v>
      </c>
      <c r="AX266" s="187">
        <f t="shared" si="190"/>
        <v>0</v>
      </c>
      <c r="AY266" s="187">
        <f t="shared" si="191"/>
        <v>0</v>
      </c>
      <c r="AZ266" s="187">
        <f t="shared" si="192"/>
        <v>0</v>
      </c>
      <c r="BA266" s="187">
        <f t="shared" si="193"/>
        <v>16</v>
      </c>
      <c r="BB266" s="187">
        <f t="shared" si="194"/>
        <v>13</v>
      </c>
      <c r="BC266" s="187">
        <f t="shared" si="195"/>
        <v>10</v>
      </c>
      <c r="BD266" s="187">
        <f t="shared" si="196"/>
        <v>2</v>
      </c>
      <c r="BE266" s="187">
        <f t="shared" si="197"/>
        <v>0</v>
      </c>
      <c r="BF266" s="187">
        <f t="shared" si="198"/>
        <v>0</v>
      </c>
      <c r="BG266" s="187">
        <f t="shared" si="199"/>
        <v>0</v>
      </c>
      <c r="BH266" s="187">
        <f t="shared" si="200"/>
        <v>0</v>
      </c>
      <c r="BI266" s="187">
        <f t="shared" si="201"/>
        <v>0</v>
      </c>
      <c r="BJ266" s="273">
        <f t="shared" si="202"/>
        <v>100</v>
      </c>
      <c r="BK266" s="167">
        <f t="shared" si="233"/>
        <v>100</v>
      </c>
      <c r="BL266" s="167"/>
      <c r="BM266" s="644"/>
      <c r="BN266" s="644"/>
      <c r="BO266" s="644"/>
      <c r="BP266" s="644"/>
      <c r="BQ266" s="644"/>
      <c r="BR266" s="644"/>
      <c r="BS266" s="644"/>
      <c r="BT266" s="644"/>
      <c r="BU266" s="644"/>
      <c r="BV266" s="644"/>
      <c r="BW266" s="644"/>
      <c r="BX266" s="644"/>
      <c r="BY266" s="644"/>
      <c r="BZ266" s="644"/>
      <c r="CA266" s="644"/>
      <c r="CB266" s="644"/>
      <c r="CC266" s="644"/>
      <c r="CD266" s="644"/>
      <c r="CE266" s="644"/>
      <c r="CF266" s="644"/>
      <c r="CG266" s="644"/>
      <c r="CH266" s="644"/>
      <c r="CI266" s="644"/>
      <c r="CJ266" s="301" t="s">
        <v>768</v>
      </c>
      <c r="CK266" s="343"/>
      <c r="CL266" s="343"/>
    </row>
    <row r="267" spans="1:90">
      <c r="A267" s="178" t="s">
        <v>195</v>
      </c>
      <c r="B267" s="155"/>
      <c r="C267" s="155"/>
      <c r="D267" s="155">
        <v>1</v>
      </c>
      <c r="E267" s="155"/>
      <c r="F267" s="189"/>
      <c r="G267" s="189"/>
      <c r="H267" s="189"/>
      <c r="I267" s="189"/>
      <c r="J267" s="189"/>
      <c r="K267" s="189"/>
      <c r="L267" s="189">
        <v>1</v>
      </c>
      <c r="M267" s="189"/>
      <c r="N267" s="189"/>
      <c r="O267" s="189">
        <v>1</v>
      </c>
      <c r="P267" s="189"/>
      <c r="Q267" s="189"/>
      <c r="R267" s="189"/>
      <c r="S267" s="189">
        <v>1</v>
      </c>
      <c r="T267" s="189">
        <v>1</v>
      </c>
      <c r="U267" s="189"/>
      <c r="V267" s="189"/>
      <c r="W267" s="189">
        <v>1</v>
      </c>
      <c r="X267" s="189"/>
      <c r="Y267" s="189"/>
      <c r="Z267" s="189"/>
      <c r="AA267" s="189">
        <v>1</v>
      </c>
      <c r="AB267" s="189"/>
      <c r="AC267" s="189"/>
      <c r="AD267" s="189"/>
      <c r="AE267" s="189"/>
      <c r="AF267" s="189"/>
      <c r="AG267" s="189"/>
      <c r="AH267" s="196">
        <v>7</v>
      </c>
      <c r="AI267" s="191" t="s">
        <v>975</v>
      </c>
      <c r="AJ267" s="192">
        <v>42375</v>
      </c>
      <c r="AK267" s="187"/>
      <c r="AL267" s="187">
        <f t="shared" si="178"/>
        <v>0</v>
      </c>
      <c r="AM267" s="187">
        <f t="shared" si="179"/>
        <v>13</v>
      </c>
      <c r="AN267" s="187">
        <f t="shared" si="180"/>
        <v>0</v>
      </c>
      <c r="AO267" s="187">
        <f t="shared" si="181"/>
        <v>0</v>
      </c>
      <c r="AP267" s="187">
        <f t="shared" si="182"/>
        <v>0</v>
      </c>
      <c r="AQ267" s="187">
        <f t="shared" si="183"/>
        <v>0</v>
      </c>
      <c r="AR267" s="187">
        <f t="shared" si="184"/>
        <v>0</v>
      </c>
      <c r="AS267" s="187">
        <f t="shared" si="185"/>
        <v>19</v>
      </c>
      <c r="AT267" s="187">
        <f t="shared" si="186"/>
        <v>13</v>
      </c>
      <c r="AU267" s="187">
        <f t="shared" si="187"/>
        <v>0</v>
      </c>
      <c r="AV267" s="187">
        <f t="shared" si="188"/>
        <v>0</v>
      </c>
      <c r="AW267" s="187">
        <f t="shared" si="189"/>
        <v>8</v>
      </c>
      <c r="AX267" s="187">
        <f t="shared" si="190"/>
        <v>4</v>
      </c>
      <c r="AY267" s="187">
        <f t="shared" si="191"/>
        <v>0</v>
      </c>
      <c r="AZ267" s="187">
        <f t="shared" si="192"/>
        <v>0</v>
      </c>
      <c r="BA267" s="187">
        <f t="shared" si="193"/>
        <v>16</v>
      </c>
      <c r="BB267" s="187">
        <f t="shared" si="194"/>
        <v>0</v>
      </c>
      <c r="BC267" s="187">
        <f t="shared" si="195"/>
        <v>0</v>
      </c>
      <c r="BD267" s="187">
        <f t="shared" si="196"/>
        <v>0</v>
      </c>
      <c r="BE267" s="187">
        <f t="shared" si="197"/>
        <v>6</v>
      </c>
      <c r="BF267" s="187">
        <f t="shared" si="198"/>
        <v>0</v>
      </c>
      <c r="BG267" s="187">
        <f t="shared" si="199"/>
        <v>0</v>
      </c>
      <c r="BH267" s="187">
        <f t="shared" si="200"/>
        <v>0</v>
      </c>
      <c r="BI267" s="187">
        <f t="shared" si="201"/>
        <v>0</v>
      </c>
      <c r="BJ267" s="273">
        <f t="shared" si="202"/>
        <v>79</v>
      </c>
      <c r="BK267" s="167">
        <f t="shared" si="233"/>
        <v>79</v>
      </c>
      <c r="BL267" s="167"/>
      <c r="BM267" s="644"/>
      <c r="BN267" s="644"/>
      <c r="BO267" s="644"/>
      <c r="BP267" s="644"/>
      <c r="BQ267" s="644"/>
      <c r="BR267" s="644"/>
      <c r="BS267" s="644"/>
      <c r="BT267" s="644"/>
      <c r="BU267" s="644"/>
      <c r="BV267" s="644"/>
      <c r="BW267" s="644"/>
      <c r="BX267" s="644"/>
      <c r="BY267" s="644"/>
      <c r="BZ267" s="644"/>
      <c r="CA267" s="644"/>
      <c r="CB267" s="644"/>
      <c r="CC267" s="644"/>
      <c r="CD267" s="644"/>
      <c r="CE267" s="644"/>
      <c r="CF267" s="644"/>
      <c r="CG267" s="644"/>
      <c r="CH267" s="644"/>
      <c r="CI267" s="644"/>
      <c r="CJ267" s="301" t="s">
        <v>843</v>
      </c>
      <c r="CK267" s="136"/>
      <c r="CL267" s="136"/>
    </row>
    <row r="268" spans="1:90">
      <c r="A268" s="178" t="s">
        <v>976</v>
      </c>
      <c r="B268" s="155"/>
      <c r="C268" s="155"/>
      <c r="D268" s="155">
        <v>1</v>
      </c>
      <c r="E268" s="366">
        <v>1</v>
      </c>
      <c r="F268" s="366"/>
      <c r="G268" s="366">
        <v>1</v>
      </c>
      <c r="H268" s="189"/>
      <c r="I268" s="189"/>
      <c r="J268" s="189">
        <v>1</v>
      </c>
      <c r="K268" s="189"/>
      <c r="L268" s="189">
        <v>1</v>
      </c>
      <c r="M268" s="189"/>
      <c r="N268" s="189"/>
      <c r="O268" s="189">
        <v>1</v>
      </c>
      <c r="P268" s="189"/>
      <c r="Q268" s="189"/>
      <c r="R268" s="189"/>
      <c r="S268" s="189"/>
      <c r="T268" s="189"/>
      <c r="U268" s="189"/>
      <c r="V268" s="189"/>
      <c r="W268" s="189">
        <v>1</v>
      </c>
      <c r="X268" s="189">
        <v>1</v>
      </c>
      <c r="Y268" s="366">
        <v>1</v>
      </c>
      <c r="Z268" s="189"/>
      <c r="AA268" s="189">
        <v>1</v>
      </c>
      <c r="AB268" s="189"/>
      <c r="AC268" s="189"/>
      <c r="AD268" s="189"/>
      <c r="AE268" s="189"/>
      <c r="AF268" s="189"/>
      <c r="AG268" s="189"/>
      <c r="AH268" s="196">
        <v>10</v>
      </c>
      <c r="AI268" s="368" t="s">
        <v>955</v>
      </c>
      <c r="AJ268" s="192">
        <v>42379</v>
      </c>
      <c r="AK268" s="187"/>
      <c r="AL268" s="187">
        <f t="shared" si="178"/>
        <v>0</v>
      </c>
      <c r="AM268" s="187">
        <f t="shared" si="179"/>
        <v>13</v>
      </c>
      <c r="AN268" s="187">
        <f t="shared" si="180"/>
        <v>8</v>
      </c>
      <c r="AO268" s="187">
        <f t="shared" si="181"/>
        <v>8</v>
      </c>
      <c r="AP268" s="187">
        <f t="shared" si="182"/>
        <v>0</v>
      </c>
      <c r="AQ268" s="187">
        <f t="shared" si="183"/>
        <v>0</v>
      </c>
      <c r="AR268" s="187">
        <f t="shared" si="184"/>
        <v>0</v>
      </c>
      <c r="AS268" s="187">
        <f t="shared" si="185"/>
        <v>19</v>
      </c>
      <c r="AT268" s="187">
        <f t="shared" si="186"/>
        <v>13</v>
      </c>
      <c r="AU268" s="187">
        <f t="shared" si="187"/>
        <v>0</v>
      </c>
      <c r="AV268" s="187">
        <f t="shared" si="188"/>
        <v>0</v>
      </c>
      <c r="AW268" s="187">
        <f t="shared" si="189"/>
        <v>0</v>
      </c>
      <c r="AX268" s="187">
        <f t="shared" si="190"/>
        <v>0</v>
      </c>
      <c r="AY268" s="187">
        <f t="shared" si="191"/>
        <v>0</v>
      </c>
      <c r="AZ268" s="187">
        <f t="shared" si="192"/>
        <v>0</v>
      </c>
      <c r="BA268" s="187">
        <f t="shared" si="193"/>
        <v>16</v>
      </c>
      <c r="BB268" s="187">
        <f t="shared" si="194"/>
        <v>13</v>
      </c>
      <c r="BC268" s="187">
        <f t="shared" si="195"/>
        <v>10</v>
      </c>
      <c r="BD268" s="187">
        <f t="shared" si="196"/>
        <v>0</v>
      </c>
      <c r="BE268" s="187">
        <f t="shared" si="197"/>
        <v>6</v>
      </c>
      <c r="BF268" s="187">
        <f t="shared" si="198"/>
        <v>0</v>
      </c>
      <c r="BG268" s="187">
        <f t="shared" si="199"/>
        <v>0</v>
      </c>
      <c r="BH268" s="187">
        <f t="shared" si="200"/>
        <v>0</v>
      </c>
      <c r="BI268" s="187">
        <f t="shared" si="201"/>
        <v>0</v>
      </c>
      <c r="BJ268" s="273">
        <f t="shared" si="202"/>
        <v>100</v>
      </c>
      <c r="BK268" s="167">
        <f t="shared" si="233"/>
        <v>100</v>
      </c>
      <c r="BL268" s="339"/>
      <c r="BM268" s="182"/>
      <c r="BN268" s="182"/>
      <c r="BO268" s="182"/>
      <c r="BP268" s="182"/>
      <c r="BQ268" s="182"/>
      <c r="BR268" s="182"/>
      <c r="BS268" s="182"/>
      <c r="BT268" s="182"/>
      <c r="BU268" s="182"/>
      <c r="BV268" s="182"/>
      <c r="BW268" s="182"/>
      <c r="BX268" s="182"/>
      <c r="BY268" s="182"/>
      <c r="BZ268" s="182"/>
      <c r="CA268" s="182"/>
      <c r="CB268" s="182"/>
      <c r="CC268" s="182"/>
      <c r="CD268" s="182"/>
      <c r="CE268" s="182"/>
      <c r="CF268" s="182"/>
      <c r="CG268" s="182"/>
      <c r="CH268" s="182"/>
      <c r="CI268" s="182"/>
      <c r="CJ268" s="635" t="s">
        <v>743</v>
      </c>
      <c r="CK268" s="136"/>
      <c r="CL268" s="136"/>
    </row>
    <row r="269" spans="1:90">
      <c r="A269" s="178" t="s">
        <v>568</v>
      </c>
      <c r="B269" s="155"/>
      <c r="C269" s="155"/>
      <c r="D269" s="155">
        <v>1</v>
      </c>
      <c r="E269" s="189">
        <v>1</v>
      </c>
      <c r="F269" s="189"/>
      <c r="G269" s="189">
        <v>1</v>
      </c>
      <c r="H269" s="189"/>
      <c r="I269" s="189"/>
      <c r="J269" s="189"/>
      <c r="K269" s="189"/>
      <c r="L269" s="189">
        <v>1</v>
      </c>
      <c r="M269" s="189"/>
      <c r="N269" s="189"/>
      <c r="O269" s="189">
        <v>1</v>
      </c>
      <c r="P269" s="189"/>
      <c r="Q269" s="189"/>
      <c r="R269" s="189"/>
      <c r="S269" s="366">
        <v>1</v>
      </c>
      <c r="T269" s="189"/>
      <c r="U269" s="189"/>
      <c r="V269" s="189"/>
      <c r="W269" s="366">
        <v>1</v>
      </c>
      <c r="X269" s="189">
        <v>1</v>
      </c>
      <c r="Y269" s="189"/>
      <c r="Z269" s="189"/>
      <c r="AA269" s="366">
        <v>1</v>
      </c>
      <c r="AB269" s="189"/>
      <c r="AC269" s="189"/>
      <c r="AD269" s="189">
        <v>1</v>
      </c>
      <c r="AE269" s="189"/>
      <c r="AF269" s="189"/>
      <c r="AG269" s="189"/>
      <c r="AH269" s="196">
        <v>10</v>
      </c>
      <c r="AI269" s="191" t="s">
        <v>977</v>
      </c>
      <c r="AJ269" s="192">
        <v>42380</v>
      </c>
      <c r="AK269" s="187"/>
      <c r="AL269" s="187">
        <f t="shared" si="178"/>
        <v>0</v>
      </c>
      <c r="AM269" s="187">
        <f t="shared" si="179"/>
        <v>13</v>
      </c>
      <c r="AN269" s="187">
        <f t="shared" si="180"/>
        <v>8</v>
      </c>
      <c r="AO269" s="187">
        <f t="shared" si="181"/>
        <v>8</v>
      </c>
      <c r="AP269" s="187">
        <f t="shared" si="182"/>
        <v>0</v>
      </c>
      <c r="AQ269" s="187">
        <f t="shared" si="183"/>
        <v>0</v>
      </c>
      <c r="AR269" s="187">
        <f t="shared" si="184"/>
        <v>0</v>
      </c>
      <c r="AS269" s="187">
        <f t="shared" si="185"/>
        <v>19</v>
      </c>
      <c r="AT269" s="187">
        <f t="shared" si="186"/>
        <v>13</v>
      </c>
      <c r="AU269" s="187">
        <f t="shared" si="187"/>
        <v>0</v>
      </c>
      <c r="AV269" s="187">
        <f t="shared" si="188"/>
        <v>0</v>
      </c>
      <c r="AW269" s="187">
        <f t="shared" si="189"/>
        <v>8</v>
      </c>
      <c r="AX269" s="187">
        <f t="shared" si="190"/>
        <v>0</v>
      </c>
      <c r="AY269" s="187">
        <f t="shared" si="191"/>
        <v>0</v>
      </c>
      <c r="AZ269" s="187">
        <f t="shared" si="192"/>
        <v>0</v>
      </c>
      <c r="BA269" s="187">
        <f t="shared" si="193"/>
        <v>16</v>
      </c>
      <c r="BB269" s="187">
        <f t="shared" si="194"/>
        <v>13</v>
      </c>
      <c r="BC269" s="187">
        <f t="shared" si="195"/>
        <v>0</v>
      </c>
      <c r="BD269" s="187">
        <f t="shared" si="196"/>
        <v>0</v>
      </c>
      <c r="BE269" s="187">
        <f t="shared" si="197"/>
        <v>6</v>
      </c>
      <c r="BF269" s="187">
        <f t="shared" si="198"/>
        <v>0</v>
      </c>
      <c r="BG269" s="187">
        <f t="shared" si="199"/>
        <v>8</v>
      </c>
      <c r="BH269" s="187">
        <f t="shared" si="200"/>
        <v>0</v>
      </c>
      <c r="BI269" s="187">
        <f t="shared" si="201"/>
        <v>0</v>
      </c>
      <c r="BJ269" s="273">
        <f t="shared" si="202"/>
        <v>98</v>
      </c>
      <c r="BK269" s="167">
        <f t="shared" ref="BK269" si="238">BJ269</f>
        <v>98</v>
      </c>
      <c r="BL269" s="339"/>
      <c r="BM269" s="182"/>
      <c r="BN269" s="182"/>
      <c r="BO269" s="182"/>
      <c r="BP269" s="182"/>
      <c r="BQ269" s="182"/>
      <c r="BR269" s="182"/>
      <c r="BS269" s="182"/>
      <c r="BT269" s="182"/>
      <c r="BU269" s="182"/>
      <c r="BV269" s="182"/>
      <c r="BW269" s="182"/>
      <c r="BX269" s="182"/>
      <c r="BY269" s="182"/>
      <c r="BZ269" s="182"/>
      <c r="CA269" s="182"/>
      <c r="CB269" s="182"/>
      <c r="CC269" s="182"/>
      <c r="CD269" s="182"/>
      <c r="CE269" s="182"/>
      <c r="CF269" s="182"/>
      <c r="CG269" s="182"/>
      <c r="CH269" s="182"/>
      <c r="CI269" s="182"/>
      <c r="CJ269" s="635" t="s">
        <v>746</v>
      </c>
      <c r="CK269" s="136"/>
      <c r="CL269" s="136"/>
    </row>
    <row r="270" spans="1:90" s="344" customFormat="1">
      <c r="A270" s="476" t="s">
        <v>216</v>
      </c>
      <c r="B270" s="189"/>
      <c r="C270" s="189"/>
      <c r="D270" s="189">
        <v>1</v>
      </c>
      <c r="E270" s="189"/>
      <c r="F270" s="189"/>
      <c r="G270" s="189"/>
      <c r="H270" s="189"/>
      <c r="I270" s="189"/>
      <c r="J270" s="189"/>
      <c r="K270" s="189"/>
      <c r="L270" s="189">
        <v>1</v>
      </c>
      <c r="M270" s="189"/>
      <c r="N270" s="189"/>
      <c r="O270" s="189">
        <v>1</v>
      </c>
      <c r="P270" s="189"/>
      <c r="Q270" s="189"/>
      <c r="R270" s="189"/>
      <c r="S270" s="189"/>
      <c r="T270" s="189"/>
      <c r="U270" s="189"/>
      <c r="V270" s="189">
        <v>1</v>
      </c>
      <c r="W270" s="189">
        <v>1</v>
      </c>
      <c r="X270" s="189"/>
      <c r="Y270" s="189">
        <v>1</v>
      </c>
      <c r="Z270" s="189"/>
      <c r="AA270" s="189"/>
      <c r="AB270" s="189"/>
      <c r="AC270" s="189"/>
      <c r="AD270" s="189">
        <v>1</v>
      </c>
      <c r="AE270" s="189"/>
      <c r="AF270" s="189"/>
      <c r="AG270" s="189"/>
      <c r="AH270" s="196">
        <v>7</v>
      </c>
      <c r="AI270" s="134" t="s">
        <v>113</v>
      </c>
      <c r="AJ270" s="370">
        <v>42383</v>
      </c>
      <c r="AK270" s="187"/>
      <c r="AL270" s="187">
        <f t="shared" si="178"/>
        <v>0</v>
      </c>
      <c r="AM270" s="187">
        <f t="shared" si="179"/>
        <v>13</v>
      </c>
      <c r="AN270" s="187">
        <f t="shared" si="180"/>
        <v>0</v>
      </c>
      <c r="AO270" s="187">
        <f t="shared" si="181"/>
        <v>0</v>
      </c>
      <c r="AP270" s="187">
        <f t="shared" si="182"/>
        <v>0</v>
      </c>
      <c r="AQ270" s="187">
        <f t="shared" si="183"/>
        <v>0</v>
      </c>
      <c r="AR270" s="187">
        <f t="shared" si="184"/>
        <v>0</v>
      </c>
      <c r="AS270" s="187">
        <f t="shared" si="185"/>
        <v>19</v>
      </c>
      <c r="AT270" s="187">
        <f t="shared" si="186"/>
        <v>13</v>
      </c>
      <c r="AU270" s="187">
        <f t="shared" si="187"/>
        <v>0</v>
      </c>
      <c r="AV270" s="187">
        <f t="shared" si="188"/>
        <v>0</v>
      </c>
      <c r="AW270" s="187">
        <f t="shared" si="189"/>
        <v>0</v>
      </c>
      <c r="AX270" s="187">
        <f t="shared" si="190"/>
        <v>0</v>
      </c>
      <c r="AY270" s="187">
        <f t="shared" si="191"/>
        <v>0</v>
      </c>
      <c r="AZ270" s="187">
        <f t="shared" si="192"/>
        <v>8</v>
      </c>
      <c r="BA270" s="187">
        <f t="shared" si="193"/>
        <v>16</v>
      </c>
      <c r="BB270" s="187">
        <f t="shared" si="194"/>
        <v>0</v>
      </c>
      <c r="BC270" s="187">
        <f t="shared" si="195"/>
        <v>10</v>
      </c>
      <c r="BD270" s="187">
        <f t="shared" si="196"/>
        <v>0</v>
      </c>
      <c r="BE270" s="187">
        <f t="shared" si="197"/>
        <v>0</v>
      </c>
      <c r="BF270" s="187">
        <f t="shared" si="198"/>
        <v>0</v>
      </c>
      <c r="BG270" s="187">
        <f t="shared" si="199"/>
        <v>8</v>
      </c>
      <c r="BH270" s="187">
        <f t="shared" si="200"/>
        <v>0</v>
      </c>
      <c r="BI270" s="187">
        <f t="shared" si="201"/>
        <v>0</v>
      </c>
      <c r="BJ270" s="273">
        <f t="shared" si="202"/>
        <v>87</v>
      </c>
      <c r="BK270" s="167">
        <f t="shared" ref="BK270" si="239">BJ270</f>
        <v>87</v>
      </c>
      <c r="BL270" s="339"/>
      <c r="BM270" s="182"/>
      <c r="BN270" s="182"/>
      <c r="BO270" s="182"/>
      <c r="BP270" s="182"/>
      <c r="BQ270" s="182"/>
      <c r="BR270" s="182"/>
      <c r="BS270" s="182"/>
      <c r="BT270" s="182"/>
      <c r="BU270" s="182"/>
      <c r="BV270" s="182"/>
      <c r="BW270" s="182"/>
      <c r="BX270" s="182"/>
      <c r="BY270" s="182"/>
      <c r="BZ270" s="182"/>
      <c r="CA270" s="182"/>
      <c r="CB270" s="182"/>
      <c r="CC270" s="182"/>
      <c r="CD270" s="182"/>
      <c r="CE270" s="182"/>
      <c r="CF270" s="182"/>
      <c r="CG270" s="182"/>
      <c r="CH270" s="182"/>
      <c r="CI270" s="182"/>
      <c r="CJ270" s="635" t="s">
        <v>740</v>
      </c>
      <c r="CK270" s="343"/>
      <c r="CL270" s="343"/>
    </row>
    <row r="271" spans="1:90" s="344" customFormat="1" ht="12.75" customHeight="1">
      <c r="A271" s="374" t="s">
        <v>431</v>
      </c>
      <c r="B271" s="189"/>
      <c r="C271" s="189"/>
      <c r="D271" s="189"/>
      <c r="E271" s="189"/>
      <c r="F271" s="189"/>
      <c r="G271" s="189"/>
      <c r="H271" s="189"/>
      <c r="I271" s="189"/>
      <c r="J271" s="189"/>
      <c r="K271" s="189"/>
      <c r="L271" s="189">
        <v>1</v>
      </c>
      <c r="M271" s="189"/>
      <c r="N271" s="189"/>
      <c r="O271" s="189">
        <v>1</v>
      </c>
      <c r="P271" s="189"/>
      <c r="Q271" s="189"/>
      <c r="R271" s="189"/>
      <c r="S271" s="189">
        <v>1</v>
      </c>
      <c r="T271" s="189"/>
      <c r="U271" s="189"/>
      <c r="V271" s="189">
        <v>1</v>
      </c>
      <c r="W271" s="189"/>
      <c r="X271" s="189">
        <v>1</v>
      </c>
      <c r="Y271" s="189">
        <v>1</v>
      </c>
      <c r="Z271" s="189"/>
      <c r="AA271" s="189"/>
      <c r="AB271" s="189"/>
      <c r="AC271" s="189"/>
      <c r="AD271" s="189">
        <v>1</v>
      </c>
      <c r="AE271" s="189"/>
      <c r="AF271" s="189"/>
      <c r="AG271" s="189"/>
      <c r="AH271" s="196">
        <v>7</v>
      </c>
      <c r="AI271" s="368" t="s">
        <v>955</v>
      </c>
      <c r="AJ271" s="192">
        <v>42375</v>
      </c>
      <c r="AK271" s="187"/>
      <c r="AL271" s="187">
        <f t="shared" si="178"/>
        <v>0</v>
      </c>
      <c r="AM271" s="187">
        <f t="shared" si="179"/>
        <v>0</v>
      </c>
      <c r="AN271" s="187">
        <f t="shared" si="180"/>
        <v>0</v>
      </c>
      <c r="AO271" s="187">
        <f t="shared" si="181"/>
        <v>0</v>
      </c>
      <c r="AP271" s="187">
        <f t="shared" si="182"/>
        <v>0</v>
      </c>
      <c r="AQ271" s="187">
        <f t="shared" si="183"/>
        <v>0</v>
      </c>
      <c r="AR271" s="187">
        <f t="shared" si="184"/>
        <v>0</v>
      </c>
      <c r="AS271" s="187">
        <f t="shared" si="185"/>
        <v>19</v>
      </c>
      <c r="AT271" s="187">
        <f t="shared" si="186"/>
        <v>13</v>
      </c>
      <c r="AU271" s="187">
        <f t="shared" si="187"/>
        <v>0</v>
      </c>
      <c r="AV271" s="187">
        <f t="shared" si="188"/>
        <v>0</v>
      </c>
      <c r="AW271" s="187">
        <f t="shared" si="189"/>
        <v>8</v>
      </c>
      <c r="AX271" s="187">
        <f t="shared" si="190"/>
        <v>0</v>
      </c>
      <c r="AY271" s="187">
        <f t="shared" si="191"/>
        <v>0</v>
      </c>
      <c r="AZ271" s="187">
        <f t="shared" si="192"/>
        <v>8</v>
      </c>
      <c r="BA271" s="187">
        <f t="shared" si="193"/>
        <v>0</v>
      </c>
      <c r="BB271" s="187">
        <f t="shared" si="194"/>
        <v>13</v>
      </c>
      <c r="BC271" s="187">
        <f t="shared" si="195"/>
        <v>10</v>
      </c>
      <c r="BD271" s="187">
        <f t="shared" si="196"/>
        <v>0</v>
      </c>
      <c r="BE271" s="187">
        <f t="shared" si="197"/>
        <v>0</v>
      </c>
      <c r="BF271" s="187">
        <f t="shared" si="198"/>
        <v>0</v>
      </c>
      <c r="BG271" s="187">
        <f t="shared" si="199"/>
        <v>8</v>
      </c>
      <c r="BH271" s="187">
        <f t="shared" si="200"/>
        <v>0</v>
      </c>
      <c r="BI271" s="187">
        <f t="shared" si="201"/>
        <v>0</v>
      </c>
      <c r="BJ271" s="273">
        <f t="shared" si="202"/>
        <v>79</v>
      </c>
      <c r="BK271" s="167">
        <f t="shared" si="233"/>
        <v>79</v>
      </c>
      <c r="BL271" s="167"/>
      <c r="BM271" s="644"/>
      <c r="BN271" s="644"/>
      <c r="BO271" s="644"/>
      <c r="BP271" s="644"/>
      <c r="BQ271" s="644"/>
      <c r="BR271" s="644"/>
      <c r="BS271" s="644"/>
      <c r="BT271" s="644"/>
      <c r="BU271" s="644"/>
      <c r="BV271" s="644"/>
      <c r="BW271" s="644"/>
      <c r="BX271" s="644"/>
      <c r="BY271" s="644"/>
      <c r="BZ271" s="644"/>
      <c r="CA271" s="644"/>
      <c r="CB271" s="644"/>
      <c r="CC271" s="644"/>
      <c r="CD271" s="644"/>
      <c r="CE271" s="644"/>
      <c r="CF271" s="644"/>
      <c r="CG271" s="644"/>
      <c r="CH271" s="644"/>
      <c r="CI271" s="644"/>
      <c r="CJ271" s="301" t="s">
        <v>743</v>
      </c>
      <c r="CK271" s="343"/>
      <c r="CL271" s="343"/>
    </row>
    <row r="272" spans="1:90" s="344" customFormat="1" ht="12.75" customHeight="1">
      <c r="A272" s="374" t="s">
        <v>432</v>
      </c>
      <c r="B272" s="189"/>
      <c r="C272" s="189"/>
      <c r="D272" s="189">
        <v>1</v>
      </c>
      <c r="E272" s="189"/>
      <c r="F272" s="189"/>
      <c r="G272" s="189"/>
      <c r="H272" s="189"/>
      <c r="I272" s="189"/>
      <c r="J272" s="189"/>
      <c r="K272" s="189"/>
      <c r="L272" s="189">
        <v>1</v>
      </c>
      <c r="M272" s="189"/>
      <c r="N272" s="189"/>
      <c r="O272" s="189">
        <v>1</v>
      </c>
      <c r="P272" s="189"/>
      <c r="Q272" s="189"/>
      <c r="R272" s="189"/>
      <c r="S272" s="189">
        <v>1</v>
      </c>
      <c r="T272" s="189"/>
      <c r="U272" s="189"/>
      <c r="V272" s="189">
        <v>1</v>
      </c>
      <c r="W272" s="189">
        <v>1</v>
      </c>
      <c r="X272" s="189">
        <v>1</v>
      </c>
      <c r="Y272" s="189"/>
      <c r="Z272" s="366">
        <v>1</v>
      </c>
      <c r="AA272" s="189"/>
      <c r="AB272" s="189"/>
      <c r="AC272" s="189"/>
      <c r="AD272" s="189">
        <v>1</v>
      </c>
      <c r="AE272" s="189">
        <v>1</v>
      </c>
      <c r="AF272" s="189"/>
      <c r="AG272" s="189"/>
      <c r="AH272" s="196">
        <v>10</v>
      </c>
      <c r="AI272" s="368" t="s">
        <v>955</v>
      </c>
      <c r="AJ272" s="192">
        <v>42375</v>
      </c>
      <c r="AK272" s="187"/>
      <c r="AL272" s="187">
        <f t="shared" si="178"/>
        <v>0</v>
      </c>
      <c r="AM272" s="187">
        <f t="shared" si="179"/>
        <v>13</v>
      </c>
      <c r="AN272" s="187">
        <f t="shared" si="180"/>
        <v>0</v>
      </c>
      <c r="AO272" s="187">
        <f t="shared" si="181"/>
        <v>0</v>
      </c>
      <c r="AP272" s="187">
        <f t="shared" si="182"/>
        <v>0</v>
      </c>
      <c r="AQ272" s="187">
        <f t="shared" si="183"/>
        <v>0</v>
      </c>
      <c r="AR272" s="187">
        <f t="shared" si="184"/>
        <v>0</v>
      </c>
      <c r="AS272" s="187">
        <f t="shared" si="185"/>
        <v>19</v>
      </c>
      <c r="AT272" s="187">
        <f t="shared" si="186"/>
        <v>13</v>
      </c>
      <c r="AU272" s="187">
        <f t="shared" si="187"/>
        <v>0</v>
      </c>
      <c r="AV272" s="187">
        <f t="shared" si="188"/>
        <v>0</v>
      </c>
      <c r="AW272" s="187">
        <f t="shared" si="189"/>
        <v>8</v>
      </c>
      <c r="AX272" s="187">
        <f t="shared" si="190"/>
        <v>0</v>
      </c>
      <c r="AY272" s="187">
        <f t="shared" si="191"/>
        <v>0</v>
      </c>
      <c r="AZ272" s="187">
        <f t="shared" si="192"/>
        <v>8</v>
      </c>
      <c r="BA272" s="187">
        <f t="shared" si="193"/>
        <v>16</v>
      </c>
      <c r="BB272" s="187">
        <f t="shared" si="194"/>
        <v>13</v>
      </c>
      <c r="BC272" s="187">
        <f t="shared" si="195"/>
        <v>0</v>
      </c>
      <c r="BD272" s="187">
        <f t="shared" si="196"/>
        <v>2</v>
      </c>
      <c r="BE272" s="187">
        <f t="shared" si="197"/>
        <v>0</v>
      </c>
      <c r="BF272" s="187">
        <f t="shared" si="198"/>
        <v>0</v>
      </c>
      <c r="BG272" s="187">
        <f t="shared" si="199"/>
        <v>8</v>
      </c>
      <c r="BH272" s="187">
        <f t="shared" si="200"/>
        <v>2</v>
      </c>
      <c r="BI272" s="187">
        <f t="shared" si="201"/>
        <v>0</v>
      </c>
      <c r="BJ272" s="273">
        <f t="shared" si="202"/>
        <v>98</v>
      </c>
      <c r="BK272" s="167">
        <f t="shared" ref="BK272" si="240">BJ272</f>
        <v>98</v>
      </c>
      <c r="BL272" s="167"/>
      <c r="BM272" s="644"/>
      <c r="BN272" s="644"/>
      <c r="BO272" s="644"/>
      <c r="BP272" s="644"/>
      <c r="BQ272" s="644"/>
      <c r="BR272" s="644"/>
      <c r="BS272" s="644"/>
      <c r="BT272" s="644"/>
      <c r="BU272" s="644"/>
      <c r="BV272" s="644"/>
      <c r="BW272" s="644"/>
      <c r="BX272" s="644"/>
      <c r="BY272" s="644"/>
      <c r="BZ272" s="644"/>
      <c r="CA272" s="644"/>
      <c r="CB272" s="644"/>
      <c r="CC272" s="644"/>
      <c r="CD272" s="644"/>
      <c r="CE272" s="644"/>
      <c r="CF272" s="644"/>
      <c r="CG272" s="644"/>
      <c r="CH272" s="644"/>
      <c r="CI272" s="644"/>
      <c r="CJ272" s="301" t="s">
        <v>743</v>
      </c>
      <c r="CK272" s="343"/>
      <c r="CL272" s="343"/>
    </row>
    <row r="273" spans="1:90" s="344" customFormat="1" ht="12.75" customHeight="1">
      <c r="A273" s="374" t="s">
        <v>668</v>
      </c>
      <c r="B273" s="189"/>
      <c r="C273" s="189"/>
      <c r="D273" s="189"/>
      <c r="E273" s="189">
        <v>1</v>
      </c>
      <c r="F273" s="189"/>
      <c r="G273" s="189">
        <v>1</v>
      </c>
      <c r="H273" s="189"/>
      <c r="I273" s="189"/>
      <c r="J273" s="189"/>
      <c r="K273" s="189"/>
      <c r="L273" s="189">
        <v>1</v>
      </c>
      <c r="M273" s="189"/>
      <c r="N273" s="189"/>
      <c r="O273" s="189"/>
      <c r="P273" s="189"/>
      <c r="Q273" s="189"/>
      <c r="R273" s="189"/>
      <c r="S273" s="366">
        <v>1</v>
      </c>
      <c r="T273" s="189"/>
      <c r="U273" s="189"/>
      <c r="V273" s="189">
        <v>1</v>
      </c>
      <c r="W273" s="189">
        <v>1</v>
      </c>
      <c r="X273" s="189">
        <v>1</v>
      </c>
      <c r="Y273" s="189"/>
      <c r="Z273" s="189"/>
      <c r="AA273" s="189"/>
      <c r="AB273" s="189">
        <v>1</v>
      </c>
      <c r="AC273" s="189"/>
      <c r="AD273" s="189">
        <v>1</v>
      </c>
      <c r="AE273" s="189"/>
      <c r="AF273" s="189"/>
      <c r="AG273" s="189"/>
      <c r="AH273" s="196">
        <v>9</v>
      </c>
      <c r="AI273" s="368" t="s">
        <v>955</v>
      </c>
      <c r="AJ273" s="192">
        <v>42375</v>
      </c>
      <c r="AK273" s="187"/>
      <c r="AL273" s="187">
        <f t="shared" si="178"/>
        <v>0</v>
      </c>
      <c r="AM273" s="187">
        <f t="shared" si="179"/>
        <v>0</v>
      </c>
      <c r="AN273" s="187">
        <f t="shared" si="180"/>
        <v>8</v>
      </c>
      <c r="AO273" s="187">
        <f t="shared" si="181"/>
        <v>8</v>
      </c>
      <c r="AP273" s="187">
        <f t="shared" si="182"/>
        <v>0</v>
      </c>
      <c r="AQ273" s="187">
        <f t="shared" si="183"/>
        <v>0</v>
      </c>
      <c r="AR273" s="187">
        <f t="shared" si="184"/>
        <v>0</v>
      </c>
      <c r="AS273" s="187">
        <f t="shared" si="185"/>
        <v>19</v>
      </c>
      <c r="AT273" s="187">
        <f t="shared" si="186"/>
        <v>0</v>
      </c>
      <c r="AU273" s="187">
        <f t="shared" si="187"/>
        <v>0</v>
      </c>
      <c r="AV273" s="187">
        <f t="shared" si="188"/>
        <v>0</v>
      </c>
      <c r="AW273" s="187">
        <f t="shared" si="189"/>
        <v>8</v>
      </c>
      <c r="AX273" s="187">
        <f t="shared" si="190"/>
        <v>0</v>
      </c>
      <c r="AY273" s="187">
        <f t="shared" si="191"/>
        <v>0</v>
      </c>
      <c r="AZ273" s="187">
        <f t="shared" si="192"/>
        <v>8</v>
      </c>
      <c r="BA273" s="187">
        <f t="shared" si="193"/>
        <v>16</v>
      </c>
      <c r="BB273" s="187">
        <f t="shared" si="194"/>
        <v>13</v>
      </c>
      <c r="BC273" s="187">
        <f t="shared" si="195"/>
        <v>0</v>
      </c>
      <c r="BD273" s="187">
        <f t="shared" si="196"/>
        <v>0</v>
      </c>
      <c r="BE273" s="187">
        <f t="shared" si="197"/>
        <v>0</v>
      </c>
      <c r="BF273" s="187">
        <f t="shared" si="198"/>
        <v>1</v>
      </c>
      <c r="BG273" s="187">
        <f t="shared" si="199"/>
        <v>8</v>
      </c>
      <c r="BH273" s="187">
        <f t="shared" si="200"/>
        <v>0</v>
      </c>
      <c r="BI273" s="187">
        <f t="shared" si="201"/>
        <v>0</v>
      </c>
      <c r="BJ273" s="273">
        <f t="shared" si="202"/>
        <v>88</v>
      </c>
      <c r="BK273" s="167">
        <f t="shared" ref="BK273:BK274" si="241">BJ273</f>
        <v>88</v>
      </c>
      <c r="BL273" s="339"/>
      <c r="BM273" s="182"/>
      <c r="BN273" s="182"/>
      <c r="BO273" s="182"/>
      <c r="BP273" s="182"/>
      <c r="BQ273" s="182"/>
      <c r="BR273" s="182"/>
      <c r="BS273" s="182"/>
      <c r="BT273" s="182"/>
      <c r="BU273" s="182"/>
      <c r="BV273" s="182"/>
      <c r="BW273" s="182"/>
      <c r="BX273" s="182"/>
      <c r="BY273" s="182"/>
      <c r="BZ273" s="182"/>
      <c r="CA273" s="182"/>
      <c r="CB273" s="182"/>
      <c r="CC273" s="182"/>
      <c r="CD273" s="182"/>
      <c r="CE273" s="182"/>
      <c r="CF273" s="182"/>
      <c r="CG273" s="182"/>
      <c r="CH273" s="182"/>
      <c r="CI273" s="182"/>
      <c r="CJ273" s="635" t="s">
        <v>743</v>
      </c>
      <c r="CK273" s="343"/>
      <c r="CL273" s="343"/>
    </row>
    <row r="274" spans="1:90" s="344" customFormat="1" ht="12.75" customHeight="1">
      <c r="A274" s="374" t="s">
        <v>434</v>
      </c>
      <c r="B274" s="189"/>
      <c r="C274" s="189"/>
      <c r="D274" s="189">
        <v>1</v>
      </c>
      <c r="E274" s="189"/>
      <c r="F274" s="189"/>
      <c r="G274" s="189"/>
      <c r="H274" s="189"/>
      <c r="I274" s="189"/>
      <c r="J274" s="189"/>
      <c r="K274" s="189"/>
      <c r="L274" s="189">
        <v>1</v>
      </c>
      <c r="M274" s="189"/>
      <c r="N274" s="189"/>
      <c r="O274" s="189">
        <v>1</v>
      </c>
      <c r="P274" s="189"/>
      <c r="Q274" s="189"/>
      <c r="R274" s="189"/>
      <c r="S274" s="189">
        <v>1</v>
      </c>
      <c r="T274" s="189"/>
      <c r="U274" s="189"/>
      <c r="V274" s="189"/>
      <c r="W274" s="189">
        <v>1</v>
      </c>
      <c r="X274" s="189">
        <v>1</v>
      </c>
      <c r="Y274" s="189">
        <v>1</v>
      </c>
      <c r="Z274" s="189"/>
      <c r="AA274" s="189">
        <v>1</v>
      </c>
      <c r="AB274" s="189"/>
      <c r="AC274" s="189"/>
      <c r="AD274" s="189">
        <v>1</v>
      </c>
      <c r="AE274" s="189"/>
      <c r="AF274" s="189">
        <v>1</v>
      </c>
      <c r="AG274" s="189"/>
      <c r="AH274" s="196">
        <v>10</v>
      </c>
      <c r="AI274" s="368" t="s">
        <v>955</v>
      </c>
      <c r="AJ274" s="192">
        <v>42376</v>
      </c>
      <c r="AK274" s="187"/>
      <c r="AL274" s="187">
        <f t="shared" si="178"/>
        <v>0</v>
      </c>
      <c r="AM274" s="187">
        <f t="shared" si="179"/>
        <v>13</v>
      </c>
      <c r="AN274" s="187">
        <f t="shared" si="180"/>
        <v>0</v>
      </c>
      <c r="AO274" s="187">
        <f t="shared" si="181"/>
        <v>0</v>
      </c>
      <c r="AP274" s="187">
        <f t="shared" si="182"/>
        <v>0</v>
      </c>
      <c r="AQ274" s="187">
        <f t="shared" si="183"/>
        <v>0</v>
      </c>
      <c r="AR274" s="187">
        <f t="shared" si="184"/>
        <v>0</v>
      </c>
      <c r="AS274" s="187">
        <f t="shared" si="185"/>
        <v>19</v>
      </c>
      <c r="AT274" s="187">
        <f t="shared" si="186"/>
        <v>13</v>
      </c>
      <c r="AU274" s="187">
        <f t="shared" si="187"/>
        <v>0</v>
      </c>
      <c r="AV274" s="187">
        <f t="shared" si="188"/>
        <v>0</v>
      </c>
      <c r="AW274" s="187">
        <f t="shared" si="189"/>
        <v>8</v>
      </c>
      <c r="AX274" s="187">
        <f t="shared" si="190"/>
        <v>0</v>
      </c>
      <c r="AY274" s="187">
        <f t="shared" si="191"/>
        <v>0</v>
      </c>
      <c r="AZ274" s="187">
        <f t="shared" si="192"/>
        <v>0</v>
      </c>
      <c r="BA274" s="187">
        <f t="shared" si="193"/>
        <v>16</v>
      </c>
      <c r="BB274" s="187">
        <f t="shared" si="194"/>
        <v>13</v>
      </c>
      <c r="BC274" s="187">
        <f t="shared" si="195"/>
        <v>10</v>
      </c>
      <c r="BD274" s="187">
        <f t="shared" si="196"/>
        <v>0</v>
      </c>
      <c r="BE274" s="187">
        <f t="shared" si="197"/>
        <v>6</v>
      </c>
      <c r="BF274" s="187">
        <f t="shared" si="198"/>
        <v>0</v>
      </c>
      <c r="BG274" s="187">
        <f t="shared" si="199"/>
        <v>8</v>
      </c>
      <c r="BH274" s="187">
        <f t="shared" si="200"/>
        <v>0</v>
      </c>
      <c r="BI274" s="187">
        <f t="shared" si="201"/>
        <v>3</v>
      </c>
      <c r="BJ274" s="273">
        <f t="shared" si="202"/>
        <v>100</v>
      </c>
      <c r="BK274" s="167">
        <f t="shared" si="241"/>
        <v>100</v>
      </c>
      <c r="BL274" s="167"/>
      <c r="BM274" s="644"/>
      <c r="BN274" s="644"/>
      <c r="BO274" s="644"/>
      <c r="BP274" s="644"/>
      <c r="BQ274" s="644"/>
      <c r="BR274" s="644"/>
      <c r="BS274" s="644"/>
      <c r="BT274" s="644"/>
      <c r="BU274" s="644"/>
      <c r="BV274" s="644"/>
      <c r="BW274" s="644"/>
      <c r="BX274" s="644"/>
      <c r="BY274" s="644"/>
      <c r="BZ274" s="644"/>
      <c r="CA274" s="644"/>
      <c r="CB274" s="644"/>
      <c r="CC274" s="644"/>
      <c r="CD274" s="644"/>
      <c r="CE274" s="644"/>
      <c r="CF274" s="644"/>
      <c r="CG274" s="644"/>
      <c r="CH274" s="644"/>
      <c r="CI274" s="644"/>
      <c r="CJ274" s="301" t="s">
        <v>743</v>
      </c>
      <c r="CK274" s="343"/>
      <c r="CL274" s="343"/>
    </row>
    <row r="275" spans="1:90" s="344" customFormat="1" ht="12.75" customHeight="1">
      <c r="A275" s="374" t="s">
        <v>978</v>
      </c>
      <c r="B275" s="189"/>
      <c r="C275" s="189"/>
      <c r="D275" s="189"/>
      <c r="E275" s="189"/>
      <c r="F275" s="189"/>
      <c r="G275" s="189"/>
      <c r="H275" s="189"/>
      <c r="I275" s="189"/>
      <c r="J275" s="189"/>
      <c r="K275" s="189"/>
      <c r="L275" s="189">
        <v>1</v>
      </c>
      <c r="M275" s="189"/>
      <c r="N275" s="189"/>
      <c r="O275" s="189">
        <v>1</v>
      </c>
      <c r="P275" s="189"/>
      <c r="Q275" s="189"/>
      <c r="R275" s="189"/>
      <c r="S275" s="189"/>
      <c r="T275" s="189"/>
      <c r="U275" s="189"/>
      <c r="V275" s="189"/>
      <c r="W275" s="189">
        <v>1</v>
      </c>
      <c r="X275" s="189"/>
      <c r="Y275" s="189"/>
      <c r="Z275" s="189"/>
      <c r="AA275" s="189"/>
      <c r="AB275" s="189"/>
      <c r="AC275" s="189"/>
      <c r="AD275" s="189"/>
      <c r="AE275" s="189"/>
      <c r="AF275" s="189"/>
      <c r="AG275" s="189"/>
      <c r="AH275" s="196">
        <v>3</v>
      </c>
      <c r="AI275" s="641" t="s">
        <v>115</v>
      </c>
      <c r="AJ275" s="192">
        <v>42377</v>
      </c>
      <c r="AK275" s="187"/>
      <c r="AL275" s="187">
        <f t="shared" si="178"/>
        <v>0</v>
      </c>
      <c r="AM275" s="187">
        <f t="shared" si="179"/>
        <v>0</v>
      </c>
      <c r="AN275" s="187">
        <f t="shared" si="180"/>
        <v>0</v>
      </c>
      <c r="AO275" s="187">
        <f t="shared" si="181"/>
        <v>0</v>
      </c>
      <c r="AP275" s="187">
        <f t="shared" si="182"/>
        <v>0</v>
      </c>
      <c r="AQ275" s="187">
        <f t="shared" si="183"/>
        <v>0</v>
      </c>
      <c r="AR275" s="187">
        <f t="shared" si="184"/>
        <v>0</v>
      </c>
      <c r="AS275" s="187">
        <f t="shared" si="185"/>
        <v>19</v>
      </c>
      <c r="AT275" s="187">
        <f t="shared" si="186"/>
        <v>13</v>
      </c>
      <c r="AU275" s="187">
        <f t="shared" si="187"/>
        <v>0</v>
      </c>
      <c r="AV275" s="187">
        <f t="shared" si="188"/>
        <v>0</v>
      </c>
      <c r="AW275" s="187">
        <f t="shared" si="189"/>
        <v>0</v>
      </c>
      <c r="AX275" s="187">
        <f t="shared" si="190"/>
        <v>0</v>
      </c>
      <c r="AY275" s="187">
        <f t="shared" si="191"/>
        <v>0</v>
      </c>
      <c r="AZ275" s="187">
        <f t="shared" si="192"/>
        <v>0</v>
      </c>
      <c r="BA275" s="187">
        <f t="shared" si="193"/>
        <v>16</v>
      </c>
      <c r="BB275" s="187">
        <f t="shared" si="194"/>
        <v>0</v>
      </c>
      <c r="BC275" s="187">
        <f t="shared" si="195"/>
        <v>0</v>
      </c>
      <c r="BD275" s="187">
        <f t="shared" si="196"/>
        <v>0</v>
      </c>
      <c r="BE275" s="187">
        <f t="shared" si="197"/>
        <v>0</v>
      </c>
      <c r="BF275" s="187">
        <f t="shared" si="198"/>
        <v>0</v>
      </c>
      <c r="BG275" s="187">
        <f t="shared" si="199"/>
        <v>0</v>
      </c>
      <c r="BH275" s="187">
        <f t="shared" si="200"/>
        <v>0</v>
      </c>
      <c r="BI275" s="187">
        <f t="shared" si="201"/>
        <v>0</v>
      </c>
      <c r="BJ275" s="273">
        <f t="shared" si="202"/>
        <v>48</v>
      </c>
      <c r="BK275" s="167">
        <f t="shared" ref="BK275" si="242">BJ275</f>
        <v>48</v>
      </c>
      <c r="BL275" s="167"/>
      <c r="BM275" s="644"/>
      <c r="BN275" s="644"/>
      <c r="BO275" s="644"/>
      <c r="BP275" s="644"/>
      <c r="BQ275" s="644"/>
      <c r="BR275" s="644"/>
      <c r="BS275" s="644"/>
      <c r="BT275" s="644"/>
      <c r="BU275" s="644"/>
      <c r="BV275" s="644"/>
      <c r="BW275" s="644"/>
      <c r="BX275" s="644"/>
      <c r="BY275" s="644"/>
      <c r="BZ275" s="644"/>
      <c r="CA275" s="644"/>
      <c r="CB275" s="644"/>
      <c r="CC275" s="644"/>
      <c r="CD275" s="644"/>
      <c r="CE275" s="644"/>
      <c r="CF275" s="644"/>
      <c r="CG275" s="644"/>
      <c r="CH275" s="644"/>
      <c r="CI275" s="644"/>
      <c r="CJ275" s="301" t="s">
        <v>743</v>
      </c>
      <c r="CK275" s="343"/>
      <c r="CL275" s="343"/>
    </row>
    <row r="276" spans="1:90" s="344" customFormat="1" ht="12.75" customHeight="1">
      <c r="A276" s="374" t="s">
        <v>669</v>
      </c>
      <c r="B276" s="189"/>
      <c r="C276" s="189"/>
      <c r="D276" s="189">
        <v>1</v>
      </c>
      <c r="E276" s="189"/>
      <c r="F276" s="189"/>
      <c r="G276" s="189"/>
      <c r="H276" s="189"/>
      <c r="I276" s="189"/>
      <c r="J276" s="189"/>
      <c r="K276" s="189"/>
      <c r="L276" s="189">
        <v>1</v>
      </c>
      <c r="M276" s="189"/>
      <c r="N276" s="189"/>
      <c r="O276" s="189">
        <v>1</v>
      </c>
      <c r="P276" s="189"/>
      <c r="Q276" s="189"/>
      <c r="R276" s="189"/>
      <c r="S276" s="189"/>
      <c r="T276" s="189"/>
      <c r="U276" s="189"/>
      <c r="V276" s="189"/>
      <c r="W276" s="189">
        <v>1</v>
      </c>
      <c r="X276" s="366">
        <v>1</v>
      </c>
      <c r="Y276" s="367"/>
      <c r="Z276" s="189"/>
      <c r="AA276" s="189"/>
      <c r="AB276" s="189"/>
      <c r="AC276" s="189"/>
      <c r="AD276" s="189"/>
      <c r="AE276" s="189"/>
      <c r="AF276" s="189"/>
      <c r="AG276" s="189"/>
      <c r="AH276" s="196">
        <v>5</v>
      </c>
      <c r="AI276" s="368" t="s">
        <v>955</v>
      </c>
      <c r="AJ276" s="192">
        <v>42375</v>
      </c>
      <c r="AK276" s="187"/>
      <c r="AL276" s="187">
        <f t="shared" si="178"/>
        <v>0</v>
      </c>
      <c r="AM276" s="187">
        <f t="shared" si="179"/>
        <v>13</v>
      </c>
      <c r="AN276" s="187">
        <f t="shared" si="180"/>
        <v>0</v>
      </c>
      <c r="AO276" s="187">
        <f t="shared" si="181"/>
        <v>0</v>
      </c>
      <c r="AP276" s="187">
        <f t="shared" si="182"/>
        <v>0</v>
      </c>
      <c r="AQ276" s="187">
        <f t="shared" si="183"/>
        <v>0</v>
      </c>
      <c r="AR276" s="187">
        <f t="shared" si="184"/>
        <v>0</v>
      </c>
      <c r="AS276" s="187">
        <f t="shared" si="185"/>
        <v>19</v>
      </c>
      <c r="AT276" s="187">
        <f t="shared" si="186"/>
        <v>13</v>
      </c>
      <c r="AU276" s="187">
        <f t="shared" si="187"/>
        <v>0</v>
      </c>
      <c r="AV276" s="187">
        <f t="shared" si="188"/>
        <v>0</v>
      </c>
      <c r="AW276" s="187">
        <f t="shared" si="189"/>
        <v>0</v>
      </c>
      <c r="AX276" s="187">
        <f t="shared" si="190"/>
        <v>0</v>
      </c>
      <c r="AY276" s="187">
        <f t="shared" si="191"/>
        <v>0</v>
      </c>
      <c r="AZ276" s="187">
        <f t="shared" si="192"/>
        <v>0</v>
      </c>
      <c r="BA276" s="187">
        <f t="shared" si="193"/>
        <v>16</v>
      </c>
      <c r="BB276" s="187">
        <f t="shared" si="194"/>
        <v>13</v>
      </c>
      <c r="BC276" s="187">
        <f t="shared" si="195"/>
        <v>0</v>
      </c>
      <c r="BD276" s="187">
        <f t="shared" si="196"/>
        <v>0</v>
      </c>
      <c r="BE276" s="187">
        <f t="shared" si="197"/>
        <v>0</v>
      </c>
      <c r="BF276" s="187">
        <f t="shared" si="198"/>
        <v>0</v>
      </c>
      <c r="BG276" s="187">
        <f t="shared" si="199"/>
        <v>0</v>
      </c>
      <c r="BH276" s="187">
        <f t="shared" si="200"/>
        <v>0</v>
      </c>
      <c r="BI276" s="187">
        <f t="shared" si="201"/>
        <v>0</v>
      </c>
      <c r="BJ276" s="273">
        <f t="shared" si="202"/>
        <v>74</v>
      </c>
      <c r="BK276" s="167">
        <f t="shared" ref="BK276" si="243">BJ276</f>
        <v>74</v>
      </c>
      <c r="BL276" s="339"/>
      <c r="BM276" s="182"/>
      <c r="BN276" s="182"/>
      <c r="BO276" s="182"/>
      <c r="BP276" s="182"/>
      <c r="BQ276" s="182"/>
      <c r="BR276" s="182"/>
      <c r="BS276" s="182"/>
      <c r="BT276" s="182"/>
      <c r="BU276" s="182"/>
      <c r="BV276" s="182"/>
      <c r="BW276" s="182"/>
      <c r="BX276" s="182"/>
      <c r="BY276" s="182"/>
      <c r="BZ276" s="182"/>
      <c r="CA276" s="182"/>
      <c r="CB276" s="182"/>
      <c r="CC276" s="182"/>
      <c r="CD276" s="182"/>
      <c r="CE276" s="182"/>
      <c r="CF276" s="182"/>
      <c r="CG276" s="182"/>
      <c r="CH276" s="182"/>
      <c r="CI276" s="182"/>
      <c r="CJ276" s="635" t="s">
        <v>743</v>
      </c>
      <c r="CK276" s="343"/>
      <c r="CL276" s="343"/>
    </row>
    <row r="277" spans="1:90" s="344" customFormat="1" ht="12.75" customHeight="1">
      <c r="A277" s="374" t="s">
        <v>437</v>
      </c>
      <c r="B277" s="189"/>
      <c r="C277" s="189"/>
      <c r="D277" s="189">
        <v>1</v>
      </c>
      <c r="E277" s="189">
        <v>1</v>
      </c>
      <c r="F277" s="189"/>
      <c r="G277" s="189">
        <v>1</v>
      </c>
      <c r="H277" s="189"/>
      <c r="I277" s="189"/>
      <c r="J277" s="189"/>
      <c r="K277" s="189"/>
      <c r="L277" s="189">
        <v>1</v>
      </c>
      <c r="M277" s="189"/>
      <c r="N277" s="189"/>
      <c r="O277" s="189">
        <v>1</v>
      </c>
      <c r="P277" s="189"/>
      <c r="Q277" s="189"/>
      <c r="R277" s="189"/>
      <c r="S277" s="366">
        <v>1</v>
      </c>
      <c r="T277" s="189"/>
      <c r="U277" s="366">
        <v>1</v>
      </c>
      <c r="V277" s="189"/>
      <c r="W277" s="189">
        <v>1</v>
      </c>
      <c r="X277" s="189"/>
      <c r="Y277" s="189">
        <v>1</v>
      </c>
      <c r="Z277" s="189">
        <v>1</v>
      </c>
      <c r="AA277" s="189"/>
      <c r="AB277" s="189"/>
      <c r="AC277" s="189"/>
      <c r="AD277" s="189"/>
      <c r="AE277" s="189"/>
      <c r="AF277" s="189"/>
      <c r="AG277" s="189"/>
      <c r="AH277" s="196">
        <v>10</v>
      </c>
      <c r="AI277" s="368" t="s">
        <v>955</v>
      </c>
      <c r="AJ277" s="192">
        <v>42381</v>
      </c>
      <c r="AK277" s="187"/>
      <c r="AL277" s="187">
        <f t="shared" si="178"/>
        <v>0</v>
      </c>
      <c r="AM277" s="187">
        <f t="shared" si="179"/>
        <v>13</v>
      </c>
      <c r="AN277" s="187">
        <f t="shared" si="180"/>
        <v>8</v>
      </c>
      <c r="AO277" s="187">
        <f t="shared" si="181"/>
        <v>8</v>
      </c>
      <c r="AP277" s="187">
        <f t="shared" si="182"/>
        <v>0</v>
      </c>
      <c r="AQ277" s="187">
        <f t="shared" si="183"/>
        <v>0</v>
      </c>
      <c r="AR277" s="187">
        <f t="shared" si="184"/>
        <v>0</v>
      </c>
      <c r="AS277" s="187">
        <f t="shared" si="185"/>
        <v>19</v>
      </c>
      <c r="AT277" s="187">
        <f t="shared" si="186"/>
        <v>13</v>
      </c>
      <c r="AU277" s="187">
        <f t="shared" si="187"/>
        <v>0</v>
      </c>
      <c r="AV277" s="187">
        <f t="shared" si="188"/>
        <v>0</v>
      </c>
      <c r="AW277" s="187">
        <f t="shared" si="189"/>
        <v>8</v>
      </c>
      <c r="AX277" s="187">
        <f t="shared" si="190"/>
        <v>0</v>
      </c>
      <c r="AY277" s="187">
        <f t="shared" si="191"/>
        <v>2</v>
      </c>
      <c r="AZ277" s="187">
        <f t="shared" si="192"/>
        <v>0</v>
      </c>
      <c r="BA277" s="187">
        <f t="shared" si="193"/>
        <v>16</v>
      </c>
      <c r="BB277" s="187">
        <f t="shared" si="194"/>
        <v>0</v>
      </c>
      <c r="BC277" s="187">
        <f t="shared" si="195"/>
        <v>10</v>
      </c>
      <c r="BD277" s="187">
        <f t="shared" si="196"/>
        <v>2</v>
      </c>
      <c r="BE277" s="187">
        <f t="shared" si="197"/>
        <v>0</v>
      </c>
      <c r="BF277" s="187">
        <f t="shared" si="198"/>
        <v>0</v>
      </c>
      <c r="BG277" s="187">
        <f t="shared" si="199"/>
        <v>0</v>
      </c>
      <c r="BH277" s="187">
        <f t="shared" si="200"/>
        <v>0</v>
      </c>
      <c r="BI277" s="187">
        <f t="shared" si="201"/>
        <v>0</v>
      </c>
      <c r="BJ277" s="273">
        <f t="shared" si="202"/>
        <v>95</v>
      </c>
      <c r="BK277" s="167">
        <f t="shared" ref="BK277" si="244">BJ277</f>
        <v>95</v>
      </c>
      <c r="BL277" s="182"/>
      <c r="BM277" s="182"/>
      <c r="BN277" s="182"/>
      <c r="BO277" s="182"/>
      <c r="BP277" s="182"/>
      <c r="BQ277" s="182"/>
      <c r="BR277" s="182"/>
      <c r="BS277" s="182"/>
      <c r="BT277" s="182"/>
      <c r="BU277" s="182"/>
      <c r="BV277" s="182"/>
      <c r="BW277" s="182"/>
      <c r="BX277" s="182"/>
      <c r="BY277" s="182"/>
      <c r="BZ277" s="182"/>
      <c r="CA277" s="182"/>
      <c r="CB277" s="182"/>
      <c r="CC277" s="182"/>
      <c r="CD277" s="182"/>
      <c r="CE277" s="182"/>
      <c r="CF277" s="182"/>
      <c r="CG277" s="182"/>
      <c r="CH277" s="182"/>
      <c r="CI277" s="182"/>
      <c r="CJ277" s="635" t="s">
        <v>743</v>
      </c>
      <c r="CK277" s="343"/>
      <c r="CL277" s="343"/>
    </row>
    <row r="278" spans="1:90" s="344" customFormat="1" ht="12.75" customHeight="1">
      <c r="A278" s="374" t="s">
        <v>438</v>
      </c>
      <c r="B278" s="189"/>
      <c r="C278" s="189"/>
      <c r="D278" s="189">
        <v>1</v>
      </c>
      <c r="E278" s="366">
        <v>1</v>
      </c>
      <c r="F278" s="366"/>
      <c r="G278" s="366">
        <v>1</v>
      </c>
      <c r="H278" s="189"/>
      <c r="I278" s="189"/>
      <c r="J278" s="189"/>
      <c r="K278" s="189"/>
      <c r="L278" s="189">
        <v>1</v>
      </c>
      <c r="M278" s="189"/>
      <c r="N278" s="189"/>
      <c r="O278" s="189"/>
      <c r="P278" s="189"/>
      <c r="Q278" s="189"/>
      <c r="R278" s="189"/>
      <c r="S278" s="189"/>
      <c r="T278" s="189"/>
      <c r="U278" s="189">
        <v>1</v>
      </c>
      <c r="V278" s="189"/>
      <c r="W278" s="189">
        <v>1</v>
      </c>
      <c r="X278" s="189"/>
      <c r="Y278" s="189">
        <v>1</v>
      </c>
      <c r="Z278" s="189"/>
      <c r="AA278" s="189">
        <v>1</v>
      </c>
      <c r="AB278" s="189">
        <v>1</v>
      </c>
      <c r="AC278" s="189">
        <v>1</v>
      </c>
      <c r="AD278" s="189"/>
      <c r="AE278" s="189"/>
      <c r="AF278" s="189"/>
      <c r="AG278" s="189"/>
      <c r="AH278" s="196">
        <v>10</v>
      </c>
      <c r="AI278" s="368" t="s">
        <v>955</v>
      </c>
      <c r="AJ278" s="192">
        <v>42379</v>
      </c>
      <c r="AK278" s="187"/>
      <c r="AL278" s="187">
        <f t="shared" si="178"/>
        <v>0</v>
      </c>
      <c r="AM278" s="187">
        <f t="shared" si="179"/>
        <v>13</v>
      </c>
      <c r="AN278" s="187">
        <f t="shared" si="180"/>
        <v>8</v>
      </c>
      <c r="AO278" s="187">
        <f t="shared" si="181"/>
        <v>8</v>
      </c>
      <c r="AP278" s="187">
        <f t="shared" si="182"/>
        <v>0</v>
      </c>
      <c r="AQ278" s="187">
        <f t="shared" si="183"/>
        <v>0</v>
      </c>
      <c r="AR278" s="187">
        <f t="shared" si="184"/>
        <v>0</v>
      </c>
      <c r="AS278" s="187">
        <f t="shared" si="185"/>
        <v>19</v>
      </c>
      <c r="AT278" s="187">
        <f t="shared" si="186"/>
        <v>0</v>
      </c>
      <c r="AU278" s="187">
        <f t="shared" si="187"/>
        <v>0</v>
      </c>
      <c r="AV278" s="187">
        <f t="shared" si="188"/>
        <v>0</v>
      </c>
      <c r="AW278" s="187">
        <f t="shared" si="189"/>
        <v>0</v>
      </c>
      <c r="AX278" s="187">
        <f t="shared" si="190"/>
        <v>0</v>
      </c>
      <c r="AY278" s="187">
        <f t="shared" si="191"/>
        <v>2</v>
      </c>
      <c r="AZ278" s="187">
        <f t="shared" si="192"/>
        <v>0</v>
      </c>
      <c r="BA278" s="187">
        <f t="shared" si="193"/>
        <v>16</v>
      </c>
      <c r="BB278" s="187">
        <f t="shared" si="194"/>
        <v>0</v>
      </c>
      <c r="BC278" s="187">
        <f t="shared" si="195"/>
        <v>10</v>
      </c>
      <c r="BD278" s="187">
        <f t="shared" si="196"/>
        <v>0</v>
      </c>
      <c r="BE278" s="187">
        <f t="shared" si="197"/>
        <v>6</v>
      </c>
      <c r="BF278" s="187">
        <f t="shared" si="198"/>
        <v>1</v>
      </c>
      <c r="BG278" s="187">
        <f t="shared" si="199"/>
        <v>0</v>
      </c>
      <c r="BH278" s="187">
        <f t="shared" si="200"/>
        <v>0</v>
      </c>
      <c r="BI278" s="187">
        <f t="shared" si="201"/>
        <v>0</v>
      </c>
      <c r="BJ278" s="273">
        <f t="shared" si="202"/>
        <v>82</v>
      </c>
      <c r="BK278" s="167">
        <f t="shared" ref="BK278" si="245">BJ278</f>
        <v>82</v>
      </c>
      <c r="BL278" s="182"/>
      <c r="BM278" s="182"/>
      <c r="BN278" s="182"/>
      <c r="BO278" s="182"/>
      <c r="BP278" s="182"/>
      <c r="BQ278" s="182"/>
      <c r="BR278" s="182"/>
      <c r="BS278" s="182"/>
      <c r="BT278" s="182"/>
      <c r="BU278" s="182"/>
      <c r="BV278" s="182"/>
      <c r="BW278" s="182"/>
      <c r="BX278" s="182"/>
      <c r="BY278" s="182"/>
      <c r="BZ278" s="182"/>
      <c r="CA278" s="182"/>
      <c r="CB278" s="182"/>
      <c r="CC278" s="182"/>
      <c r="CD278" s="182"/>
      <c r="CE278" s="182"/>
      <c r="CF278" s="182"/>
      <c r="CG278" s="182"/>
      <c r="CH278" s="182"/>
      <c r="CI278" s="182"/>
      <c r="CJ278" s="635" t="s">
        <v>743</v>
      </c>
      <c r="CK278" s="343"/>
      <c r="CL278" s="343"/>
    </row>
    <row r="279" spans="1:90" s="344" customFormat="1" ht="12.75" customHeight="1">
      <c r="A279" s="374" t="s">
        <v>670</v>
      </c>
      <c r="B279" s="189"/>
      <c r="C279" s="189"/>
      <c r="D279" s="189"/>
      <c r="E279" s="189"/>
      <c r="F279" s="189"/>
      <c r="G279" s="189"/>
      <c r="H279" s="189"/>
      <c r="I279" s="189"/>
      <c r="J279" s="366">
        <v>1</v>
      </c>
      <c r="K279" s="189"/>
      <c r="L279" s="189">
        <v>1</v>
      </c>
      <c r="M279" s="189"/>
      <c r="N279" s="189"/>
      <c r="O279" s="189">
        <v>1</v>
      </c>
      <c r="P279" s="189"/>
      <c r="Q279" s="189"/>
      <c r="R279" s="189"/>
      <c r="S279" s="189"/>
      <c r="T279" s="189">
        <v>1</v>
      </c>
      <c r="U279" s="189"/>
      <c r="V279" s="366">
        <v>1</v>
      </c>
      <c r="W279" s="189"/>
      <c r="X279" s="189"/>
      <c r="Y279" s="189">
        <v>1</v>
      </c>
      <c r="Z279" s="189"/>
      <c r="AA279" s="189"/>
      <c r="AB279" s="189"/>
      <c r="AC279" s="189"/>
      <c r="AD279" s="189">
        <v>1</v>
      </c>
      <c r="AE279" s="189"/>
      <c r="AF279" s="189"/>
      <c r="AG279" s="189"/>
      <c r="AH279" s="196">
        <v>7</v>
      </c>
      <c r="AI279" s="368" t="s">
        <v>955</v>
      </c>
      <c r="AJ279" s="192">
        <v>42382</v>
      </c>
      <c r="AK279" s="187"/>
      <c r="AL279" s="187">
        <f t="shared" si="178"/>
        <v>0</v>
      </c>
      <c r="AM279" s="187">
        <f t="shared" si="179"/>
        <v>0</v>
      </c>
      <c r="AN279" s="187">
        <f t="shared" si="180"/>
        <v>0</v>
      </c>
      <c r="AO279" s="187">
        <f t="shared" si="181"/>
        <v>0</v>
      </c>
      <c r="AP279" s="187">
        <f t="shared" si="182"/>
        <v>0</v>
      </c>
      <c r="AQ279" s="187">
        <f t="shared" si="183"/>
        <v>0</v>
      </c>
      <c r="AR279" s="187">
        <f t="shared" si="184"/>
        <v>0</v>
      </c>
      <c r="AS279" s="187">
        <f t="shared" si="185"/>
        <v>19</v>
      </c>
      <c r="AT279" s="187">
        <f t="shared" si="186"/>
        <v>13</v>
      </c>
      <c r="AU279" s="187">
        <f t="shared" si="187"/>
        <v>0</v>
      </c>
      <c r="AV279" s="187">
        <f t="shared" si="188"/>
        <v>0</v>
      </c>
      <c r="AW279" s="187">
        <f t="shared" si="189"/>
        <v>0</v>
      </c>
      <c r="AX279" s="187">
        <f t="shared" si="190"/>
        <v>4</v>
      </c>
      <c r="AY279" s="187">
        <f t="shared" si="191"/>
        <v>0</v>
      </c>
      <c r="AZ279" s="187">
        <f t="shared" si="192"/>
        <v>8</v>
      </c>
      <c r="BA279" s="187">
        <f t="shared" si="193"/>
        <v>0</v>
      </c>
      <c r="BB279" s="187">
        <f t="shared" si="194"/>
        <v>0</v>
      </c>
      <c r="BC279" s="187">
        <f t="shared" si="195"/>
        <v>10</v>
      </c>
      <c r="BD279" s="187">
        <f t="shared" si="196"/>
        <v>0</v>
      </c>
      <c r="BE279" s="187">
        <f t="shared" si="197"/>
        <v>0</v>
      </c>
      <c r="BF279" s="187">
        <f t="shared" si="198"/>
        <v>0</v>
      </c>
      <c r="BG279" s="187">
        <f t="shared" si="199"/>
        <v>8</v>
      </c>
      <c r="BH279" s="187">
        <f t="shared" si="200"/>
        <v>0</v>
      </c>
      <c r="BI279" s="187">
        <f t="shared" si="201"/>
        <v>0</v>
      </c>
      <c r="BJ279" s="273">
        <f t="shared" si="202"/>
        <v>62</v>
      </c>
      <c r="BK279" s="167">
        <f t="shared" ref="BK279" si="246">BJ279</f>
        <v>62</v>
      </c>
      <c r="BL279" s="182"/>
      <c r="BM279" s="182"/>
      <c r="BN279" s="182"/>
      <c r="BO279" s="182"/>
      <c r="BP279" s="182"/>
      <c r="BQ279" s="182"/>
      <c r="BR279" s="182"/>
      <c r="BS279" s="182"/>
      <c r="BT279" s="182"/>
      <c r="BU279" s="182"/>
      <c r="BV279" s="182"/>
      <c r="BW279" s="182"/>
      <c r="BX279" s="182"/>
      <c r="BY279" s="182"/>
      <c r="BZ279" s="182"/>
      <c r="CA279" s="182"/>
      <c r="CB279" s="182"/>
      <c r="CC279" s="182"/>
      <c r="CD279" s="182"/>
      <c r="CE279" s="182"/>
      <c r="CF279" s="182"/>
      <c r="CG279" s="182"/>
      <c r="CH279" s="182"/>
      <c r="CI279" s="182"/>
      <c r="CJ279" s="635" t="s">
        <v>743</v>
      </c>
      <c r="CK279" s="343"/>
      <c r="CL279" s="343"/>
    </row>
    <row r="280" spans="1:90" s="344" customFormat="1" ht="12.75" customHeight="1">
      <c r="A280" s="374" t="s">
        <v>440</v>
      </c>
      <c r="B280" s="189"/>
      <c r="C280" s="189"/>
      <c r="D280" s="189">
        <v>1</v>
      </c>
      <c r="E280" s="189"/>
      <c r="F280" s="189"/>
      <c r="G280" s="189"/>
      <c r="H280" s="189"/>
      <c r="I280" s="189"/>
      <c r="J280" s="189"/>
      <c r="K280" s="189"/>
      <c r="L280" s="189">
        <v>1</v>
      </c>
      <c r="M280" s="189"/>
      <c r="N280" s="189"/>
      <c r="O280" s="189"/>
      <c r="P280" s="189"/>
      <c r="Q280" s="189"/>
      <c r="R280" s="189"/>
      <c r="S280" s="366">
        <v>1</v>
      </c>
      <c r="T280" s="189">
        <v>1</v>
      </c>
      <c r="U280" s="189"/>
      <c r="V280" s="189">
        <v>1</v>
      </c>
      <c r="W280" s="189">
        <v>1</v>
      </c>
      <c r="X280" s="189">
        <v>1</v>
      </c>
      <c r="Y280" s="366">
        <v>1</v>
      </c>
      <c r="Z280" s="189">
        <v>1</v>
      </c>
      <c r="AA280" s="189"/>
      <c r="AB280" s="189"/>
      <c r="AC280" s="189"/>
      <c r="AD280" s="366">
        <v>1</v>
      </c>
      <c r="AE280" s="189"/>
      <c r="AF280" s="189"/>
      <c r="AG280" s="189"/>
      <c r="AH280" s="196">
        <v>10</v>
      </c>
      <c r="AI280" s="368" t="s">
        <v>955</v>
      </c>
      <c r="AJ280" s="192">
        <v>42376</v>
      </c>
      <c r="AK280" s="187"/>
      <c r="AL280" s="187">
        <f t="shared" ref="AL280:AL334" si="247">IF(B280=1,0,0)</f>
        <v>0</v>
      </c>
      <c r="AM280" s="187">
        <f t="shared" ref="AM280:AM334" si="248">IF(D280=1,13,0)</f>
        <v>13</v>
      </c>
      <c r="AN280" s="187">
        <f t="shared" ref="AN280:AN334" si="249">IF(E280=1,8,0)</f>
        <v>0</v>
      </c>
      <c r="AO280" s="187">
        <f t="shared" ref="AO280:AO334" si="250">IF(G280=1,8,0)</f>
        <v>0</v>
      </c>
      <c r="AP280" s="187">
        <f t="shared" ref="AP280:AP334" si="251">IF(I280=1,0,0)</f>
        <v>0</v>
      </c>
      <c r="AQ280" s="187">
        <f t="shared" ref="AQ280:AQ334" si="252">IF(J280=1,0,0)</f>
        <v>0</v>
      </c>
      <c r="AR280" s="187">
        <f t="shared" ref="AR280:AR334" si="253">IF(K280=1,0,0)</f>
        <v>0</v>
      </c>
      <c r="AS280" s="187">
        <f t="shared" ref="AS280:AS334" si="254">IF(L280=1,19,0)</f>
        <v>19</v>
      </c>
      <c r="AT280" s="187">
        <f t="shared" ref="AT280:AT334" si="255">IF(O280=1,13,0)</f>
        <v>0</v>
      </c>
      <c r="AU280" s="187">
        <f t="shared" ref="AU280:AU334" si="256">IF(P280=1,0,0)</f>
        <v>0</v>
      </c>
      <c r="AV280" s="187">
        <f t="shared" ref="AV280:AV334" si="257">IF(Q280=1,3,0)</f>
        <v>0</v>
      </c>
      <c r="AW280" s="187">
        <f t="shared" ref="AW280:AW334" si="258">IF(S280=1,8,0)</f>
        <v>8</v>
      </c>
      <c r="AX280" s="187">
        <f t="shared" ref="AX280:AX334" si="259">IF(T280=1,4,0)</f>
        <v>4</v>
      </c>
      <c r="AY280" s="187">
        <f t="shared" ref="AY280:AY334" si="260">IF(U280=1,2,0)</f>
        <v>0</v>
      </c>
      <c r="AZ280" s="187">
        <f t="shared" ref="AZ280:AZ334" si="261">IF(V280=1,8,0)</f>
        <v>8</v>
      </c>
      <c r="BA280" s="187">
        <f t="shared" ref="BA280:BA334" si="262">IF(W280=1,16,0)</f>
        <v>16</v>
      </c>
      <c r="BB280" s="187">
        <f t="shared" ref="BB280:BB334" si="263">IF(X280=1,13,0)</f>
        <v>13</v>
      </c>
      <c r="BC280" s="187">
        <f t="shared" ref="BC280:BC334" si="264">IF(Y280=1,10,0)</f>
        <v>10</v>
      </c>
      <c r="BD280" s="187">
        <f t="shared" ref="BD280:BD334" si="265">IF(Z280=1,2,0)</f>
        <v>2</v>
      </c>
      <c r="BE280" s="187">
        <f t="shared" ref="BE280:BE334" si="266">IF(AA280=1,6,0)</f>
        <v>0</v>
      </c>
      <c r="BF280" s="187">
        <f t="shared" ref="BF280:BF334" si="267">IF(AB280=1,1,0)</f>
        <v>0</v>
      </c>
      <c r="BG280" s="187">
        <f t="shared" ref="BG280:BG334" si="268">IF(AD280=1,8,0)</f>
        <v>8</v>
      </c>
      <c r="BH280" s="187">
        <f t="shared" ref="BH280:BH334" si="269">IF(AE280=1,2,0)</f>
        <v>0</v>
      </c>
      <c r="BI280" s="187">
        <f t="shared" ref="BI280:BI334" si="270">IF(AF280=1,3,0)</f>
        <v>0</v>
      </c>
      <c r="BJ280" s="273">
        <f t="shared" ref="BJ280:BJ334" si="271">LARGE(AL280:BI280,1)+LARGE(AL280:BI280,2)+LARGE(AL280:BI280,3)+LARGE(AL280:BI280,4)+LARGE(AL280:BI280,5)+LARGE(AL280:BI280,6)+LARGE(AL280:BI280,7)+LARGE(AL280:BI280,8)</f>
        <v>95</v>
      </c>
      <c r="BK280" s="167">
        <f t="shared" ref="BK280:BK281" si="272">BJ280</f>
        <v>95</v>
      </c>
      <c r="BL280" s="182"/>
      <c r="BM280" s="182"/>
      <c r="BN280" s="182"/>
      <c r="BO280" s="182"/>
      <c r="BP280" s="182"/>
      <c r="BQ280" s="182"/>
      <c r="BR280" s="182"/>
      <c r="BS280" s="182"/>
      <c r="BT280" s="182"/>
      <c r="BU280" s="182"/>
      <c r="BV280" s="182"/>
      <c r="BW280" s="182"/>
      <c r="BX280" s="182"/>
      <c r="BY280" s="182"/>
      <c r="BZ280" s="182"/>
      <c r="CA280" s="182"/>
      <c r="CB280" s="182"/>
      <c r="CC280" s="182"/>
      <c r="CD280" s="182"/>
      <c r="CE280" s="182"/>
      <c r="CF280" s="182"/>
      <c r="CG280" s="182"/>
      <c r="CH280" s="182"/>
      <c r="CI280" s="182"/>
      <c r="CJ280" s="635" t="s">
        <v>750</v>
      </c>
      <c r="CK280" s="343"/>
      <c r="CL280" s="343"/>
    </row>
    <row r="281" spans="1:90" s="344" customFormat="1" ht="12.75" customHeight="1">
      <c r="A281" s="374" t="s">
        <v>245</v>
      </c>
      <c r="B281" s="189"/>
      <c r="C281" s="189"/>
      <c r="D281" s="189">
        <v>1</v>
      </c>
      <c r="E281" s="189">
        <v>1</v>
      </c>
      <c r="F281" s="189"/>
      <c r="G281" s="189">
        <v>1</v>
      </c>
      <c r="H281" s="189"/>
      <c r="I281" s="189"/>
      <c r="J281" s="189"/>
      <c r="K281" s="189"/>
      <c r="L281" s="189">
        <v>1</v>
      </c>
      <c r="M281" s="189"/>
      <c r="N281" s="189"/>
      <c r="O281" s="189">
        <v>1</v>
      </c>
      <c r="P281" s="189"/>
      <c r="Q281" s="189"/>
      <c r="R281" s="189"/>
      <c r="S281" s="189"/>
      <c r="T281" s="189">
        <v>1</v>
      </c>
      <c r="U281" s="189"/>
      <c r="V281" s="189"/>
      <c r="W281" s="189">
        <v>1</v>
      </c>
      <c r="X281" s="366">
        <v>1</v>
      </c>
      <c r="Y281" s="189"/>
      <c r="Z281" s="189">
        <v>1</v>
      </c>
      <c r="AA281" s="189"/>
      <c r="AB281" s="189"/>
      <c r="AC281" s="189"/>
      <c r="AD281" s="189"/>
      <c r="AE281" s="189"/>
      <c r="AF281" s="366">
        <v>1</v>
      </c>
      <c r="AG281" s="189"/>
      <c r="AH281" s="196">
        <v>10</v>
      </c>
      <c r="AI281" s="372" t="s">
        <v>971</v>
      </c>
      <c r="AJ281" s="370">
        <v>42377</v>
      </c>
      <c r="AK281" s="187"/>
      <c r="AL281" s="187">
        <f t="shared" si="247"/>
        <v>0</v>
      </c>
      <c r="AM281" s="187">
        <f t="shared" si="248"/>
        <v>13</v>
      </c>
      <c r="AN281" s="187">
        <f t="shared" si="249"/>
        <v>8</v>
      </c>
      <c r="AO281" s="187">
        <f t="shared" si="250"/>
        <v>8</v>
      </c>
      <c r="AP281" s="187">
        <f t="shared" si="251"/>
        <v>0</v>
      </c>
      <c r="AQ281" s="187">
        <f t="shared" si="252"/>
        <v>0</v>
      </c>
      <c r="AR281" s="187">
        <f t="shared" si="253"/>
        <v>0</v>
      </c>
      <c r="AS281" s="187">
        <f t="shared" si="254"/>
        <v>19</v>
      </c>
      <c r="AT281" s="187">
        <f t="shared" si="255"/>
        <v>13</v>
      </c>
      <c r="AU281" s="187">
        <f t="shared" si="256"/>
        <v>0</v>
      </c>
      <c r="AV281" s="187">
        <f t="shared" si="257"/>
        <v>0</v>
      </c>
      <c r="AW281" s="187">
        <f t="shared" si="258"/>
        <v>0</v>
      </c>
      <c r="AX281" s="187">
        <f t="shared" si="259"/>
        <v>4</v>
      </c>
      <c r="AY281" s="187">
        <f t="shared" si="260"/>
        <v>0</v>
      </c>
      <c r="AZ281" s="187">
        <f t="shared" si="261"/>
        <v>0</v>
      </c>
      <c r="BA281" s="187">
        <f t="shared" si="262"/>
        <v>16</v>
      </c>
      <c r="BB281" s="187">
        <f t="shared" si="263"/>
        <v>13</v>
      </c>
      <c r="BC281" s="187">
        <f t="shared" si="264"/>
        <v>0</v>
      </c>
      <c r="BD281" s="187">
        <f t="shared" si="265"/>
        <v>2</v>
      </c>
      <c r="BE281" s="187">
        <f t="shared" si="266"/>
        <v>0</v>
      </c>
      <c r="BF281" s="187">
        <f t="shared" si="267"/>
        <v>0</v>
      </c>
      <c r="BG281" s="187">
        <f t="shared" si="268"/>
        <v>0</v>
      </c>
      <c r="BH281" s="187">
        <f t="shared" si="269"/>
        <v>0</v>
      </c>
      <c r="BI281" s="187">
        <f t="shared" si="270"/>
        <v>3</v>
      </c>
      <c r="BJ281" s="273">
        <f t="shared" si="271"/>
        <v>94</v>
      </c>
      <c r="BK281" s="167">
        <f t="shared" si="272"/>
        <v>94</v>
      </c>
      <c r="BL281" s="644"/>
      <c r="BM281" s="644"/>
      <c r="BN281" s="644"/>
      <c r="BO281" s="644"/>
      <c r="BP281" s="644"/>
      <c r="BQ281" s="644"/>
      <c r="BR281" s="644"/>
      <c r="BS281" s="644"/>
      <c r="BT281" s="644"/>
      <c r="BU281" s="644"/>
      <c r="BV281" s="644"/>
      <c r="BW281" s="644"/>
      <c r="BX281" s="644"/>
      <c r="BY281" s="644"/>
      <c r="BZ281" s="644"/>
      <c r="CA281" s="644"/>
      <c r="CB281" s="644"/>
      <c r="CC281" s="644"/>
      <c r="CD281" s="644"/>
      <c r="CE281" s="644"/>
      <c r="CF281" s="644"/>
      <c r="CG281" s="644"/>
      <c r="CH281" s="644"/>
      <c r="CI281" s="644"/>
      <c r="CJ281" s="301" t="s">
        <v>843</v>
      </c>
      <c r="CK281" s="343"/>
      <c r="CL281" s="343"/>
    </row>
    <row r="282" spans="1:90" s="344" customFormat="1" ht="12.75" customHeight="1">
      <c r="A282" s="374" t="s">
        <v>249</v>
      </c>
      <c r="B282" s="189"/>
      <c r="C282" s="189"/>
      <c r="D282" s="189">
        <v>1</v>
      </c>
      <c r="E282" s="189"/>
      <c r="F282" s="189"/>
      <c r="G282" s="189"/>
      <c r="H282" s="189"/>
      <c r="I282" s="189"/>
      <c r="J282" s="189"/>
      <c r="K282" s="189"/>
      <c r="L282" s="189">
        <v>1</v>
      </c>
      <c r="M282" s="189"/>
      <c r="N282" s="189"/>
      <c r="O282" s="189">
        <v>1</v>
      </c>
      <c r="P282" s="189"/>
      <c r="Q282" s="189"/>
      <c r="R282" s="189"/>
      <c r="S282" s="189">
        <v>1</v>
      </c>
      <c r="T282" s="189">
        <v>1</v>
      </c>
      <c r="U282" s="189"/>
      <c r="V282" s="189"/>
      <c r="W282" s="189">
        <v>1</v>
      </c>
      <c r="X282" s="189"/>
      <c r="Y282" s="189"/>
      <c r="Z282" s="189">
        <v>1</v>
      </c>
      <c r="AA282" s="189">
        <v>1</v>
      </c>
      <c r="AB282" s="189"/>
      <c r="AC282" s="189"/>
      <c r="AD282" s="189"/>
      <c r="AE282" s="189"/>
      <c r="AF282" s="189"/>
      <c r="AG282" s="189"/>
      <c r="AH282" s="196">
        <v>8</v>
      </c>
      <c r="AI282" s="134" t="s">
        <v>113</v>
      </c>
      <c r="AJ282" s="370">
        <v>42377</v>
      </c>
      <c r="AK282" s="187"/>
      <c r="AL282" s="187">
        <f t="shared" si="247"/>
        <v>0</v>
      </c>
      <c r="AM282" s="187">
        <f t="shared" si="248"/>
        <v>13</v>
      </c>
      <c r="AN282" s="187">
        <f t="shared" si="249"/>
        <v>0</v>
      </c>
      <c r="AO282" s="187">
        <f t="shared" si="250"/>
        <v>0</v>
      </c>
      <c r="AP282" s="187">
        <f t="shared" si="251"/>
        <v>0</v>
      </c>
      <c r="AQ282" s="187">
        <f t="shared" si="252"/>
        <v>0</v>
      </c>
      <c r="AR282" s="187">
        <f t="shared" si="253"/>
        <v>0</v>
      </c>
      <c r="AS282" s="187">
        <f t="shared" si="254"/>
        <v>19</v>
      </c>
      <c r="AT282" s="187">
        <f t="shared" si="255"/>
        <v>13</v>
      </c>
      <c r="AU282" s="187">
        <f t="shared" si="256"/>
        <v>0</v>
      </c>
      <c r="AV282" s="187">
        <f t="shared" si="257"/>
        <v>0</v>
      </c>
      <c r="AW282" s="187">
        <f t="shared" si="258"/>
        <v>8</v>
      </c>
      <c r="AX282" s="187">
        <f t="shared" si="259"/>
        <v>4</v>
      </c>
      <c r="AY282" s="187">
        <f t="shared" si="260"/>
        <v>0</v>
      </c>
      <c r="AZ282" s="187">
        <f t="shared" si="261"/>
        <v>0</v>
      </c>
      <c r="BA282" s="187">
        <f t="shared" si="262"/>
        <v>16</v>
      </c>
      <c r="BB282" s="187">
        <f t="shared" si="263"/>
        <v>0</v>
      </c>
      <c r="BC282" s="187">
        <f t="shared" si="264"/>
        <v>0</v>
      </c>
      <c r="BD282" s="187">
        <f t="shared" si="265"/>
        <v>2</v>
      </c>
      <c r="BE282" s="187">
        <f t="shared" si="266"/>
        <v>6</v>
      </c>
      <c r="BF282" s="187">
        <f t="shared" si="267"/>
        <v>0</v>
      </c>
      <c r="BG282" s="187">
        <f t="shared" si="268"/>
        <v>0</v>
      </c>
      <c r="BH282" s="187">
        <f t="shared" si="269"/>
        <v>0</v>
      </c>
      <c r="BI282" s="187">
        <f t="shared" si="270"/>
        <v>0</v>
      </c>
      <c r="BJ282" s="273">
        <f t="shared" si="271"/>
        <v>81</v>
      </c>
      <c r="BK282" s="167">
        <f t="shared" ref="BK282:BK283" si="273">BJ282</f>
        <v>81</v>
      </c>
      <c r="BL282" s="182"/>
      <c r="BM282" s="182"/>
      <c r="BN282" s="182"/>
      <c r="BO282" s="182"/>
      <c r="BP282" s="182"/>
      <c r="BQ282" s="182"/>
      <c r="BR282" s="182"/>
      <c r="BS282" s="182"/>
      <c r="BT282" s="182"/>
      <c r="BU282" s="182"/>
      <c r="BV282" s="182"/>
      <c r="BW282" s="182"/>
      <c r="BX282" s="182"/>
      <c r="BY282" s="182"/>
      <c r="BZ282" s="182"/>
      <c r="CA282" s="182"/>
      <c r="CB282" s="182"/>
      <c r="CC282" s="182"/>
      <c r="CD282" s="182"/>
      <c r="CE282" s="182"/>
      <c r="CF282" s="182"/>
      <c r="CG282" s="182"/>
      <c r="CH282" s="182"/>
      <c r="CI282" s="182"/>
      <c r="CJ282" s="635" t="s">
        <v>807</v>
      </c>
      <c r="CK282" s="343"/>
      <c r="CL282" s="343"/>
    </row>
    <row r="283" spans="1:90" s="344" customFormat="1" ht="12.75" customHeight="1">
      <c r="A283" s="374" t="s">
        <v>979</v>
      </c>
      <c r="B283" s="189"/>
      <c r="C283" s="189"/>
      <c r="D283" s="189">
        <v>1</v>
      </c>
      <c r="E283" s="189"/>
      <c r="F283" s="189"/>
      <c r="G283" s="189"/>
      <c r="H283" s="189"/>
      <c r="I283" s="189"/>
      <c r="J283" s="189"/>
      <c r="K283" s="189"/>
      <c r="L283" s="189">
        <v>1</v>
      </c>
      <c r="M283" s="189"/>
      <c r="N283" s="189"/>
      <c r="O283" s="189">
        <v>1</v>
      </c>
      <c r="P283" s="189"/>
      <c r="Q283" s="189"/>
      <c r="R283" s="189"/>
      <c r="S283" s="189"/>
      <c r="T283" s="189"/>
      <c r="U283" s="189"/>
      <c r="V283" s="189"/>
      <c r="W283" s="189">
        <v>1</v>
      </c>
      <c r="X283" s="189"/>
      <c r="Y283" s="189"/>
      <c r="Z283" s="189"/>
      <c r="AA283" s="189"/>
      <c r="AB283" s="189"/>
      <c r="AC283" s="189"/>
      <c r="AD283" s="189"/>
      <c r="AE283" s="189"/>
      <c r="AF283" s="189"/>
      <c r="AG283" s="189"/>
      <c r="AH283" s="196">
        <v>4</v>
      </c>
      <c r="AI283" s="368" t="s">
        <v>955</v>
      </c>
      <c r="AJ283" s="192">
        <v>42382</v>
      </c>
      <c r="AK283" s="187"/>
      <c r="AL283" s="187">
        <f t="shared" si="247"/>
        <v>0</v>
      </c>
      <c r="AM283" s="187">
        <f t="shared" si="248"/>
        <v>13</v>
      </c>
      <c r="AN283" s="187">
        <f t="shared" si="249"/>
        <v>0</v>
      </c>
      <c r="AO283" s="187">
        <f t="shared" si="250"/>
        <v>0</v>
      </c>
      <c r="AP283" s="187">
        <f t="shared" si="251"/>
        <v>0</v>
      </c>
      <c r="AQ283" s="187">
        <f t="shared" si="252"/>
        <v>0</v>
      </c>
      <c r="AR283" s="187">
        <f t="shared" si="253"/>
        <v>0</v>
      </c>
      <c r="AS283" s="187">
        <f t="shared" si="254"/>
        <v>19</v>
      </c>
      <c r="AT283" s="187">
        <f t="shared" si="255"/>
        <v>13</v>
      </c>
      <c r="AU283" s="187">
        <f t="shared" si="256"/>
        <v>0</v>
      </c>
      <c r="AV283" s="187">
        <f t="shared" si="257"/>
        <v>0</v>
      </c>
      <c r="AW283" s="187">
        <f t="shared" si="258"/>
        <v>0</v>
      </c>
      <c r="AX283" s="187">
        <f t="shared" si="259"/>
        <v>0</v>
      </c>
      <c r="AY283" s="187">
        <f t="shared" si="260"/>
        <v>0</v>
      </c>
      <c r="AZ283" s="187">
        <f t="shared" si="261"/>
        <v>0</v>
      </c>
      <c r="BA283" s="187">
        <f t="shared" si="262"/>
        <v>16</v>
      </c>
      <c r="BB283" s="187">
        <f t="shared" si="263"/>
        <v>0</v>
      </c>
      <c r="BC283" s="187">
        <f t="shared" si="264"/>
        <v>0</v>
      </c>
      <c r="BD283" s="187">
        <f t="shared" si="265"/>
        <v>0</v>
      </c>
      <c r="BE283" s="187">
        <f t="shared" si="266"/>
        <v>0</v>
      </c>
      <c r="BF283" s="187">
        <f t="shared" si="267"/>
        <v>0</v>
      </c>
      <c r="BG283" s="187">
        <f t="shared" si="268"/>
        <v>0</v>
      </c>
      <c r="BH283" s="187">
        <f t="shared" si="269"/>
        <v>0</v>
      </c>
      <c r="BI283" s="187">
        <f t="shared" si="270"/>
        <v>0</v>
      </c>
      <c r="BJ283" s="273">
        <f t="shared" si="271"/>
        <v>61</v>
      </c>
      <c r="BK283" s="167">
        <f t="shared" si="273"/>
        <v>61</v>
      </c>
      <c r="BL283" s="644"/>
      <c r="BM283" s="644"/>
      <c r="BN283" s="644"/>
      <c r="BO283" s="644"/>
      <c r="BP283" s="644"/>
      <c r="BQ283" s="644"/>
      <c r="BR283" s="644"/>
      <c r="BS283" s="644"/>
      <c r="BT283" s="644"/>
      <c r="BU283" s="644"/>
      <c r="BV283" s="644"/>
      <c r="BW283" s="644"/>
      <c r="BX283" s="644"/>
      <c r="BY283" s="644"/>
      <c r="BZ283" s="644"/>
      <c r="CA283" s="644"/>
      <c r="CB283" s="644"/>
      <c r="CC283" s="644"/>
      <c r="CD283" s="644"/>
      <c r="CE283" s="644"/>
      <c r="CF283" s="644"/>
      <c r="CG283" s="644"/>
      <c r="CH283" s="644"/>
      <c r="CI283" s="644"/>
      <c r="CJ283" s="635" t="s">
        <v>807</v>
      </c>
      <c r="CK283" s="343"/>
      <c r="CL283" s="343"/>
    </row>
    <row r="284" spans="1:90" s="344" customFormat="1" ht="12.75" customHeight="1">
      <c r="A284" s="374" t="s">
        <v>590</v>
      </c>
      <c r="B284" s="189"/>
      <c r="C284" s="189"/>
      <c r="D284" s="189"/>
      <c r="E284" s="189">
        <v>1</v>
      </c>
      <c r="F284" s="189"/>
      <c r="G284" s="189">
        <v>1</v>
      </c>
      <c r="H284" s="189"/>
      <c r="I284" s="189"/>
      <c r="J284" s="189"/>
      <c r="K284" s="189"/>
      <c r="L284" s="189">
        <v>1</v>
      </c>
      <c r="M284" s="189"/>
      <c r="N284" s="189"/>
      <c r="O284" s="189"/>
      <c r="P284" s="189"/>
      <c r="Q284" s="189"/>
      <c r="R284" s="189"/>
      <c r="S284" s="366">
        <v>1</v>
      </c>
      <c r="T284" s="189"/>
      <c r="U284" s="189">
        <v>1</v>
      </c>
      <c r="V284" s="189">
        <v>1</v>
      </c>
      <c r="W284" s="189">
        <v>1</v>
      </c>
      <c r="X284" s="366">
        <v>1</v>
      </c>
      <c r="Y284" s="189"/>
      <c r="Z284" s="189"/>
      <c r="AA284" s="189"/>
      <c r="AB284" s="189"/>
      <c r="AC284" s="189"/>
      <c r="AD284" s="366">
        <v>1</v>
      </c>
      <c r="AE284" s="189"/>
      <c r="AF284" s="189"/>
      <c r="AG284" s="189"/>
      <c r="AH284" s="196">
        <v>9</v>
      </c>
      <c r="AI284" s="191" t="s">
        <v>980</v>
      </c>
      <c r="AJ284" s="192">
        <v>42375</v>
      </c>
      <c r="AK284" s="187"/>
      <c r="AL284" s="187">
        <f t="shared" si="247"/>
        <v>0</v>
      </c>
      <c r="AM284" s="187">
        <f t="shared" si="248"/>
        <v>0</v>
      </c>
      <c r="AN284" s="187">
        <f t="shared" si="249"/>
        <v>8</v>
      </c>
      <c r="AO284" s="187">
        <f t="shared" si="250"/>
        <v>8</v>
      </c>
      <c r="AP284" s="187">
        <f t="shared" si="251"/>
        <v>0</v>
      </c>
      <c r="AQ284" s="187">
        <f t="shared" si="252"/>
        <v>0</v>
      </c>
      <c r="AR284" s="187">
        <f t="shared" si="253"/>
        <v>0</v>
      </c>
      <c r="AS284" s="187">
        <f t="shared" si="254"/>
        <v>19</v>
      </c>
      <c r="AT284" s="187">
        <f t="shared" si="255"/>
        <v>0</v>
      </c>
      <c r="AU284" s="187">
        <f t="shared" si="256"/>
        <v>0</v>
      </c>
      <c r="AV284" s="187">
        <f t="shared" si="257"/>
        <v>0</v>
      </c>
      <c r="AW284" s="187">
        <f t="shared" si="258"/>
        <v>8</v>
      </c>
      <c r="AX284" s="187">
        <f t="shared" si="259"/>
        <v>0</v>
      </c>
      <c r="AY284" s="187">
        <f t="shared" si="260"/>
        <v>2</v>
      </c>
      <c r="AZ284" s="187">
        <f t="shared" si="261"/>
        <v>8</v>
      </c>
      <c r="BA284" s="187">
        <f t="shared" si="262"/>
        <v>16</v>
      </c>
      <c r="BB284" s="187">
        <f t="shared" si="263"/>
        <v>13</v>
      </c>
      <c r="BC284" s="187">
        <f t="shared" si="264"/>
        <v>0</v>
      </c>
      <c r="BD284" s="187">
        <f t="shared" si="265"/>
        <v>0</v>
      </c>
      <c r="BE284" s="187">
        <f t="shared" si="266"/>
        <v>0</v>
      </c>
      <c r="BF284" s="187">
        <f t="shared" si="267"/>
        <v>0</v>
      </c>
      <c r="BG284" s="187">
        <f t="shared" si="268"/>
        <v>8</v>
      </c>
      <c r="BH284" s="187">
        <f t="shared" si="269"/>
        <v>0</v>
      </c>
      <c r="BI284" s="187">
        <f t="shared" si="270"/>
        <v>0</v>
      </c>
      <c r="BJ284" s="273">
        <f t="shared" si="271"/>
        <v>88</v>
      </c>
      <c r="BK284" s="167">
        <f t="shared" ref="BK284" si="274">BJ284</f>
        <v>88</v>
      </c>
      <c r="BL284" s="182"/>
      <c r="BM284" s="182"/>
      <c r="BN284" s="182"/>
      <c r="BO284" s="182"/>
      <c r="BP284" s="182"/>
      <c r="BQ284" s="182"/>
      <c r="BR284" s="182"/>
      <c r="BS284" s="182"/>
      <c r="BT284" s="182"/>
      <c r="BU284" s="182"/>
      <c r="BV284" s="182"/>
      <c r="BW284" s="182"/>
      <c r="BX284" s="182"/>
      <c r="BY284" s="182"/>
      <c r="BZ284" s="182"/>
      <c r="CA284" s="182"/>
      <c r="CB284" s="182"/>
      <c r="CC284" s="182"/>
      <c r="CD284" s="182"/>
      <c r="CE284" s="182"/>
      <c r="CF284" s="182"/>
      <c r="CG284" s="182"/>
      <c r="CH284" s="182"/>
      <c r="CI284" s="182"/>
      <c r="CJ284" s="635" t="s">
        <v>743</v>
      </c>
      <c r="CK284" s="343"/>
      <c r="CL284" s="343"/>
    </row>
    <row r="285" spans="1:90" s="344" customFormat="1" ht="12.75" customHeight="1">
      <c r="A285" s="374" t="s">
        <v>981</v>
      </c>
      <c r="B285" s="189"/>
      <c r="C285" s="189"/>
      <c r="D285" s="189"/>
      <c r="E285" s="189"/>
      <c r="F285" s="189"/>
      <c r="G285" s="189"/>
      <c r="H285" s="189"/>
      <c r="I285" s="189"/>
      <c r="J285" s="189"/>
      <c r="K285" s="189"/>
      <c r="L285" s="189">
        <v>1</v>
      </c>
      <c r="M285" s="189"/>
      <c r="N285" s="189"/>
      <c r="O285" s="189">
        <v>1</v>
      </c>
      <c r="P285" s="189"/>
      <c r="Q285" s="189"/>
      <c r="R285" s="189"/>
      <c r="S285" s="189"/>
      <c r="T285" s="189"/>
      <c r="U285" s="189"/>
      <c r="V285" s="189"/>
      <c r="W285" s="189"/>
      <c r="X285" s="189">
        <v>1</v>
      </c>
      <c r="Y285" s="189"/>
      <c r="Z285" s="189"/>
      <c r="AA285" s="189">
        <v>1</v>
      </c>
      <c r="AB285" s="189"/>
      <c r="AC285" s="189"/>
      <c r="AD285" s="189"/>
      <c r="AE285" s="189"/>
      <c r="AF285" s="189"/>
      <c r="AG285" s="189"/>
      <c r="AH285" s="196">
        <v>4</v>
      </c>
      <c r="AI285" s="368" t="s">
        <v>955</v>
      </c>
      <c r="AJ285" s="192">
        <v>42375</v>
      </c>
      <c r="AK285" s="187"/>
      <c r="AL285" s="187">
        <f t="shared" si="247"/>
        <v>0</v>
      </c>
      <c r="AM285" s="187">
        <f t="shared" si="248"/>
        <v>0</v>
      </c>
      <c r="AN285" s="187">
        <f t="shared" si="249"/>
        <v>0</v>
      </c>
      <c r="AO285" s="187">
        <f t="shared" si="250"/>
        <v>0</v>
      </c>
      <c r="AP285" s="187">
        <f t="shared" si="251"/>
        <v>0</v>
      </c>
      <c r="AQ285" s="187">
        <f t="shared" si="252"/>
        <v>0</v>
      </c>
      <c r="AR285" s="187">
        <f t="shared" si="253"/>
        <v>0</v>
      </c>
      <c r="AS285" s="187">
        <f t="shared" si="254"/>
        <v>19</v>
      </c>
      <c r="AT285" s="187">
        <f t="shared" si="255"/>
        <v>13</v>
      </c>
      <c r="AU285" s="187">
        <f t="shared" si="256"/>
        <v>0</v>
      </c>
      <c r="AV285" s="187">
        <f t="shared" si="257"/>
        <v>0</v>
      </c>
      <c r="AW285" s="187">
        <f t="shared" si="258"/>
        <v>0</v>
      </c>
      <c r="AX285" s="187">
        <f t="shared" si="259"/>
        <v>0</v>
      </c>
      <c r="AY285" s="187">
        <f t="shared" si="260"/>
        <v>0</v>
      </c>
      <c r="AZ285" s="187">
        <f t="shared" si="261"/>
        <v>0</v>
      </c>
      <c r="BA285" s="187">
        <f t="shared" si="262"/>
        <v>0</v>
      </c>
      <c r="BB285" s="187">
        <f t="shared" si="263"/>
        <v>13</v>
      </c>
      <c r="BC285" s="187">
        <f t="shared" si="264"/>
        <v>0</v>
      </c>
      <c r="BD285" s="187">
        <f t="shared" si="265"/>
        <v>0</v>
      </c>
      <c r="BE285" s="187">
        <f t="shared" si="266"/>
        <v>6</v>
      </c>
      <c r="BF285" s="187">
        <f t="shared" si="267"/>
        <v>0</v>
      </c>
      <c r="BG285" s="187">
        <f t="shared" si="268"/>
        <v>0</v>
      </c>
      <c r="BH285" s="187">
        <f t="shared" si="269"/>
        <v>0</v>
      </c>
      <c r="BI285" s="187">
        <f t="shared" si="270"/>
        <v>0</v>
      </c>
      <c r="BJ285" s="273">
        <f t="shared" si="271"/>
        <v>51</v>
      </c>
      <c r="BK285" s="167">
        <f t="shared" ref="BK285:BK288" si="275">BJ285</f>
        <v>51</v>
      </c>
      <c r="BL285" s="644"/>
      <c r="BM285" s="644"/>
      <c r="BN285" s="644"/>
      <c r="BO285" s="644"/>
      <c r="BP285" s="644"/>
      <c r="BQ285" s="644"/>
      <c r="BR285" s="644"/>
      <c r="BS285" s="644"/>
      <c r="BT285" s="644"/>
      <c r="BU285" s="644"/>
      <c r="BV285" s="644"/>
      <c r="BW285" s="644"/>
      <c r="BX285" s="644"/>
      <c r="BY285" s="644"/>
      <c r="BZ285" s="644"/>
      <c r="CA285" s="644"/>
      <c r="CB285" s="644"/>
      <c r="CC285" s="644"/>
      <c r="CD285" s="644"/>
      <c r="CE285" s="644"/>
      <c r="CF285" s="644"/>
      <c r="CG285" s="644"/>
      <c r="CH285" s="644"/>
      <c r="CI285" s="644"/>
      <c r="CJ285" s="301" t="s">
        <v>752</v>
      </c>
      <c r="CK285" s="343"/>
      <c r="CL285" s="343"/>
    </row>
    <row r="286" spans="1:90" s="344" customFormat="1" ht="12.75" customHeight="1">
      <c r="A286" s="374" t="s">
        <v>982</v>
      </c>
      <c r="B286" s="189"/>
      <c r="C286" s="189"/>
      <c r="D286" s="366">
        <v>1</v>
      </c>
      <c r="E286" s="189"/>
      <c r="F286" s="189"/>
      <c r="G286" s="189"/>
      <c r="H286" s="189"/>
      <c r="I286" s="189"/>
      <c r="J286" s="189"/>
      <c r="K286" s="189"/>
      <c r="L286" s="189">
        <v>1</v>
      </c>
      <c r="M286" s="189"/>
      <c r="N286" s="189"/>
      <c r="O286" s="189"/>
      <c r="P286" s="189"/>
      <c r="Q286" s="366">
        <v>1</v>
      </c>
      <c r="R286" s="366"/>
      <c r="S286" s="366">
        <v>1</v>
      </c>
      <c r="T286" s="189">
        <v>1</v>
      </c>
      <c r="U286" s="189"/>
      <c r="V286" s="189"/>
      <c r="W286" s="189"/>
      <c r="X286" s="367"/>
      <c r="Y286" s="189">
        <v>1</v>
      </c>
      <c r="Z286" s="189"/>
      <c r="AA286" s="189">
        <v>1</v>
      </c>
      <c r="AB286" s="189"/>
      <c r="AC286" s="189"/>
      <c r="AD286" s="189">
        <v>1</v>
      </c>
      <c r="AE286" s="189"/>
      <c r="AF286" s="189"/>
      <c r="AG286" s="189"/>
      <c r="AH286" s="196">
        <v>8</v>
      </c>
      <c r="AI286" s="368" t="s">
        <v>955</v>
      </c>
      <c r="AJ286" s="192">
        <v>42379</v>
      </c>
      <c r="AK286" s="187"/>
      <c r="AL286" s="187">
        <f t="shared" si="247"/>
        <v>0</v>
      </c>
      <c r="AM286" s="187">
        <f t="shared" si="248"/>
        <v>13</v>
      </c>
      <c r="AN286" s="187">
        <f t="shared" si="249"/>
        <v>0</v>
      </c>
      <c r="AO286" s="187">
        <f t="shared" si="250"/>
        <v>0</v>
      </c>
      <c r="AP286" s="187">
        <f t="shared" si="251"/>
        <v>0</v>
      </c>
      <c r="AQ286" s="187">
        <f t="shared" si="252"/>
        <v>0</v>
      </c>
      <c r="AR286" s="187">
        <f t="shared" si="253"/>
        <v>0</v>
      </c>
      <c r="AS286" s="187">
        <f t="shared" si="254"/>
        <v>19</v>
      </c>
      <c r="AT286" s="187">
        <f t="shared" si="255"/>
        <v>0</v>
      </c>
      <c r="AU286" s="187">
        <f t="shared" si="256"/>
        <v>0</v>
      </c>
      <c r="AV286" s="187">
        <f t="shared" si="257"/>
        <v>3</v>
      </c>
      <c r="AW286" s="187">
        <f t="shared" si="258"/>
        <v>8</v>
      </c>
      <c r="AX286" s="187">
        <f t="shared" si="259"/>
        <v>4</v>
      </c>
      <c r="AY286" s="187">
        <f t="shared" si="260"/>
        <v>0</v>
      </c>
      <c r="AZ286" s="187">
        <f t="shared" si="261"/>
        <v>0</v>
      </c>
      <c r="BA286" s="187">
        <f t="shared" si="262"/>
        <v>0</v>
      </c>
      <c r="BB286" s="187">
        <f t="shared" si="263"/>
        <v>0</v>
      </c>
      <c r="BC286" s="187">
        <f t="shared" si="264"/>
        <v>10</v>
      </c>
      <c r="BD286" s="187">
        <f t="shared" si="265"/>
        <v>0</v>
      </c>
      <c r="BE286" s="187">
        <f t="shared" si="266"/>
        <v>6</v>
      </c>
      <c r="BF286" s="187">
        <f t="shared" si="267"/>
        <v>0</v>
      </c>
      <c r="BG286" s="187">
        <f t="shared" si="268"/>
        <v>8</v>
      </c>
      <c r="BH286" s="187">
        <f t="shared" si="269"/>
        <v>0</v>
      </c>
      <c r="BI286" s="187">
        <f t="shared" si="270"/>
        <v>0</v>
      </c>
      <c r="BJ286" s="273">
        <f t="shared" si="271"/>
        <v>71</v>
      </c>
      <c r="BK286" s="167">
        <f t="shared" ref="BK286" si="276">BJ286</f>
        <v>71</v>
      </c>
      <c r="BL286" s="644"/>
      <c r="BM286" s="644"/>
      <c r="BN286" s="644"/>
      <c r="BO286" s="644"/>
      <c r="BP286" s="644"/>
      <c r="BQ286" s="644"/>
      <c r="BR286" s="644"/>
      <c r="BS286" s="644"/>
      <c r="BT286" s="644"/>
      <c r="BU286" s="644"/>
      <c r="BV286" s="644"/>
      <c r="BW286" s="644"/>
      <c r="BX286" s="644"/>
      <c r="BY286" s="644"/>
      <c r="BZ286" s="644"/>
      <c r="CA286" s="644"/>
      <c r="CB286" s="644"/>
      <c r="CC286" s="644"/>
      <c r="CD286" s="644"/>
      <c r="CE286" s="644"/>
      <c r="CF286" s="644"/>
      <c r="CG286" s="644"/>
      <c r="CH286" s="644"/>
      <c r="CI286" s="644"/>
      <c r="CJ286" s="301" t="s">
        <v>983</v>
      </c>
      <c r="CK286" s="343"/>
      <c r="CL286" s="343"/>
    </row>
    <row r="287" spans="1:90" s="344" customFormat="1" ht="12.75" customHeight="1">
      <c r="A287" s="374" t="s">
        <v>255</v>
      </c>
      <c r="B287" s="189"/>
      <c r="C287" s="189"/>
      <c r="D287" s="189"/>
      <c r="E287" s="189"/>
      <c r="F287" s="189"/>
      <c r="G287" s="189"/>
      <c r="H287" s="189"/>
      <c r="I287" s="189"/>
      <c r="J287" s="189"/>
      <c r="K287" s="189"/>
      <c r="L287" s="189">
        <v>1</v>
      </c>
      <c r="M287" s="189"/>
      <c r="N287" s="189"/>
      <c r="O287" s="189">
        <v>1</v>
      </c>
      <c r="P287" s="189"/>
      <c r="Q287" s="189">
        <v>1</v>
      </c>
      <c r="R287" s="189"/>
      <c r="S287" s="189">
        <v>1</v>
      </c>
      <c r="T287" s="189"/>
      <c r="U287" s="189"/>
      <c r="V287" s="189"/>
      <c r="W287" s="189">
        <v>1</v>
      </c>
      <c r="X287" s="189"/>
      <c r="Y287" s="189"/>
      <c r="Z287" s="189"/>
      <c r="AA287" s="189">
        <v>1</v>
      </c>
      <c r="AB287" s="189"/>
      <c r="AC287" s="189"/>
      <c r="AD287" s="189"/>
      <c r="AE287" s="189">
        <v>1</v>
      </c>
      <c r="AF287" s="189"/>
      <c r="AG287" s="189"/>
      <c r="AH287" s="196">
        <v>7</v>
      </c>
      <c r="AI287" s="372" t="s">
        <v>984</v>
      </c>
      <c r="AJ287" s="370">
        <v>42380</v>
      </c>
      <c r="AK287" s="187"/>
      <c r="AL287" s="187">
        <f t="shared" si="247"/>
        <v>0</v>
      </c>
      <c r="AM287" s="187">
        <f t="shared" si="248"/>
        <v>0</v>
      </c>
      <c r="AN287" s="187">
        <f t="shared" si="249"/>
        <v>0</v>
      </c>
      <c r="AO287" s="187">
        <f t="shared" si="250"/>
        <v>0</v>
      </c>
      <c r="AP287" s="187">
        <f t="shared" si="251"/>
        <v>0</v>
      </c>
      <c r="AQ287" s="187">
        <f t="shared" si="252"/>
        <v>0</v>
      </c>
      <c r="AR287" s="187">
        <f t="shared" si="253"/>
        <v>0</v>
      </c>
      <c r="AS287" s="187">
        <f t="shared" si="254"/>
        <v>19</v>
      </c>
      <c r="AT287" s="187">
        <f t="shared" si="255"/>
        <v>13</v>
      </c>
      <c r="AU287" s="187">
        <f t="shared" si="256"/>
        <v>0</v>
      </c>
      <c r="AV287" s="187">
        <f t="shared" si="257"/>
        <v>3</v>
      </c>
      <c r="AW287" s="187">
        <f t="shared" si="258"/>
        <v>8</v>
      </c>
      <c r="AX287" s="187">
        <f t="shared" si="259"/>
        <v>0</v>
      </c>
      <c r="AY287" s="187">
        <f t="shared" si="260"/>
        <v>0</v>
      </c>
      <c r="AZ287" s="187">
        <f t="shared" si="261"/>
        <v>0</v>
      </c>
      <c r="BA287" s="187">
        <f t="shared" si="262"/>
        <v>16</v>
      </c>
      <c r="BB287" s="187">
        <f t="shared" si="263"/>
        <v>0</v>
      </c>
      <c r="BC287" s="187">
        <f t="shared" si="264"/>
        <v>0</v>
      </c>
      <c r="BD287" s="187">
        <f t="shared" si="265"/>
        <v>0</v>
      </c>
      <c r="BE287" s="187">
        <f t="shared" si="266"/>
        <v>6</v>
      </c>
      <c r="BF287" s="187">
        <f t="shared" si="267"/>
        <v>0</v>
      </c>
      <c r="BG287" s="187">
        <f t="shared" si="268"/>
        <v>0</v>
      </c>
      <c r="BH287" s="187">
        <f t="shared" si="269"/>
        <v>2</v>
      </c>
      <c r="BI287" s="187">
        <f t="shared" si="270"/>
        <v>0</v>
      </c>
      <c r="BJ287" s="273">
        <f t="shared" si="271"/>
        <v>67</v>
      </c>
      <c r="BK287" s="167">
        <f t="shared" ref="BK287" si="277">BJ287</f>
        <v>67</v>
      </c>
      <c r="BL287" s="644"/>
      <c r="BM287" s="644"/>
      <c r="BN287" s="644"/>
      <c r="BO287" s="644"/>
      <c r="BP287" s="644"/>
      <c r="BQ287" s="644"/>
      <c r="BR287" s="644"/>
      <c r="BS287" s="644"/>
      <c r="BT287" s="644"/>
      <c r="BU287" s="644"/>
      <c r="BV287" s="644"/>
      <c r="BW287" s="644"/>
      <c r="BX287" s="644"/>
      <c r="BY287" s="644"/>
      <c r="BZ287" s="644"/>
      <c r="CA287" s="644"/>
      <c r="CB287" s="644"/>
      <c r="CC287" s="644"/>
      <c r="CD287" s="644"/>
      <c r="CE287" s="644"/>
      <c r="CF287" s="644"/>
      <c r="CG287" s="644"/>
      <c r="CH287" s="644"/>
      <c r="CI287" s="644"/>
      <c r="CJ287" s="301" t="s">
        <v>983</v>
      </c>
      <c r="CK287" s="343"/>
      <c r="CL287" s="343"/>
    </row>
    <row r="288" spans="1:90" s="344" customFormat="1" ht="12.75" customHeight="1">
      <c r="A288" s="374" t="s">
        <v>444</v>
      </c>
      <c r="B288" s="189"/>
      <c r="C288" s="189"/>
      <c r="D288" s="189">
        <v>1</v>
      </c>
      <c r="E288" s="189"/>
      <c r="F288" s="189"/>
      <c r="G288" s="189"/>
      <c r="H288" s="189"/>
      <c r="I288" s="189"/>
      <c r="J288" s="366">
        <v>1</v>
      </c>
      <c r="K288" s="189"/>
      <c r="L288" s="189">
        <v>1</v>
      </c>
      <c r="M288" s="189"/>
      <c r="N288" s="189"/>
      <c r="O288" s="189">
        <v>1</v>
      </c>
      <c r="P288" s="189"/>
      <c r="Q288" s="189"/>
      <c r="R288" s="189"/>
      <c r="S288" s="189"/>
      <c r="T288" s="189"/>
      <c r="U288" s="189">
        <v>1</v>
      </c>
      <c r="V288" s="189"/>
      <c r="W288" s="189">
        <v>1</v>
      </c>
      <c r="X288" s="189"/>
      <c r="Y288" s="189">
        <v>1</v>
      </c>
      <c r="Z288" s="366">
        <v>1</v>
      </c>
      <c r="AA288" s="189"/>
      <c r="AB288" s="366">
        <v>1</v>
      </c>
      <c r="AC288" s="189"/>
      <c r="AD288" s="189">
        <v>1</v>
      </c>
      <c r="AE288" s="189"/>
      <c r="AF288" s="189"/>
      <c r="AG288" s="189"/>
      <c r="AH288" s="196">
        <v>10</v>
      </c>
      <c r="AI288" s="368" t="s">
        <v>955</v>
      </c>
      <c r="AJ288" s="370">
        <v>42379</v>
      </c>
      <c r="AK288" s="187"/>
      <c r="AL288" s="187">
        <f t="shared" si="247"/>
        <v>0</v>
      </c>
      <c r="AM288" s="187">
        <f t="shared" si="248"/>
        <v>13</v>
      </c>
      <c r="AN288" s="187">
        <f t="shared" si="249"/>
        <v>0</v>
      </c>
      <c r="AO288" s="187">
        <f t="shared" si="250"/>
        <v>0</v>
      </c>
      <c r="AP288" s="187">
        <f t="shared" si="251"/>
        <v>0</v>
      </c>
      <c r="AQ288" s="187">
        <f t="shared" si="252"/>
        <v>0</v>
      </c>
      <c r="AR288" s="187">
        <f t="shared" si="253"/>
        <v>0</v>
      </c>
      <c r="AS288" s="187">
        <f t="shared" si="254"/>
        <v>19</v>
      </c>
      <c r="AT288" s="187">
        <f t="shared" si="255"/>
        <v>13</v>
      </c>
      <c r="AU288" s="187">
        <f t="shared" si="256"/>
        <v>0</v>
      </c>
      <c r="AV288" s="187">
        <f t="shared" si="257"/>
        <v>0</v>
      </c>
      <c r="AW288" s="187">
        <f t="shared" si="258"/>
        <v>0</v>
      </c>
      <c r="AX288" s="187">
        <f t="shared" si="259"/>
        <v>0</v>
      </c>
      <c r="AY288" s="187">
        <f t="shared" si="260"/>
        <v>2</v>
      </c>
      <c r="AZ288" s="187">
        <f t="shared" si="261"/>
        <v>0</v>
      </c>
      <c r="BA288" s="187">
        <f t="shared" si="262"/>
        <v>16</v>
      </c>
      <c r="BB288" s="187">
        <f t="shared" si="263"/>
        <v>0</v>
      </c>
      <c r="BC288" s="187">
        <f t="shared" si="264"/>
        <v>10</v>
      </c>
      <c r="BD288" s="187">
        <f t="shared" si="265"/>
        <v>2</v>
      </c>
      <c r="BE288" s="187">
        <f t="shared" si="266"/>
        <v>0</v>
      </c>
      <c r="BF288" s="187">
        <f t="shared" si="267"/>
        <v>1</v>
      </c>
      <c r="BG288" s="187">
        <f t="shared" si="268"/>
        <v>8</v>
      </c>
      <c r="BH288" s="187">
        <f t="shared" si="269"/>
        <v>0</v>
      </c>
      <c r="BI288" s="187">
        <f t="shared" si="270"/>
        <v>0</v>
      </c>
      <c r="BJ288" s="273">
        <f t="shared" si="271"/>
        <v>83</v>
      </c>
      <c r="BK288" s="167">
        <f t="shared" si="275"/>
        <v>83</v>
      </c>
      <c r="BL288" s="644"/>
      <c r="BM288" s="644"/>
      <c r="BN288" s="644"/>
      <c r="BO288" s="644"/>
      <c r="BP288" s="644"/>
      <c r="BQ288" s="644"/>
      <c r="BR288" s="644"/>
      <c r="BS288" s="644"/>
      <c r="BT288" s="644"/>
      <c r="BU288" s="644"/>
      <c r="BV288" s="644"/>
      <c r="BW288" s="644"/>
      <c r="BX288" s="644"/>
      <c r="BY288" s="644"/>
      <c r="BZ288" s="644"/>
      <c r="CA288" s="644"/>
      <c r="CB288" s="644"/>
      <c r="CC288" s="644"/>
      <c r="CD288" s="644"/>
      <c r="CE288" s="644"/>
      <c r="CF288" s="644"/>
      <c r="CG288" s="644"/>
      <c r="CH288" s="644"/>
      <c r="CI288" s="644"/>
      <c r="CJ288" s="301" t="s">
        <v>789</v>
      </c>
      <c r="CK288" s="343"/>
      <c r="CL288" s="343"/>
    </row>
    <row r="289" spans="1:90" s="344" customFormat="1" ht="12.75" customHeight="1">
      <c r="A289" s="374" t="s">
        <v>257</v>
      </c>
      <c r="B289" s="189"/>
      <c r="C289" s="189"/>
      <c r="D289" s="189">
        <v>1</v>
      </c>
      <c r="E289" s="189"/>
      <c r="F289" s="189"/>
      <c r="G289" s="189"/>
      <c r="H289" s="189"/>
      <c r="I289" s="189"/>
      <c r="J289" s="189"/>
      <c r="K289" s="189"/>
      <c r="L289" s="189">
        <v>1</v>
      </c>
      <c r="M289" s="189"/>
      <c r="N289" s="189"/>
      <c r="O289" s="189">
        <v>1</v>
      </c>
      <c r="P289" s="189"/>
      <c r="Q289" s="189">
        <v>1</v>
      </c>
      <c r="R289" s="189"/>
      <c r="S289" s="189"/>
      <c r="T289" s="189"/>
      <c r="U289" s="189"/>
      <c r="V289" s="366">
        <v>1</v>
      </c>
      <c r="W289" s="189"/>
      <c r="X289" s="189"/>
      <c r="Y289" s="189"/>
      <c r="Z289" s="189"/>
      <c r="AA289" s="189"/>
      <c r="AB289" s="189"/>
      <c r="AC289" s="189"/>
      <c r="AD289" s="189"/>
      <c r="AE289" s="189"/>
      <c r="AF289" s="189"/>
      <c r="AG289" s="189"/>
      <c r="AH289" s="196">
        <v>5</v>
      </c>
      <c r="AI289" s="641" t="s">
        <v>115</v>
      </c>
      <c r="AJ289" s="192">
        <v>42377</v>
      </c>
      <c r="AK289" s="187"/>
      <c r="AL289" s="187">
        <f t="shared" si="247"/>
        <v>0</v>
      </c>
      <c r="AM289" s="187">
        <f t="shared" si="248"/>
        <v>13</v>
      </c>
      <c r="AN289" s="187">
        <f t="shared" si="249"/>
        <v>0</v>
      </c>
      <c r="AO289" s="187">
        <f t="shared" si="250"/>
        <v>0</v>
      </c>
      <c r="AP289" s="187">
        <f t="shared" si="251"/>
        <v>0</v>
      </c>
      <c r="AQ289" s="187">
        <f t="shared" si="252"/>
        <v>0</v>
      </c>
      <c r="AR289" s="187">
        <f t="shared" si="253"/>
        <v>0</v>
      </c>
      <c r="AS289" s="187">
        <f t="shared" si="254"/>
        <v>19</v>
      </c>
      <c r="AT289" s="187">
        <f t="shared" si="255"/>
        <v>13</v>
      </c>
      <c r="AU289" s="187">
        <f t="shared" si="256"/>
        <v>0</v>
      </c>
      <c r="AV289" s="187">
        <f t="shared" si="257"/>
        <v>3</v>
      </c>
      <c r="AW289" s="187">
        <f t="shared" si="258"/>
        <v>0</v>
      </c>
      <c r="AX289" s="187">
        <f t="shared" si="259"/>
        <v>0</v>
      </c>
      <c r="AY289" s="187">
        <f t="shared" si="260"/>
        <v>0</v>
      </c>
      <c r="AZ289" s="187">
        <f t="shared" si="261"/>
        <v>8</v>
      </c>
      <c r="BA289" s="187">
        <f t="shared" si="262"/>
        <v>0</v>
      </c>
      <c r="BB289" s="187">
        <f t="shared" si="263"/>
        <v>0</v>
      </c>
      <c r="BC289" s="187">
        <f t="shared" si="264"/>
        <v>0</v>
      </c>
      <c r="BD289" s="187">
        <f t="shared" si="265"/>
        <v>0</v>
      </c>
      <c r="BE289" s="187">
        <f t="shared" si="266"/>
        <v>0</v>
      </c>
      <c r="BF289" s="187">
        <f t="shared" si="267"/>
        <v>0</v>
      </c>
      <c r="BG289" s="187">
        <f t="shared" si="268"/>
        <v>0</v>
      </c>
      <c r="BH289" s="187">
        <f t="shared" si="269"/>
        <v>0</v>
      </c>
      <c r="BI289" s="187">
        <f t="shared" si="270"/>
        <v>0</v>
      </c>
      <c r="BJ289" s="273">
        <f t="shared" si="271"/>
        <v>56</v>
      </c>
      <c r="BK289" s="167">
        <f t="shared" ref="BK289" si="278">BJ289</f>
        <v>56</v>
      </c>
      <c r="BL289" s="644"/>
      <c r="BM289" s="644"/>
      <c r="BN289" s="644"/>
      <c r="BO289" s="644"/>
      <c r="BP289" s="644"/>
      <c r="BQ289" s="644"/>
      <c r="BR289" s="644"/>
      <c r="BS289" s="644"/>
      <c r="BT289" s="644"/>
      <c r="BU289" s="644"/>
      <c r="BV289" s="644"/>
      <c r="BW289" s="644"/>
      <c r="BX289" s="644"/>
      <c r="BY289" s="644"/>
      <c r="BZ289" s="644"/>
      <c r="CA289" s="644"/>
      <c r="CB289" s="644"/>
      <c r="CC289" s="644"/>
      <c r="CD289" s="644"/>
      <c r="CE289" s="644"/>
      <c r="CF289" s="644"/>
      <c r="CG289" s="644"/>
      <c r="CH289" s="644"/>
      <c r="CI289" s="644"/>
      <c r="CJ289" s="301" t="s">
        <v>752</v>
      </c>
      <c r="CK289" s="343"/>
      <c r="CL289" s="343"/>
    </row>
    <row r="290" spans="1:90" s="344" customFormat="1" ht="12.75" customHeight="1">
      <c r="A290" s="374" t="s">
        <v>673</v>
      </c>
      <c r="B290" s="189"/>
      <c r="C290" s="189"/>
      <c r="D290" s="189">
        <v>1</v>
      </c>
      <c r="E290" s="189"/>
      <c r="F290" s="189"/>
      <c r="G290" s="189"/>
      <c r="H290" s="189"/>
      <c r="I290" s="189"/>
      <c r="J290" s="189"/>
      <c r="K290" s="189"/>
      <c r="L290" s="189">
        <v>1</v>
      </c>
      <c r="M290" s="189"/>
      <c r="N290" s="189"/>
      <c r="O290" s="189">
        <v>1</v>
      </c>
      <c r="P290" s="189"/>
      <c r="Q290" s="189">
        <v>1</v>
      </c>
      <c r="R290" s="189"/>
      <c r="S290" s="189">
        <v>1</v>
      </c>
      <c r="T290" s="189">
        <v>1</v>
      </c>
      <c r="U290" s="189"/>
      <c r="V290" s="366">
        <v>1</v>
      </c>
      <c r="W290" s="366">
        <v>1</v>
      </c>
      <c r="X290" s="189">
        <v>1</v>
      </c>
      <c r="Y290" s="366">
        <v>1</v>
      </c>
      <c r="Z290" s="189"/>
      <c r="AA290" s="189"/>
      <c r="AB290" s="189"/>
      <c r="AC290" s="189"/>
      <c r="AD290" s="367"/>
      <c r="AE290" s="189"/>
      <c r="AF290" s="189"/>
      <c r="AG290" s="189"/>
      <c r="AH290" s="196">
        <v>10</v>
      </c>
      <c r="AI290" s="368" t="s">
        <v>955</v>
      </c>
      <c r="AJ290" s="192">
        <v>42375</v>
      </c>
      <c r="AK290" s="187"/>
      <c r="AL290" s="187">
        <f t="shared" si="247"/>
        <v>0</v>
      </c>
      <c r="AM290" s="187">
        <f t="shared" si="248"/>
        <v>13</v>
      </c>
      <c r="AN290" s="187">
        <f t="shared" si="249"/>
        <v>0</v>
      </c>
      <c r="AO290" s="187">
        <f t="shared" si="250"/>
        <v>0</v>
      </c>
      <c r="AP290" s="187">
        <f t="shared" si="251"/>
        <v>0</v>
      </c>
      <c r="AQ290" s="187">
        <f t="shared" si="252"/>
        <v>0</v>
      </c>
      <c r="AR290" s="187">
        <f t="shared" si="253"/>
        <v>0</v>
      </c>
      <c r="AS290" s="187">
        <f t="shared" si="254"/>
        <v>19</v>
      </c>
      <c r="AT290" s="187">
        <f t="shared" si="255"/>
        <v>13</v>
      </c>
      <c r="AU290" s="187">
        <f t="shared" si="256"/>
        <v>0</v>
      </c>
      <c r="AV290" s="187">
        <f t="shared" si="257"/>
        <v>3</v>
      </c>
      <c r="AW290" s="187">
        <f t="shared" si="258"/>
        <v>8</v>
      </c>
      <c r="AX290" s="187">
        <f t="shared" si="259"/>
        <v>4</v>
      </c>
      <c r="AY290" s="187">
        <f t="shared" si="260"/>
        <v>0</v>
      </c>
      <c r="AZ290" s="187">
        <f t="shared" si="261"/>
        <v>8</v>
      </c>
      <c r="BA290" s="187">
        <f t="shared" si="262"/>
        <v>16</v>
      </c>
      <c r="BB290" s="187">
        <f t="shared" si="263"/>
        <v>13</v>
      </c>
      <c r="BC290" s="187">
        <f t="shared" si="264"/>
        <v>10</v>
      </c>
      <c r="BD290" s="187">
        <f t="shared" si="265"/>
        <v>0</v>
      </c>
      <c r="BE290" s="187">
        <f t="shared" si="266"/>
        <v>0</v>
      </c>
      <c r="BF290" s="187">
        <f t="shared" si="267"/>
        <v>0</v>
      </c>
      <c r="BG290" s="187">
        <f t="shared" si="268"/>
        <v>0</v>
      </c>
      <c r="BH290" s="187">
        <f t="shared" si="269"/>
        <v>0</v>
      </c>
      <c r="BI290" s="187">
        <f t="shared" si="270"/>
        <v>0</v>
      </c>
      <c r="BJ290" s="273">
        <f t="shared" si="271"/>
        <v>100</v>
      </c>
      <c r="BK290" s="167">
        <f t="shared" ref="BK290" si="279">BJ290</f>
        <v>100</v>
      </c>
      <c r="BL290" s="644"/>
      <c r="BM290" s="644"/>
      <c r="BN290" s="644"/>
      <c r="BO290" s="644"/>
      <c r="BP290" s="644"/>
      <c r="BQ290" s="644"/>
      <c r="BR290" s="644"/>
      <c r="BS290" s="644"/>
      <c r="BT290" s="644"/>
      <c r="BU290" s="644"/>
      <c r="BV290" s="644"/>
      <c r="BW290" s="644"/>
      <c r="BX290" s="644"/>
      <c r="BY290" s="644"/>
      <c r="BZ290" s="644"/>
      <c r="CA290" s="644"/>
      <c r="CB290" s="644"/>
      <c r="CC290" s="644"/>
      <c r="CD290" s="644"/>
      <c r="CE290" s="644"/>
      <c r="CF290" s="644"/>
      <c r="CG290" s="644"/>
      <c r="CH290" s="644"/>
      <c r="CI290" s="644"/>
      <c r="CJ290" s="301" t="s">
        <v>743</v>
      </c>
      <c r="CK290" s="343"/>
      <c r="CL290" s="343"/>
    </row>
    <row r="291" spans="1:90" s="344" customFormat="1" ht="12.75" customHeight="1">
      <c r="A291" s="374" t="s">
        <v>985</v>
      </c>
      <c r="B291" s="189"/>
      <c r="C291" s="189"/>
      <c r="D291" s="189">
        <v>1</v>
      </c>
      <c r="E291" s="189"/>
      <c r="F291" s="189"/>
      <c r="G291" s="189"/>
      <c r="H291" s="189"/>
      <c r="I291" s="189"/>
      <c r="J291" s="189"/>
      <c r="K291" s="189"/>
      <c r="L291" s="189">
        <v>1</v>
      </c>
      <c r="M291" s="189"/>
      <c r="N291" s="189"/>
      <c r="O291" s="189">
        <v>1</v>
      </c>
      <c r="P291" s="189"/>
      <c r="Q291" s="189"/>
      <c r="R291" s="189"/>
      <c r="S291" s="189"/>
      <c r="T291" s="189">
        <v>1</v>
      </c>
      <c r="U291" s="189"/>
      <c r="V291" s="189">
        <v>1</v>
      </c>
      <c r="W291" s="189">
        <v>1</v>
      </c>
      <c r="X291" s="189"/>
      <c r="Y291" s="189"/>
      <c r="Z291" s="189">
        <v>1</v>
      </c>
      <c r="AA291" s="189">
        <v>1</v>
      </c>
      <c r="AB291" s="189"/>
      <c r="AC291" s="189"/>
      <c r="AD291" s="189"/>
      <c r="AE291" s="189"/>
      <c r="AF291" s="189"/>
      <c r="AG291" s="189"/>
      <c r="AH291" s="196">
        <v>8</v>
      </c>
      <c r="AI291" s="134" t="s">
        <v>113</v>
      </c>
      <c r="AJ291" s="370">
        <v>42381</v>
      </c>
      <c r="AK291" s="187"/>
      <c r="AL291" s="187">
        <f t="shared" si="247"/>
        <v>0</v>
      </c>
      <c r="AM291" s="187">
        <f t="shared" si="248"/>
        <v>13</v>
      </c>
      <c r="AN291" s="187">
        <f t="shared" si="249"/>
        <v>0</v>
      </c>
      <c r="AO291" s="187">
        <f t="shared" si="250"/>
        <v>0</v>
      </c>
      <c r="AP291" s="187">
        <f t="shared" si="251"/>
        <v>0</v>
      </c>
      <c r="AQ291" s="187">
        <f t="shared" si="252"/>
        <v>0</v>
      </c>
      <c r="AR291" s="187">
        <f t="shared" si="253"/>
        <v>0</v>
      </c>
      <c r="AS291" s="187">
        <f t="shared" si="254"/>
        <v>19</v>
      </c>
      <c r="AT291" s="187">
        <f t="shared" si="255"/>
        <v>13</v>
      </c>
      <c r="AU291" s="187">
        <f t="shared" si="256"/>
        <v>0</v>
      </c>
      <c r="AV291" s="187">
        <f t="shared" si="257"/>
        <v>0</v>
      </c>
      <c r="AW291" s="187">
        <f t="shared" si="258"/>
        <v>0</v>
      </c>
      <c r="AX291" s="187">
        <f t="shared" si="259"/>
        <v>4</v>
      </c>
      <c r="AY291" s="187">
        <f t="shared" si="260"/>
        <v>0</v>
      </c>
      <c r="AZ291" s="187">
        <f t="shared" si="261"/>
        <v>8</v>
      </c>
      <c r="BA291" s="187">
        <f t="shared" si="262"/>
        <v>16</v>
      </c>
      <c r="BB291" s="187">
        <f t="shared" si="263"/>
        <v>0</v>
      </c>
      <c r="BC291" s="187">
        <f t="shared" si="264"/>
        <v>0</v>
      </c>
      <c r="BD291" s="187">
        <f t="shared" si="265"/>
        <v>2</v>
      </c>
      <c r="BE291" s="187">
        <f t="shared" si="266"/>
        <v>6</v>
      </c>
      <c r="BF291" s="187">
        <f t="shared" si="267"/>
        <v>0</v>
      </c>
      <c r="BG291" s="187">
        <f t="shared" si="268"/>
        <v>0</v>
      </c>
      <c r="BH291" s="187">
        <f t="shared" si="269"/>
        <v>0</v>
      </c>
      <c r="BI291" s="187">
        <f t="shared" si="270"/>
        <v>0</v>
      </c>
      <c r="BJ291" s="273">
        <f t="shared" si="271"/>
        <v>81</v>
      </c>
      <c r="BK291" s="167">
        <f t="shared" ref="BK291" si="280">BJ291</f>
        <v>81</v>
      </c>
      <c r="BL291" s="644"/>
      <c r="BM291" s="644"/>
      <c r="BN291" s="644"/>
      <c r="BO291" s="644"/>
      <c r="BP291" s="644"/>
      <c r="BQ291" s="644"/>
      <c r="BR291" s="644"/>
      <c r="BS291" s="644"/>
      <c r="BT291" s="644"/>
      <c r="BU291" s="644"/>
      <c r="BV291" s="644"/>
      <c r="BW291" s="644"/>
      <c r="BX291" s="644"/>
      <c r="BY291" s="644"/>
      <c r="BZ291" s="644"/>
      <c r="CA291" s="644"/>
      <c r="CB291" s="644"/>
      <c r="CC291" s="644"/>
      <c r="CD291" s="644"/>
      <c r="CE291" s="644"/>
      <c r="CF291" s="644"/>
      <c r="CG291" s="644"/>
      <c r="CH291" s="644"/>
      <c r="CI291" s="644"/>
      <c r="CJ291" s="301" t="s">
        <v>743</v>
      </c>
      <c r="CK291" s="343"/>
      <c r="CL291" s="343"/>
    </row>
    <row r="292" spans="1:90">
      <c r="A292" s="178" t="s">
        <v>600</v>
      </c>
      <c r="B292" s="155"/>
      <c r="C292" s="155"/>
      <c r="D292" s="155">
        <v>1</v>
      </c>
      <c r="E292" s="155">
        <v>1</v>
      </c>
      <c r="F292" s="189"/>
      <c r="G292" s="189">
        <v>1</v>
      </c>
      <c r="H292" s="189"/>
      <c r="I292" s="189"/>
      <c r="J292" s="189"/>
      <c r="K292" s="189"/>
      <c r="L292" s="189">
        <v>1</v>
      </c>
      <c r="M292" s="189"/>
      <c r="N292" s="189"/>
      <c r="O292" s="189"/>
      <c r="P292" s="189"/>
      <c r="Q292" s="367"/>
      <c r="R292" s="189"/>
      <c r="S292" s="189"/>
      <c r="T292" s="189"/>
      <c r="U292" s="189"/>
      <c r="V292" s="189"/>
      <c r="W292" s="189">
        <v>1</v>
      </c>
      <c r="X292" s="189">
        <v>1</v>
      </c>
      <c r="Y292" s="366">
        <v>1</v>
      </c>
      <c r="Z292" s="189"/>
      <c r="AA292" s="189"/>
      <c r="AB292" s="189"/>
      <c r="AC292" s="189"/>
      <c r="AD292" s="189"/>
      <c r="AE292" s="189"/>
      <c r="AF292" s="189"/>
      <c r="AG292" s="189"/>
      <c r="AH292" s="196">
        <v>7</v>
      </c>
      <c r="AI292" s="641" t="s">
        <v>113</v>
      </c>
      <c r="AJ292" s="192">
        <v>42375</v>
      </c>
      <c r="AK292" s="187"/>
      <c r="AL292" s="187">
        <f t="shared" si="247"/>
        <v>0</v>
      </c>
      <c r="AM292" s="187">
        <f t="shared" si="248"/>
        <v>13</v>
      </c>
      <c r="AN292" s="187">
        <f t="shared" si="249"/>
        <v>8</v>
      </c>
      <c r="AO292" s="187">
        <f t="shared" si="250"/>
        <v>8</v>
      </c>
      <c r="AP292" s="187">
        <f t="shared" si="251"/>
        <v>0</v>
      </c>
      <c r="AQ292" s="187">
        <f t="shared" si="252"/>
        <v>0</v>
      </c>
      <c r="AR292" s="187">
        <f t="shared" si="253"/>
        <v>0</v>
      </c>
      <c r="AS292" s="187">
        <f t="shared" si="254"/>
        <v>19</v>
      </c>
      <c r="AT292" s="187">
        <f t="shared" si="255"/>
        <v>0</v>
      </c>
      <c r="AU292" s="187">
        <f t="shared" si="256"/>
        <v>0</v>
      </c>
      <c r="AV292" s="187">
        <f t="shared" si="257"/>
        <v>0</v>
      </c>
      <c r="AW292" s="187">
        <f t="shared" si="258"/>
        <v>0</v>
      </c>
      <c r="AX292" s="187">
        <f t="shared" si="259"/>
        <v>0</v>
      </c>
      <c r="AY292" s="187">
        <f t="shared" si="260"/>
        <v>0</v>
      </c>
      <c r="AZ292" s="187">
        <f t="shared" si="261"/>
        <v>0</v>
      </c>
      <c r="BA292" s="187">
        <f t="shared" si="262"/>
        <v>16</v>
      </c>
      <c r="BB292" s="187">
        <f t="shared" si="263"/>
        <v>13</v>
      </c>
      <c r="BC292" s="187">
        <f t="shared" si="264"/>
        <v>10</v>
      </c>
      <c r="BD292" s="187">
        <f t="shared" si="265"/>
        <v>0</v>
      </c>
      <c r="BE292" s="187">
        <f t="shared" si="266"/>
        <v>0</v>
      </c>
      <c r="BF292" s="187">
        <f t="shared" si="267"/>
        <v>0</v>
      </c>
      <c r="BG292" s="187">
        <f t="shared" si="268"/>
        <v>0</v>
      </c>
      <c r="BH292" s="187">
        <f t="shared" si="269"/>
        <v>0</v>
      </c>
      <c r="BI292" s="187">
        <f t="shared" si="270"/>
        <v>0</v>
      </c>
      <c r="BJ292" s="273">
        <f t="shared" si="271"/>
        <v>87</v>
      </c>
      <c r="BK292" s="167">
        <f t="shared" ref="BK292:BK312" si="281">BJ292</f>
        <v>87</v>
      </c>
      <c r="BL292" s="167"/>
      <c r="BM292" s="644"/>
      <c r="BN292" s="644"/>
      <c r="BO292" s="644"/>
      <c r="BP292" s="644"/>
      <c r="BQ292" s="644"/>
      <c r="BR292" s="644"/>
      <c r="BS292" s="644"/>
      <c r="BT292" s="644"/>
      <c r="BU292" s="644"/>
      <c r="BV292" s="644"/>
      <c r="BW292" s="644"/>
      <c r="BX292" s="644"/>
      <c r="BY292" s="644"/>
      <c r="BZ292" s="644"/>
      <c r="CA292" s="644"/>
      <c r="CB292" s="644"/>
      <c r="CC292" s="644"/>
      <c r="CD292" s="644"/>
      <c r="CE292" s="644"/>
      <c r="CF292" s="644"/>
      <c r="CG292" s="644"/>
      <c r="CH292" s="644"/>
      <c r="CI292" s="644"/>
      <c r="CJ292" s="301" t="s">
        <v>746</v>
      </c>
      <c r="CK292" s="136"/>
      <c r="CL292" s="136"/>
    </row>
    <row r="293" spans="1:90" s="344" customFormat="1">
      <c r="A293" s="374" t="s">
        <v>447</v>
      </c>
      <c r="B293" s="189"/>
      <c r="C293" s="189"/>
      <c r="D293" s="366">
        <v>1</v>
      </c>
      <c r="E293" s="189">
        <v>1</v>
      </c>
      <c r="F293" s="189"/>
      <c r="G293" s="189">
        <v>1</v>
      </c>
      <c r="H293" s="189"/>
      <c r="I293" s="189"/>
      <c r="J293" s="189"/>
      <c r="K293" s="189"/>
      <c r="L293" s="189">
        <v>1</v>
      </c>
      <c r="M293" s="189"/>
      <c r="N293" s="189"/>
      <c r="O293" s="189">
        <v>1</v>
      </c>
      <c r="P293" s="189"/>
      <c r="Q293" s="189"/>
      <c r="R293" s="189"/>
      <c r="S293" s="189"/>
      <c r="T293" s="189"/>
      <c r="U293" s="189">
        <v>1</v>
      </c>
      <c r="V293" s="189"/>
      <c r="W293" s="189">
        <v>1</v>
      </c>
      <c r="X293" s="189">
        <v>1</v>
      </c>
      <c r="Y293" s="189"/>
      <c r="Z293" s="189"/>
      <c r="AA293" s="189"/>
      <c r="AB293" s="367"/>
      <c r="AC293" s="189"/>
      <c r="AD293" s="189"/>
      <c r="AE293" s="189"/>
      <c r="AF293" s="189"/>
      <c r="AG293" s="189"/>
      <c r="AH293" s="196">
        <v>8</v>
      </c>
      <c r="AI293" s="134" t="s">
        <v>113</v>
      </c>
      <c r="AJ293" s="370">
        <v>42377</v>
      </c>
      <c r="AK293" s="187"/>
      <c r="AL293" s="187">
        <f t="shared" si="247"/>
        <v>0</v>
      </c>
      <c r="AM293" s="187">
        <f t="shared" si="248"/>
        <v>13</v>
      </c>
      <c r="AN293" s="187">
        <f t="shared" si="249"/>
        <v>8</v>
      </c>
      <c r="AO293" s="187">
        <f t="shared" si="250"/>
        <v>8</v>
      </c>
      <c r="AP293" s="187">
        <f t="shared" si="251"/>
        <v>0</v>
      </c>
      <c r="AQ293" s="187">
        <f t="shared" si="252"/>
        <v>0</v>
      </c>
      <c r="AR293" s="187">
        <f t="shared" si="253"/>
        <v>0</v>
      </c>
      <c r="AS293" s="187">
        <f t="shared" si="254"/>
        <v>19</v>
      </c>
      <c r="AT293" s="187">
        <f t="shared" si="255"/>
        <v>13</v>
      </c>
      <c r="AU293" s="187">
        <f t="shared" si="256"/>
        <v>0</v>
      </c>
      <c r="AV293" s="187">
        <f t="shared" si="257"/>
        <v>0</v>
      </c>
      <c r="AW293" s="187">
        <f t="shared" si="258"/>
        <v>0</v>
      </c>
      <c r="AX293" s="187">
        <f t="shared" si="259"/>
        <v>0</v>
      </c>
      <c r="AY293" s="187">
        <f t="shared" si="260"/>
        <v>2</v>
      </c>
      <c r="AZ293" s="187">
        <f t="shared" si="261"/>
        <v>0</v>
      </c>
      <c r="BA293" s="187">
        <f t="shared" si="262"/>
        <v>16</v>
      </c>
      <c r="BB293" s="187">
        <f t="shared" si="263"/>
        <v>13</v>
      </c>
      <c r="BC293" s="187">
        <f t="shared" si="264"/>
        <v>0</v>
      </c>
      <c r="BD293" s="187">
        <f t="shared" si="265"/>
        <v>0</v>
      </c>
      <c r="BE293" s="187">
        <f t="shared" si="266"/>
        <v>0</v>
      </c>
      <c r="BF293" s="187">
        <f t="shared" si="267"/>
        <v>0</v>
      </c>
      <c r="BG293" s="187">
        <f t="shared" si="268"/>
        <v>0</v>
      </c>
      <c r="BH293" s="187">
        <f t="shared" si="269"/>
        <v>0</v>
      </c>
      <c r="BI293" s="187">
        <f t="shared" si="270"/>
        <v>0</v>
      </c>
      <c r="BJ293" s="273">
        <f t="shared" si="271"/>
        <v>92</v>
      </c>
      <c r="BK293" s="167">
        <f t="shared" ref="BK293:BK295" si="282">BJ293</f>
        <v>92</v>
      </c>
      <c r="BL293" s="167"/>
      <c r="BM293" s="644"/>
      <c r="BN293" s="644"/>
      <c r="BO293" s="644"/>
      <c r="BP293" s="644"/>
      <c r="BQ293" s="644"/>
      <c r="BR293" s="644"/>
      <c r="BS293" s="644"/>
      <c r="BT293" s="644"/>
      <c r="BU293" s="644"/>
      <c r="BV293" s="644"/>
      <c r="BW293" s="644"/>
      <c r="BX293" s="644"/>
      <c r="BY293" s="644"/>
      <c r="BZ293" s="644"/>
      <c r="CA293" s="644"/>
      <c r="CB293" s="644"/>
      <c r="CC293" s="644"/>
      <c r="CD293" s="644"/>
      <c r="CE293" s="644"/>
      <c r="CF293" s="644"/>
      <c r="CG293" s="644"/>
      <c r="CH293" s="644"/>
      <c r="CI293" s="644"/>
      <c r="CJ293" s="301" t="s">
        <v>749</v>
      </c>
      <c r="CK293" s="343"/>
      <c r="CL293" s="343"/>
    </row>
    <row r="294" spans="1:90" s="344" customFormat="1">
      <c r="A294" s="486" t="s">
        <v>986</v>
      </c>
      <c r="B294" s="189"/>
      <c r="C294" s="189"/>
      <c r="D294" s="189">
        <v>1</v>
      </c>
      <c r="E294" s="189"/>
      <c r="F294" s="189"/>
      <c r="G294" s="189">
        <v>1</v>
      </c>
      <c r="H294" s="189"/>
      <c r="I294" s="189"/>
      <c r="J294" s="189"/>
      <c r="K294" s="189"/>
      <c r="L294" s="189">
        <v>1</v>
      </c>
      <c r="M294" s="189"/>
      <c r="N294" s="189"/>
      <c r="O294" s="189">
        <v>1</v>
      </c>
      <c r="P294" s="189"/>
      <c r="Q294" s="189"/>
      <c r="R294" s="189"/>
      <c r="S294" s="189"/>
      <c r="T294" s="189">
        <v>1</v>
      </c>
      <c r="U294" s="189"/>
      <c r="V294" s="189"/>
      <c r="W294" s="189">
        <v>1</v>
      </c>
      <c r="X294" s="189"/>
      <c r="Y294" s="189"/>
      <c r="Z294" s="189"/>
      <c r="AA294" s="189">
        <v>1</v>
      </c>
      <c r="AB294" s="189"/>
      <c r="AC294" s="189"/>
      <c r="AD294" s="189"/>
      <c r="AE294" s="189">
        <v>1</v>
      </c>
      <c r="AF294" s="189"/>
      <c r="AG294" s="189"/>
      <c r="AH294" s="196">
        <v>8</v>
      </c>
      <c r="AI294" s="368" t="s">
        <v>955</v>
      </c>
      <c r="AJ294" s="370">
        <v>42390</v>
      </c>
      <c r="AK294" s="352"/>
      <c r="AL294" s="352"/>
      <c r="AM294" s="352"/>
      <c r="AN294" s="352"/>
      <c r="AO294" s="352"/>
      <c r="AP294" s="352"/>
      <c r="AQ294" s="352"/>
      <c r="AR294" s="352"/>
      <c r="AS294" s="352"/>
      <c r="AT294" s="352"/>
      <c r="AU294" s="352"/>
      <c r="AV294" s="352"/>
      <c r="AW294" s="352"/>
      <c r="AX294" s="352"/>
      <c r="AY294" s="352"/>
      <c r="AZ294" s="352"/>
      <c r="BA294" s="352"/>
      <c r="BB294" s="352"/>
      <c r="BC294" s="352"/>
      <c r="BD294" s="352"/>
      <c r="BE294" s="352"/>
      <c r="BF294" s="352"/>
      <c r="BG294" s="352"/>
      <c r="BH294" s="352"/>
      <c r="BI294" s="352"/>
      <c r="BJ294" s="470"/>
      <c r="BK294" s="339"/>
      <c r="BL294" s="339"/>
      <c r="BM294" s="182"/>
      <c r="BN294" s="182"/>
      <c r="BO294" s="182"/>
      <c r="BP294" s="182"/>
      <c r="BQ294" s="182"/>
      <c r="BR294" s="182"/>
      <c r="BS294" s="182"/>
      <c r="BT294" s="182"/>
      <c r="BU294" s="182"/>
      <c r="BV294" s="182"/>
      <c r="BW294" s="182"/>
      <c r="BX294" s="182"/>
      <c r="BY294" s="182"/>
      <c r="BZ294" s="182"/>
      <c r="CA294" s="182"/>
      <c r="CB294" s="182"/>
      <c r="CC294" s="182"/>
      <c r="CD294" s="182"/>
      <c r="CE294" s="182"/>
      <c r="CF294" s="182"/>
      <c r="CG294" s="182"/>
      <c r="CH294" s="182"/>
      <c r="CI294" s="182"/>
      <c r="CJ294" s="635"/>
      <c r="CK294" s="343"/>
      <c r="CL294" s="343"/>
    </row>
    <row r="295" spans="1:90" s="344" customFormat="1">
      <c r="A295" s="374" t="s">
        <v>676</v>
      </c>
      <c r="B295" s="189"/>
      <c r="C295" s="189"/>
      <c r="D295" s="189"/>
      <c r="E295" s="189"/>
      <c r="F295" s="189"/>
      <c r="G295" s="189"/>
      <c r="H295" s="189"/>
      <c r="I295" s="189"/>
      <c r="J295" s="189"/>
      <c r="K295" s="189"/>
      <c r="L295" s="189">
        <v>1</v>
      </c>
      <c r="M295" s="189"/>
      <c r="N295" s="189"/>
      <c r="O295" s="189"/>
      <c r="P295" s="189"/>
      <c r="Q295" s="189">
        <v>1</v>
      </c>
      <c r="R295" s="189"/>
      <c r="S295" s="189"/>
      <c r="T295" s="189">
        <v>1</v>
      </c>
      <c r="U295" s="189"/>
      <c r="V295" s="189"/>
      <c r="W295" s="189"/>
      <c r="X295" s="189"/>
      <c r="Y295" s="189">
        <v>1</v>
      </c>
      <c r="Z295" s="189"/>
      <c r="AA295" s="189"/>
      <c r="AB295" s="189"/>
      <c r="AC295" s="189"/>
      <c r="AD295" s="189"/>
      <c r="AE295" s="189"/>
      <c r="AF295" s="189"/>
      <c r="AG295" s="189"/>
      <c r="AH295" s="196">
        <v>4</v>
      </c>
      <c r="AI295" s="368" t="s">
        <v>955</v>
      </c>
      <c r="AJ295" s="370">
        <v>42379</v>
      </c>
      <c r="AK295" s="187"/>
      <c r="AL295" s="187">
        <f t="shared" si="247"/>
        <v>0</v>
      </c>
      <c r="AM295" s="187">
        <f t="shared" si="248"/>
        <v>0</v>
      </c>
      <c r="AN295" s="187">
        <f t="shared" si="249"/>
        <v>0</v>
      </c>
      <c r="AO295" s="187">
        <f t="shared" si="250"/>
        <v>0</v>
      </c>
      <c r="AP295" s="187">
        <f t="shared" si="251"/>
        <v>0</v>
      </c>
      <c r="AQ295" s="187">
        <f t="shared" si="252"/>
        <v>0</v>
      </c>
      <c r="AR295" s="187">
        <f t="shared" si="253"/>
        <v>0</v>
      </c>
      <c r="AS295" s="187">
        <f t="shared" si="254"/>
        <v>19</v>
      </c>
      <c r="AT295" s="187">
        <f t="shared" si="255"/>
        <v>0</v>
      </c>
      <c r="AU295" s="187">
        <f t="shared" si="256"/>
        <v>0</v>
      </c>
      <c r="AV295" s="187">
        <f t="shared" si="257"/>
        <v>3</v>
      </c>
      <c r="AW295" s="187">
        <f t="shared" si="258"/>
        <v>0</v>
      </c>
      <c r="AX295" s="187">
        <f t="shared" si="259"/>
        <v>4</v>
      </c>
      <c r="AY295" s="187">
        <f t="shared" si="260"/>
        <v>0</v>
      </c>
      <c r="AZ295" s="187">
        <f t="shared" si="261"/>
        <v>0</v>
      </c>
      <c r="BA295" s="187">
        <f t="shared" si="262"/>
        <v>0</v>
      </c>
      <c r="BB295" s="187">
        <f t="shared" si="263"/>
        <v>0</v>
      </c>
      <c r="BC295" s="187">
        <f t="shared" si="264"/>
        <v>10</v>
      </c>
      <c r="BD295" s="187">
        <f t="shared" si="265"/>
        <v>0</v>
      </c>
      <c r="BE295" s="187">
        <f t="shared" si="266"/>
        <v>0</v>
      </c>
      <c r="BF295" s="187">
        <f t="shared" si="267"/>
        <v>0</v>
      </c>
      <c r="BG295" s="187">
        <f t="shared" si="268"/>
        <v>0</v>
      </c>
      <c r="BH295" s="187">
        <f t="shared" si="269"/>
        <v>0</v>
      </c>
      <c r="BI295" s="187">
        <f t="shared" si="270"/>
        <v>0</v>
      </c>
      <c r="BJ295" s="273">
        <f t="shared" si="271"/>
        <v>36</v>
      </c>
      <c r="BK295" s="167">
        <f t="shared" si="282"/>
        <v>36</v>
      </c>
      <c r="BL295" s="167"/>
      <c r="BM295" s="644"/>
      <c r="BN295" s="644"/>
      <c r="BO295" s="644"/>
      <c r="BP295" s="644"/>
      <c r="BQ295" s="644"/>
      <c r="BR295" s="644"/>
      <c r="BS295" s="644"/>
      <c r="BT295" s="644"/>
      <c r="BU295" s="644"/>
      <c r="BV295" s="644"/>
      <c r="BW295" s="644"/>
      <c r="BX295" s="644"/>
      <c r="BY295" s="644"/>
      <c r="BZ295" s="644"/>
      <c r="CA295" s="644"/>
      <c r="CB295" s="644"/>
      <c r="CC295" s="644"/>
      <c r="CD295" s="644"/>
      <c r="CE295" s="644"/>
      <c r="CF295" s="644"/>
      <c r="CG295" s="644"/>
      <c r="CH295" s="644"/>
      <c r="CI295" s="644"/>
      <c r="CJ295" s="301" t="s">
        <v>756</v>
      </c>
      <c r="CK295" s="343"/>
      <c r="CL295" s="343"/>
    </row>
    <row r="296" spans="1:90" s="344" customFormat="1">
      <c r="A296" s="374" t="s">
        <v>987</v>
      </c>
      <c r="B296" s="189"/>
      <c r="C296" s="189"/>
      <c r="D296" s="366">
        <v>1</v>
      </c>
      <c r="E296" s="189"/>
      <c r="F296" s="189"/>
      <c r="G296" s="189">
        <v>1</v>
      </c>
      <c r="H296" s="189"/>
      <c r="I296" s="189"/>
      <c r="J296" s="189"/>
      <c r="K296" s="189"/>
      <c r="L296" s="189">
        <v>1</v>
      </c>
      <c r="M296" s="189"/>
      <c r="N296" s="189"/>
      <c r="O296" s="189">
        <v>1</v>
      </c>
      <c r="P296" s="189"/>
      <c r="Q296" s="189"/>
      <c r="R296" s="189"/>
      <c r="S296" s="189"/>
      <c r="T296" s="189"/>
      <c r="U296" s="189"/>
      <c r="V296" s="189"/>
      <c r="W296" s="366">
        <v>1</v>
      </c>
      <c r="X296" s="189">
        <v>1</v>
      </c>
      <c r="Y296" s="366">
        <v>1</v>
      </c>
      <c r="Z296" s="189"/>
      <c r="AA296" s="366">
        <v>1</v>
      </c>
      <c r="AB296" s="189"/>
      <c r="AC296" s="189"/>
      <c r="AD296" s="189"/>
      <c r="AE296" s="189"/>
      <c r="AF296" s="189"/>
      <c r="AG296" s="189"/>
      <c r="AH296" s="196">
        <v>8</v>
      </c>
      <c r="AI296" s="134" t="s">
        <v>113</v>
      </c>
      <c r="AJ296" s="370">
        <v>42378</v>
      </c>
      <c r="AK296" s="187"/>
      <c r="AL296" s="187">
        <f t="shared" si="247"/>
        <v>0</v>
      </c>
      <c r="AM296" s="187">
        <f t="shared" si="248"/>
        <v>13</v>
      </c>
      <c r="AN296" s="187">
        <f t="shared" si="249"/>
        <v>0</v>
      </c>
      <c r="AO296" s="187">
        <f t="shared" si="250"/>
        <v>8</v>
      </c>
      <c r="AP296" s="187">
        <f t="shared" si="251"/>
        <v>0</v>
      </c>
      <c r="AQ296" s="187">
        <f t="shared" si="252"/>
        <v>0</v>
      </c>
      <c r="AR296" s="187">
        <f t="shared" si="253"/>
        <v>0</v>
      </c>
      <c r="AS296" s="187">
        <f t="shared" si="254"/>
        <v>19</v>
      </c>
      <c r="AT296" s="187">
        <f t="shared" si="255"/>
        <v>13</v>
      </c>
      <c r="AU296" s="187">
        <f t="shared" si="256"/>
        <v>0</v>
      </c>
      <c r="AV296" s="187">
        <f t="shared" si="257"/>
        <v>0</v>
      </c>
      <c r="AW296" s="187">
        <f t="shared" si="258"/>
        <v>0</v>
      </c>
      <c r="AX296" s="187">
        <f t="shared" si="259"/>
        <v>0</v>
      </c>
      <c r="AY296" s="187">
        <f t="shared" si="260"/>
        <v>0</v>
      </c>
      <c r="AZ296" s="187">
        <f t="shared" si="261"/>
        <v>0</v>
      </c>
      <c r="BA296" s="187">
        <f t="shared" si="262"/>
        <v>16</v>
      </c>
      <c r="BB296" s="187">
        <f t="shared" si="263"/>
        <v>13</v>
      </c>
      <c r="BC296" s="187">
        <f t="shared" si="264"/>
        <v>10</v>
      </c>
      <c r="BD296" s="187">
        <f t="shared" si="265"/>
        <v>0</v>
      </c>
      <c r="BE296" s="187">
        <f t="shared" si="266"/>
        <v>6</v>
      </c>
      <c r="BF296" s="187">
        <f t="shared" si="267"/>
        <v>0</v>
      </c>
      <c r="BG296" s="187">
        <f t="shared" si="268"/>
        <v>0</v>
      </c>
      <c r="BH296" s="187">
        <f t="shared" si="269"/>
        <v>0</v>
      </c>
      <c r="BI296" s="187">
        <f t="shared" si="270"/>
        <v>0</v>
      </c>
      <c r="BJ296" s="273">
        <f t="shared" si="271"/>
        <v>98</v>
      </c>
      <c r="BK296" s="167">
        <f t="shared" ref="BK296:BK297" si="283">BJ296</f>
        <v>98</v>
      </c>
      <c r="BL296" s="167"/>
      <c r="BM296" s="644"/>
      <c r="BN296" s="644"/>
      <c r="BO296" s="644"/>
      <c r="BP296" s="644"/>
      <c r="BQ296" s="644"/>
      <c r="BR296" s="644"/>
      <c r="BS296" s="644"/>
      <c r="BT296" s="644"/>
      <c r="BU296" s="644"/>
      <c r="BV296" s="644"/>
      <c r="BW296" s="644"/>
      <c r="BX296" s="644"/>
      <c r="BY296" s="644"/>
      <c r="BZ296" s="644"/>
      <c r="CA296" s="644"/>
      <c r="CB296" s="644"/>
      <c r="CC296" s="644"/>
      <c r="CD296" s="644"/>
      <c r="CE296" s="644"/>
      <c r="CF296" s="644"/>
      <c r="CG296" s="644"/>
      <c r="CH296" s="644"/>
      <c r="CI296" s="644"/>
      <c r="CJ296" s="301" t="s">
        <v>749</v>
      </c>
      <c r="CK296" s="343"/>
      <c r="CL296" s="343"/>
    </row>
    <row r="297" spans="1:90" s="344" customFormat="1">
      <c r="A297" s="374" t="s">
        <v>988</v>
      </c>
      <c r="B297" s="189"/>
      <c r="C297" s="189"/>
      <c r="D297" s="189"/>
      <c r="E297" s="189">
        <v>1</v>
      </c>
      <c r="F297" s="189"/>
      <c r="G297" s="189">
        <v>1</v>
      </c>
      <c r="H297" s="189"/>
      <c r="I297" s="189"/>
      <c r="J297" s="189"/>
      <c r="K297" s="189"/>
      <c r="L297" s="189">
        <v>1</v>
      </c>
      <c r="M297" s="189"/>
      <c r="N297" s="189"/>
      <c r="O297" s="189"/>
      <c r="P297" s="189"/>
      <c r="Q297" s="189"/>
      <c r="R297" s="189"/>
      <c r="S297" s="189"/>
      <c r="T297" s="189"/>
      <c r="U297" s="189">
        <v>1</v>
      </c>
      <c r="V297" s="189">
        <v>1</v>
      </c>
      <c r="W297" s="189">
        <v>1</v>
      </c>
      <c r="X297" s="189"/>
      <c r="Y297" s="189"/>
      <c r="Z297" s="189"/>
      <c r="AA297" s="189"/>
      <c r="AB297" s="189">
        <v>1</v>
      </c>
      <c r="AC297" s="189"/>
      <c r="AD297" s="189"/>
      <c r="AE297" s="189"/>
      <c r="AF297" s="189"/>
      <c r="AG297" s="189"/>
      <c r="AH297" s="196">
        <v>7</v>
      </c>
      <c r="AI297" s="368" t="s">
        <v>955</v>
      </c>
      <c r="AJ297" s="370">
        <v>42379</v>
      </c>
      <c r="AK297" s="187"/>
      <c r="AL297" s="187">
        <f t="shared" si="247"/>
        <v>0</v>
      </c>
      <c r="AM297" s="187">
        <f t="shared" si="248"/>
        <v>0</v>
      </c>
      <c r="AN297" s="187">
        <f t="shared" si="249"/>
        <v>8</v>
      </c>
      <c r="AO297" s="187">
        <f t="shared" si="250"/>
        <v>8</v>
      </c>
      <c r="AP297" s="187">
        <f t="shared" si="251"/>
        <v>0</v>
      </c>
      <c r="AQ297" s="187">
        <f t="shared" si="252"/>
        <v>0</v>
      </c>
      <c r="AR297" s="187">
        <f t="shared" si="253"/>
        <v>0</v>
      </c>
      <c r="AS297" s="187">
        <f t="shared" si="254"/>
        <v>19</v>
      </c>
      <c r="AT297" s="187">
        <f t="shared" si="255"/>
        <v>0</v>
      </c>
      <c r="AU297" s="187">
        <f t="shared" si="256"/>
        <v>0</v>
      </c>
      <c r="AV297" s="187">
        <f t="shared" si="257"/>
        <v>0</v>
      </c>
      <c r="AW297" s="187">
        <f t="shared" si="258"/>
        <v>0</v>
      </c>
      <c r="AX297" s="187">
        <f t="shared" si="259"/>
        <v>0</v>
      </c>
      <c r="AY297" s="187">
        <f t="shared" si="260"/>
        <v>2</v>
      </c>
      <c r="AZ297" s="187">
        <f t="shared" si="261"/>
        <v>8</v>
      </c>
      <c r="BA297" s="187">
        <f t="shared" si="262"/>
        <v>16</v>
      </c>
      <c r="BB297" s="187">
        <f t="shared" si="263"/>
        <v>0</v>
      </c>
      <c r="BC297" s="187">
        <f t="shared" si="264"/>
        <v>0</v>
      </c>
      <c r="BD297" s="187">
        <f t="shared" si="265"/>
        <v>0</v>
      </c>
      <c r="BE297" s="187">
        <f t="shared" si="266"/>
        <v>0</v>
      </c>
      <c r="BF297" s="187">
        <f t="shared" si="267"/>
        <v>1</v>
      </c>
      <c r="BG297" s="187">
        <f t="shared" si="268"/>
        <v>0</v>
      </c>
      <c r="BH297" s="187">
        <f t="shared" si="269"/>
        <v>0</v>
      </c>
      <c r="BI297" s="187">
        <f t="shared" si="270"/>
        <v>0</v>
      </c>
      <c r="BJ297" s="273">
        <f t="shared" si="271"/>
        <v>62</v>
      </c>
      <c r="BK297" s="167">
        <f t="shared" si="283"/>
        <v>62</v>
      </c>
      <c r="BL297" s="167"/>
      <c r="BM297" s="644"/>
      <c r="BN297" s="644"/>
      <c r="BO297" s="644"/>
      <c r="BP297" s="644"/>
      <c r="BQ297" s="644"/>
      <c r="BR297" s="644"/>
      <c r="BS297" s="644"/>
      <c r="BT297" s="644"/>
      <c r="BU297" s="644"/>
      <c r="BV297" s="644"/>
      <c r="BW297" s="644"/>
      <c r="BX297" s="644"/>
      <c r="BY297" s="644"/>
      <c r="BZ297" s="644"/>
      <c r="CA297" s="644"/>
      <c r="CB297" s="644"/>
      <c r="CC297" s="644"/>
      <c r="CD297" s="644"/>
      <c r="CE297" s="644"/>
      <c r="CF297" s="644"/>
      <c r="CG297" s="644"/>
      <c r="CH297" s="644"/>
      <c r="CI297" s="644"/>
      <c r="CJ297" s="301" t="s">
        <v>743</v>
      </c>
      <c r="CK297" s="343"/>
      <c r="CL297" s="343"/>
    </row>
    <row r="298" spans="1:90" s="344" customFormat="1">
      <c r="A298" s="382" t="s">
        <v>989</v>
      </c>
      <c r="B298" s="189"/>
      <c r="C298" s="189"/>
      <c r="D298" s="189">
        <v>1</v>
      </c>
      <c r="E298" s="189"/>
      <c r="F298" s="189"/>
      <c r="G298" s="189"/>
      <c r="H298" s="189"/>
      <c r="I298" s="189"/>
      <c r="J298" s="189"/>
      <c r="K298" s="189"/>
      <c r="L298" s="189">
        <v>1</v>
      </c>
      <c r="M298" s="189"/>
      <c r="N298" s="189"/>
      <c r="O298" s="189"/>
      <c r="P298" s="189"/>
      <c r="Q298" s="189"/>
      <c r="R298" s="189"/>
      <c r="S298" s="189">
        <v>1</v>
      </c>
      <c r="T298" s="189"/>
      <c r="U298" s="189"/>
      <c r="V298" s="189">
        <v>1</v>
      </c>
      <c r="W298" s="189">
        <v>1</v>
      </c>
      <c r="X298" s="189"/>
      <c r="Y298" s="189"/>
      <c r="Z298" s="189">
        <v>1</v>
      </c>
      <c r="AA298" s="189"/>
      <c r="AB298" s="189"/>
      <c r="AC298" s="189"/>
      <c r="AD298" s="189">
        <v>1</v>
      </c>
      <c r="AE298" s="189"/>
      <c r="AF298" s="189">
        <v>1</v>
      </c>
      <c r="AG298" s="189"/>
      <c r="AH298" s="196">
        <v>8</v>
      </c>
      <c r="AI298" s="134" t="s">
        <v>113</v>
      </c>
      <c r="AJ298" s="370">
        <v>42384</v>
      </c>
      <c r="AK298" s="187"/>
      <c r="AL298" s="187">
        <f t="shared" si="247"/>
        <v>0</v>
      </c>
      <c r="AM298" s="187">
        <f t="shared" si="248"/>
        <v>13</v>
      </c>
      <c r="AN298" s="187">
        <f t="shared" si="249"/>
        <v>0</v>
      </c>
      <c r="AO298" s="187">
        <f t="shared" si="250"/>
        <v>0</v>
      </c>
      <c r="AP298" s="187">
        <f t="shared" si="251"/>
        <v>0</v>
      </c>
      <c r="AQ298" s="187">
        <f t="shared" si="252"/>
        <v>0</v>
      </c>
      <c r="AR298" s="187">
        <f t="shared" si="253"/>
        <v>0</v>
      </c>
      <c r="AS298" s="187">
        <f t="shared" si="254"/>
        <v>19</v>
      </c>
      <c r="AT298" s="187">
        <f t="shared" si="255"/>
        <v>0</v>
      </c>
      <c r="AU298" s="187">
        <f t="shared" si="256"/>
        <v>0</v>
      </c>
      <c r="AV298" s="187">
        <f t="shared" si="257"/>
        <v>0</v>
      </c>
      <c r="AW298" s="187">
        <f t="shared" si="258"/>
        <v>8</v>
      </c>
      <c r="AX298" s="187">
        <f t="shared" si="259"/>
        <v>0</v>
      </c>
      <c r="AY298" s="187">
        <f t="shared" si="260"/>
        <v>0</v>
      </c>
      <c r="AZ298" s="187">
        <f t="shared" si="261"/>
        <v>8</v>
      </c>
      <c r="BA298" s="187">
        <f t="shared" si="262"/>
        <v>16</v>
      </c>
      <c r="BB298" s="187">
        <f t="shared" si="263"/>
        <v>0</v>
      </c>
      <c r="BC298" s="187">
        <f t="shared" si="264"/>
        <v>0</v>
      </c>
      <c r="BD298" s="187">
        <f t="shared" si="265"/>
        <v>2</v>
      </c>
      <c r="BE298" s="187">
        <f t="shared" si="266"/>
        <v>0</v>
      </c>
      <c r="BF298" s="187">
        <f t="shared" si="267"/>
        <v>0</v>
      </c>
      <c r="BG298" s="187">
        <f t="shared" si="268"/>
        <v>8</v>
      </c>
      <c r="BH298" s="187">
        <f t="shared" si="269"/>
        <v>0</v>
      </c>
      <c r="BI298" s="187">
        <f t="shared" si="270"/>
        <v>3</v>
      </c>
      <c r="BJ298" s="273">
        <f t="shared" si="271"/>
        <v>77</v>
      </c>
      <c r="BK298" s="167">
        <f t="shared" ref="BK298" si="284">BJ298</f>
        <v>77</v>
      </c>
      <c r="BL298" s="167"/>
      <c r="BM298" s="644"/>
      <c r="BN298" s="644"/>
      <c r="BO298" s="644"/>
      <c r="BP298" s="644"/>
      <c r="BQ298" s="644"/>
      <c r="BR298" s="644"/>
      <c r="BS298" s="644"/>
      <c r="BT298" s="644"/>
      <c r="BU298" s="644"/>
      <c r="BV298" s="644"/>
      <c r="BW298" s="644"/>
      <c r="BX298" s="644"/>
      <c r="BY298" s="644"/>
      <c r="BZ298" s="644"/>
      <c r="CA298" s="644"/>
      <c r="CB298" s="644"/>
      <c r="CC298" s="644"/>
      <c r="CD298" s="644"/>
      <c r="CE298" s="644"/>
      <c r="CF298" s="644"/>
      <c r="CG298" s="644"/>
      <c r="CH298" s="644"/>
      <c r="CI298" s="644"/>
      <c r="CJ298" s="301" t="s">
        <v>740</v>
      </c>
      <c r="CK298" s="343"/>
      <c r="CL298" s="343"/>
    </row>
    <row r="299" spans="1:90" s="344" customFormat="1">
      <c r="A299" s="374" t="s">
        <v>990</v>
      </c>
      <c r="B299" s="189"/>
      <c r="C299" s="189"/>
      <c r="D299" s="189">
        <v>1</v>
      </c>
      <c r="E299" s="189"/>
      <c r="F299" s="189"/>
      <c r="G299" s="189"/>
      <c r="H299" s="189"/>
      <c r="I299" s="189"/>
      <c r="J299" s="189"/>
      <c r="K299" s="189"/>
      <c r="L299" s="189">
        <v>1</v>
      </c>
      <c r="M299" s="189"/>
      <c r="N299" s="189"/>
      <c r="O299" s="189">
        <v>1</v>
      </c>
      <c r="P299" s="189"/>
      <c r="Q299" s="189"/>
      <c r="R299" s="189"/>
      <c r="S299" s="189"/>
      <c r="T299" s="189"/>
      <c r="U299" s="189"/>
      <c r="V299" s="189"/>
      <c r="W299" s="189">
        <v>1</v>
      </c>
      <c r="X299" s="366">
        <v>1</v>
      </c>
      <c r="Y299" s="189">
        <v>1</v>
      </c>
      <c r="Z299" s="189"/>
      <c r="AA299" s="189"/>
      <c r="AB299" s="189"/>
      <c r="AC299" s="189"/>
      <c r="AD299" s="189"/>
      <c r="AE299" s="189"/>
      <c r="AF299" s="189"/>
      <c r="AG299" s="189"/>
      <c r="AH299" s="196">
        <v>6</v>
      </c>
      <c r="AI299" s="191" t="s">
        <v>991</v>
      </c>
      <c r="AJ299" s="370">
        <v>42376</v>
      </c>
      <c r="AK299" s="187"/>
      <c r="AL299" s="187">
        <f t="shared" si="247"/>
        <v>0</v>
      </c>
      <c r="AM299" s="187">
        <f t="shared" si="248"/>
        <v>13</v>
      </c>
      <c r="AN299" s="187">
        <f t="shared" si="249"/>
        <v>0</v>
      </c>
      <c r="AO299" s="187">
        <f t="shared" si="250"/>
        <v>0</v>
      </c>
      <c r="AP299" s="187">
        <f t="shared" si="251"/>
        <v>0</v>
      </c>
      <c r="AQ299" s="187">
        <f t="shared" si="252"/>
        <v>0</v>
      </c>
      <c r="AR299" s="187">
        <f t="shared" si="253"/>
        <v>0</v>
      </c>
      <c r="AS299" s="187">
        <f t="shared" si="254"/>
        <v>19</v>
      </c>
      <c r="AT299" s="187">
        <f t="shared" si="255"/>
        <v>13</v>
      </c>
      <c r="AU299" s="187">
        <f t="shared" si="256"/>
        <v>0</v>
      </c>
      <c r="AV299" s="187">
        <f t="shared" si="257"/>
        <v>0</v>
      </c>
      <c r="AW299" s="187">
        <f t="shared" si="258"/>
        <v>0</v>
      </c>
      <c r="AX299" s="187">
        <f t="shared" si="259"/>
        <v>0</v>
      </c>
      <c r="AY299" s="187">
        <f t="shared" si="260"/>
        <v>0</v>
      </c>
      <c r="AZ299" s="187">
        <f t="shared" si="261"/>
        <v>0</v>
      </c>
      <c r="BA299" s="187">
        <f t="shared" si="262"/>
        <v>16</v>
      </c>
      <c r="BB299" s="187">
        <f t="shared" si="263"/>
        <v>13</v>
      </c>
      <c r="BC299" s="187">
        <f t="shared" si="264"/>
        <v>10</v>
      </c>
      <c r="BD299" s="187">
        <f t="shared" si="265"/>
        <v>0</v>
      </c>
      <c r="BE299" s="187">
        <f t="shared" si="266"/>
        <v>0</v>
      </c>
      <c r="BF299" s="187">
        <f t="shared" si="267"/>
        <v>0</v>
      </c>
      <c r="BG299" s="187">
        <f t="shared" si="268"/>
        <v>0</v>
      </c>
      <c r="BH299" s="187">
        <f t="shared" si="269"/>
        <v>0</v>
      </c>
      <c r="BI299" s="187">
        <f t="shared" si="270"/>
        <v>0</v>
      </c>
      <c r="BJ299" s="273">
        <f t="shared" si="271"/>
        <v>84</v>
      </c>
      <c r="BK299" s="167">
        <f t="shared" ref="BK299" si="285">BJ299</f>
        <v>84</v>
      </c>
      <c r="BL299" s="167"/>
      <c r="BM299" s="644"/>
      <c r="BN299" s="644"/>
      <c r="BO299" s="644"/>
      <c r="BP299" s="644"/>
      <c r="BQ299" s="644"/>
      <c r="BR299" s="644"/>
      <c r="BS299" s="644"/>
      <c r="BT299" s="644"/>
      <c r="BU299" s="644"/>
      <c r="BV299" s="644"/>
      <c r="BW299" s="644"/>
      <c r="BX299" s="644"/>
      <c r="BY299" s="644"/>
      <c r="BZ299" s="644"/>
      <c r="CA299" s="644"/>
      <c r="CB299" s="644"/>
      <c r="CC299" s="644"/>
      <c r="CD299" s="644"/>
      <c r="CE299" s="644"/>
      <c r="CF299" s="644"/>
      <c r="CG299" s="644"/>
      <c r="CH299" s="644"/>
      <c r="CI299" s="644"/>
      <c r="CJ299" s="301" t="s">
        <v>740</v>
      </c>
      <c r="CK299" s="343"/>
      <c r="CL299" s="343"/>
    </row>
    <row r="300" spans="1:90" s="344" customFormat="1">
      <c r="A300" s="374" t="s">
        <v>677</v>
      </c>
      <c r="B300" s="189"/>
      <c r="C300" s="189"/>
      <c r="D300" s="189">
        <v>1</v>
      </c>
      <c r="E300" s="189"/>
      <c r="F300" s="189"/>
      <c r="G300" s="189"/>
      <c r="H300" s="189"/>
      <c r="I300" s="189"/>
      <c r="J300" s="189"/>
      <c r="K300" s="189"/>
      <c r="L300" s="189">
        <v>1</v>
      </c>
      <c r="M300" s="189"/>
      <c r="N300" s="189"/>
      <c r="O300" s="189">
        <v>1</v>
      </c>
      <c r="P300" s="189"/>
      <c r="Q300" s="189">
        <v>1</v>
      </c>
      <c r="R300" s="189"/>
      <c r="S300" s="189">
        <v>1</v>
      </c>
      <c r="T300" s="189"/>
      <c r="U300" s="189"/>
      <c r="V300" s="189"/>
      <c r="W300" s="189"/>
      <c r="X300" s="189">
        <v>1</v>
      </c>
      <c r="Y300" s="189">
        <v>1</v>
      </c>
      <c r="Z300" s="189"/>
      <c r="AA300" s="189">
        <v>1</v>
      </c>
      <c r="AB300" s="189"/>
      <c r="AC300" s="189"/>
      <c r="AD300" s="189">
        <v>1</v>
      </c>
      <c r="AE300" s="189">
        <v>1</v>
      </c>
      <c r="AF300" s="189"/>
      <c r="AG300" s="189"/>
      <c r="AH300" s="196">
        <v>10</v>
      </c>
      <c r="AI300" s="191" t="s">
        <v>992</v>
      </c>
      <c r="AJ300" s="192">
        <v>42375</v>
      </c>
      <c r="AK300" s="187"/>
      <c r="AL300" s="187">
        <f t="shared" si="247"/>
        <v>0</v>
      </c>
      <c r="AM300" s="187">
        <f t="shared" si="248"/>
        <v>13</v>
      </c>
      <c r="AN300" s="187">
        <f t="shared" si="249"/>
        <v>0</v>
      </c>
      <c r="AO300" s="187">
        <f t="shared" si="250"/>
        <v>0</v>
      </c>
      <c r="AP300" s="187">
        <f t="shared" si="251"/>
        <v>0</v>
      </c>
      <c r="AQ300" s="187">
        <f t="shared" si="252"/>
        <v>0</v>
      </c>
      <c r="AR300" s="187">
        <f t="shared" si="253"/>
        <v>0</v>
      </c>
      <c r="AS300" s="187">
        <f t="shared" si="254"/>
        <v>19</v>
      </c>
      <c r="AT300" s="187">
        <f t="shared" si="255"/>
        <v>13</v>
      </c>
      <c r="AU300" s="187">
        <f t="shared" si="256"/>
        <v>0</v>
      </c>
      <c r="AV300" s="187">
        <f t="shared" si="257"/>
        <v>3</v>
      </c>
      <c r="AW300" s="187">
        <f t="shared" si="258"/>
        <v>8</v>
      </c>
      <c r="AX300" s="187">
        <f t="shared" si="259"/>
        <v>0</v>
      </c>
      <c r="AY300" s="187">
        <f t="shared" si="260"/>
        <v>0</v>
      </c>
      <c r="AZ300" s="187">
        <f t="shared" si="261"/>
        <v>0</v>
      </c>
      <c r="BA300" s="187">
        <f t="shared" si="262"/>
        <v>0</v>
      </c>
      <c r="BB300" s="187">
        <f t="shared" si="263"/>
        <v>13</v>
      </c>
      <c r="BC300" s="187">
        <f t="shared" si="264"/>
        <v>10</v>
      </c>
      <c r="BD300" s="187">
        <f t="shared" si="265"/>
        <v>0</v>
      </c>
      <c r="BE300" s="187">
        <f t="shared" si="266"/>
        <v>6</v>
      </c>
      <c r="BF300" s="187">
        <f t="shared" si="267"/>
        <v>0</v>
      </c>
      <c r="BG300" s="187">
        <f t="shared" si="268"/>
        <v>8</v>
      </c>
      <c r="BH300" s="187">
        <f t="shared" si="269"/>
        <v>2</v>
      </c>
      <c r="BI300" s="187">
        <f t="shared" si="270"/>
        <v>0</v>
      </c>
      <c r="BJ300" s="273">
        <f t="shared" si="271"/>
        <v>90</v>
      </c>
      <c r="BK300" s="167">
        <f t="shared" ref="BK300:BK301" si="286">BJ300</f>
        <v>90</v>
      </c>
      <c r="BL300" s="167"/>
      <c r="BM300" s="644"/>
      <c r="BN300" s="644"/>
      <c r="BO300" s="644"/>
      <c r="BP300" s="644"/>
      <c r="BQ300" s="644"/>
      <c r="BR300" s="644"/>
      <c r="BS300" s="644"/>
      <c r="BT300" s="644"/>
      <c r="BU300" s="644"/>
      <c r="BV300" s="644"/>
      <c r="BW300" s="644"/>
      <c r="BX300" s="644"/>
      <c r="BY300" s="644"/>
      <c r="BZ300" s="644"/>
      <c r="CA300" s="644"/>
      <c r="CB300" s="644"/>
      <c r="CC300" s="644"/>
      <c r="CD300" s="644"/>
      <c r="CE300" s="644"/>
      <c r="CF300" s="644"/>
      <c r="CG300" s="644"/>
      <c r="CH300" s="644"/>
      <c r="CI300" s="644"/>
      <c r="CJ300" s="301" t="s">
        <v>993</v>
      </c>
      <c r="CK300" s="343"/>
      <c r="CL300" s="343"/>
    </row>
    <row r="301" spans="1:90" s="344" customFormat="1">
      <c r="A301" s="374" t="s">
        <v>453</v>
      </c>
      <c r="B301" s="189"/>
      <c r="C301" s="189"/>
      <c r="D301" s="367"/>
      <c r="E301" s="189"/>
      <c r="F301" s="189"/>
      <c r="G301" s="189"/>
      <c r="H301" s="189"/>
      <c r="I301" s="189"/>
      <c r="J301" s="189"/>
      <c r="K301" s="189"/>
      <c r="L301" s="189">
        <v>1</v>
      </c>
      <c r="M301" s="189"/>
      <c r="N301" s="189"/>
      <c r="O301" s="189"/>
      <c r="P301" s="189"/>
      <c r="Q301" s="189"/>
      <c r="R301" s="189"/>
      <c r="S301" s="189"/>
      <c r="T301" s="189"/>
      <c r="U301" s="189"/>
      <c r="V301" s="189">
        <v>1</v>
      </c>
      <c r="W301" s="189"/>
      <c r="X301" s="189"/>
      <c r="Y301" s="189"/>
      <c r="Z301" s="189"/>
      <c r="AA301" s="189"/>
      <c r="AB301" s="189"/>
      <c r="AC301" s="189"/>
      <c r="AD301" s="189">
        <v>1</v>
      </c>
      <c r="AE301" s="189"/>
      <c r="AF301" s="189"/>
      <c r="AG301" s="189"/>
      <c r="AH301" s="196">
        <v>3</v>
      </c>
      <c r="AI301" s="368" t="s">
        <v>955</v>
      </c>
      <c r="AJ301" s="192">
        <v>42375</v>
      </c>
      <c r="AK301" s="187"/>
      <c r="AL301" s="187">
        <f t="shared" si="247"/>
        <v>0</v>
      </c>
      <c r="AM301" s="187">
        <f t="shared" si="248"/>
        <v>0</v>
      </c>
      <c r="AN301" s="187">
        <f t="shared" si="249"/>
        <v>0</v>
      </c>
      <c r="AO301" s="187">
        <f t="shared" si="250"/>
        <v>0</v>
      </c>
      <c r="AP301" s="187">
        <f t="shared" si="251"/>
        <v>0</v>
      </c>
      <c r="AQ301" s="187">
        <f t="shared" si="252"/>
        <v>0</v>
      </c>
      <c r="AR301" s="187">
        <f t="shared" si="253"/>
        <v>0</v>
      </c>
      <c r="AS301" s="187">
        <f t="shared" si="254"/>
        <v>19</v>
      </c>
      <c r="AT301" s="187">
        <f t="shared" si="255"/>
        <v>0</v>
      </c>
      <c r="AU301" s="187">
        <f t="shared" si="256"/>
        <v>0</v>
      </c>
      <c r="AV301" s="187">
        <f t="shared" si="257"/>
        <v>0</v>
      </c>
      <c r="AW301" s="187">
        <f t="shared" si="258"/>
        <v>0</v>
      </c>
      <c r="AX301" s="187">
        <f t="shared" si="259"/>
        <v>0</v>
      </c>
      <c r="AY301" s="187">
        <f t="shared" si="260"/>
        <v>0</v>
      </c>
      <c r="AZ301" s="187">
        <f t="shared" si="261"/>
        <v>8</v>
      </c>
      <c r="BA301" s="187">
        <f t="shared" si="262"/>
        <v>0</v>
      </c>
      <c r="BB301" s="187">
        <f t="shared" si="263"/>
        <v>0</v>
      </c>
      <c r="BC301" s="187">
        <f t="shared" si="264"/>
        <v>0</v>
      </c>
      <c r="BD301" s="187">
        <f t="shared" si="265"/>
        <v>0</v>
      </c>
      <c r="BE301" s="187">
        <f t="shared" si="266"/>
        <v>0</v>
      </c>
      <c r="BF301" s="187">
        <f t="shared" si="267"/>
        <v>0</v>
      </c>
      <c r="BG301" s="187">
        <f t="shared" si="268"/>
        <v>8</v>
      </c>
      <c r="BH301" s="187">
        <f t="shared" si="269"/>
        <v>0</v>
      </c>
      <c r="BI301" s="187">
        <f t="shared" si="270"/>
        <v>0</v>
      </c>
      <c r="BJ301" s="273">
        <f t="shared" si="271"/>
        <v>35</v>
      </c>
      <c r="BK301" s="167">
        <f t="shared" si="286"/>
        <v>35</v>
      </c>
      <c r="BL301" s="167"/>
      <c r="BM301" s="644"/>
      <c r="BN301" s="644"/>
      <c r="BO301" s="644"/>
      <c r="BP301" s="644"/>
      <c r="BQ301" s="644"/>
      <c r="BR301" s="644"/>
      <c r="BS301" s="644"/>
      <c r="BT301" s="644"/>
      <c r="BU301" s="644"/>
      <c r="BV301" s="644"/>
      <c r="BW301" s="644"/>
      <c r="BX301" s="644"/>
      <c r="BY301" s="644"/>
      <c r="BZ301" s="644"/>
      <c r="CA301" s="644"/>
      <c r="CB301" s="644"/>
      <c r="CC301" s="644"/>
      <c r="CD301" s="644"/>
      <c r="CE301" s="644"/>
      <c r="CF301" s="644"/>
      <c r="CG301" s="644"/>
      <c r="CH301" s="644"/>
      <c r="CI301" s="644"/>
      <c r="CJ301" s="301" t="s">
        <v>814</v>
      </c>
      <c r="CK301" s="343"/>
      <c r="CL301" s="343"/>
    </row>
    <row r="302" spans="1:90" s="344" customFormat="1">
      <c r="A302" s="374" t="s">
        <v>287</v>
      </c>
      <c r="B302" s="189"/>
      <c r="C302" s="189"/>
      <c r="D302" s="189">
        <v>1</v>
      </c>
      <c r="E302" s="189"/>
      <c r="F302" s="189"/>
      <c r="G302" s="189"/>
      <c r="H302" s="189"/>
      <c r="I302" s="189"/>
      <c r="J302" s="189"/>
      <c r="K302" s="189"/>
      <c r="L302" s="189">
        <v>1</v>
      </c>
      <c r="M302" s="189"/>
      <c r="N302" s="189"/>
      <c r="O302" s="189">
        <v>1</v>
      </c>
      <c r="P302" s="189"/>
      <c r="Q302" s="189"/>
      <c r="R302" s="189"/>
      <c r="S302" s="189">
        <v>1</v>
      </c>
      <c r="T302" s="366">
        <v>1</v>
      </c>
      <c r="U302" s="189"/>
      <c r="V302" s="189">
        <v>1</v>
      </c>
      <c r="W302" s="189">
        <v>1</v>
      </c>
      <c r="X302" s="189">
        <v>1</v>
      </c>
      <c r="Y302" s="189">
        <v>1</v>
      </c>
      <c r="Z302" s="189"/>
      <c r="AA302" s="189"/>
      <c r="AB302" s="189"/>
      <c r="AC302" s="189"/>
      <c r="AD302" s="366">
        <v>1</v>
      </c>
      <c r="AE302" s="189"/>
      <c r="AF302" s="189"/>
      <c r="AG302" s="189"/>
      <c r="AH302" s="196">
        <v>10</v>
      </c>
      <c r="AI302" s="134" t="s">
        <v>113</v>
      </c>
      <c r="AJ302" s="370">
        <v>42376</v>
      </c>
      <c r="AK302" s="187"/>
      <c r="AL302" s="187">
        <f t="shared" si="247"/>
        <v>0</v>
      </c>
      <c r="AM302" s="187">
        <f t="shared" si="248"/>
        <v>13</v>
      </c>
      <c r="AN302" s="187">
        <f t="shared" si="249"/>
        <v>0</v>
      </c>
      <c r="AO302" s="187">
        <f t="shared" si="250"/>
        <v>0</v>
      </c>
      <c r="AP302" s="187">
        <f t="shared" si="251"/>
        <v>0</v>
      </c>
      <c r="AQ302" s="187">
        <f t="shared" si="252"/>
        <v>0</v>
      </c>
      <c r="AR302" s="187">
        <f t="shared" si="253"/>
        <v>0</v>
      </c>
      <c r="AS302" s="187">
        <f t="shared" si="254"/>
        <v>19</v>
      </c>
      <c r="AT302" s="187">
        <f t="shared" si="255"/>
        <v>13</v>
      </c>
      <c r="AU302" s="187">
        <f t="shared" si="256"/>
        <v>0</v>
      </c>
      <c r="AV302" s="187">
        <f t="shared" si="257"/>
        <v>0</v>
      </c>
      <c r="AW302" s="187">
        <f t="shared" si="258"/>
        <v>8</v>
      </c>
      <c r="AX302" s="187">
        <f t="shared" si="259"/>
        <v>4</v>
      </c>
      <c r="AY302" s="187">
        <f t="shared" si="260"/>
        <v>0</v>
      </c>
      <c r="AZ302" s="187">
        <f t="shared" si="261"/>
        <v>8</v>
      </c>
      <c r="BA302" s="187">
        <f t="shared" si="262"/>
        <v>16</v>
      </c>
      <c r="BB302" s="187">
        <f t="shared" si="263"/>
        <v>13</v>
      </c>
      <c r="BC302" s="187">
        <f t="shared" si="264"/>
        <v>10</v>
      </c>
      <c r="BD302" s="187">
        <f t="shared" si="265"/>
        <v>0</v>
      </c>
      <c r="BE302" s="187">
        <f t="shared" si="266"/>
        <v>0</v>
      </c>
      <c r="BF302" s="187">
        <f t="shared" si="267"/>
        <v>0</v>
      </c>
      <c r="BG302" s="187">
        <f t="shared" si="268"/>
        <v>8</v>
      </c>
      <c r="BH302" s="187">
        <f t="shared" si="269"/>
        <v>0</v>
      </c>
      <c r="BI302" s="187">
        <f t="shared" si="270"/>
        <v>0</v>
      </c>
      <c r="BJ302" s="273">
        <f t="shared" si="271"/>
        <v>100</v>
      </c>
      <c r="BK302" s="167">
        <f t="shared" ref="BK302" si="287">BJ302</f>
        <v>100</v>
      </c>
      <c r="BL302" s="167"/>
      <c r="BM302" s="644"/>
      <c r="BN302" s="644"/>
      <c r="BO302" s="644"/>
      <c r="BP302" s="644"/>
      <c r="BQ302" s="644"/>
      <c r="BR302" s="644"/>
      <c r="BS302" s="644"/>
      <c r="BT302" s="644"/>
      <c r="BU302" s="644"/>
      <c r="BV302" s="644"/>
      <c r="BW302" s="644"/>
      <c r="BX302" s="644"/>
      <c r="BY302" s="644"/>
      <c r="BZ302" s="644"/>
      <c r="CA302" s="644"/>
      <c r="CB302" s="644"/>
      <c r="CC302" s="644"/>
      <c r="CD302" s="644"/>
      <c r="CE302" s="644"/>
      <c r="CF302" s="644"/>
      <c r="CG302" s="644"/>
      <c r="CH302" s="644"/>
      <c r="CI302" s="644"/>
      <c r="CJ302" s="301" t="s">
        <v>748</v>
      </c>
      <c r="CK302" s="343"/>
      <c r="CL302" s="343"/>
    </row>
    <row r="303" spans="1:90" s="344" customFormat="1">
      <c r="A303" s="374" t="s">
        <v>454</v>
      </c>
      <c r="B303" s="189"/>
      <c r="C303" s="189"/>
      <c r="D303" s="189"/>
      <c r="E303" s="367"/>
      <c r="F303" s="367"/>
      <c r="G303" s="367"/>
      <c r="H303" s="189"/>
      <c r="I303" s="189"/>
      <c r="J303" s="189"/>
      <c r="K303" s="189"/>
      <c r="L303" s="189">
        <v>1</v>
      </c>
      <c r="M303" s="189"/>
      <c r="N303" s="189"/>
      <c r="O303" s="189">
        <v>1</v>
      </c>
      <c r="P303" s="189"/>
      <c r="Q303" s="189"/>
      <c r="R303" s="189"/>
      <c r="S303" s="366">
        <v>1</v>
      </c>
      <c r="T303" s="189"/>
      <c r="U303" s="189"/>
      <c r="V303" s="366">
        <v>1</v>
      </c>
      <c r="W303" s="189">
        <v>1</v>
      </c>
      <c r="X303" s="366">
        <v>1</v>
      </c>
      <c r="Y303" s="189">
        <v>1</v>
      </c>
      <c r="Z303" s="189"/>
      <c r="AA303" s="366">
        <v>1</v>
      </c>
      <c r="AB303" s="189"/>
      <c r="AC303" s="189"/>
      <c r="AD303" s="189"/>
      <c r="AE303" s="189"/>
      <c r="AF303" s="189"/>
      <c r="AG303" s="189"/>
      <c r="AH303" s="196">
        <v>8</v>
      </c>
      <c r="AI303" s="134" t="s">
        <v>115</v>
      </c>
      <c r="AJ303" s="370">
        <v>42376</v>
      </c>
      <c r="AK303" s="187"/>
      <c r="AL303" s="187">
        <f t="shared" si="247"/>
        <v>0</v>
      </c>
      <c r="AM303" s="187">
        <f t="shared" si="248"/>
        <v>0</v>
      </c>
      <c r="AN303" s="187">
        <f t="shared" si="249"/>
        <v>0</v>
      </c>
      <c r="AO303" s="187">
        <f t="shared" si="250"/>
        <v>0</v>
      </c>
      <c r="AP303" s="187">
        <f t="shared" si="251"/>
        <v>0</v>
      </c>
      <c r="AQ303" s="187">
        <f t="shared" si="252"/>
        <v>0</v>
      </c>
      <c r="AR303" s="187">
        <f t="shared" si="253"/>
        <v>0</v>
      </c>
      <c r="AS303" s="187">
        <f t="shared" si="254"/>
        <v>19</v>
      </c>
      <c r="AT303" s="187">
        <f t="shared" si="255"/>
        <v>13</v>
      </c>
      <c r="AU303" s="187">
        <f t="shared" si="256"/>
        <v>0</v>
      </c>
      <c r="AV303" s="187">
        <f t="shared" si="257"/>
        <v>0</v>
      </c>
      <c r="AW303" s="187">
        <f t="shared" si="258"/>
        <v>8</v>
      </c>
      <c r="AX303" s="187">
        <f t="shared" si="259"/>
        <v>0</v>
      </c>
      <c r="AY303" s="187">
        <f t="shared" si="260"/>
        <v>0</v>
      </c>
      <c r="AZ303" s="187">
        <f t="shared" si="261"/>
        <v>8</v>
      </c>
      <c r="BA303" s="187">
        <f t="shared" si="262"/>
        <v>16</v>
      </c>
      <c r="BB303" s="187">
        <f t="shared" si="263"/>
        <v>13</v>
      </c>
      <c r="BC303" s="187">
        <f t="shared" si="264"/>
        <v>10</v>
      </c>
      <c r="BD303" s="187">
        <f t="shared" si="265"/>
        <v>0</v>
      </c>
      <c r="BE303" s="187">
        <f t="shared" si="266"/>
        <v>6</v>
      </c>
      <c r="BF303" s="187">
        <f t="shared" si="267"/>
        <v>0</v>
      </c>
      <c r="BG303" s="187">
        <f t="shared" si="268"/>
        <v>0</v>
      </c>
      <c r="BH303" s="187">
        <f t="shared" si="269"/>
        <v>0</v>
      </c>
      <c r="BI303" s="187">
        <f t="shared" si="270"/>
        <v>0</v>
      </c>
      <c r="BJ303" s="273">
        <f t="shared" si="271"/>
        <v>93</v>
      </c>
      <c r="BK303" s="167">
        <f t="shared" ref="BK303:BK304" si="288">BJ303</f>
        <v>93</v>
      </c>
      <c r="BL303" s="167"/>
      <c r="BM303" s="644"/>
      <c r="BN303" s="644"/>
      <c r="BO303" s="644"/>
      <c r="BP303" s="644"/>
      <c r="BQ303" s="644"/>
      <c r="BR303" s="644"/>
      <c r="BS303" s="644"/>
      <c r="BT303" s="644"/>
      <c r="BU303" s="644"/>
      <c r="BV303" s="644"/>
      <c r="BW303" s="644"/>
      <c r="BX303" s="644"/>
      <c r="BY303" s="644"/>
      <c r="BZ303" s="644"/>
      <c r="CA303" s="644"/>
      <c r="CB303" s="644"/>
      <c r="CC303" s="644"/>
      <c r="CD303" s="644"/>
      <c r="CE303" s="644"/>
      <c r="CF303" s="644"/>
      <c r="CG303" s="644"/>
      <c r="CH303" s="644"/>
      <c r="CI303" s="644"/>
      <c r="CJ303" s="301" t="s">
        <v>841</v>
      </c>
      <c r="CK303" s="343"/>
      <c r="CL303" s="343"/>
    </row>
    <row r="304" spans="1:90" s="344" customFormat="1">
      <c r="A304" s="374" t="s">
        <v>455</v>
      </c>
      <c r="B304" s="189"/>
      <c r="C304" s="189"/>
      <c r="D304" s="189">
        <v>1</v>
      </c>
      <c r="E304" s="189">
        <v>1</v>
      </c>
      <c r="F304" s="189"/>
      <c r="G304" s="189">
        <v>1</v>
      </c>
      <c r="H304" s="189"/>
      <c r="I304" s="189"/>
      <c r="J304" s="189"/>
      <c r="K304" s="189"/>
      <c r="L304" s="189">
        <v>1</v>
      </c>
      <c r="M304" s="189"/>
      <c r="N304" s="189"/>
      <c r="O304" s="189"/>
      <c r="P304" s="189"/>
      <c r="Q304" s="189"/>
      <c r="R304" s="189"/>
      <c r="S304" s="189">
        <v>1</v>
      </c>
      <c r="T304" s="366">
        <v>1</v>
      </c>
      <c r="U304" s="189"/>
      <c r="V304" s="189"/>
      <c r="W304" s="189">
        <v>1</v>
      </c>
      <c r="X304" s="189">
        <v>1</v>
      </c>
      <c r="Y304" s="189"/>
      <c r="Z304" s="189"/>
      <c r="AA304" s="189"/>
      <c r="AB304" s="189"/>
      <c r="AC304" s="189"/>
      <c r="AD304" s="366">
        <v>1</v>
      </c>
      <c r="AE304" s="189"/>
      <c r="AF304" s="366">
        <v>1</v>
      </c>
      <c r="AG304" s="189"/>
      <c r="AH304" s="196">
        <v>10</v>
      </c>
      <c r="AI304" s="368" t="s">
        <v>955</v>
      </c>
      <c r="AJ304" s="192">
        <v>42379</v>
      </c>
      <c r="AK304" s="187"/>
      <c r="AL304" s="187">
        <f t="shared" si="247"/>
        <v>0</v>
      </c>
      <c r="AM304" s="187">
        <f t="shared" si="248"/>
        <v>13</v>
      </c>
      <c r="AN304" s="187">
        <f t="shared" si="249"/>
        <v>8</v>
      </c>
      <c r="AO304" s="187">
        <f t="shared" si="250"/>
        <v>8</v>
      </c>
      <c r="AP304" s="187">
        <f t="shared" si="251"/>
        <v>0</v>
      </c>
      <c r="AQ304" s="187">
        <f t="shared" si="252"/>
        <v>0</v>
      </c>
      <c r="AR304" s="187">
        <f t="shared" si="253"/>
        <v>0</v>
      </c>
      <c r="AS304" s="187">
        <f t="shared" si="254"/>
        <v>19</v>
      </c>
      <c r="AT304" s="187">
        <f t="shared" si="255"/>
        <v>0</v>
      </c>
      <c r="AU304" s="187">
        <f t="shared" si="256"/>
        <v>0</v>
      </c>
      <c r="AV304" s="187">
        <f t="shared" si="257"/>
        <v>0</v>
      </c>
      <c r="AW304" s="187">
        <f t="shared" si="258"/>
        <v>8</v>
      </c>
      <c r="AX304" s="187">
        <f t="shared" si="259"/>
        <v>4</v>
      </c>
      <c r="AY304" s="187">
        <f t="shared" si="260"/>
        <v>0</v>
      </c>
      <c r="AZ304" s="187">
        <f t="shared" si="261"/>
        <v>0</v>
      </c>
      <c r="BA304" s="187">
        <f t="shared" si="262"/>
        <v>16</v>
      </c>
      <c r="BB304" s="187">
        <f t="shared" si="263"/>
        <v>13</v>
      </c>
      <c r="BC304" s="187">
        <f t="shared" si="264"/>
        <v>0</v>
      </c>
      <c r="BD304" s="187">
        <f t="shared" si="265"/>
        <v>0</v>
      </c>
      <c r="BE304" s="187">
        <f t="shared" si="266"/>
        <v>0</v>
      </c>
      <c r="BF304" s="187">
        <f t="shared" si="267"/>
        <v>0</v>
      </c>
      <c r="BG304" s="187">
        <f t="shared" si="268"/>
        <v>8</v>
      </c>
      <c r="BH304" s="187">
        <f t="shared" si="269"/>
        <v>0</v>
      </c>
      <c r="BI304" s="187">
        <f t="shared" si="270"/>
        <v>3</v>
      </c>
      <c r="BJ304" s="273">
        <f t="shared" si="271"/>
        <v>93</v>
      </c>
      <c r="BK304" s="167">
        <f t="shared" si="288"/>
        <v>93</v>
      </c>
      <c r="BL304" s="167"/>
      <c r="BM304" s="644"/>
      <c r="BN304" s="644"/>
      <c r="BO304" s="644"/>
      <c r="BP304" s="644"/>
      <c r="BQ304" s="644"/>
      <c r="BR304" s="644"/>
      <c r="BS304" s="644"/>
      <c r="BT304" s="644"/>
      <c r="BU304" s="644"/>
      <c r="BV304" s="644"/>
      <c r="BW304" s="644"/>
      <c r="BX304" s="644"/>
      <c r="BY304" s="644"/>
      <c r="BZ304" s="644"/>
      <c r="CA304" s="644"/>
      <c r="CB304" s="644"/>
      <c r="CC304" s="644"/>
      <c r="CD304" s="644"/>
      <c r="CE304" s="644"/>
      <c r="CF304" s="644"/>
      <c r="CG304" s="644"/>
      <c r="CH304" s="644"/>
      <c r="CI304" s="644"/>
      <c r="CJ304" s="301" t="s">
        <v>743</v>
      </c>
      <c r="CK304" s="343"/>
      <c r="CL304" s="343"/>
    </row>
    <row r="305" spans="1:90" s="344" customFormat="1">
      <c r="A305" s="369" t="s">
        <v>456</v>
      </c>
      <c r="B305" s="189"/>
      <c r="C305" s="189"/>
      <c r="D305" s="189">
        <v>1</v>
      </c>
      <c r="E305" s="189"/>
      <c r="F305" s="189"/>
      <c r="G305" s="189"/>
      <c r="H305" s="189"/>
      <c r="I305" s="189"/>
      <c r="J305" s="189"/>
      <c r="K305" s="189"/>
      <c r="L305" s="189">
        <v>1</v>
      </c>
      <c r="M305" s="189"/>
      <c r="N305" s="189"/>
      <c r="O305" s="189">
        <v>1</v>
      </c>
      <c r="P305" s="189"/>
      <c r="Q305" s="189">
        <v>1</v>
      </c>
      <c r="R305" s="189"/>
      <c r="S305" s="366">
        <v>1</v>
      </c>
      <c r="T305" s="189"/>
      <c r="U305" s="189"/>
      <c r="V305" s="189"/>
      <c r="W305" s="189">
        <v>1</v>
      </c>
      <c r="X305" s="189">
        <v>1</v>
      </c>
      <c r="Y305" s="366">
        <v>1</v>
      </c>
      <c r="Z305" s="189">
        <v>1</v>
      </c>
      <c r="AA305" s="189">
        <v>1</v>
      </c>
      <c r="AB305" s="189"/>
      <c r="AC305" s="189"/>
      <c r="AD305" s="189"/>
      <c r="AE305" s="189"/>
      <c r="AF305" s="189"/>
      <c r="AG305" s="189"/>
      <c r="AH305" s="196">
        <v>10</v>
      </c>
      <c r="AI305" s="372" t="s">
        <v>994</v>
      </c>
      <c r="AJ305" s="370">
        <v>42384</v>
      </c>
      <c r="AK305" s="187"/>
      <c r="AL305" s="187">
        <f t="shared" ref="AL305" si="289">IF(B305=1,0,0)</f>
        <v>0</v>
      </c>
      <c r="AM305" s="187">
        <f t="shared" ref="AM305" si="290">IF(D305=1,13,0)</f>
        <v>13</v>
      </c>
      <c r="AN305" s="187">
        <f t="shared" ref="AN305" si="291">IF(E305=1,8,0)</f>
        <v>0</v>
      </c>
      <c r="AO305" s="187">
        <f t="shared" ref="AO305" si="292">IF(G305=1,8,0)</f>
        <v>0</v>
      </c>
      <c r="AP305" s="187">
        <f t="shared" ref="AP305" si="293">IF(I305=1,0,0)</f>
        <v>0</v>
      </c>
      <c r="AQ305" s="187">
        <f t="shared" ref="AQ305" si="294">IF(J305=1,0,0)</f>
        <v>0</v>
      </c>
      <c r="AR305" s="187">
        <f t="shared" ref="AR305" si="295">IF(K305=1,0,0)</f>
        <v>0</v>
      </c>
      <c r="AS305" s="187">
        <f t="shared" ref="AS305" si="296">IF(L305=1,19,0)</f>
        <v>19</v>
      </c>
      <c r="AT305" s="187">
        <f t="shared" ref="AT305" si="297">IF(O305=1,13,0)</f>
        <v>13</v>
      </c>
      <c r="AU305" s="187">
        <f t="shared" ref="AU305" si="298">IF(P305=1,0,0)</f>
        <v>0</v>
      </c>
      <c r="AV305" s="187">
        <f t="shared" ref="AV305" si="299">IF(Q305=1,3,0)</f>
        <v>3</v>
      </c>
      <c r="AW305" s="187">
        <f t="shared" ref="AW305" si="300">IF(S305=1,8,0)</f>
        <v>8</v>
      </c>
      <c r="AX305" s="187">
        <f t="shared" ref="AX305" si="301">IF(T305=1,4,0)</f>
        <v>0</v>
      </c>
      <c r="AY305" s="187">
        <f t="shared" ref="AY305" si="302">IF(U305=1,2,0)</f>
        <v>0</v>
      </c>
      <c r="AZ305" s="187">
        <f t="shared" ref="AZ305" si="303">IF(V305=1,8,0)</f>
        <v>0</v>
      </c>
      <c r="BA305" s="187">
        <f t="shared" ref="BA305" si="304">IF(W305=1,16,0)</f>
        <v>16</v>
      </c>
      <c r="BB305" s="187">
        <f t="shared" ref="BB305" si="305">IF(X305=1,13,0)</f>
        <v>13</v>
      </c>
      <c r="BC305" s="187">
        <f t="shared" ref="BC305" si="306">IF(Y305=1,10,0)</f>
        <v>10</v>
      </c>
      <c r="BD305" s="187">
        <f t="shared" ref="BD305" si="307">IF(Z305=1,2,0)</f>
        <v>2</v>
      </c>
      <c r="BE305" s="187">
        <f t="shared" ref="BE305" si="308">IF(AA305=1,6,0)</f>
        <v>6</v>
      </c>
      <c r="BF305" s="187">
        <f t="shared" ref="BF305" si="309">IF(AB305=1,1,0)</f>
        <v>0</v>
      </c>
      <c r="BG305" s="187">
        <f t="shared" ref="BG305" si="310">IF(AD305=1,8,0)</f>
        <v>0</v>
      </c>
      <c r="BH305" s="187">
        <f t="shared" ref="BH305" si="311">IF(AE305=1,2,0)</f>
        <v>0</v>
      </c>
      <c r="BI305" s="187">
        <f t="shared" ref="BI305" si="312">IF(AF305=1,3,0)</f>
        <v>0</v>
      </c>
      <c r="BJ305" s="273">
        <f t="shared" ref="BJ305" si="313">LARGE(AL305:BI305,1)+LARGE(AL305:BI305,2)+LARGE(AL305:BI305,3)+LARGE(AL305:BI305,4)+LARGE(AL305:BI305,5)+LARGE(AL305:BI305,6)+LARGE(AL305:BI305,7)+LARGE(AL305:BI305,8)</f>
        <v>98</v>
      </c>
      <c r="BK305" s="167">
        <f t="shared" ref="BK305" si="314">BJ305</f>
        <v>98</v>
      </c>
      <c r="BL305" s="167"/>
      <c r="BM305" s="644"/>
      <c r="BN305" s="644"/>
      <c r="BO305" s="644"/>
      <c r="BP305" s="644"/>
      <c r="BQ305" s="644"/>
      <c r="BR305" s="644"/>
      <c r="BS305" s="644"/>
      <c r="BT305" s="644"/>
      <c r="BU305" s="644"/>
      <c r="BV305" s="644"/>
      <c r="BW305" s="644"/>
      <c r="BX305" s="644"/>
      <c r="BY305" s="644"/>
      <c r="BZ305" s="644"/>
      <c r="CA305" s="644"/>
      <c r="CB305" s="644"/>
      <c r="CC305" s="644"/>
      <c r="CD305" s="644"/>
      <c r="CE305" s="644"/>
      <c r="CF305" s="644"/>
      <c r="CG305" s="644"/>
      <c r="CH305" s="644"/>
      <c r="CI305" s="644"/>
      <c r="CJ305" s="301" t="s">
        <v>814</v>
      </c>
      <c r="CK305" s="343"/>
      <c r="CL305" s="343"/>
    </row>
    <row r="306" spans="1:90" s="344" customFormat="1">
      <c r="A306" s="369" t="s">
        <v>615</v>
      </c>
      <c r="B306" s="189"/>
      <c r="C306" s="189"/>
      <c r="D306" s="189">
        <v>1</v>
      </c>
      <c r="E306" s="189"/>
      <c r="F306" s="189"/>
      <c r="G306" s="189"/>
      <c r="H306" s="189"/>
      <c r="I306" s="189"/>
      <c r="J306" s="189"/>
      <c r="K306" s="189"/>
      <c r="L306" s="189">
        <v>1</v>
      </c>
      <c r="M306" s="189"/>
      <c r="N306" s="189"/>
      <c r="O306" s="189">
        <v>1</v>
      </c>
      <c r="P306" s="189"/>
      <c r="Q306" s="189"/>
      <c r="R306" s="189"/>
      <c r="S306" s="189">
        <v>1</v>
      </c>
      <c r="T306" s="189"/>
      <c r="U306" s="189"/>
      <c r="V306" s="189"/>
      <c r="W306" s="189">
        <v>1</v>
      </c>
      <c r="X306" s="366">
        <v>1</v>
      </c>
      <c r="Y306" s="366">
        <v>1</v>
      </c>
      <c r="Z306" s="367"/>
      <c r="AA306" s="189">
        <v>1</v>
      </c>
      <c r="AB306" s="189"/>
      <c r="AC306" s="189"/>
      <c r="AD306" s="189"/>
      <c r="AE306" s="189">
        <v>1</v>
      </c>
      <c r="AF306" s="367"/>
      <c r="AG306" s="189"/>
      <c r="AH306" s="196">
        <v>9</v>
      </c>
      <c r="AI306" s="134" t="s">
        <v>113</v>
      </c>
      <c r="AJ306" s="370">
        <v>42383</v>
      </c>
      <c r="AK306" s="187"/>
      <c r="AL306" s="187">
        <f t="shared" si="247"/>
        <v>0</v>
      </c>
      <c r="AM306" s="187">
        <f t="shared" si="248"/>
        <v>13</v>
      </c>
      <c r="AN306" s="187">
        <f t="shared" si="249"/>
        <v>0</v>
      </c>
      <c r="AO306" s="187">
        <f t="shared" si="250"/>
        <v>0</v>
      </c>
      <c r="AP306" s="187">
        <f t="shared" si="251"/>
        <v>0</v>
      </c>
      <c r="AQ306" s="187">
        <f t="shared" si="252"/>
        <v>0</v>
      </c>
      <c r="AR306" s="187">
        <f t="shared" si="253"/>
        <v>0</v>
      </c>
      <c r="AS306" s="187">
        <f t="shared" si="254"/>
        <v>19</v>
      </c>
      <c r="AT306" s="187">
        <f t="shared" si="255"/>
        <v>13</v>
      </c>
      <c r="AU306" s="187">
        <f t="shared" si="256"/>
        <v>0</v>
      </c>
      <c r="AV306" s="187">
        <f t="shared" si="257"/>
        <v>0</v>
      </c>
      <c r="AW306" s="187">
        <f t="shared" si="258"/>
        <v>8</v>
      </c>
      <c r="AX306" s="187">
        <f t="shared" si="259"/>
        <v>0</v>
      </c>
      <c r="AY306" s="187">
        <f t="shared" si="260"/>
        <v>0</v>
      </c>
      <c r="AZ306" s="187">
        <f t="shared" si="261"/>
        <v>0</v>
      </c>
      <c r="BA306" s="187">
        <f t="shared" si="262"/>
        <v>16</v>
      </c>
      <c r="BB306" s="187">
        <f t="shared" si="263"/>
        <v>13</v>
      </c>
      <c r="BC306" s="187">
        <f t="shared" si="264"/>
        <v>10</v>
      </c>
      <c r="BD306" s="187">
        <f t="shared" si="265"/>
        <v>0</v>
      </c>
      <c r="BE306" s="187">
        <f t="shared" si="266"/>
        <v>6</v>
      </c>
      <c r="BF306" s="187">
        <f t="shared" si="267"/>
        <v>0</v>
      </c>
      <c r="BG306" s="187">
        <f t="shared" si="268"/>
        <v>0</v>
      </c>
      <c r="BH306" s="187">
        <f t="shared" si="269"/>
        <v>2</v>
      </c>
      <c r="BI306" s="187">
        <f t="shared" si="270"/>
        <v>0</v>
      </c>
      <c r="BJ306" s="273">
        <f t="shared" si="271"/>
        <v>98</v>
      </c>
      <c r="BK306" s="167">
        <f t="shared" ref="BK306" si="315">BJ306</f>
        <v>98</v>
      </c>
      <c r="BL306" s="167"/>
      <c r="BM306" s="644"/>
      <c r="BN306" s="644"/>
      <c r="BO306" s="644"/>
      <c r="BP306" s="644"/>
      <c r="BQ306" s="644"/>
      <c r="BR306" s="644"/>
      <c r="BS306" s="644"/>
      <c r="BT306" s="644"/>
      <c r="BU306" s="644"/>
      <c r="BV306" s="644"/>
      <c r="BW306" s="644"/>
      <c r="BX306" s="644"/>
      <c r="BY306" s="644"/>
      <c r="BZ306" s="644"/>
      <c r="CA306" s="644"/>
      <c r="CB306" s="644"/>
      <c r="CC306" s="644"/>
      <c r="CD306" s="644"/>
      <c r="CE306" s="644"/>
      <c r="CF306" s="644"/>
      <c r="CG306" s="644"/>
      <c r="CH306" s="644"/>
      <c r="CI306" s="644"/>
      <c r="CJ306" s="301" t="s">
        <v>853</v>
      </c>
      <c r="CK306" s="343"/>
      <c r="CL306" s="343"/>
    </row>
    <row r="307" spans="1:90" s="344" customFormat="1">
      <c r="A307" s="374" t="s">
        <v>995</v>
      </c>
      <c r="B307" s="189"/>
      <c r="C307" s="189"/>
      <c r="D307" s="189">
        <v>1</v>
      </c>
      <c r="E307" s="189"/>
      <c r="F307" s="189"/>
      <c r="G307" s="189"/>
      <c r="H307" s="189"/>
      <c r="I307" s="189"/>
      <c r="J307" s="189"/>
      <c r="K307" s="189"/>
      <c r="L307" s="189">
        <v>1</v>
      </c>
      <c r="M307" s="189"/>
      <c r="N307" s="189"/>
      <c r="O307" s="189"/>
      <c r="P307" s="189"/>
      <c r="Q307" s="189"/>
      <c r="R307" s="189"/>
      <c r="S307" s="189">
        <v>1</v>
      </c>
      <c r="T307" s="189">
        <v>1</v>
      </c>
      <c r="U307" s="189"/>
      <c r="V307" s="189">
        <v>1</v>
      </c>
      <c r="W307" s="189"/>
      <c r="X307" s="189">
        <v>1</v>
      </c>
      <c r="Y307" s="189">
        <v>1</v>
      </c>
      <c r="Z307" s="189"/>
      <c r="AA307" s="189"/>
      <c r="AB307" s="189"/>
      <c r="AC307" s="189"/>
      <c r="AD307" s="189"/>
      <c r="AE307" s="189"/>
      <c r="AF307" s="189">
        <v>1</v>
      </c>
      <c r="AG307" s="189"/>
      <c r="AH307" s="196">
        <v>8</v>
      </c>
      <c r="AI307" s="368" t="s">
        <v>955</v>
      </c>
      <c r="AJ307" s="192">
        <v>42380</v>
      </c>
      <c r="AK307" s="187"/>
      <c r="AL307" s="187">
        <f t="shared" si="247"/>
        <v>0</v>
      </c>
      <c r="AM307" s="187">
        <f t="shared" si="248"/>
        <v>13</v>
      </c>
      <c r="AN307" s="187">
        <f t="shared" si="249"/>
        <v>0</v>
      </c>
      <c r="AO307" s="187">
        <f t="shared" si="250"/>
        <v>0</v>
      </c>
      <c r="AP307" s="187">
        <f t="shared" si="251"/>
        <v>0</v>
      </c>
      <c r="AQ307" s="187">
        <f t="shared" si="252"/>
        <v>0</v>
      </c>
      <c r="AR307" s="187">
        <f t="shared" si="253"/>
        <v>0</v>
      </c>
      <c r="AS307" s="187">
        <f t="shared" si="254"/>
        <v>19</v>
      </c>
      <c r="AT307" s="187">
        <f t="shared" si="255"/>
        <v>0</v>
      </c>
      <c r="AU307" s="187">
        <f t="shared" si="256"/>
        <v>0</v>
      </c>
      <c r="AV307" s="187">
        <f t="shared" si="257"/>
        <v>0</v>
      </c>
      <c r="AW307" s="187">
        <f t="shared" si="258"/>
        <v>8</v>
      </c>
      <c r="AX307" s="187">
        <f t="shared" si="259"/>
        <v>4</v>
      </c>
      <c r="AY307" s="187">
        <f t="shared" si="260"/>
        <v>0</v>
      </c>
      <c r="AZ307" s="187">
        <f t="shared" si="261"/>
        <v>8</v>
      </c>
      <c r="BA307" s="187">
        <f t="shared" si="262"/>
        <v>0</v>
      </c>
      <c r="BB307" s="187">
        <f t="shared" si="263"/>
        <v>13</v>
      </c>
      <c r="BC307" s="187">
        <f t="shared" si="264"/>
        <v>10</v>
      </c>
      <c r="BD307" s="187">
        <f t="shared" si="265"/>
        <v>0</v>
      </c>
      <c r="BE307" s="187">
        <f t="shared" si="266"/>
        <v>0</v>
      </c>
      <c r="BF307" s="187">
        <f t="shared" si="267"/>
        <v>0</v>
      </c>
      <c r="BG307" s="187">
        <f t="shared" si="268"/>
        <v>0</v>
      </c>
      <c r="BH307" s="187">
        <f t="shared" si="269"/>
        <v>0</v>
      </c>
      <c r="BI307" s="187">
        <f t="shared" si="270"/>
        <v>3</v>
      </c>
      <c r="BJ307" s="273">
        <f t="shared" si="271"/>
        <v>78</v>
      </c>
      <c r="BK307" s="167">
        <f t="shared" ref="BK307" si="316">BJ307</f>
        <v>78</v>
      </c>
      <c r="BL307" s="167"/>
      <c r="BM307" s="644"/>
      <c r="BN307" s="644"/>
      <c r="BO307" s="644"/>
      <c r="BP307" s="644"/>
      <c r="BQ307" s="644"/>
      <c r="BR307" s="644"/>
      <c r="BS307" s="644"/>
      <c r="BT307" s="644"/>
      <c r="BU307" s="644"/>
      <c r="BV307" s="644"/>
      <c r="BW307" s="644"/>
      <c r="BX307" s="644"/>
      <c r="BY307" s="644"/>
      <c r="BZ307" s="644"/>
      <c r="CA307" s="644"/>
      <c r="CB307" s="644"/>
      <c r="CC307" s="644"/>
      <c r="CD307" s="644"/>
      <c r="CE307" s="644"/>
      <c r="CF307" s="644"/>
      <c r="CG307" s="644"/>
      <c r="CH307" s="644"/>
      <c r="CI307" s="644"/>
      <c r="CJ307" s="301" t="s">
        <v>743</v>
      </c>
      <c r="CK307" s="343"/>
      <c r="CL307" s="343"/>
    </row>
    <row r="308" spans="1:90" s="344" customFormat="1">
      <c r="A308" s="374" t="s">
        <v>302</v>
      </c>
      <c r="B308" s="189"/>
      <c r="C308" s="189"/>
      <c r="D308" s="189">
        <v>1</v>
      </c>
      <c r="E308" s="189"/>
      <c r="F308" s="189"/>
      <c r="G308" s="189"/>
      <c r="H308" s="189"/>
      <c r="I308" s="189"/>
      <c r="J308" s="189"/>
      <c r="K308" s="189"/>
      <c r="L308" s="189">
        <v>1</v>
      </c>
      <c r="M308" s="189"/>
      <c r="N308" s="189"/>
      <c r="O308" s="189">
        <v>1</v>
      </c>
      <c r="P308" s="189"/>
      <c r="Q308" s="189"/>
      <c r="R308" s="189"/>
      <c r="S308" s="189">
        <v>1</v>
      </c>
      <c r="T308" s="366">
        <v>1</v>
      </c>
      <c r="U308" s="189"/>
      <c r="V308" s="189">
        <v>1</v>
      </c>
      <c r="W308" s="189"/>
      <c r="X308" s="189">
        <v>1</v>
      </c>
      <c r="Y308" s="366">
        <v>1</v>
      </c>
      <c r="Z308" s="189"/>
      <c r="AA308" s="189">
        <v>1</v>
      </c>
      <c r="AB308" s="189"/>
      <c r="AC308" s="189"/>
      <c r="AD308" s="189">
        <v>1</v>
      </c>
      <c r="AE308" s="189"/>
      <c r="AF308" s="189"/>
      <c r="AG308" s="189"/>
      <c r="AH308" s="196">
        <v>10</v>
      </c>
      <c r="AI308" s="191" t="s">
        <v>996</v>
      </c>
      <c r="AJ308" s="370">
        <v>42377</v>
      </c>
      <c r="AK308" s="187"/>
      <c r="AL308" s="187">
        <f t="shared" si="247"/>
        <v>0</v>
      </c>
      <c r="AM308" s="187">
        <f t="shared" si="248"/>
        <v>13</v>
      </c>
      <c r="AN308" s="187">
        <f t="shared" si="249"/>
        <v>0</v>
      </c>
      <c r="AO308" s="187">
        <f t="shared" si="250"/>
        <v>0</v>
      </c>
      <c r="AP308" s="187">
        <f t="shared" si="251"/>
        <v>0</v>
      </c>
      <c r="AQ308" s="187">
        <f t="shared" si="252"/>
        <v>0</v>
      </c>
      <c r="AR308" s="187">
        <f t="shared" si="253"/>
        <v>0</v>
      </c>
      <c r="AS308" s="187">
        <f t="shared" si="254"/>
        <v>19</v>
      </c>
      <c r="AT308" s="187">
        <f t="shared" si="255"/>
        <v>13</v>
      </c>
      <c r="AU308" s="187">
        <f t="shared" si="256"/>
        <v>0</v>
      </c>
      <c r="AV308" s="187">
        <f t="shared" si="257"/>
        <v>0</v>
      </c>
      <c r="AW308" s="187">
        <f t="shared" si="258"/>
        <v>8</v>
      </c>
      <c r="AX308" s="187">
        <f t="shared" si="259"/>
        <v>4</v>
      </c>
      <c r="AY308" s="187">
        <f t="shared" si="260"/>
        <v>0</v>
      </c>
      <c r="AZ308" s="187">
        <f t="shared" si="261"/>
        <v>8</v>
      </c>
      <c r="BA308" s="187">
        <f t="shared" si="262"/>
        <v>0</v>
      </c>
      <c r="BB308" s="187">
        <f t="shared" si="263"/>
        <v>13</v>
      </c>
      <c r="BC308" s="187">
        <f t="shared" si="264"/>
        <v>10</v>
      </c>
      <c r="BD308" s="187">
        <f t="shared" si="265"/>
        <v>0</v>
      </c>
      <c r="BE308" s="187">
        <f t="shared" si="266"/>
        <v>6</v>
      </c>
      <c r="BF308" s="187">
        <f t="shared" si="267"/>
        <v>0</v>
      </c>
      <c r="BG308" s="187">
        <f t="shared" si="268"/>
        <v>8</v>
      </c>
      <c r="BH308" s="187">
        <f t="shared" si="269"/>
        <v>0</v>
      </c>
      <c r="BI308" s="187">
        <f t="shared" si="270"/>
        <v>0</v>
      </c>
      <c r="BJ308" s="273">
        <f t="shared" si="271"/>
        <v>92</v>
      </c>
      <c r="BK308" s="167">
        <f t="shared" ref="BK308" si="317">BJ308</f>
        <v>92</v>
      </c>
      <c r="BL308" s="167"/>
      <c r="BM308" s="644"/>
      <c r="BN308" s="644"/>
      <c r="BO308" s="644"/>
      <c r="BP308" s="644"/>
      <c r="BQ308" s="644"/>
      <c r="BR308" s="644"/>
      <c r="BS308" s="644"/>
      <c r="BT308" s="644"/>
      <c r="BU308" s="644"/>
      <c r="BV308" s="644"/>
      <c r="BW308" s="644"/>
      <c r="BX308" s="644"/>
      <c r="BY308" s="644"/>
      <c r="BZ308" s="644"/>
      <c r="CA308" s="644"/>
      <c r="CB308" s="644"/>
      <c r="CC308" s="644"/>
      <c r="CD308" s="644"/>
      <c r="CE308" s="644"/>
      <c r="CF308" s="644"/>
      <c r="CG308" s="644"/>
      <c r="CH308" s="644"/>
      <c r="CI308" s="644"/>
      <c r="CJ308" s="301" t="s">
        <v>789</v>
      </c>
      <c r="CK308" s="343"/>
      <c r="CL308" s="343"/>
    </row>
    <row r="309" spans="1:90" s="344" customFormat="1">
      <c r="A309" s="374" t="s">
        <v>680</v>
      </c>
      <c r="B309" s="189"/>
      <c r="C309" s="189"/>
      <c r="D309" s="189">
        <v>1</v>
      </c>
      <c r="E309" s="189">
        <v>1</v>
      </c>
      <c r="F309" s="189"/>
      <c r="G309" s="189">
        <v>1</v>
      </c>
      <c r="H309" s="189"/>
      <c r="I309" s="189"/>
      <c r="J309" s="189"/>
      <c r="K309" s="189"/>
      <c r="L309" s="189">
        <v>1</v>
      </c>
      <c r="M309" s="189"/>
      <c r="N309" s="189"/>
      <c r="O309" s="189">
        <v>1</v>
      </c>
      <c r="P309" s="189"/>
      <c r="Q309" s="189"/>
      <c r="R309" s="189"/>
      <c r="S309" s="366">
        <v>1</v>
      </c>
      <c r="T309" s="189"/>
      <c r="U309" s="189">
        <v>1</v>
      </c>
      <c r="V309" s="189"/>
      <c r="W309" s="189">
        <v>1</v>
      </c>
      <c r="X309" s="366">
        <v>1</v>
      </c>
      <c r="Y309" s="189"/>
      <c r="Z309" s="189"/>
      <c r="AA309" s="366">
        <v>1</v>
      </c>
      <c r="AB309" s="189"/>
      <c r="AC309" s="189"/>
      <c r="AD309" s="367"/>
      <c r="AE309" s="189"/>
      <c r="AF309" s="189"/>
      <c r="AG309" s="189"/>
      <c r="AH309" s="196">
        <v>10</v>
      </c>
      <c r="AI309" s="368" t="s">
        <v>955</v>
      </c>
      <c r="AJ309" s="192">
        <v>42375</v>
      </c>
      <c r="AK309" s="187"/>
      <c r="AL309" s="187">
        <f t="shared" si="247"/>
        <v>0</v>
      </c>
      <c r="AM309" s="187">
        <f t="shared" si="248"/>
        <v>13</v>
      </c>
      <c r="AN309" s="187">
        <f t="shared" si="249"/>
        <v>8</v>
      </c>
      <c r="AO309" s="187">
        <f t="shared" si="250"/>
        <v>8</v>
      </c>
      <c r="AP309" s="187">
        <f t="shared" si="251"/>
        <v>0</v>
      </c>
      <c r="AQ309" s="187">
        <f t="shared" si="252"/>
        <v>0</v>
      </c>
      <c r="AR309" s="187">
        <f t="shared" si="253"/>
        <v>0</v>
      </c>
      <c r="AS309" s="187">
        <f t="shared" si="254"/>
        <v>19</v>
      </c>
      <c r="AT309" s="187">
        <f t="shared" si="255"/>
        <v>13</v>
      </c>
      <c r="AU309" s="187">
        <f t="shared" si="256"/>
        <v>0</v>
      </c>
      <c r="AV309" s="187">
        <f t="shared" si="257"/>
        <v>0</v>
      </c>
      <c r="AW309" s="187">
        <f t="shared" si="258"/>
        <v>8</v>
      </c>
      <c r="AX309" s="187">
        <f t="shared" si="259"/>
        <v>0</v>
      </c>
      <c r="AY309" s="187">
        <f t="shared" si="260"/>
        <v>2</v>
      </c>
      <c r="AZ309" s="187">
        <f t="shared" si="261"/>
        <v>0</v>
      </c>
      <c r="BA309" s="187">
        <f t="shared" si="262"/>
        <v>16</v>
      </c>
      <c r="BB309" s="187">
        <f t="shared" si="263"/>
        <v>13</v>
      </c>
      <c r="BC309" s="187">
        <f t="shared" si="264"/>
        <v>0</v>
      </c>
      <c r="BD309" s="187">
        <f t="shared" si="265"/>
        <v>0</v>
      </c>
      <c r="BE309" s="187">
        <f t="shared" si="266"/>
        <v>6</v>
      </c>
      <c r="BF309" s="187">
        <f t="shared" si="267"/>
        <v>0</v>
      </c>
      <c r="BG309" s="187">
        <f t="shared" si="268"/>
        <v>0</v>
      </c>
      <c r="BH309" s="187">
        <f t="shared" si="269"/>
        <v>0</v>
      </c>
      <c r="BI309" s="187">
        <f t="shared" si="270"/>
        <v>0</v>
      </c>
      <c r="BJ309" s="273">
        <f t="shared" si="271"/>
        <v>98</v>
      </c>
      <c r="BK309" s="167">
        <f t="shared" ref="BK309" si="318">BJ309</f>
        <v>98</v>
      </c>
      <c r="BL309" s="167"/>
      <c r="BM309" s="644"/>
      <c r="BN309" s="644"/>
      <c r="BO309" s="644"/>
      <c r="BP309" s="644"/>
      <c r="BQ309" s="644"/>
      <c r="BR309" s="644"/>
      <c r="BS309" s="644"/>
      <c r="BT309" s="644"/>
      <c r="BU309" s="644"/>
      <c r="BV309" s="644"/>
      <c r="BW309" s="644"/>
      <c r="BX309" s="644"/>
      <c r="BY309" s="644"/>
      <c r="BZ309" s="644"/>
      <c r="CA309" s="644"/>
      <c r="CB309" s="644"/>
      <c r="CC309" s="644"/>
      <c r="CD309" s="644"/>
      <c r="CE309" s="644"/>
      <c r="CF309" s="644"/>
      <c r="CG309" s="644"/>
      <c r="CH309" s="644"/>
      <c r="CI309" s="644"/>
      <c r="CJ309" s="301" t="s">
        <v>743</v>
      </c>
      <c r="CK309" s="343"/>
      <c r="CL309" s="343"/>
    </row>
    <row r="310" spans="1:90">
      <c r="A310" s="178" t="s">
        <v>997</v>
      </c>
      <c r="B310" s="155"/>
      <c r="C310" s="155"/>
      <c r="D310" s="155">
        <v>1</v>
      </c>
      <c r="E310" s="155"/>
      <c r="F310" s="189"/>
      <c r="G310" s="189"/>
      <c r="H310" s="189"/>
      <c r="I310" s="189"/>
      <c r="J310" s="189"/>
      <c r="K310" s="189"/>
      <c r="L310" s="189">
        <v>1</v>
      </c>
      <c r="M310" s="189"/>
      <c r="N310" s="189"/>
      <c r="O310" s="189">
        <v>1</v>
      </c>
      <c r="P310" s="189"/>
      <c r="Q310" s="189"/>
      <c r="R310" s="189"/>
      <c r="S310" s="366">
        <v>1</v>
      </c>
      <c r="T310" s="189"/>
      <c r="U310" s="189"/>
      <c r="V310" s="366">
        <v>1</v>
      </c>
      <c r="W310" s="189">
        <v>1</v>
      </c>
      <c r="X310" s="189">
        <v>1</v>
      </c>
      <c r="Y310" s="189">
        <v>1</v>
      </c>
      <c r="Z310" s="189"/>
      <c r="AA310" s="189">
        <v>1</v>
      </c>
      <c r="AB310" s="189"/>
      <c r="AC310" s="189"/>
      <c r="AD310" s="367"/>
      <c r="AE310" s="189"/>
      <c r="AF310" s="189"/>
      <c r="AG310" s="189"/>
      <c r="AH310" s="196">
        <v>9</v>
      </c>
      <c r="AI310" s="368" t="s">
        <v>998</v>
      </c>
      <c r="AJ310" s="192">
        <v>42375</v>
      </c>
      <c r="AK310" s="187"/>
      <c r="AL310" s="187">
        <f t="shared" si="247"/>
        <v>0</v>
      </c>
      <c r="AM310" s="187">
        <f t="shared" si="248"/>
        <v>13</v>
      </c>
      <c r="AN310" s="187">
        <f t="shared" si="249"/>
        <v>0</v>
      </c>
      <c r="AO310" s="187">
        <f t="shared" si="250"/>
        <v>0</v>
      </c>
      <c r="AP310" s="187">
        <f t="shared" si="251"/>
        <v>0</v>
      </c>
      <c r="AQ310" s="187">
        <f t="shared" si="252"/>
        <v>0</v>
      </c>
      <c r="AR310" s="187">
        <f t="shared" si="253"/>
        <v>0</v>
      </c>
      <c r="AS310" s="187">
        <f t="shared" si="254"/>
        <v>19</v>
      </c>
      <c r="AT310" s="187">
        <f t="shared" si="255"/>
        <v>13</v>
      </c>
      <c r="AU310" s="187">
        <f t="shared" si="256"/>
        <v>0</v>
      </c>
      <c r="AV310" s="187">
        <f t="shared" si="257"/>
        <v>0</v>
      </c>
      <c r="AW310" s="187">
        <f t="shared" si="258"/>
        <v>8</v>
      </c>
      <c r="AX310" s="187">
        <f t="shared" si="259"/>
        <v>0</v>
      </c>
      <c r="AY310" s="187">
        <f t="shared" si="260"/>
        <v>0</v>
      </c>
      <c r="AZ310" s="187">
        <f t="shared" si="261"/>
        <v>8</v>
      </c>
      <c r="BA310" s="187">
        <f t="shared" si="262"/>
        <v>16</v>
      </c>
      <c r="BB310" s="187">
        <f t="shared" si="263"/>
        <v>13</v>
      </c>
      <c r="BC310" s="187">
        <f t="shared" si="264"/>
        <v>10</v>
      </c>
      <c r="BD310" s="187">
        <f t="shared" si="265"/>
        <v>0</v>
      </c>
      <c r="BE310" s="187">
        <f t="shared" si="266"/>
        <v>6</v>
      </c>
      <c r="BF310" s="187">
        <f t="shared" si="267"/>
        <v>0</v>
      </c>
      <c r="BG310" s="187">
        <f t="shared" si="268"/>
        <v>0</v>
      </c>
      <c r="BH310" s="187">
        <f t="shared" si="269"/>
        <v>0</v>
      </c>
      <c r="BI310" s="187">
        <f t="shared" si="270"/>
        <v>0</v>
      </c>
      <c r="BJ310" s="273">
        <f t="shared" si="271"/>
        <v>100</v>
      </c>
      <c r="BK310" s="167">
        <f t="shared" si="281"/>
        <v>100</v>
      </c>
      <c r="BL310" s="167"/>
      <c r="BM310" s="644"/>
      <c r="BN310" s="644"/>
      <c r="BO310" s="644"/>
      <c r="BP310" s="644"/>
      <c r="BQ310" s="644"/>
      <c r="BR310" s="644"/>
      <c r="BS310" s="644"/>
      <c r="BT310" s="644"/>
      <c r="BU310" s="644"/>
      <c r="BV310" s="644"/>
      <c r="BW310" s="644"/>
      <c r="BX310" s="644"/>
      <c r="BY310" s="644"/>
      <c r="BZ310" s="644"/>
      <c r="CA310" s="644"/>
      <c r="CB310" s="644"/>
      <c r="CC310" s="644"/>
      <c r="CD310" s="644"/>
      <c r="CE310" s="644"/>
      <c r="CF310" s="644"/>
      <c r="CG310" s="644"/>
      <c r="CH310" s="644"/>
      <c r="CI310" s="644"/>
      <c r="CJ310" s="301" t="s">
        <v>758</v>
      </c>
      <c r="CK310" s="136"/>
      <c r="CL310" s="136"/>
    </row>
    <row r="311" spans="1:90" s="344" customFormat="1">
      <c r="A311" s="374" t="s">
        <v>459</v>
      </c>
      <c r="B311" s="189"/>
      <c r="C311" s="189"/>
      <c r="D311" s="189">
        <v>1</v>
      </c>
      <c r="E311" s="189">
        <v>1</v>
      </c>
      <c r="F311" s="189"/>
      <c r="G311" s="189">
        <v>1</v>
      </c>
      <c r="H311" s="189"/>
      <c r="I311" s="189"/>
      <c r="J311" s="189"/>
      <c r="K311" s="189"/>
      <c r="L311" s="189">
        <v>1</v>
      </c>
      <c r="M311" s="189"/>
      <c r="N311" s="189"/>
      <c r="O311" s="189">
        <v>1</v>
      </c>
      <c r="P311" s="189"/>
      <c r="Q311" s="189"/>
      <c r="R311" s="189"/>
      <c r="S311" s="189"/>
      <c r="T311" s="189"/>
      <c r="U311" s="366">
        <v>1</v>
      </c>
      <c r="V311" s="189"/>
      <c r="W311" s="189">
        <v>1</v>
      </c>
      <c r="X311" s="189">
        <v>1</v>
      </c>
      <c r="Y311" s="366">
        <v>1</v>
      </c>
      <c r="Z311" s="189"/>
      <c r="AA311" s="189"/>
      <c r="AB311" s="189"/>
      <c r="AC311" s="189"/>
      <c r="AD311" s="189">
        <v>1</v>
      </c>
      <c r="AE311" s="189"/>
      <c r="AF311" s="189"/>
      <c r="AG311" s="189"/>
      <c r="AH311" s="196">
        <v>10</v>
      </c>
      <c r="AI311" s="372" t="s">
        <v>999</v>
      </c>
      <c r="AJ311" s="370">
        <v>42376</v>
      </c>
      <c r="AK311" s="187"/>
      <c r="AL311" s="187">
        <f t="shared" si="247"/>
        <v>0</v>
      </c>
      <c r="AM311" s="187">
        <f t="shared" si="248"/>
        <v>13</v>
      </c>
      <c r="AN311" s="187">
        <f t="shared" si="249"/>
        <v>8</v>
      </c>
      <c r="AO311" s="187">
        <f t="shared" si="250"/>
        <v>8</v>
      </c>
      <c r="AP311" s="187">
        <f t="shared" si="251"/>
        <v>0</v>
      </c>
      <c r="AQ311" s="187">
        <f t="shared" si="252"/>
        <v>0</v>
      </c>
      <c r="AR311" s="187">
        <f t="shared" si="253"/>
        <v>0</v>
      </c>
      <c r="AS311" s="187">
        <f t="shared" si="254"/>
        <v>19</v>
      </c>
      <c r="AT311" s="187">
        <f t="shared" si="255"/>
        <v>13</v>
      </c>
      <c r="AU311" s="187">
        <f t="shared" si="256"/>
        <v>0</v>
      </c>
      <c r="AV311" s="187">
        <f t="shared" si="257"/>
        <v>0</v>
      </c>
      <c r="AW311" s="187">
        <f t="shared" si="258"/>
        <v>0</v>
      </c>
      <c r="AX311" s="187">
        <f t="shared" si="259"/>
        <v>0</v>
      </c>
      <c r="AY311" s="187">
        <f t="shared" si="260"/>
        <v>2</v>
      </c>
      <c r="AZ311" s="187">
        <f t="shared" si="261"/>
        <v>0</v>
      </c>
      <c r="BA311" s="187">
        <f t="shared" si="262"/>
        <v>16</v>
      </c>
      <c r="BB311" s="187">
        <f t="shared" si="263"/>
        <v>13</v>
      </c>
      <c r="BC311" s="187">
        <f t="shared" si="264"/>
        <v>10</v>
      </c>
      <c r="BD311" s="187">
        <f t="shared" si="265"/>
        <v>0</v>
      </c>
      <c r="BE311" s="187">
        <f t="shared" si="266"/>
        <v>0</v>
      </c>
      <c r="BF311" s="187">
        <f t="shared" si="267"/>
        <v>0</v>
      </c>
      <c r="BG311" s="187">
        <f t="shared" si="268"/>
        <v>8</v>
      </c>
      <c r="BH311" s="187">
        <f t="shared" si="269"/>
        <v>0</v>
      </c>
      <c r="BI311" s="187">
        <f t="shared" si="270"/>
        <v>0</v>
      </c>
      <c r="BJ311" s="273">
        <f t="shared" si="271"/>
        <v>100</v>
      </c>
      <c r="BK311" s="167">
        <f t="shared" ref="BK311" si="319">BJ311</f>
        <v>100</v>
      </c>
      <c r="BL311" s="167"/>
      <c r="BM311" s="644"/>
      <c r="BN311" s="644"/>
      <c r="BO311" s="644"/>
      <c r="BP311" s="644"/>
      <c r="BQ311" s="644"/>
      <c r="BR311" s="644"/>
      <c r="BS311" s="644"/>
      <c r="BT311" s="644"/>
      <c r="BU311" s="644"/>
      <c r="BV311" s="644"/>
      <c r="BW311" s="644"/>
      <c r="BX311" s="644"/>
      <c r="BY311" s="644"/>
      <c r="BZ311" s="644"/>
      <c r="CA311" s="644"/>
      <c r="CB311" s="644"/>
      <c r="CC311" s="644"/>
      <c r="CD311" s="644"/>
      <c r="CE311" s="644"/>
      <c r="CF311" s="644"/>
      <c r="CG311" s="644"/>
      <c r="CH311" s="644"/>
      <c r="CI311" s="644"/>
      <c r="CJ311" s="301" t="s">
        <v>841</v>
      </c>
      <c r="CK311" s="343"/>
      <c r="CL311" s="343"/>
    </row>
    <row r="312" spans="1:90">
      <c r="A312" s="178" t="s">
        <v>1000</v>
      </c>
      <c r="B312" s="155"/>
      <c r="C312" s="155"/>
      <c r="D312" s="155">
        <v>1</v>
      </c>
      <c r="E312" s="155"/>
      <c r="F312" s="189"/>
      <c r="G312" s="189"/>
      <c r="H312" s="189"/>
      <c r="I312" s="189">
        <v>1</v>
      </c>
      <c r="J312" s="189"/>
      <c r="K312" s="189"/>
      <c r="L312" s="189">
        <v>1</v>
      </c>
      <c r="M312" s="189"/>
      <c r="N312" s="189"/>
      <c r="O312" s="189">
        <v>1</v>
      </c>
      <c r="P312" s="189"/>
      <c r="Q312" s="189"/>
      <c r="R312" s="189"/>
      <c r="S312" s="189">
        <v>1</v>
      </c>
      <c r="T312" s="189"/>
      <c r="U312" s="189"/>
      <c r="V312" s="189"/>
      <c r="W312" s="189">
        <v>1</v>
      </c>
      <c r="X312" s="189">
        <v>1</v>
      </c>
      <c r="Y312" s="189"/>
      <c r="Z312" s="189"/>
      <c r="AA312" s="189">
        <v>1</v>
      </c>
      <c r="AB312" s="189"/>
      <c r="AC312" s="189"/>
      <c r="AD312" s="189">
        <v>1</v>
      </c>
      <c r="AE312" s="189"/>
      <c r="AF312" s="189">
        <v>1</v>
      </c>
      <c r="AG312" s="189"/>
      <c r="AH312" s="196">
        <v>10</v>
      </c>
      <c r="AI312" s="191" t="s">
        <v>992</v>
      </c>
      <c r="AJ312" s="192">
        <v>42375</v>
      </c>
      <c r="AK312" s="187"/>
      <c r="AL312" s="187">
        <f t="shared" si="247"/>
        <v>0</v>
      </c>
      <c r="AM312" s="187">
        <f t="shared" si="248"/>
        <v>13</v>
      </c>
      <c r="AN312" s="187">
        <f t="shared" si="249"/>
        <v>0</v>
      </c>
      <c r="AO312" s="187">
        <f t="shared" si="250"/>
        <v>0</v>
      </c>
      <c r="AP312" s="187">
        <f t="shared" si="251"/>
        <v>0</v>
      </c>
      <c r="AQ312" s="187">
        <f t="shared" si="252"/>
        <v>0</v>
      </c>
      <c r="AR312" s="187">
        <f t="shared" si="253"/>
        <v>0</v>
      </c>
      <c r="AS312" s="187">
        <f t="shared" si="254"/>
        <v>19</v>
      </c>
      <c r="AT312" s="187">
        <f t="shared" si="255"/>
        <v>13</v>
      </c>
      <c r="AU312" s="187">
        <f t="shared" si="256"/>
        <v>0</v>
      </c>
      <c r="AV312" s="187">
        <f t="shared" si="257"/>
        <v>0</v>
      </c>
      <c r="AW312" s="187">
        <f t="shared" si="258"/>
        <v>8</v>
      </c>
      <c r="AX312" s="187">
        <f t="shared" si="259"/>
        <v>0</v>
      </c>
      <c r="AY312" s="187">
        <f t="shared" si="260"/>
        <v>0</v>
      </c>
      <c r="AZ312" s="187">
        <f t="shared" si="261"/>
        <v>0</v>
      </c>
      <c r="BA312" s="187">
        <f t="shared" si="262"/>
        <v>16</v>
      </c>
      <c r="BB312" s="187">
        <f t="shared" si="263"/>
        <v>13</v>
      </c>
      <c r="BC312" s="187">
        <f t="shared" si="264"/>
        <v>0</v>
      </c>
      <c r="BD312" s="187">
        <f t="shared" si="265"/>
        <v>0</v>
      </c>
      <c r="BE312" s="187">
        <f t="shared" si="266"/>
        <v>6</v>
      </c>
      <c r="BF312" s="187">
        <f t="shared" si="267"/>
        <v>0</v>
      </c>
      <c r="BG312" s="187">
        <f t="shared" si="268"/>
        <v>8</v>
      </c>
      <c r="BH312" s="187">
        <f t="shared" si="269"/>
        <v>0</v>
      </c>
      <c r="BI312" s="187">
        <f t="shared" si="270"/>
        <v>3</v>
      </c>
      <c r="BJ312" s="273">
        <f t="shared" si="271"/>
        <v>96</v>
      </c>
      <c r="BK312" s="167">
        <f t="shared" si="281"/>
        <v>96</v>
      </c>
      <c r="BL312" s="167"/>
      <c r="BM312" s="644"/>
      <c r="BN312" s="644"/>
      <c r="BO312" s="644"/>
      <c r="BP312" s="644"/>
      <c r="BQ312" s="644"/>
      <c r="BR312" s="644"/>
      <c r="BS312" s="644"/>
      <c r="BT312" s="644"/>
      <c r="BU312" s="644"/>
      <c r="BV312" s="644"/>
      <c r="BW312" s="644"/>
      <c r="BX312" s="644"/>
      <c r="BY312" s="644"/>
      <c r="BZ312" s="644"/>
      <c r="CA312" s="644"/>
      <c r="CB312" s="644"/>
      <c r="CC312" s="644"/>
      <c r="CD312" s="644"/>
      <c r="CE312" s="644"/>
      <c r="CF312" s="644"/>
      <c r="CG312" s="644"/>
      <c r="CH312" s="644"/>
      <c r="CI312" s="644"/>
      <c r="CJ312" s="301" t="s">
        <v>993</v>
      </c>
      <c r="CK312" s="136"/>
      <c r="CL312" s="136"/>
    </row>
    <row r="313" spans="1:90">
      <c r="A313" s="178" t="s">
        <v>461</v>
      </c>
      <c r="B313" s="155"/>
      <c r="C313" s="155"/>
      <c r="D313" s="155">
        <v>1</v>
      </c>
      <c r="E313" s="155"/>
      <c r="F313" s="189"/>
      <c r="G313" s="189"/>
      <c r="H313" s="189"/>
      <c r="I313" s="189"/>
      <c r="J313" s="189"/>
      <c r="K313" s="189"/>
      <c r="L313" s="189">
        <v>1</v>
      </c>
      <c r="M313" s="189"/>
      <c r="N313" s="189"/>
      <c r="O313" s="189">
        <v>1</v>
      </c>
      <c r="P313" s="189"/>
      <c r="Q313" s="366">
        <v>1</v>
      </c>
      <c r="R313" s="189"/>
      <c r="S313" s="189">
        <v>1</v>
      </c>
      <c r="T313" s="189"/>
      <c r="U313" s="189"/>
      <c r="V313" s="189">
        <v>1</v>
      </c>
      <c r="W313" s="189">
        <v>1</v>
      </c>
      <c r="X313" s="189">
        <v>1</v>
      </c>
      <c r="Y313" s="189">
        <v>1</v>
      </c>
      <c r="Z313" s="189"/>
      <c r="AA313" s="189"/>
      <c r="AB313" s="189"/>
      <c r="AC313" s="189"/>
      <c r="AD313" s="366">
        <v>1</v>
      </c>
      <c r="AE313" s="189"/>
      <c r="AF313" s="189"/>
      <c r="AG313" s="189"/>
      <c r="AH313" s="196">
        <v>10</v>
      </c>
      <c r="AI313" s="368" t="s">
        <v>955</v>
      </c>
      <c r="AJ313" s="192">
        <v>42375</v>
      </c>
      <c r="AK313" s="187"/>
      <c r="AL313" s="187">
        <f t="shared" si="247"/>
        <v>0</v>
      </c>
      <c r="AM313" s="187">
        <f t="shared" si="248"/>
        <v>13</v>
      </c>
      <c r="AN313" s="187">
        <f t="shared" si="249"/>
        <v>0</v>
      </c>
      <c r="AO313" s="187">
        <f t="shared" si="250"/>
        <v>0</v>
      </c>
      <c r="AP313" s="187">
        <f t="shared" si="251"/>
        <v>0</v>
      </c>
      <c r="AQ313" s="187">
        <f t="shared" si="252"/>
        <v>0</v>
      </c>
      <c r="AR313" s="187">
        <f t="shared" si="253"/>
        <v>0</v>
      </c>
      <c r="AS313" s="187">
        <f t="shared" si="254"/>
        <v>19</v>
      </c>
      <c r="AT313" s="187">
        <f t="shared" si="255"/>
        <v>13</v>
      </c>
      <c r="AU313" s="187">
        <f t="shared" si="256"/>
        <v>0</v>
      </c>
      <c r="AV313" s="187">
        <f t="shared" si="257"/>
        <v>3</v>
      </c>
      <c r="AW313" s="187">
        <f t="shared" si="258"/>
        <v>8</v>
      </c>
      <c r="AX313" s="187">
        <f t="shared" si="259"/>
        <v>0</v>
      </c>
      <c r="AY313" s="187">
        <f t="shared" si="260"/>
        <v>0</v>
      </c>
      <c r="AZ313" s="187">
        <f t="shared" si="261"/>
        <v>8</v>
      </c>
      <c r="BA313" s="187">
        <f t="shared" si="262"/>
        <v>16</v>
      </c>
      <c r="BB313" s="187">
        <f t="shared" si="263"/>
        <v>13</v>
      </c>
      <c r="BC313" s="187">
        <f t="shared" si="264"/>
        <v>10</v>
      </c>
      <c r="BD313" s="187">
        <f t="shared" si="265"/>
        <v>0</v>
      </c>
      <c r="BE313" s="187">
        <f t="shared" si="266"/>
        <v>0</v>
      </c>
      <c r="BF313" s="187">
        <f t="shared" si="267"/>
        <v>0</v>
      </c>
      <c r="BG313" s="187">
        <f t="shared" si="268"/>
        <v>8</v>
      </c>
      <c r="BH313" s="187">
        <f t="shared" si="269"/>
        <v>0</v>
      </c>
      <c r="BI313" s="187">
        <f t="shared" si="270"/>
        <v>0</v>
      </c>
      <c r="BJ313" s="273">
        <f t="shared" si="271"/>
        <v>100</v>
      </c>
      <c r="BK313" s="167">
        <f t="shared" ref="BK313" si="320">BJ313</f>
        <v>100</v>
      </c>
      <c r="BL313" s="167"/>
      <c r="BM313" s="644"/>
      <c r="BN313" s="644"/>
      <c r="BO313" s="644"/>
      <c r="BP313" s="644"/>
      <c r="BQ313" s="644"/>
      <c r="BR313" s="644"/>
      <c r="BS313" s="644"/>
      <c r="BT313" s="644"/>
      <c r="BU313" s="644"/>
      <c r="BV313" s="644"/>
      <c r="BW313" s="644"/>
      <c r="BX313" s="644"/>
      <c r="BY313" s="644"/>
      <c r="BZ313" s="644"/>
      <c r="CA313" s="644"/>
      <c r="CB313" s="644"/>
      <c r="CC313" s="644"/>
      <c r="CD313" s="644"/>
      <c r="CE313" s="644"/>
      <c r="CF313" s="644"/>
      <c r="CG313" s="644"/>
      <c r="CH313" s="644"/>
      <c r="CI313" s="644"/>
      <c r="CJ313" s="301" t="s">
        <v>743</v>
      </c>
      <c r="CK313" s="136"/>
      <c r="CL313" s="136"/>
    </row>
    <row r="314" spans="1:90" s="344" customFormat="1">
      <c r="A314" s="369" t="s">
        <v>314</v>
      </c>
      <c r="B314" s="189"/>
      <c r="C314" s="189"/>
      <c r="D314" s="189">
        <v>1</v>
      </c>
      <c r="E314" s="189"/>
      <c r="F314" s="189"/>
      <c r="G314" s="189"/>
      <c r="H314" s="189"/>
      <c r="I314" s="189"/>
      <c r="J314" s="189"/>
      <c r="K314" s="189"/>
      <c r="L314" s="189">
        <v>1</v>
      </c>
      <c r="M314" s="189"/>
      <c r="N314" s="189"/>
      <c r="O314" s="189">
        <v>1</v>
      </c>
      <c r="P314" s="189"/>
      <c r="Q314" s="189"/>
      <c r="R314" s="189"/>
      <c r="S314" s="189">
        <v>1</v>
      </c>
      <c r="T314" s="189"/>
      <c r="U314" s="189"/>
      <c r="V314" s="189">
        <v>1</v>
      </c>
      <c r="W314" s="189">
        <v>1</v>
      </c>
      <c r="X314" s="189">
        <v>1</v>
      </c>
      <c r="Y314" s="189">
        <v>1</v>
      </c>
      <c r="Z314" s="189"/>
      <c r="AA314" s="189">
        <v>1</v>
      </c>
      <c r="AB314" s="189"/>
      <c r="AC314" s="189"/>
      <c r="AD314" s="189">
        <v>1</v>
      </c>
      <c r="AE314" s="189"/>
      <c r="AF314" s="189"/>
      <c r="AG314" s="189"/>
      <c r="AH314" s="196">
        <v>10</v>
      </c>
      <c r="AI314" s="134" t="s">
        <v>113</v>
      </c>
      <c r="AJ314" s="370">
        <v>42384</v>
      </c>
      <c r="AK314" s="187"/>
      <c r="AL314" s="187">
        <f t="shared" si="247"/>
        <v>0</v>
      </c>
      <c r="AM314" s="187">
        <f t="shared" si="248"/>
        <v>13</v>
      </c>
      <c r="AN314" s="187">
        <f t="shared" si="249"/>
        <v>0</v>
      </c>
      <c r="AO314" s="187">
        <f t="shared" si="250"/>
        <v>0</v>
      </c>
      <c r="AP314" s="187">
        <f t="shared" si="251"/>
        <v>0</v>
      </c>
      <c r="AQ314" s="187">
        <f t="shared" si="252"/>
        <v>0</v>
      </c>
      <c r="AR314" s="187">
        <f t="shared" si="253"/>
        <v>0</v>
      </c>
      <c r="AS314" s="187">
        <f t="shared" si="254"/>
        <v>19</v>
      </c>
      <c r="AT314" s="187">
        <f t="shared" si="255"/>
        <v>13</v>
      </c>
      <c r="AU314" s="187">
        <f t="shared" si="256"/>
        <v>0</v>
      </c>
      <c r="AV314" s="187">
        <f t="shared" si="257"/>
        <v>0</v>
      </c>
      <c r="AW314" s="187">
        <f t="shared" si="258"/>
        <v>8</v>
      </c>
      <c r="AX314" s="187">
        <f t="shared" si="259"/>
        <v>0</v>
      </c>
      <c r="AY314" s="187">
        <f t="shared" si="260"/>
        <v>0</v>
      </c>
      <c r="AZ314" s="187">
        <f t="shared" si="261"/>
        <v>8</v>
      </c>
      <c r="BA314" s="187">
        <f t="shared" si="262"/>
        <v>16</v>
      </c>
      <c r="BB314" s="187">
        <f t="shared" si="263"/>
        <v>13</v>
      </c>
      <c r="BC314" s="187">
        <f t="shared" si="264"/>
        <v>10</v>
      </c>
      <c r="BD314" s="187">
        <f t="shared" si="265"/>
        <v>0</v>
      </c>
      <c r="BE314" s="187">
        <f t="shared" si="266"/>
        <v>6</v>
      </c>
      <c r="BF314" s="187">
        <f t="shared" si="267"/>
        <v>0</v>
      </c>
      <c r="BG314" s="187">
        <f t="shared" si="268"/>
        <v>8</v>
      </c>
      <c r="BH314" s="187">
        <f t="shared" si="269"/>
        <v>0</v>
      </c>
      <c r="BI314" s="187">
        <f t="shared" si="270"/>
        <v>0</v>
      </c>
      <c r="BJ314" s="273">
        <f t="shared" si="271"/>
        <v>100</v>
      </c>
      <c r="BK314" s="167">
        <f t="shared" ref="BK314" si="321">BJ314</f>
        <v>100</v>
      </c>
      <c r="BL314" s="167"/>
      <c r="BM314" s="644"/>
      <c r="BN314" s="644"/>
      <c r="BO314" s="644"/>
      <c r="BP314" s="644"/>
      <c r="BQ314" s="644"/>
      <c r="BR314" s="644"/>
      <c r="BS314" s="644"/>
      <c r="BT314" s="644"/>
      <c r="BU314" s="644"/>
      <c r="BV314" s="644"/>
      <c r="BW314" s="644"/>
      <c r="BX314" s="644"/>
      <c r="BY314" s="644"/>
      <c r="BZ314" s="644"/>
      <c r="CA314" s="644"/>
      <c r="CB314" s="644"/>
      <c r="CC314" s="644"/>
      <c r="CD314" s="644"/>
      <c r="CE314" s="644"/>
      <c r="CF314" s="644"/>
      <c r="CG314" s="644"/>
      <c r="CH314" s="644"/>
      <c r="CI314" s="644"/>
      <c r="CJ314" s="301" t="s">
        <v>789</v>
      </c>
      <c r="CK314" s="343"/>
      <c r="CL314" s="343"/>
    </row>
    <row r="315" spans="1:90" s="344" customFormat="1">
      <c r="A315" s="374" t="s">
        <v>462</v>
      </c>
      <c r="B315" s="189"/>
      <c r="C315" s="189"/>
      <c r="D315" s="189">
        <v>1</v>
      </c>
      <c r="E315" s="189"/>
      <c r="F315" s="189"/>
      <c r="G315" s="189"/>
      <c r="H315" s="189"/>
      <c r="I315" s="189"/>
      <c r="J315" s="189"/>
      <c r="K315" s="189"/>
      <c r="L315" s="189">
        <v>1</v>
      </c>
      <c r="M315" s="189"/>
      <c r="N315" s="189"/>
      <c r="O315" s="189">
        <v>1</v>
      </c>
      <c r="P315" s="189"/>
      <c r="Q315" s="189"/>
      <c r="R315" s="189"/>
      <c r="S315" s="189"/>
      <c r="T315" s="189"/>
      <c r="U315" s="189"/>
      <c r="V315" s="189">
        <v>1</v>
      </c>
      <c r="W315" s="189">
        <v>1</v>
      </c>
      <c r="X315" s="189"/>
      <c r="Y315" s="189">
        <v>1</v>
      </c>
      <c r="Z315" s="189">
        <v>1</v>
      </c>
      <c r="AA315" s="189">
        <v>1</v>
      </c>
      <c r="AB315" s="189"/>
      <c r="AC315" s="189"/>
      <c r="AD315" s="189">
        <v>1</v>
      </c>
      <c r="AE315" s="189"/>
      <c r="AF315" s="189"/>
      <c r="AG315" s="189"/>
      <c r="AH315" s="196">
        <v>9</v>
      </c>
      <c r="AI315" s="372" t="s">
        <v>1001</v>
      </c>
      <c r="AJ315" s="370">
        <v>42378</v>
      </c>
      <c r="AK315" s="187"/>
      <c r="AL315" s="187">
        <f t="shared" si="247"/>
        <v>0</v>
      </c>
      <c r="AM315" s="187">
        <f t="shared" si="248"/>
        <v>13</v>
      </c>
      <c r="AN315" s="187">
        <f t="shared" si="249"/>
        <v>0</v>
      </c>
      <c r="AO315" s="187">
        <f t="shared" si="250"/>
        <v>0</v>
      </c>
      <c r="AP315" s="187">
        <f t="shared" si="251"/>
        <v>0</v>
      </c>
      <c r="AQ315" s="187">
        <f t="shared" si="252"/>
        <v>0</v>
      </c>
      <c r="AR315" s="187">
        <f t="shared" si="253"/>
        <v>0</v>
      </c>
      <c r="AS315" s="187">
        <f t="shared" si="254"/>
        <v>19</v>
      </c>
      <c r="AT315" s="187">
        <f t="shared" si="255"/>
        <v>13</v>
      </c>
      <c r="AU315" s="187">
        <f t="shared" si="256"/>
        <v>0</v>
      </c>
      <c r="AV315" s="187">
        <f t="shared" si="257"/>
        <v>0</v>
      </c>
      <c r="AW315" s="187">
        <f t="shared" si="258"/>
        <v>0</v>
      </c>
      <c r="AX315" s="187">
        <f t="shared" si="259"/>
        <v>0</v>
      </c>
      <c r="AY315" s="187">
        <f t="shared" si="260"/>
        <v>0</v>
      </c>
      <c r="AZ315" s="187">
        <f t="shared" si="261"/>
        <v>8</v>
      </c>
      <c r="BA315" s="187">
        <f t="shared" si="262"/>
        <v>16</v>
      </c>
      <c r="BB315" s="187">
        <f t="shared" si="263"/>
        <v>0</v>
      </c>
      <c r="BC315" s="187">
        <f t="shared" si="264"/>
        <v>10</v>
      </c>
      <c r="BD315" s="187">
        <f t="shared" si="265"/>
        <v>2</v>
      </c>
      <c r="BE315" s="187">
        <f t="shared" si="266"/>
        <v>6</v>
      </c>
      <c r="BF315" s="187">
        <f t="shared" si="267"/>
        <v>0</v>
      </c>
      <c r="BG315" s="187">
        <f t="shared" si="268"/>
        <v>8</v>
      </c>
      <c r="BH315" s="187">
        <f t="shared" si="269"/>
        <v>0</v>
      </c>
      <c r="BI315" s="187">
        <f t="shared" si="270"/>
        <v>0</v>
      </c>
      <c r="BJ315" s="273">
        <f t="shared" si="271"/>
        <v>93</v>
      </c>
      <c r="BK315" s="167">
        <f t="shared" ref="BK315" si="322">BJ315</f>
        <v>93</v>
      </c>
      <c r="BL315" s="167"/>
      <c r="BM315" s="644"/>
      <c r="BN315" s="644"/>
      <c r="BO315" s="644"/>
      <c r="BP315" s="644"/>
      <c r="BQ315" s="644"/>
      <c r="BR315" s="644"/>
      <c r="BS315" s="644"/>
      <c r="BT315" s="644"/>
      <c r="BU315" s="644"/>
      <c r="BV315" s="644"/>
      <c r="BW315" s="644"/>
      <c r="BX315" s="644"/>
      <c r="BY315" s="644"/>
      <c r="BZ315" s="644"/>
      <c r="CA315" s="644"/>
      <c r="CB315" s="644"/>
      <c r="CC315" s="644"/>
      <c r="CD315" s="644"/>
      <c r="CE315" s="644"/>
      <c r="CF315" s="644"/>
      <c r="CG315" s="644"/>
      <c r="CH315" s="644"/>
      <c r="CI315" s="644"/>
      <c r="CJ315" s="301" t="s">
        <v>766</v>
      </c>
      <c r="CK315" s="343"/>
      <c r="CL315" s="343"/>
    </row>
    <row r="316" spans="1:90" s="344" customFormat="1">
      <c r="A316" s="374" t="s">
        <v>322</v>
      </c>
      <c r="B316" s="189"/>
      <c r="C316" s="189"/>
      <c r="D316" s="189">
        <v>1</v>
      </c>
      <c r="E316" s="189"/>
      <c r="F316" s="189"/>
      <c r="G316" s="189"/>
      <c r="H316" s="189"/>
      <c r="I316" s="189"/>
      <c r="J316" s="189"/>
      <c r="K316" s="189"/>
      <c r="L316" s="189">
        <v>1</v>
      </c>
      <c r="M316" s="189"/>
      <c r="N316" s="189"/>
      <c r="O316" s="189">
        <v>1</v>
      </c>
      <c r="P316" s="189"/>
      <c r="Q316" s="189"/>
      <c r="R316" s="189"/>
      <c r="S316" s="189"/>
      <c r="T316" s="189"/>
      <c r="U316" s="189"/>
      <c r="V316" s="189">
        <v>1</v>
      </c>
      <c r="W316" s="189">
        <v>1</v>
      </c>
      <c r="X316" s="189">
        <v>1</v>
      </c>
      <c r="Y316" s="189">
        <v>1</v>
      </c>
      <c r="Z316" s="189"/>
      <c r="AA316" s="189"/>
      <c r="AB316" s="189"/>
      <c r="AC316" s="189"/>
      <c r="AD316" s="189"/>
      <c r="AE316" s="189"/>
      <c r="AF316" s="189"/>
      <c r="AG316" s="189"/>
      <c r="AH316" s="196">
        <v>7</v>
      </c>
      <c r="AI316" s="372" t="s">
        <v>1002</v>
      </c>
      <c r="AJ316" s="370">
        <v>42378</v>
      </c>
      <c r="AK316" s="187"/>
      <c r="AL316" s="187">
        <f t="shared" si="247"/>
        <v>0</v>
      </c>
      <c r="AM316" s="187">
        <f t="shared" si="248"/>
        <v>13</v>
      </c>
      <c r="AN316" s="187">
        <f t="shared" si="249"/>
        <v>0</v>
      </c>
      <c r="AO316" s="187">
        <f t="shared" si="250"/>
        <v>0</v>
      </c>
      <c r="AP316" s="187">
        <f t="shared" si="251"/>
        <v>0</v>
      </c>
      <c r="AQ316" s="187">
        <f t="shared" si="252"/>
        <v>0</v>
      </c>
      <c r="AR316" s="187">
        <f t="shared" si="253"/>
        <v>0</v>
      </c>
      <c r="AS316" s="187">
        <f t="shared" si="254"/>
        <v>19</v>
      </c>
      <c r="AT316" s="187">
        <f t="shared" si="255"/>
        <v>13</v>
      </c>
      <c r="AU316" s="187">
        <f t="shared" si="256"/>
        <v>0</v>
      </c>
      <c r="AV316" s="187">
        <f t="shared" si="257"/>
        <v>0</v>
      </c>
      <c r="AW316" s="187">
        <f t="shared" si="258"/>
        <v>0</v>
      </c>
      <c r="AX316" s="187">
        <f t="shared" si="259"/>
        <v>0</v>
      </c>
      <c r="AY316" s="187">
        <f t="shared" si="260"/>
        <v>0</v>
      </c>
      <c r="AZ316" s="187">
        <f t="shared" si="261"/>
        <v>8</v>
      </c>
      <c r="BA316" s="187">
        <f t="shared" si="262"/>
        <v>16</v>
      </c>
      <c r="BB316" s="187">
        <f t="shared" si="263"/>
        <v>13</v>
      </c>
      <c r="BC316" s="187">
        <f t="shared" si="264"/>
        <v>10</v>
      </c>
      <c r="BD316" s="187">
        <f t="shared" si="265"/>
        <v>0</v>
      </c>
      <c r="BE316" s="187">
        <f t="shared" si="266"/>
        <v>0</v>
      </c>
      <c r="BF316" s="187">
        <f t="shared" si="267"/>
        <v>0</v>
      </c>
      <c r="BG316" s="187">
        <f t="shared" si="268"/>
        <v>0</v>
      </c>
      <c r="BH316" s="187">
        <f t="shared" si="269"/>
        <v>0</v>
      </c>
      <c r="BI316" s="187">
        <f t="shared" si="270"/>
        <v>0</v>
      </c>
      <c r="BJ316" s="273">
        <f t="shared" si="271"/>
        <v>92</v>
      </c>
      <c r="BK316" s="167">
        <f t="shared" ref="BK316" si="323">BJ316</f>
        <v>92</v>
      </c>
      <c r="BL316" s="167"/>
      <c r="BM316" s="644"/>
      <c r="BN316" s="644"/>
      <c r="BO316" s="644"/>
      <c r="BP316" s="644"/>
      <c r="BQ316" s="644"/>
      <c r="BR316" s="644"/>
      <c r="BS316" s="644"/>
      <c r="BT316" s="644"/>
      <c r="BU316" s="644"/>
      <c r="BV316" s="644"/>
      <c r="BW316" s="644"/>
      <c r="BX316" s="644"/>
      <c r="BY316" s="644"/>
      <c r="BZ316" s="644"/>
      <c r="CA316" s="644"/>
      <c r="CB316" s="644"/>
      <c r="CC316" s="644"/>
      <c r="CD316" s="644"/>
      <c r="CE316" s="644"/>
      <c r="CF316" s="644"/>
      <c r="CG316" s="644"/>
      <c r="CH316" s="644"/>
      <c r="CI316" s="644"/>
      <c r="CJ316" s="301" t="s">
        <v>750</v>
      </c>
      <c r="CK316" s="343"/>
      <c r="CL316" s="343"/>
    </row>
    <row r="317" spans="1:90">
      <c r="A317" s="178" t="s">
        <v>332</v>
      </c>
      <c r="B317" s="155"/>
      <c r="C317" s="155"/>
      <c r="D317" s="155"/>
      <c r="E317" s="155"/>
      <c r="F317" s="189"/>
      <c r="G317" s="189"/>
      <c r="H317" s="189"/>
      <c r="I317" s="189"/>
      <c r="J317" s="189"/>
      <c r="K317" s="189"/>
      <c r="L317" s="189">
        <v>1</v>
      </c>
      <c r="M317" s="189"/>
      <c r="N317" s="189"/>
      <c r="O317" s="189"/>
      <c r="P317" s="189"/>
      <c r="Q317" s="189"/>
      <c r="R317" s="189"/>
      <c r="S317" s="189"/>
      <c r="T317" s="189"/>
      <c r="U317" s="189"/>
      <c r="V317" s="189"/>
      <c r="W317" s="189"/>
      <c r="X317" s="189">
        <v>1</v>
      </c>
      <c r="Y317" s="189"/>
      <c r="Z317" s="189"/>
      <c r="AA317" s="189">
        <v>1</v>
      </c>
      <c r="AB317" s="189"/>
      <c r="AC317" s="189"/>
      <c r="AD317" s="366">
        <v>1</v>
      </c>
      <c r="AE317" s="189"/>
      <c r="AF317" s="189"/>
      <c r="AG317" s="189"/>
      <c r="AH317" s="196">
        <v>4</v>
      </c>
      <c r="AI317" s="191" t="s">
        <v>1003</v>
      </c>
      <c r="AJ317" s="192">
        <v>42375</v>
      </c>
      <c r="AK317" s="187"/>
      <c r="AL317" s="187">
        <f t="shared" si="247"/>
        <v>0</v>
      </c>
      <c r="AM317" s="187">
        <f t="shared" si="248"/>
        <v>0</v>
      </c>
      <c r="AN317" s="187">
        <f t="shared" si="249"/>
        <v>0</v>
      </c>
      <c r="AO317" s="187">
        <f t="shared" si="250"/>
        <v>0</v>
      </c>
      <c r="AP317" s="187">
        <f t="shared" si="251"/>
        <v>0</v>
      </c>
      <c r="AQ317" s="187">
        <f t="shared" si="252"/>
        <v>0</v>
      </c>
      <c r="AR317" s="187">
        <f t="shared" si="253"/>
        <v>0</v>
      </c>
      <c r="AS317" s="187">
        <f t="shared" si="254"/>
        <v>19</v>
      </c>
      <c r="AT317" s="187">
        <f t="shared" si="255"/>
        <v>0</v>
      </c>
      <c r="AU317" s="187">
        <f t="shared" si="256"/>
        <v>0</v>
      </c>
      <c r="AV317" s="187">
        <f t="shared" si="257"/>
        <v>0</v>
      </c>
      <c r="AW317" s="187">
        <f t="shared" si="258"/>
        <v>0</v>
      </c>
      <c r="AX317" s="187">
        <f t="shared" si="259"/>
        <v>0</v>
      </c>
      <c r="AY317" s="187">
        <f t="shared" si="260"/>
        <v>0</v>
      </c>
      <c r="AZ317" s="187">
        <f t="shared" si="261"/>
        <v>0</v>
      </c>
      <c r="BA317" s="187">
        <f t="shared" si="262"/>
        <v>0</v>
      </c>
      <c r="BB317" s="187">
        <f t="shared" si="263"/>
        <v>13</v>
      </c>
      <c r="BC317" s="187">
        <f t="shared" si="264"/>
        <v>0</v>
      </c>
      <c r="BD317" s="187">
        <f t="shared" si="265"/>
        <v>0</v>
      </c>
      <c r="BE317" s="187">
        <f t="shared" si="266"/>
        <v>6</v>
      </c>
      <c r="BF317" s="187">
        <f t="shared" si="267"/>
        <v>0</v>
      </c>
      <c r="BG317" s="187">
        <f t="shared" si="268"/>
        <v>8</v>
      </c>
      <c r="BH317" s="187">
        <f t="shared" si="269"/>
        <v>0</v>
      </c>
      <c r="BI317" s="187">
        <f t="shared" si="270"/>
        <v>0</v>
      </c>
      <c r="BJ317" s="273">
        <f t="shared" si="271"/>
        <v>46</v>
      </c>
      <c r="BK317" s="167">
        <f t="shared" ref="BK317:BK318" si="324">BJ317</f>
        <v>46</v>
      </c>
      <c r="BL317" s="167"/>
      <c r="BM317" s="644"/>
      <c r="BN317" s="644"/>
      <c r="BO317" s="644"/>
      <c r="BP317" s="644"/>
      <c r="BQ317" s="644"/>
      <c r="BR317" s="644"/>
      <c r="BS317" s="644"/>
      <c r="BT317" s="644"/>
      <c r="BU317" s="644"/>
      <c r="BV317" s="644"/>
      <c r="BW317" s="644"/>
      <c r="BX317" s="644"/>
      <c r="BY317" s="644"/>
      <c r="BZ317" s="644"/>
      <c r="CA317" s="644"/>
      <c r="CB317" s="644"/>
      <c r="CC317" s="644"/>
      <c r="CD317" s="644"/>
      <c r="CE317" s="644"/>
      <c r="CF317" s="644"/>
      <c r="CG317" s="644"/>
      <c r="CH317" s="644"/>
      <c r="CI317" s="644"/>
      <c r="CJ317" s="301" t="s">
        <v>752</v>
      </c>
      <c r="CK317" s="136"/>
      <c r="CL317" s="136"/>
    </row>
    <row r="318" spans="1:90">
      <c r="A318" s="178" t="s">
        <v>463</v>
      </c>
      <c r="B318" s="155"/>
      <c r="C318" s="155"/>
      <c r="D318" s="155">
        <v>1</v>
      </c>
      <c r="E318" s="155">
        <v>1</v>
      </c>
      <c r="F318" s="189"/>
      <c r="G318" s="189">
        <v>1</v>
      </c>
      <c r="H318" s="189"/>
      <c r="I318" s="189"/>
      <c r="J318" s="189"/>
      <c r="K318" s="189"/>
      <c r="L318" s="189">
        <v>1</v>
      </c>
      <c r="M318" s="189"/>
      <c r="N318" s="189"/>
      <c r="O318" s="189"/>
      <c r="P318" s="189"/>
      <c r="Q318" s="189"/>
      <c r="R318" s="189"/>
      <c r="S318" s="189"/>
      <c r="T318" s="189"/>
      <c r="U318" s="189"/>
      <c r="V318" s="189">
        <v>1</v>
      </c>
      <c r="W318" s="189">
        <v>1</v>
      </c>
      <c r="X318" s="189">
        <v>1</v>
      </c>
      <c r="Y318" s="366">
        <v>1</v>
      </c>
      <c r="Z318" s="189"/>
      <c r="AA318" s="189"/>
      <c r="AB318" s="189"/>
      <c r="AC318" s="189"/>
      <c r="AD318" s="189">
        <v>1</v>
      </c>
      <c r="AE318" s="189"/>
      <c r="AF318" s="366">
        <v>1</v>
      </c>
      <c r="AG318" s="189"/>
      <c r="AH318" s="196">
        <v>10</v>
      </c>
      <c r="AI318" s="368" t="s">
        <v>955</v>
      </c>
      <c r="AJ318" s="192">
        <v>42375</v>
      </c>
      <c r="AK318" s="187"/>
      <c r="AL318" s="187">
        <f t="shared" si="247"/>
        <v>0</v>
      </c>
      <c r="AM318" s="187">
        <f t="shared" si="248"/>
        <v>13</v>
      </c>
      <c r="AN318" s="187">
        <f t="shared" si="249"/>
        <v>8</v>
      </c>
      <c r="AO318" s="187">
        <f t="shared" si="250"/>
        <v>8</v>
      </c>
      <c r="AP318" s="187">
        <f t="shared" si="251"/>
        <v>0</v>
      </c>
      <c r="AQ318" s="187">
        <f t="shared" si="252"/>
        <v>0</v>
      </c>
      <c r="AR318" s="187">
        <f t="shared" si="253"/>
        <v>0</v>
      </c>
      <c r="AS318" s="187">
        <f t="shared" si="254"/>
        <v>19</v>
      </c>
      <c r="AT318" s="187">
        <f t="shared" si="255"/>
        <v>0</v>
      </c>
      <c r="AU318" s="187">
        <f t="shared" si="256"/>
        <v>0</v>
      </c>
      <c r="AV318" s="187">
        <f t="shared" si="257"/>
        <v>0</v>
      </c>
      <c r="AW318" s="187">
        <f t="shared" si="258"/>
        <v>0</v>
      </c>
      <c r="AX318" s="187">
        <f t="shared" si="259"/>
        <v>0</v>
      </c>
      <c r="AY318" s="187">
        <f t="shared" si="260"/>
        <v>0</v>
      </c>
      <c r="AZ318" s="187">
        <f t="shared" si="261"/>
        <v>8</v>
      </c>
      <c r="BA318" s="187">
        <f t="shared" si="262"/>
        <v>16</v>
      </c>
      <c r="BB318" s="187">
        <f t="shared" si="263"/>
        <v>13</v>
      </c>
      <c r="BC318" s="187">
        <f t="shared" si="264"/>
        <v>10</v>
      </c>
      <c r="BD318" s="187">
        <f t="shared" si="265"/>
        <v>0</v>
      </c>
      <c r="BE318" s="187">
        <f t="shared" si="266"/>
        <v>0</v>
      </c>
      <c r="BF318" s="187">
        <f t="shared" si="267"/>
        <v>0</v>
      </c>
      <c r="BG318" s="187">
        <f t="shared" si="268"/>
        <v>8</v>
      </c>
      <c r="BH318" s="187">
        <f t="shared" si="269"/>
        <v>0</v>
      </c>
      <c r="BI318" s="187">
        <f t="shared" si="270"/>
        <v>3</v>
      </c>
      <c r="BJ318" s="273">
        <f t="shared" si="271"/>
        <v>95</v>
      </c>
      <c r="BK318" s="167">
        <f t="shared" si="324"/>
        <v>95</v>
      </c>
      <c r="BL318" s="167"/>
      <c r="BM318" s="644"/>
      <c r="BN318" s="644"/>
      <c r="BO318" s="644"/>
      <c r="BP318" s="644"/>
      <c r="BQ318" s="644"/>
      <c r="BR318" s="644"/>
      <c r="BS318" s="644"/>
      <c r="BT318" s="644"/>
      <c r="BU318" s="644"/>
      <c r="BV318" s="644"/>
      <c r="BW318" s="644"/>
      <c r="BX318" s="644"/>
      <c r="BY318" s="644"/>
      <c r="BZ318" s="644"/>
      <c r="CA318" s="644"/>
      <c r="CB318" s="644"/>
      <c r="CC318" s="644"/>
      <c r="CD318" s="644"/>
      <c r="CE318" s="644"/>
      <c r="CF318" s="644"/>
      <c r="CG318" s="644"/>
      <c r="CH318" s="644"/>
      <c r="CI318" s="644"/>
      <c r="CJ318" s="301" t="s">
        <v>752</v>
      </c>
      <c r="CK318" s="136"/>
      <c r="CL318" s="136"/>
    </row>
    <row r="319" spans="1:90">
      <c r="A319" s="178" t="s">
        <v>1004</v>
      </c>
      <c r="B319" s="155"/>
      <c r="C319" s="155"/>
      <c r="D319" s="155">
        <v>1</v>
      </c>
      <c r="E319" s="155"/>
      <c r="F319" s="189"/>
      <c r="G319" s="189"/>
      <c r="H319" s="189"/>
      <c r="I319" s="189"/>
      <c r="J319" s="189"/>
      <c r="K319" s="189"/>
      <c r="L319" s="189">
        <v>1</v>
      </c>
      <c r="M319" s="189"/>
      <c r="N319" s="189"/>
      <c r="O319" s="189">
        <v>1</v>
      </c>
      <c r="P319" s="189"/>
      <c r="Q319" s="189"/>
      <c r="R319" s="189"/>
      <c r="S319" s="189"/>
      <c r="T319" s="189"/>
      <c r="U319" s="189"/>
      <c r="V319" s="189"/>
      <c r="W319" s="189">
        <v>1</v>
      </c>
      <c r="X319" s="189">
        <v>1</v>
      </c>
      <c r="Y319" s="189">
        <v>1</v>
      </c>
      <c r="Z319" s="189"/>
      <c r="AA319" s="189"/>
      <c r="AB319" s="189"/>
      <c r="AC319" s="189"/>
      <c r="AD319" s="189"/>
      <c r="AE319" s="189"/>
      <c r="AF319" s="189"/>
      <c r="AG319" s="189"/>
      <c r="AH319" s="196">
        <v>6</v>
      </c>
      <c r="AI319" s="368" t="s">
        <v>998</v>
      </c>
      <c r="AJ319" s="192">
        <v>42375</v>
      </c>
      <c r="AK319" s="187"/>
      <c r="AL319" s="187">
        <f t="shared" si="247"/>
        <v>0</v>
      </c>
      <c r="AM319" s="187">
        <f t="shared" si="248"/>
        <v>13</v>
      </c>
      <c r="AN319" s="187">
        <f t="shared" si="249"/>
        <v>0</v>
      </c>
      <c r="AO319" s="187">
        <f t="shared" si="250"/>
        <v>0</v>
      </c>
      <c r="AP319" s="187">
        <f t="shared" si="251"/>
        <v>0</v>
      </c>
      <c r="AQ319" s="187">
        <f t="shared" si="252"/>
        <v>0</v>
      </c>
      <c r="AR319" s="187">
        <f t="shared" si="253"/>
        <v>0</v>
      </c>
      <c r="AS319" s="187">
        <f t="shared" si="254"/>
        <v>19</v>
      </c>
      <c r="AT319" s="187">
        <f t="shared" si="255"/>
        <v>13</v>
      </c>
      <c r="AU319" s="187">
        <f t="shared" si="256"/>
        <v>0</v>
      </c>
      <c r="AV319" s="187">
        <f t="shared" si="257"/>
        <v>0</v>
      </c>
      <c r="AW319" s="187">
        <f t="shared" si="258"/>
        <v>0</v>
      </c>
      <c r="AX319" s="187">
        <f t="shared" si="259"/>
        <v>0</v>
      </c>
      <c r="AY319" s="187">
        <f t="shared" si="260"/>
        <v>0</v>
      </c>
      <c r="AZ319" s="187">
        <f t="shared" si="261"/>
        <v>0</v>
      </c>
      <c r="BA319" s="187">
        <f t="shared" si="262"/>
        <v>16</v>
      </c>
      <c r="BB319" s="187">
        <f t="shared" si="263"/>
        <v>13</v>
      </c>
      <c r="BC319" s="187">
        <f t="shared" si="264"/>
        <v>10</v>
      </c>
      <c r="BD319" s="187">
        <f t="shared" si="265"/>
        <v>0</v>
      </c>
      <c r="BE319" s="187">
        <f t="shared" si="266"/>
        <v>0</v>
      </c>
      <c r="BF319" s="187">
        <f t="shared" si="267"/>
        <v>0</v>
      </c>
      <c r="BG319" s="187">
        <f t="shared" si="268"/>
        <v>0</v>
      </c>
      <c r="BH319" s="187">
        <f t="shared" si="269"/>
        <v>0</v>
      </c>
      <c r="BI319" s="187">
        <f t="shared" si="270"/>
        <v>0</v>
      </c>
      <c r="BJ319" s="273">
        <f t="shared" si="271"/>
        <v>84</v>
      </c>
      <c r="BK319" s="167">
        <f t="shared" ref="BK319:BK323" si="325">BJ319</f>
        <v>84</v>
      </c>
      <c r="BL319" s="167"/>
      <c r="BM319" s="644"/>
      <c r="BN319" s="644"/>
      <c r="BO319" s="644"/>
      <c r="BP319" s="644"/>
      <c r="BQ319" s="644"/>
      <c r="BR319" s="644"/>
      <c r="BS319" s="644"/>
      <c r="BT319" s="644"/>
      <c r="BU319" s="644"/>
      <c r="BV319" s="644"/>
      <c r="BW319" s="644"/>
      <c r="BX319" s="644"/>
      <c r="BY319" s="644"/>
      <c r="BZ319" s="644"/>
      <c r="CA319" s="644"/>
      <c r="CB319" s="644"/>
      <c r="CC319" s="644"/>
      <c r="CD319" s="644"/>
      <c r="CE319" s="644"/>
      <c r="CF319" s="644"/>
      <c r="CG319" s="644"/>
      <c r="CH319" s="644"/>
      <c r="CI319" s="644"/>
      <c r="CJ319" s="301" t="s">
        <v>758</v>
      </c>
      <c r="CK319" s="136"/>
      <c r="CL319" s="136"/>
    </row>
    <row r="320" spans="1:90">
      <c r="A320" s="178" t="s">
        <v>1005</v>
      </c>
      <c r="B320" s="155"/>
      <c r="C320" s="155"/>
      <c r="D320" s="155">
        <v>1</v>
      </c>
      <c r="E320" s="155"/>
      <c r="F320" s="189"/>
      <c r="G320" s="189"/>
      <c r="H320" s="189"/>
      <c r="I320" s="189"/>
      <c r="J320" s="189"/>
      <c r="K320" s="189"/>
      <c r="L320" s="189">
        <v>1</v>
      </c>
      <c r="M320" s="189"/>
      <c r="N320" s="189"/>
      <c r="O320" s="189">
        <v>1</v>
      </c>
      <c r="P320" s="189"/>
      <c r="Q320" s="189">
        <v>1</v>
      </c>
      <c r="R320" s="189"/>
      <c r="S320" s="189">
        <v>1</v>
      </c>
      <c r="T320" s="189"/>
      <c r="U320" s="189"/>
      <c r="V320" s="189"/>
      <c r="W320" s="189">
        <v>1</v>
      </c>
      <c r="X320" s="189">
        <v>1</v>
      </c>
      <c r="Y320" s="189">
        <v>1</v>
      </c>
      <c r="Z320" s="189"/>
      <c r="AA320" s="189"/>
      <c r="AB320" s="189"/>
      <c r="AC320" s="189"/>
      <c r="AD320" s="189">
        <v>1</v>
      </c>
      <c r="AE320" s="189"/>
      <c r="AF320" s="189">
        <v>1</v>
      </c>
      <c r="AG320" s="189"/>
      <c r="AH320" s="196">
        <v>10</v>
      </c>
      <c r="AI320" s="368" t="s">
        <v>955</v>
      </c>
      <c r="AJ320" s="192">
        <v>42375</v>
      </c>
      <c r="AK320" s="187"/>
      <c r="AL320" s="187">
        <f t="shared" si="247"/>
        <v>0</v>
      </c>
      <c r="AM320" s="187">
        <f t="shared" si="248"/>
        <v>13</v>
      </c>
      <c r="AN320" s="187">
        <f t="shared" si="249"/>
        <v>0</v>
      </c>
      <c r="AO320" s="187">
        <f t="shared" si="250"/>
        <v>0</v>
      </c>
      <c r="AP320" s="187">
        <f t="shared" si="251"/>
        <v>0</v>
      </c>
      <c r="AQ320" s="187">
        <f t="shared" si="252"/>
        <v>0</v>
      </c>
      <c r="AR320" s="187">
        <f t="shared" si="253"/>
        <v>0</v>
      </c>
      <c r="AS320" s="187">
        <f t="shared" si="254"/>
        <v>19</v>
      </c>
      <c r="AT320" s="187">
        <f t="shared" si="255"/>
        <v>13</v>
      </c>
      <c r="AU320" s="187">
        <f t="shared" si="256"/>
        <v>0</v>
      </c>
      <c r="AV320" s="187">
        <f t="shared" si="257"/>
        <v>3</v>
      </c>
      <c r="AW320" s="187">
        <f t="shared" si="258"/>
        <v>8</v>
      </c>
      <c r="AX320" s="187">
        <f t="shared" si="259"/>
        <v>0</v>
      </c>
      <c r="AY320" s="187">
        <f t="shared" si="260"/>
        <v>0</v>
      </c>
      <c r="AZ320" s="187">
        <f t="shared" si="261"/>
        <v>0</v>
      </c>
      <c r="BA320" s="187">
        <f t="shared" si="262"/>
        <v>16</v>
      </c>
      <c r="BB320" s="187">
        <f t="shared" si="263"/>
        <v>13</v>
      </c>
      <c r="BC320" s="187">
        <f t="shared" si="264"/>
        <v>10</v>
      </c>
      <c r="BD320" s="187">
        <f t="shared" si="265"/>
        <v>0</v>
      </c>
      <c r="BE320" s="187">
        <f t="shared" si="266"/>
        <v>0</v>
      </c>
      <c r="BF320" s="187">
        <f t="shared" si="267"/>
        <v>0</v>
      </c>
      <c r="BG320" s="187">
        <f t="shared" si="268"/>
        <v>8</v>
      </c>
      <c r="BH320" s="187">
        <f t="shared" si="269"/>
        <v>0</v>
      </c>
      <c r="BI320" s="187">
        <f t="shared" si="270"/>
        <v>3</v>
      </c>
      <c r="BJ320" s="273">
        <f t="shared" si="271"/>
        <v>100</v>
      </c>
      <c r="BK320" s="167">
        <f t="shared" si="325"/>
        <v>100</v>
      </c>
      <c r="BL320" s="167"/>
      <c r="BM320" s="644"/>
      <c r="BN320" s="644"/>
      <c r="BO320" s="644"/>
      <c r="BP320" s="644"/>
      <c r="BQ320" s="644"/>
      <c r="BR320" s="644"/>
      <c r="BS320" s="644"/>
      <c r="BT320" s="644"/>
      <c r="BU320" s="644"/>
      <c r="BV320" s="644"/>
      <c r="BW320" s="644"/>
      <c r="BX320" s="644"/>
      <c r="BY320" s="644"/>
      <c r="BZ320" s="644"/>
      <c r="CA320" s="644"/>
      <c r="CB320" s="644"/>
      <c r="CC320" s="644"/>
      <c r="CD320" s="644"/>
      <c r="CE320" s="644"/>
      <c r="CF320" s="644"/>
      <c r="CG320" s="644"/>
      <c r="CH320" s="644"/>
      <c r="CI320" s="644"/>
      <c r="CJ320" s="301" t="s">
        <v>814</v>
      </c>
      <c r="CK320" s="136"/>
      <c r="CL320" s="136"/>
    </row>
    <row r="321" spans="1:90">
      <c r="A321" s="178" t="s">
        <v>468</v>
      </c>
      <c r="B321" s="155"/>
      <c r="C321" s="155"/>
      <c r="D321" s="155"/>
      <c r="E321" s="155">
        <v>1</v>
      </c>
      <c r="F321" s="189"/>
      <c r="G321" s="189">
        <v>1</v>
      </c>
      <c r="H321" s="189"/>
      <c r="I321" s="189"/>
      <c r="J321" s="189"/>
      <c r="K321" s="189"/>
      <c r="L321" s="189">
        <v>1</v>
      </c>
      <c r="M321" s="189"/>
      <c r="N321" s="189"/>
      <c r="O321" s="189">
        <v>1</v>
      </c>
      <c r="P321" s="189"/>
      <c r="Q321" s="189">
        <v>1</v>
      </c>
      <c r="R321" s="189"/>
      <c r="S321" s="189">
        <v>1</v>
      </c>
      <c r="T321" s="189"/>
      <c r="U321" s="189"/>
      <c r="V321" s="189"/>
      <c r="W321" s="189">
        <v>1</v>
      </c>
      <c r="X321" s="189">
        <v>1</v>
      </c>
      <c r="Y321" s="189">
        <v>1</v>
      </c>
      <c r="Z321" s="189"/>
      <c r="AA321" s="189">
        <v>1</v>
      </c>
      <c r="AB321" s="189"/>
      <c r="AC321" s="189"/>
      <c r="AD321" s="189"/>
      <c r="AE321" s="189"/>
      <c r="AF321" s="189"/>
      <c r="AG321" s="189"/>
      <c r="AH321" s="196">
        <v>10</v>
      </c>
      <c r="AI321" s="368" t="s">
        <v>955</v>
      </c>
      <c r="AJ321" s="192">
        <v>42380</v>
      </c>
      <c r="AK321" s="187"/>
      <c r="AL321" s="187">
        <f t="shared" si="247"/>
        <v>0</v>
      </c>
      <c r="AM321" s="187">
        <f t="shared" si="248"/>
        <v>0</v>
      </c>
      <c r="AN321" s="187">
        <f t="shared" si="249"/>
        <v>8</v>
      </c>
      <c r="AO321" s="187">
        <f t="shared" si="250"/>
        <v>8</v>
      </c>
      <c r="AP321" s="187">
        <f t="shared" si="251"/>
        <v>0</v>
      </c>
      <c r="AQ321" s="187">
        <f t="shared" si="252"/>
        <v>0</v>
      </c>
      <c r="AR321" s="187">
        <f t="shared" si="253"/>
        <v>0</v>
      </c>
      <c r="AS321" s="187">
        <f t="shared" si="254"/>
        <v>19</v>
      </c>
      <c r="AT321" s="187">
        <f t="shared" si="255"/>
        <v>13</v>
      </c>
      <c r="AU321" s="187">
        <f t="shared" si="256"/>
        <v>0</v>
      </c>
      <c r="AV321" s="187">
        <f t="shared" si="257"/>
        <v>3</v>
      </c>
      <c r="AW321" s="187">
        <f t="shared" si="258"/>
        <v>8</v>
      </c>
      <c r="AX321" s="187">
        <f t="shared" si="259"/>
        <v>0</v>
      </c>
      <c r="AY321" s="187">
        <f t="shared" si="260"/>
        <v>0</v>
      </c>
      <c r="AZ321" s="187">
        <f t="shared" si="261"/>
        <v>0</v>
      </c>
      <c r="BA321" s="187">
        <f t="shared" si="262"/>
        <v>16</v>
      </c>
      <c r="BB321" s="187">
        <f t="shared" si="263"/>
        <v>13</v>
      </c>
      <c r="BC321" s="187">
        <f t="shared" si="264"/>
        <v>10</v>
      </c>
      <c r="BD321" s="187">
        <f t="shared" si="265"/>
        <v>0</v>
      </c>
      <c r="BE321" s="187">
        <f t="shared" si="266"/>
        <v>6</v>
      </c>
      <c r="BF321" s="187">
        <f t="shared" si="267"/>
        <v>0</v>
      </c>
      <c r="BG321" s="187">
        <f t="shared" si="268"/>
        <v>0</v>
      </c>
      <c r="BH321" s="187">
        <f t="shared" si="269"/>
        <v>0</v>
      </c>
      <c r="BI321" s="187">
        <f t="shared" si="270"/>
        <v>0</v>
      </c>
      <c r="BJ321" s="273">
        <f t="shared" si="271"/>
        <v>95</v>
      </c>
      <c r="BK321" s="167">
        <f t="shared" ref="BK321" si="326">BJ321</f>
        <v>95</v>
      </c>
      <c r="BL321" s="167"/>
      <c r="BM321" s="644"/>
      <c r="BN321" s="644"/>
      <c r="BO321" s="644"/>
      <c r="BP321" s="644"/>
      <c r="BQ321" s="644"/>
      <c r="BR321" s="644"/>
      <c r="BS321" s="644"/>
      <c r="BT321" s="644"/>
      <c r="BU321" s="644"/>
      <c r="BV321" s="644"/>
      <c r="BW321" s="644"/>
      <c r="BX321" s="644"/>
      <c r="BY321" s="644"/>
      <c r="BZ321" s="644"/>
      <c r="CA321" s="644"/>
      <c r="CB321" s="644"/>
      <c r="CC321" s="644"/>
      <c r="CD321" s="644"/>
      <c r="CE321" s="644"/>
      <c r="CF321" s="644"/>
      <c r="CG321" s="644"/>
      <c r="CH321" s="644"/>
      <c r="CI321" s="644"/>
      <c r="CJ321" s="301" t="s">
        <v>743</v>
      </c>
      <c r="CK321" s="136"/>
      <c r="CL321" s="136"/>
    </row>
    <row r="322" spans="1:90">
      <c r="A322" s="178" t="s">
        <v>1006</v>
      </c>
      <c r="B322" s="155"/>
      <c r="C322" s="155"/>
      <c r="D322" s="155">
        <v>1</v>
      </c>
      <c r="E322" s="155"/>
      <c r="F322" s="189"/>
      <c r="G322" s="189"/>
      <c r="H322" s="189"/>
      <c r="I322" s="189"/>
      <c r="J322" s="189"/>
      <c r="K322" s="189"/>
      <c r="L322" s="189">
        <v>1</v>
      </c>
      <c r="M322" s="189"/>
      <c r="N322" s="189"/>
      <c r="O322" s="189"/>
      <c r="P322" s="189"/>
      <c r="Q322" s="189"/>
      <c r="R322" s="189"/>
      <c r="S322" s="189">
        <v>1</v>
      </c>
      <c r="T322" s="189"/>
      <c r="U322" s="189"/>
      <c r="V322" s="189"/>
      <c r="W322" s="189">
        <v>1</v>
      </c>
      <c r="X322" s="189">
        <v>1</v>
      </c>
      <c r="Y322" s="189"/>
      <c r="Z322" s="189"/>
      <c r="AA322" s="189"/>
      <c r="AB322" s="189"/>
      <c r="AC322" s="189"/>
      <c r="AD322" s="189"/>
      <c r="AE322" s="189"/>
      <c r="AF322" s="189">
        <v>1</v>
      </c>
      <c r="AG322" s="189"/>
      <c r="AH322" s="196">
        <v>6</v>
      </c>
      <c r="AI322" s="368" t="s">
        <v>955</v>
      </c>
      <c r="AJ322" s="192">
        <v>42379</v>
      </c>
      <c r="AK322" s="187"/>
      <c r="AL322" s="187">
        <f t="shared" si="247"/>
        <v>0</v>
      </c>
      <c r="AM322" s="187">
        <f t="shared" si="248"/>
        <v>13</v>
      </c>
      <c r="AN322" s="187">
        <f t="shared" si="249"/>
        <v>0</v>
      </c>
      <c r="AO322" s="187">
        <f t="shared" si="250"/>
        <v>0</v>
      </c>
      <c r="AP322" s="187">
        <f t="shared" si="251"/>
        <v>0</v>
      </c>
      <c r="AQ322" s="187">
        <f t="shared" si="252"/>
        <v>0</v>
      </c>
      <c r="AR322" s="187">
        <f t="shared" si="253"/>
        <v>0</v>
      </c>
      <c r="AS322" s="187">
        <f t="shared" si="254"/>
        <v>19</v>
      </c>
      <c r="AT322" s="187">
        <f t="shared" si="255"/>
        <v>0</v>
      </c>
      <c r="AU322" s="187">
        <f t="shared" si="256"/>
        <v>0</v>
      </c>
      <c r="AV322" s="187">
        <f t="shared" si="257"/>
        <v>0</v>
      </c>
      <c r="AW322" s="187">
        <f t="shared" si="258"/>
        <v>8</v>
      </c>
      <c r="AX322" s="187">
        <f t="shared" si="259"/>
        <v>0</v>
      </c>
      <c r="AY322" s="187">
        <f t="shared" si="260"/>
        <v>0</v>
      </c>
      <c r="AZ322" s="187">
        <f t="shared" si="261"/>
        <v>0</v>
      </c>
      <c r="BA322" s="187">
        <f t="shared" si="262"/>
        <v>16</v>
      </c>
      <c r="BB322" s="187">
        <f t="shared" si="263"/>
        <v>13</v>
      </c>
      <c r="BC322" s="187">
        <f t="shared" si="264"/>
        <v>0</v>
      </c>
      <c r="BD322" s="187">
        <f t="shared" si="265"/>
        <v>0</v>
      </c>
      <c r="BE322" s="187">
        <f t="shared" si="266"/>
        <v>0</v>
      </c>
      <c r="BF322" s="187">
        <f t="shared" si="267"/>
        <v>0</v>
      </c>
      <c r="BG322" s="187">
        <f t="shared" si="268"/>
        <v>0</v>
      </c>
      <c r="BH322" s="187">
        <f t="shared" si="269"/>
        <v>0</v>
      </c>
      <c r="BI322" s="187">
        <f t="shared" si="270"/>
        <v>3</v>
      </c>
      <c r="BJ322" s="273">
        <f t="shared" si="271"/>
        <v>72</v>
      </c>
      <c r="BK322" s="167">
        <f t="shared" ref="BK322" si="327">BJ322</f>
        <v>72</v>
      </c>
      <c r="BL322" s="167"/>
      <c r="BM322" s="644"/>
      <c r="BN322" s="644"/>
      <c r="BO322" s="644"/>
      <c r="BP322" s="644"/>
      <c r="BQ322" s="644"/>
      <c r="BR322" s="644"/>
      <c r="BS322" s="644"/>
      <c r="BT322" s="644"/>
      <c r="BU322" s="644"/>
      <c r="BV322" s="644"/>
      <c r="BW322" s="644"/>
      <c r="BX322" s="644"/>
      <c r="BY322" s="644"/>
      <c r="BZ322" s="644"/>
      <c r="CA322" s="644"/>
      <c r="CB322" s="644"/>
      <c r="CC322" s="644"/>
      <c r="CD322" s="644"/>
      <c r="CE322" s="644"/>
      <c r="CF322" s="644"/>
      <c r="CG322" s="644"/>
      <c r="CH322" s="644"/>
      <c r="CI322" s="644"/>
      <c r="CJ322" s="301" t="s">
        <v>743</v>
      </c>
      <c r="CK322" s="136"/>
      <c r="CL322" s="136"/>
    </row>
    <row r="323" spans="1:90" s="344" customFormat="1">
      <c r="A323" s="374" t="s">
        <v>469</v>
      </c>
      <c r="B323" s="189"/>
      <c r="C323" s="189"/>
      <c r="D323" s="189"/>
      <c r="E323" s="189"/>
      <c r="F323" s="189"/>
      <c r="G323" s="189"/>
      <c r="H323" s="189"/>
      <c r="I323" s="189"/>
      <c r="J323" s="189"/>
      <c r="K323" s="189"/>
      <c r="L323" s="189">
        <v>1</v>
      </c>
      <c r="M323" s="189"/>
      <c r="N323" s="189"/>
      <c r="O323" s="189">
        <v>1</v>
      </c>
      <c r="P323" s="189"/>
      <c r="Q323" s="189"/>
      <c r="R323" s="189"/>
      <c r="S323" s="366">
        <v>1</v>
      </c>
      <c r="T323" s="189">
        <v>1</v>
      </c>
      <c r="U323" s="189"/>
      <c r="V323" s="189"/>
      <c r="W323" s="189">
        <v>1</v>
      </c>
      <c r="X323" s="189">
        <v>1</v>
      </c>
      <c r="Y323" s="189"/>
      <c r="Z323" s="189"/>
      <c r="AA323" s="189"/>
      <c r="AB323" s="189"/>
      <c r="AC323" s="189"/>
      <c r="AD323" s="189"/>
      <c r="AE323" s="189"/>
      <c r="AF323" s="189"/>
      <c r="AG323" s="189"/>
      <c r="AH323" s="196">
        <v>6</v>
      </c>
      <c r="AI323" s="368" t="s">
        <v>955</v>
      </c>
      <c r="AJ323" s="192">
        <v>42375</v>
      </c>
      <c r="AK323" s="187"/>
      <c r="AL323" s="187">
        <f t="shared" si="247"/>
        <v>0</v>
      </c>
      <c r="AM323" s="187">
        <f t="shared" si="248"/>
        <v>0</v>
      </c>
      <c r="AN323" s="187">
        <f t="shared" si="249"/>
        <v>0</v>
      </c>
      <c r="AO323" s="187">
        <f t="shared" si="250"/>
        <v>0</v>
      </c>
      <c r="AP323" s="187">
        <f t="shared" si="251"/>
        <v>0</v>
      </c>
      <c r="AQ323" s="187">
        <f t="shared" si="252"/>
        <v>0</v>
      </c>
      <c r="AR323" s="187">
        <f t="shared" si="253"/>
        <v>0</v>
      </c>
      <c r="AS323" s="187">
        <f t="shared" si="254"/>
        <v>19</v>
      </c>
      <c r="AT323" s="187">
        <f t="shared" si="255"/>
        <v>13</v>
      </c>
      <c r="AU323" s="187">
        <f t="shared" si="256"/>
        <v>0</v>
      </c>
      <c r="AV323" s="187">
        <f t="shared" si="257"/>
        <v>0</v>
      </c>
      <c r="AW323" s="187">
        <f t="shared" si="258"/>
        <v>8</v>
      </c>
      <c r="AX323" s="187">
        <f t="shared" si="259"/>
        <v>4</v>
      </c>
      <c r="AY323" s="187">
        <f t="shared" si="260"/>
        <v>0</v>
      </c>
      <c r="AZ323" s="187">
        <f t="shared" si="261"/>
        <v>0</v>
      </c>
      <c r="BA323" s="187">
        <f t="shared" si="262"/>
        <v>16</v>
      </c>
      <c r="BB323" s="187">
        <f t="shared" si="263"/>
        <v>13</v>
      </c>
      <c r="BC323" s="187">
        <f t="shared" si="264"/>
        <v>0</v>
      </c>
      <c r="BD323" s="187">
        <f t="shared" si="265"/>
        <v>0</v>
      </c>
      <c r="BE323" s="187">
        <f t="shared" si="266"/>
        <v>0</v>
      </c>
      <c r="BF323" s="187">
        <f t="shared" si="267"/>
        <v>0</v>
      </c>
      <c r="BG323" s="187">
        <f t="shared" si="268"/>
        <v>0</v>
      </c>
      <c r="BH323" s="187">
        <f t="shared" si="269"/>
        <v>0</v>
      </c>
      <c r="BI323" s="187">
        <f t="shared" si="270"/>
        <v>0</v>
      </c>
      <c r="BJ323" s="273">
        <f t="shared" si="271"/>
        <v>73</v>
      </c>
      <c r="BK323" s="167">
        <f t="shared" si="325"/>
        <v>73</v>
      </c>
      <c r="BL323" s="167"/>
      <c r="BM323" s="644"/>
      <c r="BN323" s="644"/>
      <c r="BO323" s="644"/>
      <c r="BP323" s="644"/>
      <c r="BQ323" s="644"/>
      <c r="BR323" s="644"/>
      <c r="BS323" s="644"/>
      <c r="BT323" s="644"/>
      <c r="BU323" s="644"/>
      <c r="BV323" s="644"/>
      <c r="BW323" s="644"/>
      <c r="BX323" s="644"/>
      <c r="BY323" s="644"/>
      <c r="BZ323" s="644"/>
      <c r="CA323" s="644"/>
      <c r="CB323" s="644"/>
      <c r="CC323" s="644"/>
      <c r="CD323" s="644"/>
      <c r="CE323" s="644"/>
      <c r="CF323" s="644"/>
      <c r="CG323" s="644"/>
      <c r="CH323" s="644"/>
      <c r="CI323" s="644"/>
      <c r="CJ323" s="301" t="s">
        <v>843</v>
      </c>
      <c r="CK323" s="343"/>
      <c r="CL323" s="343"/>
    </row>
    <row r="324" spans="1:90" s="344" customFormat="1">
      <c r="A324" s="374" t="s">
        <v>1007</v>
      </c>
      <c r="B324" s="189"/>
      <c r="C324" s="189"/>
      <c r="D324" s="189">
        <v>1</v>
      </c>
      <c r="E324" s="189">
        <v>1</v>
      </c>
      <c r="F324" s="189"/>
      <c r="G324" s="189">
        <v>1</v>
      </c>
      <c r="H324" s="189"/>
      <c r="I324" s="189"/>
      <c r="J324" s="189"/>
      <c r="K324" s="189"/>
      <c r="L324" s="189">
        <v>1</v>
      </c>
      <c r="M324" s="189"/>
      <c r="N324" s="189"/>
      <c r="O324" s="189">
        <v>1</v>
      </c>
      <c r="P324" s="189"/>
      <c r="Q324" s="189"/>
      <c r="R324" s="189"/>
      <c r="S324" s="366">
        <v>1</v>
      </c>
      <c r="T324" s="189"/>
      <c r="U324" s="189"/>
      <c r="V324" s="189"/>
      <c r="W324" s="189">
        <v>1</v>
      </c>
      <c r="X324" s="189">
        <v>1</v>
      </c>
      <c r="Y324" s="189"/>
      <c r="Z324" s="189"/>
      <c r="AA324" s="189">
        <v>1</v>
      </c>
      <c r="AB324" s="189"/>
      <c r="AC324" s="189"/>
      <c r="AD324" s="366">
        <v>1</v>
      </c>
      <c r="AE324" s="189"/>
      <c r="AF324" s="189"/>
      <c r="AG324" s="189"/>
      <c r="AH324" s="196">
        <v>10</v>
      </c>
      <c r="AI324" s="368" t="s">
        <v>955</v>
      </c>
      <c r="AJ324" s="192">
        <v>42375</v>
      </c>
      <c r="AK324" s="187"/>
      <c r="AL324" s="187">
        <f t="shared" si="247"/>
        <v>0</v>
      </c>
      <c r="AM324" s="187">
        <f t="shared" si="248"/>
        <v>13</v>
      </c>
      <c r="AN324" s="187">
        <f t="shared" si="249"/>
        <v>8</v>
      </c>
      <c r="AO324" s="187">
        <f t="shared" si="250"/>
        <v>8</v>
      </c>
      <c r="AP324" s="187">
        <f t="shared" si="251"/>
        <v>0</v>
      </c>
      <c r="AQ324" s="187">
        <f t="shared" si="252"/>
        <v>0</v>
      </c>
      <c r="AR324" s="187">
        <f t="shared" si="253"/>
        <v>0</v>
      </c>
      <c r="AS324" s="187">
        <f t="shared" si="254"/>
        <v>19</v>
      </c>
      <c r="AT324" s="187">
        <f t="shared" si="255"/>
        <v>13</v>
      </c>
      <c r="AU324" s="187">
        <f t="shared" si="256"/>
        <v>0</v>
      </c>
      <c r="AV324" s="187">
        <f t="shared" si="257"/>
        <v>0</v>
      </c>
      <c r="AW324" s="187">
        <f t="shared" si="258"/>
        <v>8</v>
      </c>
      <c r="AX324" s="187">
        <f t="shared" si="259"/>
        <v>0</v>
      </c>
      <c r="AY324" s="187">
        <f t="shared" si="260"/>
        <v>0</v>
      </c>
      <c r="AZ324" s="187">
        <f t="shared" si="261"/>
        <v>0</v>
      </c>
      <c r="BA324" s="187">
        <f t="shared" si="262"/>
        <v>16</v>
      </c>
      <c r="BB324" s="187">
        <f t="shared" si="263"/>
        <v>13</v>
      </c>
      <c r="BC324" s="187">
        <f t="shared" si="264"/>
        <v>0</v>
      </c>
      <c r="BD324" s="187">
        <f t="shared" si="265"/>
        <v>0</v>
      </c>
      <c r="BE324" s="187">
        <f t="shared" si="266"/>
        <v>6</v>
      </c>
      <c r="BF324" s="187">
        <f t="shared" si="267"/>
        <v>0</v>
      </c>
      <c r="BG324" s="187">
        <f t="shared" si="268"/>
        <v>8</v>
      </c>
      <c r="BH324" s="187">
        <f t="shared" si="269"/>
        <v>0</v>
      </c>
      <c r="BI324" s="187">
        <f t="shared" si="270"/>
        <v>0</v>
      </c>
      <c r="BJ324" s="273">
        <f t="shared" si="271"/>
        <v>98</v>
      </c>
      <c r="BK324" s="167">
        <f t="shared" ref="BK324" si="328">BJ324</f>
        <v>98</v>
      </c>
      <c r="BL324" s="167"/>
      <c r="BM324" s="644"/>
      <c r="BN324" s="644"/>
      <c r="BO324" s="644"/>
      <c r="BP324" s="644"/>
      <c r="BQ324" s="644"/>
      <c r="BR324" s="644"/>
      <c r="BS324" s="644"/>
      <c r="BT324" s="644"/>
      <c r="BU324" s="644"/>
      <c r="BV324" s="644"/>
      <c r="BW324" s="644"/>
      <c r="BX324" s="644"/>
      <c r="BY324" s="644"/>
      <c r="BZ324" s="644"/>
      <c r="CA324" s="644"/>
      <c r="CB324" s="644"/>
      <c r="CC324" s="644"/>
      <c r="CD324" s="644"/>
      <c r="CE324" s="644"/>
      <c r="CF324" s="644"/>
      <c r="CG324" s="644"/>
      <c r="CH324" s="644"/>
      <c r="CI324" s="644"/>
      <c r="CJ324" s="301" t="s">
        <v>752</v>
      </c>
      <c r="CK324" s="343"/>
      <c r="CL324" s="343"/>
    </row>
    <row r="325" spans="1:90" s="344" customFormat="1">
      <c r="A325" s="374" t="s">
        <v>470</v>
      </c>
      <c r="B325" s="189"/>
      <c r="C325" s="189"/>
      <c r="D325" s="189">
        <v>1</v>
      </c>
      <c r="E325" s="189">
        <v>1</v>
      </c>
      <c r="F325" s="189"/>
      <c r="G325" s="189">
        <v>1</v>
      </c>
      <c r="H325" s="189">
        <v>1</v>
      </c>
      <c r="I325" s="189"/>
      <c r="J325" s="189"/>
      <c r="K325" s="189"/>
      <c r="L325" s="189">
        <v>1</v>
      </c>
      <c r="M325" s="189"/>
      <c r="N325" s="189"/>
      <c r="O325" s="189">
        <v>1</v>
      </c>
      <c r="P325" s="189"/>
      <c r="Q325" s="189"/>
      <c r="R325" s="189"/>
      <c r="S325" s="189"/>
      <c r="T325" s="189"/>
      <c r="U325" s="189">
        <v>1</v>
      </c>
      <c r="V325" s="189"/>
      <c r="W325" s="189">
        <v>1</v>
      </c>
      <c r="X325" s="366">
        <v>1</v>
      </c>
      <c r="Y325" s="189">
        <v>1</v>
      </c>
      <c r="Z325" s="189"/>
      <c r="AA325" s="189"/>
      <c r="AB325" s="189"/>
      <c r="AC325" s="189"/>
      <c r="AD325" s="189"/>
      <c r="AE325" s="189"/>
      <c r="AF325" s="189"/>
      <c r="AG325" s="189"/>
      <c r="AH325" s="196">
        <v>10</v>
      </c>
      <c r="AI325" s="368" t="s">
        <v>955</v>
      </c>
      <c r="AJ325" s="192">
        <v>42375</v>
      </c>
      <c r="AK325" s="187"/>
      <c r="AL325" s="187">
        <f t="shared" si="247"/>
        <v>0</v>
      </c>
      <c r="AM325" s="187">
        <f t="shared" si="248"/>
        <v>13</v>
      </c>
      <c r="AN325" s="187">
        <f t="shared" si="249"/>
        <v>8</v>
      </c>
      <c r="AO325" s="187">
        <f t="shared" si="250"/>
        <v>8</v>
      </c>
      <c r="AP325" s="187">
        <f t="shared" si="251"/>
        <v>0</v>
      </c>
      <c r="AQ325" s="187">
        <f t="shared" si="252"/>
        <v>0</v>
      </c>
      <c r="AR325" s="187">
        <f t="shared" si="253"/>
        <v>0</v>
      </c>
      <c r="AS325" s="187">
        <f t="shared" si="254"/>
        <v>19</v>
      </c>
      <c r="AT325" s="187">
        <f t="shared" si="255"/>
        <v>13</v>
      </c>
      <c r="AU325" s="187">
        <f t="shared" si="256"/>
        <v>0</v>
      </c>
      <c r="AV325" s="187">
        <f t="shared" si="257"/>
        <v>0</v>
      </c>
      <c r="AW325" s="187">
        <f t="shared" si="258"/>
        <v>0</v>
      </c>
      <c r="AX325" s="187">
        <f t="shared" si="259"/>
        <v>0</v>
      </c>
      <c r="AY325" s="187">
        <f t="shared" si="260"/>
        <v>2</v>
      </c>
      <c r="AZ325" s="187">
        <f t="shared" si="261"/>
        <v>0</v>
      </c>
      <c r="BA325" s="187">
        <f t="shared" si="262"/>
        <v>16</v>
      </c>
      <c r="BB325" s="187">
        <f t="shared" si="263"/>
        <v>13</v>
      </c>
      <c r="BC325" s="187">
        <f t="shared" si="264"/>
        <v>10</v>
      </c>
      <c r="BD325" s="187">
        <f t="shared" si="265"/>
        <v>0</v>
      </c>
      <c r="BE325" s="187">
        <f t="shared" si="266"/>
        <v>0</v>
      </c>
      <c r="BF325" s="187">
        <f t="shared" si="267"/>
        <v>0</v>
      </c>
      <c r="BG325" s="187">
        <f t="shared" si="268"/>
        <v>0</v>
      </c>
      <c r="BH325" s="187">
        <f t="shared" si="269"/>
        <v>0</v>
      </c>
      <c r="BI325" s="187">
        <f t="shared" si="270"/>
        <v>0</v>
      </c>
      <c r="BJ325" s="273">
        <f t="shared" si="271"/>
        <v>100</v>
      </c>
      <c r="BK325" s="167">
        <f t="shared" ref="BK325:BK326" si="329">BJ325</f>
        <v>100</v>
      </c>
      <c r="BL325" s="167"/>
      <c r="BM325" s="644"/>
      <c r="BN325" s="644"/>
      <c r="BO325" s="644"/>
      <c r="BP325" s="644"/>
      <c r="BQ325" s="644"/>
      <c r="BR325" s="644"/>
      <c r="BS325" s="644"/>
      <c r="BT325" s="644"/>
      <c r="BU325" s="644"/>
      <c r="BV325" s="644"/>
      <c r="BW325" s="644"/>
      <c r="BX325" s="644"/>
      <c r="BY325" s="644"/>
      <c r="BZ325" s="644"/>
      <c r="CA325" s="644"/>
      <c r="CB325" s="644"/>
      <c r="CC325" s="644"/>
      <c r="CD325" s="644"/>
      <c r="CE325" s="644"/>
      <c r="CF325" s="644"/>
      <c r="CG325" s="644"/>
      <c r="CH325" s="644"/>
      <c r="CI325" s="644"/>
      <c r="CJ325" s="301" t="s">
        <v>743</v>
      </c>
      <c r="CK325" s="343"/>
      <c r="CL325" s="343"/>
    </row>
    <row r="326" spans="1:90" s="344" customFormat="1">
      <c r="A326" s="374" t="s">
        <v>361</v>
      </c>
      <c r="B326" s="189"/>
      <c r="C326" s="189"/>
      <c r="D326" s="189">
        <v>1</v>
      </c>
      <c r="E326" s="189"/>
      <c r="F326" s="189"/>
      <c r="G326" s="189"/>
      <c r="H326" s="189"/>
      <c r="I326" s="189"/>
      <c r="J326" s="189"/>
      <c r="K326" s="189"/>
      <c r="L326" s="189">
        <v>1</v>
      </c>
      <c r="M326" s="189"/>
      <c r="N326" s="189"/>
      <c r="O326" s="189">
        <v>1</v>
      </c>
      <c r="P326" s="189"/>
      <c r="Q326" s="189"/>
      <c r="R326" s="189"/>
      <c r="S326" s="189">
        <v>1</v>
      </c>
      <c r="T326" s="189"/>
      <c r="U326" s="189"/>
      <c r="V326" s="189"/>
      <c r="W326" s="189">
        <v>1</v>
      </c>
      <c r="X326" s="189"/>
      <c r="Y326" s="189"/>
      <c r="Z326" s="189"/>
      <c r="AA326" s="189"/>
      <c r="AB326" s="189"/>
      <c r="AC326" s="189"/>
      <c r="AD326" s="189"/>
      <c r="AE326" s="189"/>
      <c r="AF326" s="189"/>
      <c r="AG326" s="189"/>
      <c r="AH326" s="196">
        <v>5</v>
      </c>
      <c r="AI326" s="191" t="s">
        <v>1008</v>
      </c>
      <c r="AJ326" s="192">
        <v>42375</v>
      </c>
      <c r="AK326" s="187"/>
      <c r="AL326" s="187">
        <f t="shared" si="247"/>
        <v>0</v>
      </c>
      <c r="AM326" s="187">
        <f t="shared" si="248"/>
        <v>13</v>
      </c>
      <c r="AN326" s="187">
        <f t="shared" si="249"/>
        <v>0</v>
      </c>
      <c r="AO326" s="187">
        <f t="shared" si="250"/>
        <v>0</v>
      </c>
      <c r="AP326" s="187">
        <f t="shared" si="251"/>
        <v>0</v>
      </c>
      <c r="AQ326" s="187">
        <f t="shared" si="252"/>
        <v>0</v>
      </c>
      <c r="AR326" s="187">
        <f t="shared" si="253"/>
        <v>0</v>
      </c>
      <c r="AS326" s="187">
        <f t="shared" si="254"/>
        <v>19</v>
      </c>
      <c r="AT326" s="187">
        <f t="shared" si="255"/>
        <v>13</v>
      </c>
      <c r="AU326" s="187">
        <f t="shared" si="256"/>
        <v>0</v>
      </c>
      <c r="AV326" s="187">
        <f t="shared" si="257"/>
        <v>0</v>
      </c>
      <c r="AW326" s="187">
        <f t="shared" si="258"/>
        <v>8</v>
      </c>
      <c r="AX326" s="187">
        <f t="shared" si="259"/>
        <v>0</v>
      </c>
      <c r="AY326" s="187">
        <f t="shared" si="260"/>
        <v>0</v>
      </c>
      <c r="AZ326" s="187">
        <f t="shared" si="261"/>
        <v>0</v>
      </c>
      <c r="BA326" s="187">
        <f t="shared" si="262"/>
        <v>16</v>
      </c>
      <c r="BB326" s="187">
        <f t="shared" si="263"/>
        <v>0</v>
      </c>
      <c r="BC326" s="187">
        <f t="shared" si="264"/>
        <v>0</v>
      </c>
      <c r="BD326" s="187">
        <f t="shared" si="265"/>
        <v>0</v>
      </c>
      <c r="BE326" s="187">
        <f t="shared" si="266"/>
        <v>0</v>
      </c>
      <c r="BF326" s="187">
        <f t="shared" si="267"/>
        <v>0</v>
      </c>
      <c r="BG326" s="187">
        <f t="shared" si="268"/>
        <v>0</v>
      </c>
      <c r="BH326" s="187">
        <f t="shared" si="269"/>
        <v>0</v>
      </c>
      <c r="BI326" s="187">
        <f t="shared" si="270"/>
        <v>0</v>
      </c>
      <c r="BJ326" s="273">
        <f t="shared" si="271"/>
        <v>69</v>
      </c>
      <c r="BK326" s="167">
        <f t="shared" si="329"/>
        <v>69</v>
      </c>
      <c r="BL326" s="167"/>
      <c r="BM326" s="644"/>
      <c r="BN326" s="644"/>
      <c r="BO326" s="644"/>
      <c r="BP326" s="644"/>
      <c r="BQ326" s="644"/>
      <c r="BR326" s="644"/>
      <c r="BS326" s="644"/>
      <c r="BT326" s="644"/>
      <c r="BU326" s="644"/>
      <c r="BV326" s="644"/>
      <c r="BW326" s="644"/>
      <c r="BX326" s="644"/>
      <c r="BY326" s="644"/>
      <c r="BZ326" s="644"/>
      <c r="CA326" s="644"/>
      <c r="CB326" s="644"/>
      <c r="CC326" s="644"/>
      <c r="CD326" s="644"/>
      <c r="CE326" s="644"/>
      <c r="CF326" s="644"/>
      <c r="CG326" s="644"/>
      <c r="CH326" s="644"/>
      <c r="CI326" s="644"/>
      <c r="CJ326" s="301" t="s">
        <v>743</v>
      </c>
      <c r="CK326" s="343"/>
      <c r="CL326" s="343"/>
    </row>
    <row r="327" spans="1:90" s="344" customFormat="1">
      <c r="A327" s="374" t="s">
        <v>380</v>
      </c>
      <c r="B327" s="189"/>
      <c r="C327" s="189"/>
      <c r="D327" s="366">
        <v>1</v>
      </c>
      <c r="E327" s="189"/>
      <c r="F327" s="189"/>
      <c r="G327" s="189"/>
      <c r="H327" s="189"/>
      <c r="I327" s="189"/>
      <c r="J327" s="367"/>
      <c r="K327" s="189"/>
      <c r="L327" s="189">
        <v>1</v>
      </c>
      <c r="M327" s="189"/>
      <c r="N327" s="189"/>
      <c r="O327" s="189">
        <v>1</v>
      </c>
      <c r="P327" s="189"/>
      <c r="Q327" s="189"/>
      <c r="R327" s="189"/>
      <c r="S327" s="189">
        <v>1</v>
      </c>
      <c r="T327" s="189"/>
      <c r="U327" s="189"/>
      <c r="V327" s="189"/>
      <c r="W327" s="189">
        <v>1</v>
      </c>
      <c r="X327" s="189">
        <v>1</v>
      </c>
      <c r="Y327" s="366">
        <v>1</v>
      </c>
      <c r="Z327" s="189"/>
      <c r="AA327" s="189">
        <v>1</v>
      </c>
      <c r="AB327" s="189"/>
      <c r="AC327" s="189"/>
      <c r="AD327" s="189"/>
      <c r="AE327" s="189"/>
      <c r="AF327" s="189"/>
      <c r="AG327" s="189"/>
      <c r="AH327" s="196">
        <v>8</v>
      </c>
      <c r="AI327" s="191" t="s">
        <v>1008</v>
      </c>
      <c r="AJ327" s="192">
        <v>42375</v>
      </c>
      <c r="AK327" s="187"/>
      <c r="AL327" s="187">
        <f t="shared" si="247"/>
        <v>0</v>
      </c>
      <c r="AM327" s="187">
        <f t="shared" si="248"/>
        <v>13</v>
      </c>
      <c r="AN327" s="187">
        <f t="shared" si="249"/>
        <v>0</v>
      </c>
      <c r="AO327" s="187">
        <f t="shared" si="250"/>
        <v>0</v>
      </c>
      <c r="AP327" s="187">
        <f t="shared" si="251"/>
        <v>0</v>
      </c>
      <c r="AQ327" s="187">
        <f t="shared" si="252"/>
        <v>0</v>
      </c>
      <c r="AR327" s="187">
        <f t="shared" si="253"/>
        <v>0</v>
      </c>
      <c r="AS327" s="187">
        <f t="shared" si="254"/>
        <v>19</v>
      </c>
      <c r="AT327" s="187">
        <f t="shared" si="255"/>
        <v>13</v>
      </c>
      <c r="AU327" s="187">
        <f t="shared" si="256"/>
        <v>0</v>
      </c>
      <c r="AV327" s="187">
        <f t="shared" si="257"/>
        <v>0</v>
      </c>
      <c r="AW327" s="187">
        <f t="shared" si="258"/>
        <v>8</v>
      </c>
      <c r="AX327" s="187">
        <f t="shared" si="259"/>
        <v>0</v>
      </c>
      <c r="AY327" s="187">
        <f t="shared" si="260"/>
        <v>0</v>
      </c>
      <c r="AZ327" s="187">
        <f t="shared" si="261"/>
        <v>0</v>
      </c>
      <c r="BA327" s="187">
        <f t="shared" si="262"/>
        <v>16</v>
      </c>
      <c r="BB327" s="187">
        <f t="shared" si="263"/>
        <v>13</v>
      </c>
      <c r="BC327" s="187">
        <f t="shared" si="264"/>
        <v>10</v>
      </c>
      <c r="BD327" s="187">
        <f t="shared" si="265"/>
        <v>0</v>
      </c>
      <c r="BE327" s="187">
        <f t="shared" si="266"/>
        <v>6</v>
      </c>
      <c r="BF327" s="187">
        <f t="shared" si="267"/>
        <v>0</v>
      </c>
      <c r="BG327" s="187">
        <f t="shared" si="268"/>
        <v>0</v>
      </c>
      <c r="BH327" s="187">
        <f t="shared" si="269"/>
        <v>0</v>
      </c>
      <c r="BI327" s="187">
        <f t="shared" si="270"/>
        <v>0</v>
      </c>
      <c r="BJ327" s="273">
        <f t="shared" si="271"/>
        <v>98</v>
      </c>
      <c r="BK327" s="167">
        <f t="shared" ref="BK327" si="330">BJ327</f>
        <v>98</v>
      </c>
      <c r="BL327" s="167"/>
      <c r="BM327" s="644"/>
      <c r="BN327" s="644"/>
      <c r="BO327" s="644"/>
      <c r="BP327" s="644"/>
      <c r="BQ327" s="644"/>
      <c r="BR327" s="644"/>
      <c r="BS327" s="644"/>
      <c r="BT327" s="644"/>
      <c r="BU327" s="644"/>
      <c r="BV327" s="644"/>
      <c r="BW327" s="644"/>
      <c r="BX327" s="644"/>
      <c r="BY327" s="644"/>
      <c r="BZ327" s="644"/>
      <c r="CA327" s="644"/>
      <c r="CB327" s="644"/>
      <c r="CC327" s="644"/>
      <c r="CD327" s="644"/>
      <c r="CE327" s="644"/>
      <c r="CF327" s="644"/>
      <c r="CG327" s="644"/>
      <c r="CH327" s="644"/>
      <c r="CI327" s="644"/>
      <c r="CJ327" s="301" t="s">
        <v>743</v>
      </c>
      <c r="CK327" s="343"/>
      <c r="CL327" s="343"/>
    </row>
    <row r="328" spans="1:90" s="344" customFormat="1">
      <c r="A328" s="374" t="s">
        <v>689</v>
      </c>
      <c r="B328" s="189"/>
      <c r="C328" s="189"/>
      <c r="D328" s="189"/>
      <c r="E328" s="189"/>
      <c r="F328" s="189"/>
      <c r="G328" s="189"/>
      <c r="H328" s="189"/>
      <c r="I328" s="189"/>
      <c r="J328" s="189"/>
      <c r="K328" s="189"/>
      <c r="L328" s="189">
        <v>1</v>
      </c>
      <c r="M328" s="189"/>
      <c r="N328" s="189"/>
      <c r="O328" s="189">
        <v>1</v>
      </c>
      <c r="P328" s="189"/>
      <c r="Q328" s="189">
        <v>1</v>
      </c>
      <c r="R328" s="189"/>
      <c r="S328" s="189"/>
      <c r="T328" s="189"/>
      <c r="U328" s="189"/>
      <c r="V328" s="189"/>
      <c r="W328" s="189"/>
      <c r="X328" s="189"/>
      <c r="Y328" s="189"/>
      <c r="Z328" s="189"/>
      <c r="AA328" s="189">
        <v>1</v>
      </c>
      <c r="AB328" s="189"/>
      <c r="AC328" s="189"/>
      <c r="AD328" s="189"/>
      <c r="AE328" s="189"/>
      <c r="AF328" s="189"/>
      <c r="AG328" s="189"/>
      <c r="AH328" s="196">
        <v>4</v>
      </c>
      <c r="AI328" s="368" t="s">
        <v>955</v>
      </c>
      <c r="AJ328" s="192">
        <v>42375</v>
      </c>
      <c r="AK328" s="187"/>
      <c r="AL328" s="187">
        <f t="shared" si="247"/>
        <v>0</v>
      </c>
      <c r="AM328" s="187">
        <f t="shared" si="248"/>
        <v>0</v>
      </c>
      <c r="AN328" s="187">
        <f t="shared" si="249"/>
        <v>0</v>
      </c>
      <c r="AO328" s="187">
        <f t="shared" si="250"/>
        <v>0</v>
      </c>
      <c r="AP328" s="187">
        <f t="shared" si="251"/>
        <v>0</v>
      </c>
      <c r="AQ328" s="187">
        <f t="shared" si="252"/>
        <v>0</v>
      </c>
      <c r="AR328" s="187">
        <f t="shared" si="253"/>
        <v>0</v>
      </c>
      <c r="AS328" s="187">
        <f t="shared" si="254"/>
        <v>19</v>
      </c>
      <c r="AT328" s="187">
        <f t="shared" si="255"/>
        <v>13</v>
      </c>
      <c r="AU328" s="187">
        <f t="shared" si="256"/>
        <v>0</v>
      </c>
      <c r="AV328" s="187">
        <f t="shared" si="257"/>
        <v>3</v>
      </c>
      <c r="AW328" s="187">
        <f t="shared" si="258"/>
        <v>0</v>
      </c>
      <c r="AX328" s="187">
        <f t="shared" si="259"/>
        <v>0</v>
      </c>
      <c r="AY328" s="187">
        <f t="shared" si="260"/>
        <v>0</v>
      </c>
      <c r="AZ328" s="187">
        <f t="shared" si="261"/>
        <v>0</v>
      </c>
      <c r="BA328" s="187">
        <f t="shared" si="262"/>
        <v>0</v>
      </c>
      <c r="BB328" s="187">
        <f t="shared" si="263"/>
        <v>0</v>
      </c>
      <c r="BC328" s="187">
        <f t="shared" si="264"/>
        <v>0</v>
      </c>
      <c r="BD328" s="187">
        <f t="shared" si="265"/>
        <v>0</v>
      </c>
      <c r="BE328" s="187">
        <f t="shared" si="266"/>
        <v>6</v>
      </c>
      <c r="BF328" s="187">
        <f t="shared" si="267"/>
        <v>0</v>
      </c>
      <c r="BG328" s="187">
        <f t="shared" si="268"/>
        <v>0</v>
      </c>
      <c r="BH328" s="187">
        <f t="shared" si="269"/>
        <v>0</v>
      </c>
      <c r="BI328" s="187">
        <f t="shared" si="270"/>
        <v>0</v>
      </c>
      <c r="BJ328" s="273">
        <f t="shared" si="271"/>
        <v>41</v>
      </c>
      <c r="BK328" s="167">
        <f t="shared" ref="BK328" si="331">BJ328</f>
        <v>41</v>
      </c>
      <c r="BL328" s="339"/>
      <c r="BM328" s="182"/>
      <c r="BN328" s="182"/>
      <c r="BO328" s="182"/>
      <c r="BP328" s="182"/>
      <c r="BQ328" s="182"/>
      <c r="BR328" s="182"/>
      <c r="BS328" s="182"/>
      <c r="BT328" s="182"/>
      <c r="BU328" s="182"/>
      <c r="BV328" s="182"/>
      <c r="BW328" s="182"/>
      <c r="BX328" s="182"/>
      <c r="BY328" s="182"/>
      <c r="BZ328" s="182"/>
      <c r="CA328" s="182"/>
      <c r="CB328" s="182"/>
      <c r="CC328" s="182"/>
      <c r="CD328" s="182"/>
      <c r="CE328" s="182"/>
      <c r="CF328" s="182"/>
      <c r="CG328" s="182"/>
      <c r="CH328" s="182"/>
      <c r="CI328" s="182"/>
      <c r="CJ328" s="635" t="s">
        <v>768</v>
      </c>
      <c r="CK328" s="343"/>
      <c r="CL328" s="343"/>
    </row>
    <row r="329" spans="1:90" s="344" customFormat="1">
      <c r="A329" s="374" t="s">
        <v>1009</v>
      </c>
      <c r="B329" s="189"/>
      <c r="C329" s="189"/>
      <c r="D329" s="189"/>
      <c r="E329" s="189"/>
      <c r="F329" s="189"/>
      <c r="G329" s="189"/>
      <c r="H329" s="189"/>
      <c r="I329" s="189"/>
      <c r="J329" s="189"/>
      <c r="K329" s="189"/>
      <c r="L329" s="189">
        <v>1</v>
      </c>
      <c r="M329" s="189"/>
      <c r="N329" s="189"/>
      <c r="O329" s="189">
        <v>1</v>
      </c>
      <c r="P329" s="189"/>
      <c r="Q329" s="189"/>
      <c r="R329" s="189"/>
      <c r="S329" s="189"/>
      <c r="T329" s="189"/>
      <c r="U329" s="189"/>
      <c r="V329" s="189">
        <v>1</v>
      </c>
      <c r="W329" s="189"/>
      <c r="X329" s="189"/>
      <c r="Y329" s="189"/>
      <c r="Z329" s="189"/>
      <c r="AA329" s="189"/>
      <c r="AB329" s="189"/>
      <c r="AC329" s="189"/>
      <c r="AD329" s="189">
        <v>1</v>
      </c>
      <c r="AE329" s="189"/>
      <c r="AF329" s="189"/>
      <c r="AG329" s="189"/>
      <c r="AH329" s="196">
        <v>4</v>
      </c>
      <c r="AI329" s="368" t="s">
        <v>955</v>
      </c>
      <c r="AJ329" s="192">
        <v>42379</v>
      </c>
      <c r="AK329" s="187"/>
      <c r="AL329" s="187">
        <f t="shared" si="247"/>
        <v>0</v>
      </c>
      <c r="AM329" s="187">
        <f t="shared" si="248"/>
        <v>0</v>
      </c>
      <c r="AN329" s="187">
        <f t="shared" si="249"/>
        <v>0</v>
      </c>
      <c r="AO329" s="187">
        <f t="shared" si="250"/>
        <v>0</v>
      </c>
      <c r="AP329" s="187">
        <f t="shared" si="251"/>
        <v>0</v>
      </c>
      <c r="AQ329" s="187">
        <f t="shared" si="252"/>
        <v>0</v>
      </c>
      <c r="AR329" s="187">
        <f t="shared" si="253"/>
        <v>0</v>
      </c>
      <c r="AS329" s="187">
        <f t="shared" si="254"/>
        <v>19</v>
      </c>
      <c r="AT329" s="187">
        <f t="shared" si="255"/>
        <v>13</v>
      </c>
      <c r="AU329" s="187">
        <f t="shared" si="256"/>
        <v>0</v>
      </c>
      <c r="AV329" s="187">
        <f t="shared" si="257"/>
        <v>0</v>
      </c>
      <c r="AW329" s="187">
        <f t="shared" si="258"/>
        <v>0</v>
      </c>
      <c r="AX329" s="187">
        <f t="shared" si="259"/>
        <v>0</v>
      </c>
      <c r="AY329" s="187">
        <f t="shared" si="260"/>
        <v>0</v>
      </c>
      <c r="AZ329" s="187">
        <f t="shared" si="261"/>
        <v>8</v>
      </c>
      <c r="BA329" s="187">
        <f t="shared" si="262"/>
        <v>0</v>
      </c>
      <c r="BB329" s="187">
        <f t="shared" si="263"/>
        <v>0</v>
      </c>
      <c r="BC329" s="187">
        <f t="shared" si="264"/>
        <v>0</v>
      </c>
      <c r="BD329" s="187">
        <f t="shared" si="265"/>
        <v>0</v>
      </c>
      <c r="BE329" s="187">
        <f t="shared" si="266"/>
        <v>0</v>
      </c>
      <c r="BF329" s="187">
        <f t="shared" si="267"/>
        <v>0</v>
      </c>
      <c r="BG329" s="187">
        <f t="shared" si="268"/>
        <v>8</v>
      </c>
      <c r="BH329" s="187">
        <f t="shared" si="269"/>
        <v>0</v>
      </c>
      <c r="BI329" s="187">
        <f t="shared" si="270"/>
        <v>0</v>
      </c>
      <c r="BJ329" s="273">
        <f t="shared" si="271"/>
        <v>48</v>
      </c>
      <c r="BK329" s="167">
        <f t="shared" ref="BK329" si="332">BJ329</f>
        <v>48</v>
      </c>
      <c r="BL329" s="339"/>
      <c r="BM329" s="182"/>
      <c r="BN329" s="182"/>
      <c r="BO329" s="182"/>
      <c r="BP329" s="182"/>
      <c r="BQ329" s="182"/>
      <c r="BR329" s="182"/>
      <c r="BS329" s="182"/>
      <c r="BT329" s="182"/>
      <c r="BU329" s="182"/>
      <c r="BV329" s="182"/>
      <c r="BW329" s="182"/>
      <c r="BX329" s="182"/>
      <c r="BY329" s="182"/>
      <c r="BZ329" s="182"/>
      <c r="CA329" s="182"/>
      <c r="CB329" s="182"/>
      <c r="CC329" s="182"/>
      <c r="CD329" s="182"/>
      <c r="CE329" s="182"/>
      <c r="CF329" s="182"/>
      <c r="CG329" s="182"/>
      <c r="CH329" s="182"/>
      <c r="CI329" s="182"/>
      <c r="CJ329" s="635" t="s">
        <v>743</v>
      </c>
      <c r="CK329" s="343"/>
      <c r="CL329" s="343"/>
    </row>
    <row r="330" spans="1:90">
      <c r="A330" s="377" t="s">
        <v>1010</v>
      </c>
      <c r="B330" s="155"/>
      <c r="C330" s="155"/>
      <c r="D330" s="155">
        <v>1</v>
      </c>
      <c r="E330" s="155"/>
      <c r="F330" s="189"/>
      <c r="G330" s="189"/>
      <c r="H330" s="189"/>
      <c r="I330" s="189"/>
      <c r="J330" s="189"/>
      <c r="K330" s="189"/>
      <c r="L330" s="189">
        <v>1</v>
      </c>
      <c r="M330" s="189"/>
      <c r="N330" s="189"/>
      <c r="O330" s="189">
        <v>1</v>
      </c>
      <c r="P330" s="189"/>
      <c r="Q330" s="189"/>
      <c r="R330" s="189"/>
      <c r="S330" s="189"/>
      <c r="T330" s="189">
        <v>1</v>
      </c>
      <c r="U330" s="189"/>
      <c r="V330" s="189">
        <v>1</v>
      </c>
      <c r="W330" s="189">
        <v>1</v>
      </c>
      <c r="X330" s="189">
        <v>1</v>
      </c>
      <c r="Y330" s="189"/>
      <c r="Z330" s="189"/>
      <c r="AA330" s="189">
        <v>1</v>
      </c>
      <c r="AB330" s="189"/>
      <c r="AC330" s="189"/>
      <c r="AD330" s="189"/>
      <c r="AE330" s="189">
        <v>1</v>
      </c>
      <c r="AF330" s="189"/>
      <c r="AG330" s="189"/>
      <c r="AH330" s="196">
        <v>9</v>
      </c>
      <c r="AI330" s="191" t="s">
        <v>992</v>
      </c>
      <c r="AJ330" s="192">
        <v>42375</v>
      </c>
      <c r="AK330" s="187"/>
      <c r="AL330" s="187">
        <f t="shared" si="247"/>
        <v>0</v>
      </c>
      <c r="AM330" s="187">
        <f t="shared" si="248"/>
        <v>13</v>
      </c>
      <c r="AN330" s="187">
        <f t="shared" si="249"/>
        <v>0</v>
      </c>
      <c r="AO330" s="187">
        <f t="shared" si="250"/>
        <v>0</v>
      </c>
      <c r="AP330" s="187">
        <f t="shared" si="251"/>
        <v>0</v>
      </c>
      <c r="AQ330" s="187">
        <f t="shared" si="252"/>
        <v>0</v>
      </c>
      <c r="AR330" s="187">
        <f t="shared" si="253"/>
        <v>0</v>
      </c>
      <c r="AS330" s="187">
        <f t="shared" si="254"/>
        <v>19</v>
      </c>
      <c r="AT330" s="187">
        <f t="shared" si="255"/>
        <v>13</v>
      </c>
      <c r="AU330" s="187">
        <f t="shared" si="256"/>
        <v>0</v>
      </c>
      <c r="AV330" s="187">
        <f t="shared" si="257"/>
        <v>0</v>
      </c>
      <c r="AW330" s="187">
        <f t="shared" si="258"/>
        <v>0</v>
      </c>
      <c r="AX330" s="187">
        <f t="shared" si="259"/>
        <v>4</v>
      </c>
      <c r="AY330" s="187">
        <f t="shared" si="260"/>
        <v>0</v>
      </c>
      <c r="AZ330" s="187">
        <f t="shared" si="261"/>
        <v>8</v>
      </c>
      <c r="BA330" s="187">
        <f t="shared" si="262"/>
        <v>16</v>
      </c>
      <c r="BB330" s="187">
        <f t="shared" si="263"/>
        <v>13</v>
      </c>
      <c r="BC330" s="187">
        <f t="shared" si="264"/>
        <v>0</v>
      </c>
      <c r="BD330" s="187">
        <f t="shared" si="265"/>
        <v>0</v>
      </c>
      <c r="BE330" s="187">
        <f t="shared" si="266"/>
        <v>6</v>
      </c>
      <c r="BF330" s="187">
        <f t="shared" si="267"/>
        <v>0</v>
      </c>
      <c r="BG330" s="187">
        <f t="shared" si="268"/>
        <v>0</v>
      </c>
      <c r="BH330" s="187">
        <f t="shared" si="269"/>
        <v>2</v>
      </c>
      <c r="BI330" s="187">
        <f t="shared" si="270"/>
        <v>0</v>
      </c>
      <c r="BJ330" s="273">
        <f t="shared" si="271"/>
        <v>92</v>
      </c>
      <c r="BK330" s="167">
        <f t="shared" ref="BK330:BK331" si="333">BJ330</f>
        <v>92</v>
      </c>
      <c r="BL330" s="167"/>
      <c r="BM330" s="644"/>
      <c r="BN330" s="644"/>
      <c r="BO330" s="644"/>
      <c r="BP330" s="644"/>
      <c r="BQ330" s="644"/>
      <c r="BR330" s="644"/>
      <c r="BS330" s="644"/>
      <c r="BT330" s="644"/>
      <c r="BU330" s="644"/>
      <c r="BV330" s="644"/>
      <c r="BW330" s="644"/>
      <c r="BX330" s="644"/>
      <c r="BY330" s="644"/>
      <c r="BZ330" s="644"/>
      <c r="CA330" s="644"/>
      <c r="CB330" s="644"/>
      <c r="CC330" s="644"/>
      <c r="CD330" s="644"/>
      <c r="CE330" s="644"/>
      <c r="CF330" s="644"/>
      <c r="CG330" s="644"/>
      <c r="CH330" s="644"/>
      <c r="CI330" s="644"/>
      <c r="CJ330" s="301" t="s">
        <v>993</v>
      </c>
      <c r="CK330" s="136"/>
      <c r="CL330" s="136"/>
    </row>
    <row r="331" spans="1:90">
      <c r="A331" s="376" t="s">
        <v>473</v>
      </c>
      <c r="B331" s="155"/>
      <c r="C331" s="155"/>
      <c r="D331" s="155"/>
      <c r="E331" s="155">
        <v>1</v>
      </c>
      <c r="F331" s="189"/>
      <c r="G331" s="189">
        <v>1</v>
      </c>
      <c r="H331" s="189"/>
      <c r="I331" s="189"/>
      <c r="J331" s="189"/>
      <c r="K331" s="189"/>
      <c r="L331" s="189">
        <v>1</v>
      </c>
      <c r="M331" s="189"/>
      <c r="N331" s="189"/>
      <c r="O331" s="189">
        <v>1</v>
      </c>
      <c r="P331" s="189"/>
      <c r="Q331" s="189"/>
      <c r="R331" s="189"/>
      <c r="S331" s="189"/>
      <c r="T331" s="189"/>
      <c r="U331" s="189">
        <v>1</v>
      </c>
      <c r="V331" s="189">
        <v>1</v>
      </c>
      <c r="W331" s="189">
        <v>1</v>
      </c>
      <c r="X331" s="366">
        <v>1</v>
      </c>
      <c r="Y331" s="189"/>
      <c r="Z331" s="189">
        <v>1</v>
      </c>
      <c r="AA331" s="189"/>
      <c r="AB331" s="189"/>
      <c r="AC331" s="189"/>
      <c r="AD331" s="366">
        <v>1</v>
      </c>
      <c r="AE331" s="189"/>
      <c r="AF331" s="189"/>
      <c r="AG331" s="189"/>
      <c r="AH331" s="196">
        <v>10</v>
      </c>
      <c r="AI331" s="368" t="s">
        <v>955</v>
      </c>
      <c r="AJ331" s="192">
        <v>42375</v>
      </c>
      <c r="AK331" s="187"/>
      <c r="AL331" s="187">
        <f t="shared" si="247"/>
        <v>0</v>
      </c>
      <c r="AM331" s="187">
        <f t="shared" si="248"/>
        <v>0</v>
      </c>
      <c r="AN331" s="187">
        <f t="shared" si="249"/>
        <v>8</v>
      </c>
      <c r="AO331" s="187">
        <f t="shared" si="250"/>
        <v>8</v>
      </c>
      <c r="AP331" s="187">
        <f t="shared" si="251"/>
        <v>0</v>
      </c>
      <c r="AQ331" s="187">
        <f t="shared" si="252"/>
        <v>0</v>
      </c>
      <c r="AR331" s="187">
        <f t="shared" si="253"/>
        <v>0</v>
      </c>
      <c r="AS331" s="187">
        <f t="shared" si="254"/>
        <v>19</v>
      </c>
      <c r="AT331" s="187">
        <f t="shared" si="255"/>
        <v>13</v>
      </c>
      <c r="AU331" s="187">
        <f t="shared" si="256"/>
        <v>0</v>
      </c>
      <c r="AV331" s="187">
        <f t="shared" si="257"/>
        <v>0</v>
      </c>
      <c r="AW331" s="187">
        <f t="shared" si="258"/>
        <v>0</v>
      </c>
      <c r="AX331" s="187">
        <f t="shared" si="259"/>
        <v>0</v>
      </c>
      <c r="AY331" s="187">
        <f t="shared" si="260"/>
        <v>2</v>
      </c>
      <c r="AZ331" s="187">
        <f t="shared" si="261"/>
        <v>8</v>
      </c>
      <c r="BA331" s="187">
        <f t="shared" si="262"/>
        <v>16</v>
      </c>
      <c r="BB331" s="187">
        <f t="shared" si="263"/>
        <v>13</v>
      </c>
      <c r="BC331" s="187">
        <f t="shared" si="264"/>
        <v>0</v>
      </c>
      <c r="BD331" s="187">
        <f t="shared" si="265"/>
        <v>2</v>
      </c>
      <c r="BE331" s="187">
        <f t="shared" si="266"/>
        <v>0</v>
      </c>
      <c r="BF331" s="187">
        <f t="shared" si="267"/>
        <v>0</v>
      </c>
      <c r="BG331" s="187">
        <f t="shared" si="268"/>
        <v>8</v>
      </c>
      <c r="BH331" s="187">
        <f t="shared" si="269"/>
        <v>0</v>
      </c>
      <c r="BI331" s="187">
        <f t="shared" si="270"/>
        <v>0</v>
      </c>
      <c r="BJ331" s="273">
        <f t="shared" si="271"/>
        <v>93</v>
      </c>
      <c r="BK331" s="167">
        <f t="shared" si="333"/>
        <v>93</v>
      </c>
      <c r="BL331" s="167"/>
      <c r="BM331" s="644"/>
      <c r="BN331" s="644"/>
      <c r="BO331" s="644"/>
      <c r="BP331" s="644"/>
      <c r="BQ331" s="644"/>
      <c r="BR331" s="644"/>
      <c r="BS331" s="644"/>
      <c r="BT331" s="644"/>
      <c r="BU331" s="644"/>
      <c r="BV331" s="644"/>
      <c r="BW331" s="644"/>
      <c r="BX331" s="644"/>
      <c r="BY331" s="644"/>
      <c r="BZ331" s="644"/>
      <c r="CA331" s="644"/>
      <c r="CB331" s="644"/>
      <c r="CC331" s="644"/>
      <c r="CD331" s="644"/>
      <c r="CE331" s="644"/>
      <c r="CF331" s="644"/>
      <c r="CG331" s="644"/>
      <c r="CH331" s="644"/>
      <c r="CI331" s="644"/>
      <c r="CJ331" s="301" t="s">
        <v>743</v>
      </c>
      <c r="CK331" s="136"/>
      <c r="CL331" s="136"/>
    </row>
    <row r="332" spans="1:90">
      <c r="A332" s="376" t="s">
        <v>1011</v>
      </c>
      <c r="B332" s="155"/>
      <c r="C332" s="155"/>
      <c r="D332" s="155"/>
      <c r="E332" s="155"/>
      <c r="F332" s="189"/>
      <c r="G332" s="189"/>
      <c r="H332" s="189"/>
      <c r="I332" s="189"/>
      <c r="J332" s="189"/>
      <c r="K332" s="189"/>
      <c r="L332" s="189">
        <v>1</v>
      </c>
      <c r="M332" s="189"/>
      <c r="N332" s="189"/>
      <c r="O332" s="189"/>
      <c r="P332" s="189"/>
      <c r="Q332" s="189"/>
      <c r="R332" s="189"/>
      <c r="S332" s="189">
        <v>1</v>
      </c>
      <c r="T332" s="189"/>
      <c r="U332" s="189"/>
      <c r="V332" s="189">
        <v>1</v>
      </c>
      <c r="W332" s="189"/>
      <c r="X332" s="189"/>
      <c r="Y332" s="366">
        <v>1</v>
      </c>
      <c r="Z332" s="189"/>
      <c r="AA332" s="189"/>
      <c r="AB332" s="189"/>
      <c r="AC332" s="189"/>
      <c r="AD332" s="189">
        <v>1</v>
      </c>
      <c r="AE332" s="189"/>
      <c r="AF332" s="189"/>
      <c r="AG332" s="189"/>
      <c r="AH332" s="196">
        <v>5</v>
      </c>
      <c r="AI332" s="368" t="s">
        <v>955</v>
      </c>
      <c r="AJ332" s="192">
        <v>42376</v>
      </c>
      <c r="AK332" s="187"/>
      <c r="AL332" s="187">
        <f t="shared" si="247"/>
        <v>0</v>
      </c>
      <c r="AM332" s="187">
        <f t="shared" si="248"/>
        <v>0</v>
      </c>
      <c r="AN332" s="187">
        <f t="shared" si="249"/>
        <v>0</v>
      </c>
      <c r="AO332" s="187">
        <f t="shared" si="250"/>
        <v>0</v>
      </c>
      <c r="AP332" s="187">
        <f t="shared" si="251"/>
        <v>0</v>
      </c>
      <c r="AQ332" s="187">
        <f t="shared" si="252"/>
        <v>0</v>
      </c>
      <c r="AR332" s="187">
        <f t="shared" si="253"/>
        <v>0</v>
      </c>
      <c r="AS332" s="187">
        <f t="shared" si="254"/>
        <v>19</v>
      </c>
      <c r="AT332" s="187">
        <f t="shared" si="255"/>
        <v>0</v>
      </c>
      <c r="AU332" s="187">
        <f t="shared" si="256"/>
        <v>0</v>
      </c>
      <c r="AV332" s="187">
        <f t="shared" si="257"/>
        <v>0</v>
      </c>
      <c r="AW332" s="187">
        <f t="shared" si="258"/>
        <v>8</v>
      </c>
      <c r="AX332" s="187">
        <f t="shared" si="259"/>
        <v>0</v>
      </c>
      <c r="AY332" s="187">
        <f t="shared" si="260"/>
        <v>0</v>
      </c>
      <c r="AZ332" s="187">
        <f t="shared" si="261"/>
        <v>8</v>
      </c>
      <c r="BA332" s="187">
        <f t="shared" si="262"/>
        <v>0</v>
      </c>
      <c r="BB332" s="187">
        <f t="shared" si="263"/>
        <v>0</v>
      </c>
      <c r="BC332" s="187">
        <f t="shared" si="264"/>
        <v>10</v>
      </c>
      <c r="BD332" s="187">
        <f t="shared" si="265"/>
        <v>0</v>
      </c>
      <c r="BE332" s="187">
        <f t="shared" si="266"/>
        <v>0</v>
      </c>
      <c r="BF332" s="187">
        <f t="shared" si="267"/>
        <v>0</v>
      </c>
      <c r="BG332" s="187">
        <f t="shared" si="268"/>
        <v>8</v>
      </c>
      <c r="BH332" s="187">
        <f t="shared" si="269"/>
        <v>0</v>
      </c>
      <c r="BI332" s="187">
        <f t="shared" si="270"/>
        <v>0</v>
      </c>
      <c r="BJ332" s="273">
        <f t="shared" si="271"/>
        <v>53</v>
      </c>
      <c r="BK332" s="167">
        <f t="shared" ref="BK332" si="334">BJ332</f>
        <v>53</v>
      </c>
      <c r="BL332" s="167"/>
      <c r="BM332" s="644"/>
      <c r="BN332" s="644"/>
      <c r="BO332" s="644"/>
      <c r="BP332" s="644"/>
      <c r="BQ332" s="644"/>
      <c r="BR332" s="644"/>
      <c r="BS332" s="644"/>
      <c r="BT332" s="644"/>
      <c r="BU332" s="644"/>
      <c r="BV332" s="644"/>
      <c r="BW332" s="644"/>
      <c r="BX332" s="644"/>
      <c r="BY332" s="644"/>
      <c r="BZ332" s="644"/>
      <c r="CA332" s="644"/>
      <c r="CB332" s="644"/>
      <c r="CC332" s="644"/>
      <c r="CD332" s="644"/>
      <c r="CE332" s="644"/>
      <c r="CF332" s="644"/>
      <c r="CG332" s="644"/>
      <c r="CH332" s="644"/>
      <c r="CI332" s="644"/>
      <c r="CJ332" s="301" t="s">
        <v>814</v>
      </c>
      <c r="CK332" s="136"/>
      <c r="CL332" s="136"/>
    </row>
    <row r="333" spans="1:90">
      <c r="A333" s="376" t="s">
        <v>691</v>
      </c>
      <c r="B333" s="155"/>
      <c r="C333" s="155"/>
      <c r="D333" s="155">
        <v>1</v>
      </c>
      <c r="E333" s="189"/>
      <c r="F333" s="189"/>
      <c r="G333" s="189"/>
      <c r="H333" s="189"/>
      <c r="I333" s="189"/>
      <c r="J333" s="189"/>
      <c r="K333" s="189"/>
      <c r="L333" s="189">
        <v>1</v>
      </c>
      <c r="M333" s="189"/>
      <c r="N333" s="189"/>
      <c r="O333" s="189">
        <v>1</v>
      </c>
      <c r="P333" s="189"/>
      <c r="Q333" s="189"/>
      <c r="R333" s="189"/>
      <c r="S333" s="366">
        <v>1</v>
      </c>
      <c r="T333" s="189"/>
      <c r="U333" s="189"/>
      <c r="V333" s="189"/>
      <c r="W333" s="189">
        <v>1</v>
      </c>
      <c r="X333" s="189">
        <v>1</v>
      </c>
      <c r="Y333" s="189">
        <v>1</v>
      </c>
      <c r="Z333" s="367"/>
      <c r="AA333" s="189">
        <v>1</v>
      </c>
      <c r="AB333" s="189"/>
      <c r="AC333" s="189"/>
      <c r="AD333" s="366">
        <v>1</v>
      </c>
      <c r="AE333" s="189">
        <v>1</v>
      </c>
      <c r="AF333" s="189"/>
      <c r="AG333" s="189"/>
      <c r="AH333" s="196">
        <v>10</v>
      </c>
      <c r="AI333" s="368" t="s">
        <v>955</v>
      </c>
      <c r="AJ333" s="192">
        <v>42375</v>
      </c>
      <c r="AK333" s="187"/>
      <c r="AL333" s="187">
        <f t="shared" si="247"/>
        <v>0</v>
      </c>
      <c r="AM333" s="187">
        <f t="shared" si="248"/>
        <v>13</v>
      </c>
      <c r="AN333" s="187">
        <f t="shared" si="249"/>
        <v>0</v>
      </c>
      <c r="AO333" s="187">
        <f t="shared" si="250"/>
        <v>0</v>
      </c>
      <c r="AP333" s="187">
        <f t="shared" si="251"/>
        <v>0</v>
      </c>
      <c r="AQ333" s="187">
        <f t="shared" si="252"/>
        <v>0</v>
      </c>
      <c r="AR333" s="187">
        <f t="shared" si="253"/>
        <v>0</v>
      </c>
      <c r="AS333" s="187">
        <f t="shared" si="254"/>
        <v>19</v>
      </c>
      <c r="AT333" s="187">
        <f t="shared" si="255"/>
        <v>13</v>
      </c>
      <c r="AU333" s="187">
        <f t="shared" si="256"/>
        <v>0</v>
      </c>
      <c r="AV333" s="187">
        <f t="shared" si="257"/>
        <v>0</v>
      </c>
      <c r="AW333" s="187">
        <f t="shared" si="258"/>
        <v>8</v>
      </c>
      <c r="AX333" s="187">
        <f t="shared" si="259"/>
        <v>0</v>
      </c>
      <c r="AY333" s="187">
        <f t="shared" si="260"/>
        <v>0</v>
      </c>
      <c r="AZ333" s="187">
        <f t="shared" si="261"/>
        <v>0</v>
      </c>
      <c r="BA333" s="187">
        <f t="shared" si="262"/>
        <v>16</v>
      </c>
      <c r="BB333" s="187">
        <f t="shared" si="263"/>
        <v>13</v>
      </c>
      <c r="BC333" s="187">
        <f t="shared" si="264"/>
        <v>10</v>
      </c>
      <c r="BD333" s="187">
        <f t="shared" si="265"/>
        <v>0</v>
      </c>
      <c r="BE333" s="187">
        <f t="shared" si="266"/>
        <v>6</v>
      </c>
      <c r="BF333" s="187">
        <f t="shared" si="267"/>
        <v>0</v>
      </c>
      <c r="BG333" s="187">
        <f t="shared" si="268"/>
        <v>8</v>
      </c>
      <c r="BH333" s="187">
        <f t="shared" si="269"/>
        <v>2</v>
      </c>
      <c r="BI333" s="187">
        <f t="shared" si="270"/>
        <v>0</v>
      </c>
      <c r="BJ333" s="273">
        <f t="shared" si="271"/>
        <v>100</v>
      </c>
      <c r="BK333" s="167">
        <f t="shared" ref="BK333" si="335">BJ333</f>
        <v>100</v>
      </c>
      <c r="BL333" s="167"/>
      <c r="BM333" s="644"/>
      <c r="BN333" s="644"/>
      <c r="BO333" s="644"/>
      <c r="BP333" s="644"/>
      <c r="BQ333" s="644"/>
      <c r="BR333" s="644"/>
      <c r="BS333" s="644"/>
      <c r="BT333" s="644"/>
      <c r="BU333" s="644"/>
      <c r="BV333" s="644"/>
      <c r="BW333" s="644"/>
      <c r="BX333" s="644"/>
      <c r="BY333" s="644"/>
      <c r="BZ333" s="644"/>
      <c r="CA333" s="644"/>
      <c r="CB333" s="644"/>
      <c r="CC333" s="644"/>
      <c r="CD333" s="644"/>
      <c r="CE333" s="644"/>
      <c r="CF333" s="644"/>
      <c r="CG333" s="644"/>
      <c r="CH333" s="644"/>
      <c r="CI333" s="644"/>
      <c r="CJ333" s="301" t="s">
        <v>743</v>
      </c>
      <c r="CK333" s="136"/>
      <c r="CL333" s="136"/>
    </row>
    <row r="334" spans="1:90" ht="12.75" customHeight="1">
      <c r="A334" s="178" t="s">
        <v>475</v>
      </c>
      <c r="B334" s="155"/>
      <c r="C334" s="155"/>
      <c r="D334" s="155">
        <v>1</v>
      </c>
      <c r="E334" s="155"/>
      <c r="F334" s="189"/>
      <c r="G334" s="189"/>
      <c r="H334" s="189"/>
      <c r="I334" s="189"/>
      <c r="J334" s="189"/>
      <c r="K334" s="189"/>
      <c r="L334" s="189">
        <v>1</v>
      </c>
      <c r="M334" s="189"/>
      <c r="N334" s="189"/>
      <c r="O334" s="189">
        <v>1</v>
      </c>
      <c r="P334" s="189"/>
      <c r="Q334" s="189"/>
      <c r="R334" s="189"/>
      <c r="S334" s="189">
        <v>1</v>
      </c>
      <c r="T334" s="189"/>
      <c r="U334" s="189"/>
      <c r="V334" s="189"/>
      <c r="W334" s="189">
        <v>1</v>
      </c>
      <c r="X334" s="189">
        <v>1</v>
      </c>
      <c r="Y334" s="189">
        <v>1</v>
      </c>
      <c r="Z334" s="189"/>
      <c r="AA334" s="189"/>
      <c r="AB334" s="189"/>
      <c r="AC334" s="189"/>
      <c r="AD334" s="189"/>
      <c r="AE334" s="189">
        <v>1</v>
      </c>
      <c r="AF334" s="189">
        <v>1</v>
      </c>
      <c r="AG334" s="189"/>
      <c r="AH334" s="196">
        <v>9</v>
      </c>
      <c r="AI334" s="191" t="s">
        <v>1012</v>
      </c>
      <c r="AJ334" s="192">
        <v>42375</v>
      </c>
      <c r="AK334" s="187"/>
      <c r="AL334" s="187">
        <f t="shared" si="247"/>
        <v>0</v>
      </c>
      <c r="AM334" s="187">
        <f t="shared" si="248"/>
        <v>13</v>
      </c>
      <c r="AN334" s="187">
        <f t="shared" si="249"/>
        <v>0</v>
      </c>
      <c r="AO334" s="187">
        <f t="shared" si="250"/>
        <v>0</v>
      </c>
      <c r="AP334" s="187">
        <f t="shared" si="251"/>
        <v>0</v>
      </c>
      <c r="AQ334" s="187">
        <f t="shared" si="252"/>
        <v>0</v>
      </c>
      <c r="AR334" s="187">
        <f t="shared" si="253"/>
        <v>0</v>
      </c>
      <c r="AS334" s="187">
        <f t="shared" si="254"/>
        <v>19</v>
      </c>
      <c r="AT334" s="187">
        <f t="shared" si="255"/>
        <v>13</v>
      </c>
      <c r="AU334" s="187">
        <f t="shared" si="256"/>
        <v>0</v>
      </c>
      <c r="AV334" s="187">
        <f t="shared" si="257"/>
        <v>0</v>
      </c>
      <c r="AW334" s="187">
        <f t="shared" si="258"/>
        <v>8</v>
      </c>
      <c r="AX334" s="187">
        <f t="shared" si="259"/>
        <v>0</v>
      </c>
      <c r="AY334" s="187">
        <f t="shared" si="260"/>
        <v>0</v>
      </c>
      <c r="AZ334" s="187">
        <f t="shared" si="261"/>
        <v>0</v>
      </c>
      <c r="BA334" s="187">
        <f t="shared" si="262"/>
        <v>16</v>
      </c>
      <c r="BB334" s="187">
        <f t="shared" si="263"/>
        <v>13</v>
      </c>
      <c r="BC334" s="187">
        <f t="shared" si="264"/>
        <v>10</v>
      </c>
      <c r="BD334" s="187">
        <f t="shared" si="265"/>
        <v>0</v>
      </c>
      <c r="BE334" s="187">
        <f t="shared" si="266"/>
        <v>0</v>
      </c>
      <c r="BF334" s="187">
        <f t="shared" si="267"/>
        <v>0</v>
      </c>
      <c r="BG334" s="187">
        <f t="shared" si="268"/>
        <v>0</v>
      </c>
      <c r="BH334" s="187">
        <f t="shared" si="269"/>
        <v>2</v>
      </c>
      <c r="BI334" s="187">
        <f t="shared" si="270"/>
        <v>3</v>
      </c>
      <c r="BJ334" s="273">
        <f t="shared" si="271"/>
        <v>95</v>
      </c>
      <c r="BK334" s="167">
        <f t="shared" ref="BK334" si="336">BJ334</f>
        <v>95</v>
      </c>
      <c r="BL334" s="167"/>
      <c r="BM334" s="644"/>
      <c r="BN334" s="644"/>
      <c r="BO334" s="644"/>
      <c r="BP334" s="644"/>
      <c r="BQ334" s="644"/>
      <c r="BR334" s="644"/>
      <c r="BS334" s="644"/>
      <c r="BT334" s="644"/>
      <c r="BU334" s="644"/>
      <c r="BV334" s="644"/>
      <c r="BW334" s="644"/>
      <c r="BX334" s="644"/>
      <c r="BY334" s="644"/>
      <c r="BZ334" s="644"/>
      <c r="CA334" s="644"/>
      <c r="CB334" s="644"/>
      <c r="CC334" s="644"/>
      <c r="CD334" s="644"/>
      <c r="CE334" s="644"/>
      <c r="CF334" s="644"/>
      <c r="CG334" s="644"/>
      <c r="CH334" s="644"/>
      <c r="CI334" s="644"/>
      <c r="CJ334" s="301" t="s">
        <v>749</v>
      </c>
      <c r="CK334" s="136"/>
      <c r="CL334" s="136"/>
    </row>
    <row r="335" spans="1:90" ht="12.75" customHeight="1">
      <c r="A335" s="616"/>
      <c r="B335" s="136"/>
      <c r="C335" s="136"/>
      <c r="D335" s="136"/>
      <c r="E335" s="136"/>
      <c r="F335" s="136"/>
      <c r="G335" s="136"/>
      <c r="H335" s="136"/>
      <c r="I335" s="136"/>
      <c r="J335" s="136"/>
      <c r="K335" s="136"/>
      <c r="L335" s="136"/>
      <c r="M335" s="136"/>
      <c r="N335" s="136"/>
      <c r="O335" s="136"/>
      <c r="P335" s="136"/>
      <c r="Q335" s="136"/>
      <c r="R335" s="136"/>
      <c r="S335" s="136"/>
      <c r="T335" s="136"/>
      <c r="U335" s="136"/>
      <c r="V335" s="136"/>
      <c r="W335" s="136"/>
      <c r="X335" s="136"/>
      <c r="Y335" s="136"/>
      <c r="Z335" s="136"/>
      <c r="AA335" s="136"/>
      <c r="AB335" s="136"/>
      <c r="AC335" s="136"/>
      <c r="AD335" s="136"/>
      <c r="AE335" s="136"/>
      <c r="AF335" s="136"/>
      <c r="AG335" s="136"/>
      <c r="AH335" s="136"/>
      <c r="AI335" s="136"/>
      <c r="AJ335" s="136"/>
      <c r="AK335" s="136"/>
      <c r="AL335" s="136"/>
      <c r="AM335" s="136"/>
      <c r="AN335" s="136"/>
      <c r="AO335" s="136"/>
      <c r="AP335" s="136"/>
      <c r="AQ335" s="136"/>
      <c r="AR335" s="136"/>
      <c r="AS335" s="136"/>
      <c r="AT335" s="136"/>
      <c r="AU335" s="136"/>
      <c r="AV335" s="136"/>
      <c r="AW335" s="136"/>
      <c r="AX335" s="136"/>
      <c r="AY335" s="136"/>
      <c r="AZ335" s="136"/>
      <c r="BA335" s="136"/>
      <c r="BB335" s="136"/>
      <c r="BC335" s="136"/>
      <c r="BD335" s="136"/>
      <c r="BE335" s="136"/>
      <c r="BF335" s="136"/>
      <c r="BG335" s="136"/>
      <c r="BH335" s="136"/>
      <c r="BI335" s="136"/>
      <c r="BJ335" s="136"/>
      <c r="BK335" s="136"/>
      <c r="BL335" s="136"/>
      <c r="BM335" s="136"/>
      <c r="BN335" s="136"/>
      <c r="BO335" s="136"/>
      <c r="BP335" s="136"/>
      <c r="BQ335" s="136"/>
      <c r="BR335" s="136"/>
      <c r="BS335" s="136"/>
      <c r="BT335" s="136"/>
      <c r="BU335" s="136"/>
      <c r="BV335" s="136"/>
      <c r="BW335" s="136"/>
      <c r="BX335" s="136"/>
      <c r="BY335" s="136"/>
      <c r="BZ335" s="136"/>
      <c r="CA335" s="136"/>
      <c r="CB335" s="136"/>
      <c r="CC335" s="136"/>
      <c r="CD335" s="136"/>
      <c r="CE335" s="136"/>
      <c r="CF335" s="136"/>
      <c r="CG335" s="136"/>
      <c r="CH335" s="136"/>
      <c r="CI335" s="136"/>
      <c r="CJ335" s="136"/>
      <c r="CK335" s="136"/>
      <c r="CL335" s="136"/>
    </row>
    <row r="336" spans="1:90" ht="12.75" customHeight="1">
      <c r="A336" s="616"/>
      <c r="B336" s="136"/>
      <c r="C336" s="136"/>
      <c r="D336" s="136"/>
      <c r="E336" s="136"/>
      <c r="F336" s="136"/>
      <c r="G336" s="136"/>
      <c r="H336" s="136"/>
      <c r="I336" s="136"/>
      <c r="J336" s="136"/>
      <c r="K336" s="136"/>
      <c r="L336" s="136"/>
      <c r="M336" s="136"/>
      <c r="N336" s="136"/>
      <c r="O336" s="136"/>
      <c r="P336" s="136"/>
      <c r="Q336" s="136"/>
      <c r="R336" s="136"/>
      <c r="S336" s="136"/>
      <c r="T336" s="136"/>
      <c r="U336" s="136"/>
      <c r="V336" s="136"/>
      <c r="W336" s="136"/>
      <c r="X336" s="136"/>
      <c r="Y336" s="136"/>
      <c r="Z336" s="136"/>
      <c r="AA336" s="136"/>
      <c r="AB336" s="136"/>
      <c r="AC336" s="136"/>
      <c r="AD336" s="136"/>
      <c r="AE336" s="136"/>
      <c r="AF336" s="136"/>
      <c r="AG336" s="136"/>
      <c r="AH336" s="136"/>
      <c r="AI336" s="136"/>
      <c r="AJ336" s="136"/>
      <c r="AK336" s="136"/>
      <c r="AL336" s="136"/>
      <c r="AM336" s="136"/>
      <c r="AN336" s="136"/>
      <c r="AO336" s="136"/>
      <c r="AP336" s="136"/>
      <c r="AQ336" s="136"/>
      <c r="AR336" s="136"/>
      <c r="AS336" s="136"/>
      <c r="AT336" s="136"/>
      <c r="AU336" s="136"/>
      <c r="AV336" s="136"/>
      <c r="AW336" s="136"/>
      <c r="AX336" s="136"/>
      <c r="AY336" s="136"/>
      <c r="AZ336" s="136"/>
      <c r="BA336" s="136"/>
      <c r="BB336" s="136"/>
      <c r="BC336" s="136"/>
      <c r="BD336" s="136"/>
      <c r="BE336" s="136"/>
      <c r="BF336" s="136"/>
      <c r="BG336" s="136"/>
      <c r="BH336" s="136"/>
      <c r="BI336" s="136"/>
      <c r="BJ336" s="136"/>
      <c r="BK336" s="136"/>
      <c r="BL336" s="136"/>
      <c r="BM336" s="136"/>
      <c r="BN336" s="136"/>
      <c r="BO336" s="136"/>
      <c r="BP336" s="136"/>
      <c r="BQ336" s="136"/>
      <c r="BR336" s="136"/>
      <c r="BS336" s="136"/>
      <c r="BT336" s="136"/>
      <c r="BU336" s="136"/>
      <c r="BV336" s="136"/>
      <c r="BW336" s="136"/>
      <c r="BX336" s="136"/>
      <c r="BY336" s="136"/>
      <c r="BZ336" s="136"/>
      <c r="CA336" s="136"/>
      <c r="CB336" s="136"/>
      <c r="CC336" s="136"/>
      <c r="CD336" s="136"/>
      <c r="CE336" s="136"/>
      <c r="CF336" s="136"/>
      <c r="CG336" s="136"/>
      <c r="CH336" s="136"/>
      <c r="CI336" s="136"/>
      <c r="CJ336" s="136"/>
      <c r="CK336" s="136"/>
      <c r="CL336" s="136"/>
    </row>
    <row r="337" spans="1:90" ht="12.75" customHeight="1">
      <c r="A337" s="616"/>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6"/>
      <c r="BO337" s="136"/>
      <c r="BP337" s="136"/>
      <c r="BQ337" s="136"/>
      <c r="BR337" s="136"/>
      <c r="BS337" s="136"/>
      <c r="BT337" s="136"/>
      <c r="BU337" s="136"/>
      <c r="BV337" s="136"/>
      <c r="BW337" s="136"/>
      <c r="BX337" s="136"/>
      <c r="BY337" s="136"/>
      <c r="BZ337" s="136"/>
      <c r="CA337" s="136"/>
      <c r="CB337" s="136"/>
      <c r="CC337" s="136"/>
      <c r="CD337" s="136"/>
      <c r="CE337" s="136"/>
      <c r="CF337" s="136"/>
      <c r="CG337" s="136"/>
      <c r="CH337" s="136"/>
      <c r="CI337" s="136"/>
      <c r="CJ337" s="136"/>
      <c r="CK337" s="136"/>
      <c r="CL337" s="136"/>
    </row>
    <row r="338" spans="1:90" ht="12.75" customHeight="1">
      <c r="A338" s="616"/>
      <c r="B338" s="136"/>
      <c r="C338" s="136"/>
      <c r="D338" s="136"/>
      <c r="E338" s="136"/>
      <c r="F338" s="136"/>
      <c r="G338" s="136"/>
      <c r="H338" s="136"/>
      <c r="I338" s="136"/>
      <c r="J338" s="136"/>
      <c r="K338" s="136"/>
      <c r="L338" s="136"/>
      <c r="M338" s="136"/>
      <c r="N338" s="136"/>
      <c r="O338" s="136"/>
      <c r="P338" s="136"/>
      <c r="Q338" s="136"/>
      <c r="R338" s="136"/>
      <c r="S338" s="136"/>
      <c r="T338" s="136"/>
      <c r="U338" s="136"/>
      <c r="V338" s="136"/>
      <c r="W338" s="136"/>
      <c r="X338" s="136"/>
      <c r="Y338" s="136"/>
      <c r="Z338" s="136"/>
      <c r="AA338" s="136"/>
      <c r="AB338" s="136"/>
      <c r="AC338" s="136"/>
      <c r="AD338" s="136"/>
      <c r="AE338" s="136"/>
      <c r="AF338" s="136"/>
      <c r="AG338" s="136"/>
      <c r="AH338" s="136"/>
      <c r="AI338" s="136"/>
      <c r="AJ338" s="136"/>
      <c r="AK338" s="136"/>
      <c r="AL338" s="136"/>
      <c r="AM338" s="136"/>
      <c r="AN338" s="136"/>
      <c r="AO338" s="136"/>
      <c r="AP338" s="136"/>
      <c r="AQ338" s="136"/>
      <c r="AR338" s="136"/>
      <c r="AS338" s="136"/>
      <c r="AT338" s="136"/>
      <c r="AU338" s="136"/>
      <c r="AV338" s="136"/>
      <c r="AW338" s="136"/>
      <c r="AX338" s="136"/>
      <c r="AY338" s="136"/>
      <c r="AZ338" s="136"/>
      <c r="BA338" s="136"/>
      <c r="BB338" s="136"/>
      <c r="BC338" s="136"/>
      <c r="BD338" s="136"/>
      <c r="BE338" s="136"/>
      <c r="BF338" s="136"/>
      <c r="BG338" s="136"/>
      <c r="BH338" s="136"/>
      <c r="BI338" s="136"/>
      <c r="BJ338" s="136"/>
      <c r="BK338" s="136"/>
      <c r="BL338" s="136"/>
      <c r="BM338" s="136"/>
      <c r="BN338" s="136"/>
      <c r="BO338" s="136"/>
      <c r="BP338" s="136"/>
      <c r="BQ338" s="136"/>
      <c r="BR338" s="136"/>
      <c r="BS338" s="136"/>
      <c r="BT338" s="136"/>
      <c r="BU338" s="136"/>
      <c r="BV338" s="136"/>
      <c r="BW338" s="136"/>
      <c r="BX338" s="136"/>
      <c r="BY338" s="136"/>
      <c r="BZ338" s="136"/>
      <c r="CA338" s="136"/>
      <c r="CB338" s="136"/>
      <c r="CC338" s="136"/>
      <c r="CD338" s="136"/>
      <c r="CE338" s="136"/>
      <c r="CF338" s="136"/>
      <c r="CG338" s="136"/>
      <c r="CH338" s="136"/>
      <c r="CI338" s="136"/>
      <c r="CJ338" s="136"/>
      <c r="CK338" s="136"/>
      <c r="CL338" s="136"/>
    </row>
    <row r="339" spans="1:90" ht="12.75" customHeight="1">
      <c r="A339" s="616"/>
      <c r="B339" s="136"/>
      <c r="C339" s="136"/>
      <c r="D339" s="136"/>
      <c r="E339" s="136"/>
      <c r="F339" s="136"/>
      <c r="G339" s="136"/>
      <c r="H339" s="136"/>
      <c r="I339" s="136"/>
      <c r="J339" s="136"/>
      <c r="K339" s="136"/>
      <c r="L339" s="136"/>
      <c r="M339" s="136"/>
      <c r="N339" s="136"/>
      <c r="O339" s="136"/>
      <c r="P339" s="136"/>
      <c r="Q339" s="136"/>
      <c r="R339" s="136"/>
      <c r="S339" s="136"/>
      <c r="T339" s="136"/>
      <c r="U339" s="136"/>
      <c r="V339" s="136"/>
      <c r="W339" s="136"/>
      <c r="X339" s="136"/>
      <c r="Y339" s="136"/>
      <c r="Z339" s="136"/>
      <c r="AA339" s="136"/>
      <c r="AB339" s="136"/>
      <c r="AC339" s="136"/>
      <c r="AD339" s="136"/>
      <c r="AE339" s="136"/>
      <c r="AF339" s="136"/>
      <c r="AG339" s="136"/>
      <c r="AH339" s="136"/>
      <c r="AI339" s="136"/>
      <c r="AJ339" s="136"/>
      <c r="AK339" s="136"/>
      <c r="AL339" s="136"/>
      <c r="AM339" s="136"/>
      <c r="AN339" s="136"/>
      <c r="AO339" s="136"/>
      <c r="AP339" s="136"/>
      <c r="AQ339" s="136"/>
      <c r="AR339" s="136"/>
      <c r="AS339" s="136"/>
      <c r="AT339" s="136"/>
      <c r="AU339" s="136"/>
      <c r="AV339" s="136"/>
      <c r="AW339" s="136"/>
      <c r="AX339" s="136"/>
      <c r="AY339" s="136"/>
      <c r="AZ339" s="136"/>
      <c r="BA339" s="136"/>
      <c r="BB339" s="136"/>
      <c r="BC339" s="136"/>
      <c r="BD339" s="136"/>
      <c r="BE339" s="136"/>
      <c r="BF339" s="136"/>
      <c r="BG339" s="136"/>
      <c r="BH339" s="136"/>
      <c r="BI339" s="136"/>
      <c r="BJ339" s="136"/>
      <c r="BK339" s="136"/>
      <c r="BL339" s="136"/>
      <c r="BM339" s="136"/>
      <c r="BN339" s="136"/>
      <c r="BO339" s="136"/>
      <c r="BP339" s="136"/>
      <c r="BQ339" s="136"/>
      <c r="BR339" s="136"/>
      <c r="BS339" s="136"/>
      <c r="BT339" s="136"/>
      <c r="BU339" s="136"/>
      <c r="BV339" s="136"/>
      <c r="BW339" s="136"/>
      <c r="BX339" s="136"/>
      <c r="BY339" s="136"/>
      <c r="BZ339" s="136"/>
      <c r="CA339" s="136"/>
      <c r="CB339" s="136"/>
      <c r="CC339" s="136"/>
      <c r="CD339" s="136"/>
      <c r="CE339" s="136"/>
      <c r="CF339" s="136"/>
      <c r="CG339" s="136"/>
      <c r="CH339" s="136"/>
      <c r="CI339" s="136"/>
      <c r="CJ339" s="136"/>
      <c r="CK339" s="136"/>
      <c r="CL339" s="136"/>
    </row>
    <row r="340" spans="1:90" ht="12.75" customHeight="1">
      <c r="A340" s="136"/>
      <c r="B340" s="136"/>
      <c r="C340" s="136"/>
      <c r="D340" s="772" t="s">
        <v>1013</v>
      </c>
      <c r="E340" s="772"/>
      <c r="F340" s="772"/>
      <c r="G340" s="772"/>
      <c r="H340" s="772"/>
      <c r="I340" s="772"/>
      <c r="J340" s="772"/>
      <c r="K340" s="772"/>
      <c r="L340" s="772"/>
      <c r="M340" s="772"/>
      <c r="N340" s="772"/>
      <c r="O340" s="772"/>
      <c r="P340" s="772"/>
      <c r="Q340" s="772"/>
      <c r="R340" s="772"/>
      <c r="S340" s="772"/>
      <c r="T340" s="772"/>
      <c r="U340" s="772"/>
      <c r="V340" s="772"/>
      <c r="W340" s="772"/>
      <c r="X340" s="772"/>
      <c r="Y340" s="772"/>
      <c r="Z340" s="772"/>
      <c r="AA340" s="772"/>
      <c r="AB340" s="772"/>
      <c r="AC340" s="772"/>
      <c r="AD340" s="772"/>
      <c r="AE340" s="772"/>
      <c r="AF340" s="772"/>
      <c r="AG340" s="631"/>
      <c r="AH340" s="136"/>
      <c r="AI340" s="136"/>
      <c r="AJ340" s="136"/>
      <c r="AK340" s="136"/>
      <c r="AL340" s="136"/>
      <c r="AM340" s="136"/>
      <c r="AN340" s="136"/>
      <c r="AO340" s="136"/>
      <c r="AP340" s="136"/>
      <c r="AQ340" s="136"/>
      <c r="AR340" s="136"/>
      <c r="AS340" s="136"/>
      <c r="AT340" s="136"/>
      <c r="AU340" s="136"/>
      <c r="AV340" s="136"/>
      <c r="AW340" s="136"/>
      <c r="AX340" s="136"/>
      <c r="AY340" s="136"/>
      <c r="AZ340" s="136"/>
      <c r="BA340" s="136"/>
      <c r="BB340" s="136"/>
      <c r="BC340" s="136"/>
      <c r="BD340" s="136"/>
      <c r="BE340" s="136"/>
      <c r="BF340" s="136"/>
      <c r="BG340" s="136"/>
      <c r="BH340" s="136"/>
      <c r="BI340" s="136"/>
      <c r="BJ340" s="136"/>
      <c r="BK340" s="136"/>
      <c r="BL340" s="136"/>
      <c r="BM340" s="136"/>
      <c r="BN340" s="136"/>
      <c r="BO340" s="136"/>
      <c r="BP340" s="136"/>
      <c r="BQ340" s="136"/>
      <c r="BR340" s="136"/>
      <c r="BS340" s="136"/>
      <c r="BT340" s="136"/>
      <c r="BU340" s="136"/>
      <c r="BV340" s="136"/>
      <c r="BW340" s="136"/>
      <c r="BX340" s="136"/>
      <c r="BY340" s="136"/>
      <c r="BZ340" s="136"/>
      <c r="CA340" s="136"/>
      <c r="CB340" s="136"/>
      <c r="CC340" s="136"/>
      <c r="CD340" s="136"/>
      <c r="CE340" s="136"/>
      <c r="CF340" s="136"/>
      <c r="CG340" s="136"/>
      <c r="CH340" s="136"/>
      <c r="CI340" s="136"/>
      <c r="CJ340" s="136"/>
      <c r="CK340" s="136"/>
      <c r="CL340" s="136"/>
    </row>
    <row r="341" spans="1:90" ht="12.75" customHeight="1">
      <c r="A341" s="136"/>
      <c r="B341" s="136"/>
      <c r="C341" s="136"/>
      <c r="D341" s="772"/>
      <c r="E341" s="772"/>
      <c r="F341" s="772"/>
      <c r="G341" s="772"/>
      <c r="H341" s="772"/>
      <c r="I341" s="772"/>
      <c r="J341" s="772"/>
      <c r="K341" s="772"/>
      <c r="L341" s="772"/>
      <c r="M341" s="772"/>
      <c r="N341" s="772"/>
      <c r="O341" s="772"/>
      <c r="P341" s="772"/>
      <c r="Q341" s="772"/>
      <c r="R341" s="772"/>
      <c r="S341" s="772"/>
      <c r="T341" s="772"/>
      <c r="U341" s="772"/>
      <c r="V341" s="772"/>
      <c r="W341" s="772"/>
      <c r="X341" s="772"/>
      <c r="Y341" s="772"/>
      <c r="Z341" s="772"/>
      <c r="AA341" s="772"/>
      <c r="AB341" s="772"/>
      <c r="AC341" s="772"/>
      <c r="AD341" s="772"/>
      <c r="AE341" s="772"/>
      <c r="AF341" s="772"/>
      <c r="AG341" s="631"/>
      <c r="AH341" s="136"/>
      <c r="AI341" s="136"/>
      <c r="AJ341" s="136"/>
      <c r="AK341" s="136"/>
      <c r="AL341" s="136"/>
      <c r="AM341" s="136"/>
      <c r="AN341" s="136"/>
      <c r="AO341" s="136"/>
      <c r="AP341" s="136"/>
      <c r="AQ341" s="136"/>
      <c r="AR341" s="136"/>
      <c r="AS341" s="136"/>
      <c r="AT341" s="136"/>
      <c r="AU341" s="136"/>
      <c r="AV341" s="136"/>
      <c r="AW341" s="136"/>
      <c r="AX341" s="136"/>
      <c r="AY341" s="136"/>
      <c r="AZ341" s="136"/>
      <c r="BA341" s="136"/>
      <c r="BB341" s="136"/>
      <c r="BC341" s="136"/>
      <c r="BD341" s="136"/>
      <c r="BE341" s="136"/>
      <c r="BF341" s="136"/>
      <c r="BG341" s="136"/>
      <c r="BH341" s="136"/>
      <c r="BI341" s="136"/>
      <c r="BJ341" s="136"/>
      <c r="BK341" s="136"/>
      <c r="BL341" s="136"/>
      <c r="BM341" s="136"/>
      <c r="BN341" s="136"/>
      <c r="BO341" s="136"/>
      <c r="BP341" s="136"/>
      <c r="BQ341" s="136"/>
      <c r="BR341" s="136"/>
      <c r="BS341" s="136"/>
      <c r="BT341" s="136"/>
      <c r="BU341" s="136"/>
      <c r="BV341" s="136"/>
      <c r="BW341" s="136"/>
      <c r="BX341" s="136"/>
      <c r="BY341" s="136"/>
      <c r="BZ341" s="136"/>
      <c r="CA341" s="136"/>
      <c r="CB341" s="136"/>
      <c r="CC341" s="136"/>
      <c r="CD341" s="136"/>
      <c r="CE341" s="136"/>
      <c r="CF341" s="136"/>
      <c r="CG341" s="136"/>
      <c r="CH341" s="136"/>
      <c r="CI341" s="136"/>
      <c r="CJ341" s="136"/>
      <c r="CK341" s="136"/>
      <c r="CL341" s="136"/>
    </row>
    <row r="342" spans="1:90" ht="12.75" customHeight="1">
      <c r="D342" s="772"/>
      <c r="E342" s="772"/>
      <c r="F342" s="772"/>
      <c r="G342" s="772"/>
      <c r="H342" s="772"/>
      <c r="I342" s="772"/>
      <c r="J342" s="772"/>
      <c r="K342" s="772"/>
      <c r="L342" s="772"/>
      <c r="M342" s="772"/>
      <c r="N342" s="772"/>
      <c r="O342" s="772"/>
      <c r="P342" s="772"/>
      <c r="Q342" s="772"/>
      <c r="R342" s="772"/>
      <c r="S342" s="772"/>
      <c r="T342" s="772"/>
      <c r="U342" s="772"/>
      <c r="V342" s="772"/>
      <c r="W342" s="772"/>
      <c r="X342" s="772"/>
      <c r="Y342" s="772"/>
      <c r="Z342" s="772"/>
      <c r="AA342" s="772"/>
      <c r="AB342" s="772"/>
      <c r="AC342" s="772"/>
      <c r="AD342" s="772"/>
      <c r="AE342" s="772"/>
      <c r="AF342" s="772"/>
      <c r="AG342" s="631"/>
    </row>
    <row r="343" spans="1:90" ht="12.75" customHeight="1">
      <c r="D343" s="772"/>
      <c r="E343" s="772"/>
      <c r="F343" s="772"/>
      <c r="G343" s="772"/>
      <c r="H343" s="772"/>
      <c r="I343" s="772"/>
      <c r="J343" s="772"/>
      <c r="K343" s="772"/>
      <c r="L343" s="772"/>
      <c r="M343" s="772"/>
      <c r="N343" s="772"/>
      <c r="O343" s="772"/>
      <c r="P343" s="772"/>
      <c r="Q343" s="772"/>
      <c r="R343" s="772"/>
      <c r="S343" s="772"/>
      <c r="T343" s="772"/>
      <c r="U343" s="772"/>
      <c r="V343" s="772"/>
      <c r="W343" s="772"/>
      <c r="X343" s="772"/>
      <c r="Y343" s="772"/>
      <c r="Z343" s="772"/>
      <c r="AA343" s="772"/>
      <c r="AB343" s="772"/>
      <c r="AC343" s="772"/>
      <c r="AD343" s="772"/>
      <c r="AE343" s="772"/>
      <c r="AF343" s="772"/>
      <c r="AG343" s="631"/>
    </row>
    <row r="344" spans="1:90" ht="12.75" customHeight="1">
      <c r="D344" s="772"/>
      <c r="E344" s="772"/>
      <c r="F344" s="772"/>
      <c r="G344" s="772"/>
      <c r="H344" s="772"/>
      <c r="I344" s="772"/>
      <c r="J344" s="772"/>
      <c r="K344" s="772"/>
      <c r="L344" s="772"/>
      <c r="M344" s="772"/>
      <c r="N344" s="772"/>
      <c r="O344" s="772"/>
      <c r="P344" s="772"/>
      <c r="Q344" s="772"/>
      <c r="R344" s="772"/>
      <c r="S344" s="772"/>
      <c r="T344" s="772"/>
      <c r="U344" s="772"/>
      <c r="V344" s="772"/>
      <c r="W344" s="772"/>
      <c r="X344" s="772"/>
      <c r="Y344" s="772"/>
      <c r="Z344" s="772"/>
      <c r="AA344" s="772"/>
      <c r="AB344" s="772"/>
      <c r="AC344" s="772"/>
      <c r="AD344" s="772"/>
      <c r="AE344" s="772"/>
      <c r="AF344" s="772"/>
      <c r="AG344" s="631"/>
    </row>
    <row r="345" spans="1:90" ht="12.75" customHeight="1">
      <c r="D345" s="772"/>
      <c r="E345" s="772"/>
      <c r="F345" s="772"/>
      <c r="G345" s="772"/>
      <c r="H345" s="772"/>
      <c r="I345" s="772"/>
      <c r="J345" s="772"/>
      <c r="K345" s="772"/>
      <c r="L345" s="772"/>
      <c r="M345" s="772"/>
      <c r="N345" s="772"/>
      <c r="O345" s="772"/>
      <c r="P345" s="772"/>
      <c r="Q345" s="772"/>
      <c r="R345" s="772"/>
      <c r="S345" s="772"/>
      <c r="T345" s="772"/>
      <c r="U345" s="772"/>
      <c r="V345" s="772"/>
      <c r="W345" s="772"/>
      <c r="X345" s="772"/>
      <c r="Y345" s="772"/>
      <c r="Z345" s="772"/>
      <c r="AA345" s="772"/>
      <c r="AB345" s="772"/>
      <c r="AC345" s="772"/>
      <c r="AD345" s="772"/>
      <c r="AE345" s="772"/>
      <c r="AF345" s="772"/>
      <c r="AG345" s="631"/>
    </row>
    <row r="346" spans="1:90" ht="12.75" customHeight="1">
      <c r="D346" s="772"/>
      <c r="E346" s="772"/>
      <c r="F346" s="772"/>
      <c r="G346" s="772"/>
      <c r="H346" s="772"/>
      <c r="I346" s="772"/>
      <c r="J346" s="772"/>
      <c r="K346" s="772"/>
      <c r="L346" s="772"/>
      <c r="M346" s="772"/>
      <c r="N346" s="772"/>
      <c r="O346" s="772"/>
      <c r="P346" s="772"/>
      <c r="Q346" s="772"/>
      <c r="R346" s="772"/>
      <c r="S346" s="772"/>
      <c r="T346" s="772"/>
      <c r="U346" s="772"/>
      <c r="V346" s="772"/>
      <c r="W346" s="772"/>
      <c r="X346" s="772"/>
      <c r="Y346" s="772"/>
      <c r="Z346" s="772"/>
      <c r="AA346" s="772"/>
      <c r="AB346" s="772"/>
      <c r="AC346" s="772"/>
      <c r="AD346" s="772"/>
      <c r="AE346" s="772"/>
      <c r="AF346" s="772"/>
      <c r="AG346" s="631"/>
    </row>
    <row r="347" spans="1:90" ht="12.75" customHeight="1">
      <c r="D347" s="772"/>
      <c r="E347" s="772"/>
      <c r="F347" s="772"/>
      <c r="G347" s="772"/>
      <c r="H347" s="772"/>
      <c r="I347" s="772"/>
      <c r="J347" s="772"/>
      <c r="K347" s="772"/>
      <c r="L347" s="772"/>
      <c r="M347" s="772"/>
      <c r="N347" s="772"/>
      <c r="O347" s="772"/>
      <c r="P347" s="772"/>
      <c r="Q347" s="772"/>
      <c r="R347" s="772"/>
      <c r="S347" s="772"/>
      <c r="T347" s="772"/>
      <c r="U347" s="772"/>
      <c r="V347" s="772"/>
      <c r="W347" s="772"/>
      <c r="X347" s="772"/>
      <c r="Y347" s="772"/>
      <c r="Z347" s="772"/>
      <c r="AA347" s="772"/>
      <c r="AB347" s="772"/>
      <c r="AC347" s="772"/>
      <c r="AD347" s="772"/>
      <c r="AE347" s="772"/>
      <c r="AF347" s="772"/>
      <c r="AG347" s="631"/>
    </row>
    <row r="348" spans="1:90" ht="12.75" customHeight="1">
      <c r="D348" s="772"/>
      <c r="E348" s="772"/>
      <c r="F348" s="772"/>
      <c r="G348" s="772"/>
      <c r="H348" s="772"/>
      <c r="I348" s="772"/>
      <c r="J348" s="772"/>
      <c r="K348" s="772"/>
      <c r="L348" s="772"/>
      <c r="M348" s="772"/>
      <c r="N348" s="772"/>
      <c r="O348" s="772"/>
      <c r="P348" s="772"/>
      <c r="Q348" s="772"/>
      <c r="R348" s="772"/>
      <c r="S348" s="772"/>
      <c r="T348" s="772"/>
      <c r="U348" s="772"/>
      <c r="V348" s="772"/>
      <c r="W348" s="772"/>
      <c r="X348" s="772"/>
      <c r="Y348" s="772"/>
      <c r="Z348" s="772"/>
      <c r="AA348" s="772"/>
      <c r="AB348" s="772"/>
      <c r="AC348" s="772"/>
      <c r="AD348" s="772"/>
      <c r="AE348" s="772"/>
      <c r="AF348" s="772"/>
      <c r="AG348" s="631"/>
    </row>
    <row r="349" spans="1:90" ht="12.75" customHeight="1">
      <c r="D349" s="772"/>
      <c r="E349" s="772"/>
      <c r="F349" s="772"/>
      <c r="G349" s="772"/>
      <c r="H349" s="772"/>
      <c r="I349" s="772"/>
      <c r="J349" s="772"/>
      <c r="K349" s="772"/>
      <c r="L349" s="772"/>
      <c r="M349" s="772"/>
      <c r="N349" s="772"/>
      <c r="O349" s="772"/>
      <c r="P349" s="772"/>
      <c r="Q349" s="772"/>
      <c r="R349" s="772"/>
      <c r="S349" s="772"/>
      <c r="T349" s="772"/>
      <c r="U349" s="772"/>
      <c r="V349" s="772"/>
      <c r="W349" s="772"/>
      <c r="X349" s="772"/>
      <c r="Y349" s="772"/>
      <c r="Z349" s="772"/>
      <c r="AA349" s="772"/>
      <c r="AB349" s="772"/>
      <c r="AC349" s="772"/>
      <c r="AD349" s="772"/>
      <c r="AE349" s="772"/>
      <c r="AF349" s="772"/>
      <c r="AG349" s="631"/>
    </row>
    <row r="350" spans="1:90" ht="12.75" customHeight="1">
      <c r="D350" s="772"/>
      <c r="E350" s="772"/>
      <c r="F350" s="772"/>
      <c r="G350" s="772"/>
      <c r="H350" s="772"/>
      <c r="I350" s="772"/>
      <c r="J350" s="772"/>
      <c r="K350" s="772"/>
      <c r="L350" s="772"/>
      <c r="M350" s="772"/>
      <c r="N350" s="772"/>
      <c r="O350" s="772"/>
      <c r="P350" s="772"/>
      <c r="Q350" s="772"/>
      <c r="R350" s="772"/>
      <c r="S350" s="772"/>
      <c r="T350" s="772"/>
      <c r="U350" s="772"/>
      <c r="V350" s="772"/>
      <c r="W350" s="772"/>
      <c r="X350" s="772"/>
      <c r="Y350" s="772"/>
      <c r="Z350" s="772"/>
      <c r="AA350" s="772"/>
      <c r="AB350" s="772"/>
      <c r="AC350" s="772"/>
      <c r="AD350" s="772"/>
      <c r="AE350" s="772"/>
      <c r="AF350" s="772"/>
      <c r="AG350" s="631"/>
    </row>
    <row r="351" spans="1:90" ht="12.75" customHeight="1">
      <c r="D351" s="772"/>
      <c r="E351" s="772"/>
      <c r="F351" s="772"/>
      <c r="G351" s="772"/>
      <c r="H351" s="772"/>
      <c r="I351" s="772"/>
      <c r="J351" s="772"/>
      <c r="K351" s="772"/>
      <c r="L351" s="772"/>
      <c r="M351" s="772"/>
      <c r="N351" s="772"/>
      <c r="O351" s="772"/>
      <c r="P351" s="772"/>
      <c r="Q351" s="772"/>
      <c r="R351" s="772"/>
      <c r="S351" s="772"/>
      <c r="T351" s="772"/>
      <c r="U351" s="772"/>
      <c r="V351" s="772"/>
      <c r="W351" s="772"/>
      <c r="X351" s="772"/>
      <c r="Y351" s="772"/>
      <c r="Z351" s="772"/>
      <c r="AA351" s="772"/>
      <c r="AB351" s="772"/>
      <c r="AC351" s="772"/>
      <c r="AD351" s="772"/>
      <c r="AE351" s="772"/>
      <c r="AF351" s="772"/>
      <c r="AG351" s="631"/>
    </row>
    <row r="352" spans="1:90" ht="12.75" customHeight="1">
      <c r="D352" s="772"/>
      <c r="E352" s="772"/>
      <c r="F352" s="772"/>
      <c r="G352" s="772"/>
      <c r="H352" s="772"/>
      <c r="I352" s="772"/>
      <c r="J352" s="772"/>
      <c r="K352" s="772"/>
      <c r="L352" s="772"/>
      <c r="M352" s="772"/>
      <c r="N352" s="772"/>
      <c r="O352" s="772"/>
      <c r="P352" s="772"/>
      <c r="Q352" s="772"/>
      <c r="R352" s="772"/>
      <c r="S352" s="772"/>
      <c r="T352" s="772"/>
      <c r="U352" s="772"/>
      <c r="V352" s="772"/>
      <c r="W352" s="772"/>
      <c r="X352" s="772"/>
      <c r="Y352" s="772"/>
      <c r="Z352" s="772"/>
      <c r="AA352" s="772"/>
      <c r="AB352" s="772"/>
      <c r="AC352" s="772"/>
      <c r="AD352" s="772"/>
      <c r="AE352" s="772"/>
      <c r="AF352" s="772"/>
      <c r="AG352" s="631"/>
    </row>
    <row r="353" spans="4:33" ht="12.75" customHeight="1">
      <c r="D353" s="772"/>
      <c r="E353" s="772"/>
      <c r="F353" s="772"/>
      <c r="G353" s="772"/>
      <c r="H353" s="772"/>
      <c r="I353" s="772"/>
      <c r="J353" s="772"/>
      <c r="K353" s="772"/>
      <c r="L353" s="772"/>
      <c r="M353" s="772"/>
      <c r="N353" s="772"/>
      <c r="O353" s="772"/>
      <c r="P353" s="772"/>
      <c r="Q353" s="772"/>
      <c r="R353" s="772"/>
      <c r="S353" s="772"/>
      <c r="T353" s="772"/>
      <c r="U353" s="772"/>
      <c r="V353" s="772"/>
      <c r="W353" s="772"/>
      <c r="X353" s="772"/>
      <c r="Y353" s="772"/>
      <c r="Z353" s="772"/>
      <c r="AA353" s="772"/>
      <c r="AB353" s="772"/>
      <c r="AC353" s="772"/>
      <c r="AD353" s="772"/>
      <c r="AE353" s="772"/>
      <c r="AF353" s="772"/>
      <c r="AG353" s="631"/>
    </row>
    <row r="354" spans="4:33" ht="12.75" customHeight="1">
      <c r="D354" s="772"/>
      <c r="E354" s="772"/>
      <c r="F354" s="772"/>
      <c r="G354" s="772"/>
      <c r="H354" s="772"/>
      <c r="I354" s="772"/>
      <c r="J354" s="772"/>
      <c r="K354" s="772"/>
      <c r="L354" s="772"/>
      <c r="M354" s="772"/>
      <c r="N354" s="772"/>
      <c r="O354" s="772"/>
      <c r="P354" s="772"/>
      <c r="Q354" s="772"/>
      <c r="R354" s="772"/>
      <c r="S354" s="772"/>
      <c r="T354" s="772"/>
      <c r="U354" s="772"/>
      <c r="V354" s="772"/>
      <c r="W354" s="772"/>
      <c r="X354" s="772"/>
      <c r="Y354" s="772"/>
      <c r="Z354" s="772"/>
      <c r="AA354" s="772"/>
      <c r="AB354" s="772"/>
      <c r="AC354" s="772"/>
      <c r="AD354" s="772"/>
      <c r="AE354" s="772"/>
      <c r="AF354" s="772"/>
      <c r="AG354" s="631"/>
    </row>
    <row r="355" spans="4:33" ht="12.75" customHeight="1">
      <c r="D355" s="772"/>
      <c r="E355" s="772"/>
      <c r="F355" s="772"/>
      <c r="G355" s="772"/>
      <c r="H355" s="772"/>
      <c r="I355" s="772"/>
      <c r="J355" s="772"/>
      <c r="K355" s="772"/>
      <c r="L355" s="772"/>
      <c r="M355" s="772"/>
      <c r="N355" s="772"/>
      <c r="O355" s="772"/>
      <c r="P355" s="772"/>
      <c r="Q355" s="772"/>
      <c r="R355" s="772"/>
      <c r="S355" s="772"/>
      <c r="T355" s="772"/>
      <c r="U355" s="772"/>
      <c r="V355" s="772"/>
      <c r="W355" s="772"/>
      <c r="X355" s="772"/>
      <c r="Y355" s="772"/>
      <c r="Z355" s="772"/>
      <c r="AA355" s="772"/>
      <c r="AB355" s="772"/>
      <c r="AC355" s="772"/>
      <c r="AD355" s="772"/>
      <c r="AE355" s="772"/>
      <c r="AF355" s="772"/>
      <c r="AG355" s="631"/>
    </row>
    <row r="356" spans="4:33" ht="12.75" customHeight="1">
      <c r="D356" s="772"/>
      <c r="E356" s="772"/>
      <c r="F356" s="772"/>
      <c r="G356" s="772"/>
      <c r="H356" s="772"/>
      <c r="I356" s="772"/>
      <c r="J356" s="772"/>
      <c r="K356" s="772"/>
      <c r="L356" s="772"/>
      <c r="M356" s="772"/>
      <c r="N356" s="772"/>
      <c r="O356" s="772"/>
      <c r="P356" s="772"/>
      <c r="Q356" s="772"/>
      <c r="R356" s="772"/>
      <c r="S356" s="772"/>
      <c r="T356" s="772"/>
      <c r="U356" s="772"/>
      <c r="V356" s="772"/>
      <c r="W356" s="772"/>
      <c r="X356" s="772"/>
      <c r="Y356" s="772"/>
      <c r="Z356" s="772"/>
      <c r="AA356" s="772"/>
      <c r="AB356" s="772"/>
      <c r="AC356" s="772"/>
      <c r="AD356" s="772"/>
      <c r="AE356" s="772"/>
      <c r="AF356" s="772"/>
      <c r="AG356" s="631"/>
    </row>
    <row r="357" spans="4:33" ht="12.75" customHeight="1">
      <c r="D357" s="772"/>
      <c r="E357" s="772"/>
      <c r="F357" s="772"/>
      <c r="G357" s="772"/>
      <c r="H357" s="772"/>
      <c r="I357" s="772"/>
      <c r="J357" s="772"/>
      <c r="K357" s="772"/>
      <c r="L357" s="772"/>
      <c r="M357" s="772"/>
      <c r="N357" s="772"/>
      <c r="O357" s="772"/>
      <c r="P357" s="772"/>
      <c r="Q357" s="772"/>
      <c r="R357" s="772"/>
      <c r="S357" s="772"/>
      <c r="T357" s="772"/>
      <c r="U357" s="772"/>
      <c r="V357" s="772"/>
      <c r="W357" s="772"/>
      <c r="X357" s="772"/>
      <c r="Y357" s="772"/>
      <c r="Z357" s="772"/>
      <c r="AA357" s="772"/>
      <c r="AB357" s="772"/>
      <c r="AC357" s="772"/>
      <c r="AD357" s="772"/>
      <c r="AE357" s="772"/>
      <c r="AF357" s="772"/>
      <c r="AG357" s="631"/>
    </row>
    <row r="358" spans="4:33" ht="12.75" customHeight="1">
      <c r="D358" s="772"/>
      <c r="E358" s="772"/>
      <c r="F358" s="772"/>
      <c r="G358" s="772"/>
      <c r="H358" s="772"/>
      <c r="I358" s="772"/>
      <c r="J358" s="772"/>
      <c r="K358" s="772"/>
      <c r="L358" s="772"/>
      <c r="M358" s="772"/>
      <c r="N358" s="772"/>
      <c r="O358" s="772"/>
      <c r="P358" s="772"/>
      <c r="Q358" s="772"/>
      <c r="R358" s="772"/>
      <c r="S358" s="772"/>
      <c r="T358" s="772"/>
      <c r="U358" s="772"/>
      <c r="V358" s="772"/>
      <c r="W358" s="772"/>
      <c r="X358" s="772"/>
      <c r="Y358" s="772"/>
      <c r="Z358" s="772"/>
      <c r="AA358" s="772"/>
      <c r="AB358" s="772"/>
      <c r="AC358" s="772"/>
      <c r="AD358" s="772"/>
      <c r="AE358" s="772"/>
      <c r="AF358" s="772"/>
      <c r="AG358" s="631"/>
    </row>
    <row r="359" spans="4:33" ht="12.75" customHeight="1">
      <c r="D359" s="772"/>
      <c r="E359" s="772"/>
      <c r="F359" s="772"/>
      <c r="G359" s="772"/>
      <c r="H359" s="772"/>
      <c r="I359" s="772"/>
      <c r="J359" s="772"/>
      <c r="K359" s="772"/>
      <c r="L359" s="772"/>
      <c r="M359" s="772"/>
      <c r="N359" s="772"/>
      <c r="O359" s="772"/>
      <c r="P359" s="772"/>
      <c r="Q359" s="772"/>
      <c r="R359" s="772"/>
      <c r="S359" s="772"/>
      <c r="T359" s="772"/>
      <c r="U359" s="772"/>
      <c r="V359" s="772"/>
      <c r="W359" s="772"/>
      <c r="X359" s="772"/>
      <c r="Y359" s="772"/>
      <c r="Z359" s="772"/>
      <c r="AA359" s="772"/>
      <c r="AB359" s="772"/>
      <c r="AC359" s="772"/>
      <c r="AD359" s="772"/>
      <c r="AE359" s="772"/>
      <c r="AF359" s="772"/>
      <c r="AG359" s="631"/>
    </row>
    <row r="360" spans="4:33" ht="12.75" customHeight="1">
      <c r="D360" s="772"/>
      <c r="E360" s="772"/>
      <c r="F360" s="772"/>
      <c r="G360" s="772"/>
      <c r="H360" s="772"/>
      <c r="I360" s="772"/>
      <c r="J360" s="772"/>
      <c r="K360" s="772"/>
      <c r="L360" s="772"/>
      <c r="M360" s="772"/>
      <c r="N360" s="772"/>
      <c r="O360" s="772"/>
      <c r="P360" s="772"/>
      <c r="Q360" s="772"/>
      <c r="R360" s="772"/>
      <c r="S360" s="772"/>
      <c r="T360" s="772"/>
      <c r="U360" s="772"/>
      <c r="V360" s="772"/>
      <c r="W360" s="772"/>
      <c r="X360" s="772"/>
      <c r="Y360" s="772"/>
      <c r="Z360" s="772"/>
      <c r="AA360" s="772"/>
      <c r="AB360" s="772"/>
      <c r="AC360" s="772"/>
      <c r="AD360" s="772"/>
      <c r="AE360" s="772"/>
      <c r="AF360" s="772"/>
      <c r="AG360" s="631"/>
    </row>
    <row r="361" spans="4:33" ht="12.75" customHeight="1">
      <c r="D361" s="772"/>
      <c r="E361" s="772"/>
      <c r="F361" s="772"/>
      <c r="G361" s="772"/>
      <c r="H361" s="772"/>
      <c r="I361" s="772"/>
      <c r="J361" s="772"/>
      <c r="K361" s="772"/>
      <c r="L361" s="772"/>
      <c r="M361" s="772"/>
      <c r="N361" s="772"/>
      <c r="O361" s="772"/>
      <c r="P361" s="772"/>
      <c r="Q361" s="772"/>
      <c r="R361" s="772"/>
      <c r="S361" s="772"/>
      <c r="T361" s="772"/>
      <c r="U361" s="772"/>
      <c r="V361" s="772"/>
      <c r="W361" s="772"/>
      <c r="X361" s="772"/>
      <c r="Y361" s="772"/>
      <c r="Z361" s="772"/>
      <c r="AA361" s="772"/>
      <c r="AB361" s="772"/>
      <c r="AC361" s="772"/>
      <c r="AD361" s="772"/>
      <c r="AE361" s="772"/>
      <c r="AF361" s="772"/>
      <c r="AG361" s="631"/>
    </row>
    <row r="362" spans="4:33" ht="12.75" customHeight="1">
      <c r="D362" s="772"/>
      <c r="E362" s="772"/>
      <c r="F362" s="772"/>
      <c r="G362" s="772"/>
      <c r="H362" s="772"/>
      <c r="I362" s="772"/>
      <c r="J362" s="772"/>
      <c r="K362" s="772"/>
      <c r="L362" s="772"/>
      <c r="M362" s="772"/>
      <c r="N362" s="772"/>
      <c r="O362" s="772"/>
      <c r="P362" s="772"/>
      <c r="Q362" s="772"/>
      <c r="R362" s="772"/>
      <c r="S362" s="772"/>
      <c r="T362" s="772"/>
      <c r="U362" s="772"/>
      <c r="V362" s="772"/>
      <c r="W362" s="772"/>
      <c r="X362" s="772"/>
      <c r="Y362" s="772"/>
      <c r="Z362" s="772"/>
      <c r="AA362" s="772"/>
      <c r="AB362" s="772"/>
      <c r="AC362" s="772"/>
      <c r="AD362" s="772"/>
      <c r="AE362" s="772"/>
      <c r="AF362" s="772"/>
      <c r="AG362" s="631"/>
    </row>
    <row r="363" spans="4:33" ht="12.75" customHeight="1">
      <c r="D363" s="631"/>
      <c r="E363" s="631"/>
      <c r="F363" s="631"/>
      <c r="G363" s="631"/>
      <c r="H363" s="631"/>
      <c r="I363" s="631"/>
      <c r="J363" s="631"/>
      <c r="K363" s="631"/>
      <c r="L363" s="631"/>
      <c r="M363" s="631"/>
      <c r="N363" s="631"/>
      <c r="O363" s="631"/>
      <c r="P363" s="631"/>
      <c r="Q363" s="631"/>
      <c r="R363" s="631"/>
      <c r="S363" s="631"/>
      <c r="T363" s="631"/>
      <c r="U363" s="631"/>
      <c r="V363" s="631"/>
      <c r="W363" s="631"/>
      <c r="X363" s="631"/>
      <c r="Y363" s="631"/>
      <c r="Z363" s="631"/>
      <c r="AA363" s="631"/>
      <c r="AB363" s="631"/>
      <c r="AC363" s="631"/>
      <c r="AD363" s="631"/>
      <c r="AE363" s="631"/>
      <c r="AF363" s="631"/>
      <c r="AG363" s="631"/>
    </row>
    <row r="364" spans="4:33" ht="12.75" customHeight="1">
      <c r="D364" s="773" t="s">
        <v>1014</v>
      </c>
      <c r="E364" s="773"/>
      <c r="F364" s="773"/>
      <c r="G364" s="773"/>
      <c r="H364" s="773"/>
      <c r="I364" s="773"/>
      <c r="J364" s="773"/>
      <c r="K364" s="773"/>
      <c r="L364" s="773"/>
      <c r="M364" s="773"/>
      <c r="N364" s="773"/>
      <c r="O364" s="773"/>
      <c r="P364" s="773"/>
      <c r="Q364" s="773"/>
      <c r="R364" s="773"/>
      <c r="S364" s="773"/>
      <c r="T364" s="773"/>
      <c r="U364" s="773"/>
      <c r="V364" s="773"/>
      <c r="W364" s="773"/>
      <c r="X364" s="773"/>
      <c r="Y364" s="773"/>
      <c r="Z364" s="773"/>
      <c r="AA364" s="773"/>
      <c r="AB364" s="773"/>
      <c r="AC364" s="773"/>
      <c r="AD364" s="773"/>
      <c r="AE364" s="773"/>
      <c r="AF364" s="773"/>
      <c r="AG364" s="631"/>
    </row>
    <row r="365" spans="4:33" ht="12.75" customHeight="1">
      <c r="D365" s="773"/>
      <c r="E365" s="773"/>
      <c r="F365" s="773"/>
      <c r="G365" s="773"/>
      <c r="H365" s="773"/>
      <c r="I365" s="773"/>
      <c r="J365" s="773"/>
      <c r="K365" s="773"/>
      <c r="L365" s="773"/>
      <c r="M365" s="773"/>
      <c r="N365" s="773"/>
      <c r="O365" s="773"/>
      <c r="P365" s="773"/>
      <c r="Q365" s="773"/>
      <c r="R365" s="773"/>
      <c r="S365" s="773"/>
      <c r="T365" s="773"/>
      <c r="U365" s="773"/>
      <c r="V365" s="773"/>
      <c r="W365" s="773"/>
      <c r="X365" s="773"/>
      <c r="Y365" s="773"/>
      <c r="Z365" s="773"/>
      <c r="AA365" s="773"/>
      <c r="AB365" s="773"/>
      <c r="AC365" s="773"/>
      <c r="AD365" s="773"/>
      <c r="AE365" s="773"/>
      <c r="AF365" s="773"/>
      <c r="AG365" s="631"/>
    </row>
    <row r="366" spans="4:33" ht="12.75" customHeight="1">
      <c r="D366" s="773"/>
      <c r="E366" s="773"/>
      <c r="F366" s="773"/>
      <c r="G366" s="773"/>
      <c r="H366" s="773"/>
      <c r="I366" s="773"/>
      <c r="J366" s="773"/>
      <c r="K366" s="773"/>
      <c r="L366" s="773"/>
      <c r="M366" s="773"/>
      <c r="N366" s="773"/>
      <c r="O366" s="773"/>
      <c r="P366" s="773"/>
      <c r="Q366" s="773"/>
      <c r="R366" s="773"/>
      <c r="S366" s="773"/>
      <c r="T366" s="773"/>
      <c r="U366" s="773"/>
      <c r="V366" s="773"/>
      <c r="W366" s="773"/>
      <c r="X366" s="773"/>
      <c r="Y366" s="773"/>
      <c r="Z366" s="773"/>
      <c r="AA366" s="773"/>
      <c r="AB366" s="773"/>
      <c r="AC366" s="773"/>
      <c r="AD366" s="773"/>
      <c r="AE366" s="773"/>
      <c r="AF366" s="773"/>
      <c r="AG366" s="631"/>
    </row>
    <row r="367" spans="4:33" ht="12.75" customHeight="1">
      <c r="D367" s="773"/>
      <c r="E367" s="773"/>
      <c r="F367" s="773"/>
      <c r="G367" s="773"/>
      <c r="H367" s="773"/>
      <c r="I367" s="773"/>
      <c r="J367" s="773"/>
      <c r="K367" s="773"/>
      <c r="L367" s="773"/>
      <c r="M367" s="773"/>
      <c r="N367" s="773"/>
      <c r="O367" s="773"/>
      <c r="P367" s="773"/>
      <c r="Q367" s="773"/>
      <c r="R367" s="773"/>
      <c r="S367" s="773"/>
      <c r="T367" s="773"/>
      <c r="U367" s="773"/>
      <c r="V367" s="773"/>
      <c r="W367" s="773"/>
      <c r="X367" s="773"/>
      <c r="Y367" s="773"/>
      <c r="Z367" s="773"/>
      <c r="AA367" s="773"/>
      <c r="AB367" s="773"/>
      <c r="AC367" s="773"/>
      <c r="AD367" s="773"/>
      <c r="AE367" s="773"/>
      <c r="AF367" s="773"/>
      <c r="AG367" s="631"/>
    </row>
    <row r="368" spans="4:33" ht="12.75" customHeight="1">
      <c r="D368" s="773"/>
      <c r="E368" s="773"/>
      <c r="F368" s="773"/>
      <c r="G368" s="773"/>
      <c r="H368" s="773"/>
      <c r="I368" s="773"/>
      <c r="J368" s="773"/>
      <c r="K368" s="773"/>
      <c r="L368" s="773"/>
      <c r="M368" s="773"/>
      <c r="N368" s="773"/>
      <c r="O368" s="773"/>
      <c r="P368" s="773"/>
      <c r="Q368" s="773"/>
      <c r="R368" s="773"/>
      <c r="S368" s="773"/>
      <c r="T368" s="773"/>
      <c r="U368" s="773"/>
      <c r="V368" s="773"/>
      <c r="W368" s="773"/>
      <c r="X368" s="773"/>
      <c r="Y368" s="773"/>
      <c r="Z368" s="773"/>
      <c r="AA368" s="773"/>
      <c r="AB368" s="773"/>
      <c r="AC368" s="773"/>
      <c r="AD368" s="773"/>
      <c r="AE368" s="773"/>
      <c r="AF368" s="773"/>
      <c r="AG368" s="631"/>
    </row>
    <row r="369" spans="4:33" ht="12.75" customHeight="1">
      <c r="D369" s="773"/>
      <c r="E369" s="773"/>
      <c r="F369" s="773"/>
      <c r="G369" s="773"/>
      <c r="H369" s="773"/>
      <c r="I369" s="773"/>
      <c r="J369" s="773"/>
      <c r="K369" s="773"/>
      <c r="L369" s="773"/>
      <c r="M369" s="773"/>
      <c r="N369" s="773"/>
      <c r="O369" s="773"/>
      <c r="P369" s="773"/>
      <c r="Q369" s="773"/>
      <c r="R369" s="773"/>
      <c r="S369" s="773"/>
      <c r="T369" s="773"/>
      <c r="U369" s="773"/>
      <c r="V369" s="773"/>
      <c r="W369" s="773"/>
      <c r="X369" s="773"/>
      <c r="Y369" s="773"/>
      <c r="Z369" s="773"/>
      <c r="AA369" s="773"/>
      <c r="AB369" s="773"/>
      <c r="AC369" s="773"/>
      <c r="AD369" s="773"/>
      <c r="AE369" s="773"/>
      <c r="AF369" s="773"/>
      <c r="AG369" s="631"/>
    </row>
    <row r="370" spans="4:33" ht="12.75" customHeight="1">
      <c r="D370" s="773"/>
      <c r="E370" s="773"/>
      <c r="F370" s="773"/>
      <c r="G370" s="773"/>
      <c r="H370" s="773"/>
      <c r="I370" s="773"/>
      <c r="J370" s="773"/>
      <c r="K370" s="773"/>
      <c r="L370" s="773"/>
      <c r="M370" s="773"/>
      <c r="N370" s="773"/>
      <c r="O370" s="773"/>
      <c r="P370" s="773"/>
      <c r="Q370" s="773"/>
      <c r="R370" s="773"/>
      <c r="S370" s="773"/>
      <c r="T370" s="773"/>
      <c r="U370" s="773"/>
      <c r="V370" s="773"/>
      <c r="W370" s="773"/>
      <c r="X370" s="773"/>
      <c r="Y370" s="773"/>
      <c r="Z370" s="773"/>
      <c r="AA370" s="773"/>
      <c r="AB370" s="773"/>
      <c r="AC370" s="773"/>
      <c r="AD370" s="773"/>
      <c r="AE370" s="773"/>
      <c r="AF370" s="773"/>
      <c r="AG370" s="631"/>
    </row>
    <row r="371" spans="4:33" ht="12.75" customHeight="1">
      <c r="D371" s="773"/>
      <c r="E371" s="773"/>
      <c r="F371" s="773"/>
      <c r="G371" s="773"/>
      <c r="H371" s="773"/>
      <c r="I371" s="773"/>
      <c r="J371" s="773"/>
      <c r="K371" s="773"/>
      <c r="L371" s="773"/>
      <c r="M371" s="773"/>
      <c r="N371" s="773"/>
      <c r="O371" s="773"/>
      <c r="P371" s="773"/>
      <c r="Q371" s="773"/>
      <c r="R371" s="773"/>
      <c r="S371" s="773"/>
      <c r="T371" s="773"/>
      <c r="U371" s="773"/>
      <c r="V371" s="773"/>
      <c r="W371" s="773"/>
      <c r="X371" s="773"/>
      <c r="Y371" s="773"/>
      <c r="Z371" s="773"/>
      <c r="AA371" s="773"/>
      <c r="AB371" s="773"/>
      <c r="AC371" s="773"/>
      <c r="AD371" s="773"/>
      <c r="AE371" s="773"/>
      <c r="AF371" s="773"/>
      <c r="AG371" s="631"/>
    </row>
    <row r="372" spans="4:33" ht="12.75" customHeight="1">
      <c r="D372" s="773"/>
      <c r="E372" s="773"/>
      <c r="F372" s="773"/>
      <c r="G372" s="773"/>
      <c r="H372" s="773"/>
      <c r="I372" s="773"/>
      <c r="J372" s="773"/>
      <c r="K372" s="773"/>
      <c r="L372" s="773"/>
      <c r="M372" s="773"/>
      <c r="N372" s="773"/>
      <c r="O372" s="773"/>
      <c r="P372" s="773"/>
      <c r="Q372" s="773"/>
      <c r="R372" s="773"/>
      <c r="S372" s="773"/>
      <c r="T372" s="773"/>
      <c r="U372" s="773"/>
      <c r="V372" s="773"/>
      <c r="W372" s="773"/>
      <c r="X372" s="773"/>
      <c r="Y372" s="773"/>
      <c r="Z372" s="773"/>
      <c r="AA372" s="773"/>
      <c r="AB372" s="773"/>
      <c r="AC372" s="773"/>
      <c r="AD372" s="773"/>
      <c r="AE372" s="773"/>
      <c r="AF372" s="773"/>
      <c r="AG372" s="631"/>
    </row>
    <row r="373" spans="4:33" ht="12.75" customHeight="1">
      <c r="D373" s="773"/>
      <c r="E373" s="773"/>
      <c r="F373" s="773"/>
      <c r="G373" s="773"/>
      <c r="H373" s="773"/>
      <c r="I373" s="773"/>
      <c r="J373" s="773"/>
      <c r="K373" s="773"/>
      <c r="L373" s="773"/>
      <c r="M373" s="773"/>
      <c r="N373" s="773"/>
      <c r="O373" s="773"/>
      <c r="P373" s="773"/>
      <c r="Q373" s="773"/>
      <c r="R373" s="773"/>
      <c r="S373" s="773"/>
      <c r="T373" s="773"/>
      <c r="U373" s="773"/>
      <c r="V373" s="773"/>
      <c r="W373" s="773"/>
      <c r="X373" s="773"/>
      <c r="Y373" s="773"/>
      <c r="Z373" s="773"/>
      <c r="AA373" s="773"/>
      <c r="AB373" s="773"/>
      <c r="AC373" s="773"/>
      <c r="AD373" s="773"/>
      <c r="AE373" s="773"/>
      <c r="AF373" s="773"/>
      <c r="AG373" s="631"/>
    </row>
    <row r="374" spans="4:33" ht="12.75" customHeight="1">
      <c r="D374" s="773"/>
      <c r="E374" s="773"/>
      <c r="F374" s="773"/>
      <c r="G374" s="773"/>
      <c r="H374" s="773"/>
      <c r="I374" s="773"/>
      <c r="J374" s="773"/>
      <c r="K374" s="773"/>
      <c r="L374" s="773"/>
      <c r="M374" s="773"/>
      <c r="N374" s="773"/>
      <c r="O374" s="773"/>
      <c r="P374" s="773"/>
      <c r="Q374" s="773"/>
      <c r="R374" s="773"/>
      <c r="S374" s="773"/>
      <c r="T374" s="773"/>
      <c r="U374" s="773"/>
      <c r="V374" s="773"/>
      <c r="W374" s="773"/>
      <c r="X374" s="773"/>
      <c r="Y374" s="773"/>
      <c r="Z374" s="773"/>
      <c r="AA374" s="773"/>
      <c r="AB374" s="773"/>
      <c r="AC374" s="773"/>
      <c r="AD374" s="773"/>
      <c r="AE374" s="773"/>
      <c r="AF374" s="773"/>
      <c r="AG374" s="631"/>
    </row>
    <row r="375" spans="4:33" ht="12.75" customHeight="1">
      <c r="D375" s="773"/>
      <c r="E375" s="773"/>
      <c r="F375" s="773"/>
      <c r="G375" s="773"/>
      <c r="H375" s="773"/>
      <c r="I375" s="773"/>
      <c r="J375" s="773"/>
      <c r="K375" s="773"/>
      <c r="L375" s="773"/>
      <c r="M375" s="773"/>
      <c r="N375" s="773"/>
      <c r="O375" s="773"/>
      <c r="P375" s="773"/>
      <c r="Q375" s="773"/>
      <c r="R375" s="773"/>
      <c r="S375" s="773"/>
      <c r="T375" s="773"/>
      <c r="U375" s="773"/>
      <c r="V375" s="773"/>
      <c r="W375" s="773"/>
      <c r="X375" s="773"/>
      <c r="Y375" s="773"/>
      <c r="Z375" s="773"/>
      <c r="AA375" s="773"/>
      <c r="AB375" s="773"/>
      <c r="AC375" s="773"/>
      <c r="AD375" s="773"/>
      <c r="AE375" s="773"/>
      <c r="AF375" s="773"/>
      <c r="AG375" s="631"/>
    </row>
    <row r="376" spans="4:33" ht="12.75" customHeight="1">
      <c r="D376" s="773"/>
      <c r="E376" s="773"/>
      <c r="F376" s="773"/>
      <c r="G376" s="773"/>
      <c r="H376" s="773"/>
      <c r="I376" s="773"/>
      <c r="J376" s="773"/>
      <c r="K376" s="773"/>
      <c r="L376" s="773"/>
      <c r="M376" s="773"/>
      <c r="N376" s="773"/>
      <c r="O376" s="773"/>
      <c r="P376" s="773"/>
      <c r="Q376" s="773"/>
      <c r="R376" s="773"/>
      <c r="S376" s="773"/>
      <c r="T376" s="773"/>
      <c r="U376" s="773"/>
      <c r="V376" s="773"/>
      <c r="W376" s="773"/>
      <c r="X376" s="773"/>
      <c r="Y376" s="773"/>
      <c r="Z376" s="773"/>
      <c r="AA376" s="773"/>
      <c r="AB376" s="773"/>
      <c r="AC376" s="773"/>
      <c r="AD376" s="773"/>
      <c r="AE376" s="773"/>
      <c r="AF376" s="773"/>
      <c r="AG376" s="631"/>
    </row>
    <row r="377" spans="4:33" ht="12.75" customHeight="1">
      <c r="D377" s="773"/>
      <c r="E377" s="773"/>
      <c r="F377" s="773"/>
      <c r="G377" s="773"/>
      <c r="H377" s="773"/>
      <c r="I377" s="773"/>
      <c r="J377" s="773"/>
      <c r="K377" s="773"/>
      <c r="L377" s="773"/>
      <c r="M377" s="773"/>
      <c r="N377" s="773"/>
      <c r="O377" s="773"/>
      <c r="P377" s="773"/>
      <c r="Q377" s="773"/>
      <c r="R377" s="773"/>
      <c r="S377" s="773"/>
      <c r="T377" s="773"/>
      <c r="U377" s="773"/>
      <c r="V377" s="773"/>
      <c r="W377" s="773"/>
      <c r="X377" s="773"/>
      <c r="Y377" s="773"/>
      <c r="Z377" s="773"/>
      <c r="AA377" s="773"/>
      <c r="AB377" s="773"/>
      <c r="AC377" s="773"/>
      <c r="AD377" s="773"/>
      <c r="AE377" s="773"/>
      <c r="AF377" s="773"/>
      <c r="AG377" s="631"/>
    </row>
    <row r="378" spans="4:33" ht="12.75" customHeight="1">
      <c r="D378" s="773"/>
      <c r="E378" s="773"/>
      <c r="F378" s="773"/>
      <c r="G378" s="773"/>
      <c r="H378" s="773"/>
      <c r="I378" s="773"/>
      <c r="J378" s="773"/>
      <c r="K378" s="773"/>
      <c r="L378" s="773"/>
      <c r="M378" s="773"/>
      <c r="N378" s="773"/>
      <c r="O378" s="773"/>
      <c r="P378" s="773"/>
      <c r="Q378" s="773"/>
      <c r="R378" s="773"/>
      <c r="S378" s="773"/>
      <c r="T378" s="773"/>
      <c r="U378" s="773"/>
      <c r="V378" s="773"/>
      <c r="W378" s="773"/>
      <c r="X378" s="773"/>
      <c r="Y378" s="773"/>
      <c r="Z378" s="773"/>
      <c r="AA378" s="773"/>
      <c r="AB378" s="773"/>
      <c r="AC378" s="773"/>
      <c r="AD378" s="773"/>
      <c r="AE378" s="773"/>
      <c r="AF378" s="773"/>
      <c r="AG378" s="631"/>
    </row>
    <row r="379" spans="4:33" ht="12.75" customHeight="1">
      <c r="D379" s="773"/>
      <c r="E379" s="773"/>
      <c r="F379" s="773"/>
      <c r="G379" s="773"/>
      <c r="H379" s="773"/>
      <c r="I379" s="773"/>
      <c r="J379" s="773"/>
      <c r="K379" s="773"/>
      <c r="L379" s="773"/>
      <c r="M379" s="773"/>
      <c r="N379" s="773"/>
      <c r="O379" s="773"/>
      <c r="P379" s="773"/>
      <c r="Q379" s="773"/>
      <c r="R379" s="773"/>
      <c r="S379" s="773"/>
      <c r="T379" s="773"/>
      <c r="U379" s="773"/>
      <c r="V379" s="773"/>
      <c r="W379" s="773"/>
      <c r="X379" s="773"/>
      <c r="Y379" s="773"/>
      <c r="Z379" s="773"/>
      <c r="AA379" s="773"/>
      <c r="AB379" s="773"/>
      <c r="AC379" s="773"/>
      <c r="AD379" s="773"/>
      <c r="AE379" s="773"/>
      <c r="AF379" s="773"/>
      <c r="AG379" s="631"/>
    </row>
    <row r="380" spans="4:33" ht="12.75" customHeight="1">
      <c r="D380" s="773"/>
      <c r="E380" s="773"/>
      <c r="F380" s="773"/>
      <c r="G380" s="773"/>
      <c r="H380" s="773"/>
      <c r="I380" s="773"/>
      <c r="J380" s="773"/>
      <c r="K380" s="773"/>
      <c r="L380" s="773"/>
      <c r="M380" s="773"/>
      <c r="N380" s="773"/>
      <c r="O380" s="773"/>
      <c r="P380" s="773"/>
      <c r="Q380" s="773"/>
      <c r="R380" s="773"/>
      <c r="S380" s="773"/>
      <c r="T380" s="773"/>
      <c r="U380" s="773"/>
      <c r="V380" s="773"/>
      <c r="W380" s="773"/>
      <c r="X380" s="773"/>
      <c r="Y380" s="773"/>
      <c r="Z380" s="773"/>
      <c r="AA380" s="773"/>
      <c r="AB380" s="773"/>
      <c r="AC380" s="773"/>
      <c r="AD380" s="773"/>
      <c r="AE380" s="773"/>
      <c r="AF380" s="773"/>
      <c r="AG380" s="631"/>
    </row>
    <row r="381" spans="4:33" ht="12.75" customHeight="1">
      <c r="D381" s="773"/>
      <c r="E381" s="773"/>
      <c r="F381" s="773"/>
      <c r="G381" s="773"/>
      <c r="H381" s="773"/>
      <c r="I381" s="773"/>
      <c r="J381" s="773"/>
      <c r="K381" s="773"/>
      <c r="L381" s="773"/>
      <c r="M381" s="773"/>
      <c r="N381" s="773"/>
      <c r="O381" s="773"/>
      <c r="P381" s="773"/>
      <c r="Q381" s="773"/>
      <c r="R381" s="773"/>
      <c r="S381" s="773"/>
      <c r="T381" s="773"/>
      <c r="U381" s="773"/>
      <c r="V381" s="773"/>
      <c r="W381" s="773"/>
      <c r="X381" s="773"/>
      <c r="Y381" s="773"/>
      <c r="Z381" s="773"/>
      <c r="AA381" s="773"/>
      <c r="AB381" s="773"/>
      <c r="AC381" s="773"/>
      <c r="AD381" s="773"/>
      <c r="AE381" s="773"/>
      <c r="AF381" s="773"/>
      <c r="AG381" s="631"/>
    </row>
    <row r="382" spans="4:33" ht="12.75" customHeight="1">
      <c r="D382" s="773"/>
      <c r="E382" s="773"/>
      <c r="F382" s="773"/>
      <c r="G382" s="773"/>
      <c r="H382" s="773"/>
      <c r="I382" s="773"/>
      <c r="J382" s="773"/>
      <c r="K382" s="773"/>
      <c r="L382" s="773"/>
      <c r="M382" s="773"/>
      <c r="N382" s="773"/>
      <c r="O382" s="773"/>
      <c r="P382" s="773"/>
      <c r="Q382" s="773"/>
      <c r="R382" s="773"/>
      <c r="S382" s="773"/>
      <c r="T382" s="773"/>
      <c r="U382" s="773"/>
      <c r="V382" s="773"/>
      <c r="W382" s="773"/>
      <c r="X382" s="773"/>
      <c r="Y382" s="773"/>
      <c r="Z382" s="773"/>
      <c r="AA382" s="773"/>
      <c r="AB382" s="773"/>
      <c r="AC382" s="773"/>
      <c r="AD382" s="773"/>
      <c r="AE382" s="773"/>
      <c r="AF382" s="773"/>
      <c r="AG382" s="631"/>
    </row>
    <row r="383" spans="4:33" ht="12.75" customHeight="1">
      <c r="D383" s="773"/>
      <c r="E383" s="773"/>
      <c r="F383" s="773"/>
      <c r="G383" s="773"/>
      <c r="H383" s="773"/>
      <c r="I383" s="773"/>
      <c r="J383" s="773"/>
      <c r="K383" s="773"/>
      <c r="L383" s="773"/>
      <c r="M383" s="773"/>
      <c r="N383" s="773"/>
      <c r="O383" s="773"/>
      <c r="P383" s="773"/>
      <c r="Q383" s="773"/>
      <c r="R383" s="773"/>
      <c r="S383" s="773"/>
      <c r="T383" s="773"/>
      <c r="U383" s="773"/>
      <c r="V383" s="773"/>
      <c r="W383" s="773"/>
      <c r="X383" s="773"/>
      <c r="Y383" s="773"/>
      <c r="Z383" s="773"/>
      <c r="AA383" s="773"/>
      <c r="AB383" s="773"/>
      <c r="AC383" s="773"/>
      <c r="AD383" s="773"/>
      <c r="AE383" s="773"/>
      <c r="AF383" s="773"/>
      <c r="AG383" s="631"/>
    </row>
    <row r="384" spans="4:33" ht="12.75" customHeight="1">
      <c r="D384" s="773"/>
      <c r="E384" s="773"/>
      <c r="F384" s="773"/>
      <c r="G384" s="773"/>
      <c r="H384" s="773"/>
      <c r="I384" s="773"/>
      <c r="J384" s="773"/>
      <c r="K384" s="773"/>
      <c r="L384" s="773"/>
      <c r="M384" s="773"/>
      <c r="N384" s="773"/>
      <c r="O384" s="773"/>
      <c r="P384" s="773"/>
      <c r="Q384" s="773"/>
      <c r="R384" s="773"/>
      <c r="S384" s="773"/>
      <c r="T384" s="773"/>
      <c r="U384" s="773"/>
      <c r="V384" s="773"/>
      <c r="W384" s="773"/>
      <c r="X384" s="773"/>
      <c r="Y384" s="773"/>
      <c r="Z384" s="773"/>
      <c r="AA384" s="773"/>
      <c r="AB384" s="773"/>
      <c r="AC384" s="773"/>
      <c r="AD384" s="773"/>
      <c r="AE384" s="773"/>
      <c r="AF384" s="773"/>
      <c r="AG384" s="631"/>
    </row>
    <row r="385" spans="4:32" ht="12.75" customHeight="1">
      <c r="D385" s="773"/>
      <c r="E385" s="773"/>
      <c r="F385" s="773"/>
      <c r="G385" s="773"/>
      <c r="H385" s="773"/>
      <c r="I385" s="773"/>
      <c r="J385" s="773"/>
      <c r="K385" s="773"/>
      <c r="L385" s="773"/>
      <c r="M385" s="773"/>
      <c r="N385" s="773"/>
      <c r="O385" s="773"/>
      <c r="P385" s="773"/>
      <c r="Q385" s="773"/>
      <c r="R385" s="773"/>
      <c r="S385" s="773"/>
      <c r="T385" s="773"/>
      <c r="U385" s="773"/>
      <c r="V385" s="773"/>
      <c r="W385" s="773"/>
      <c r="X385" s="773"/>
      <c r="Y385" s="773"/>
      <c r="Z385" s="773"/>
      <c r="AA385" s="773"/>
      <c r="AB385" s="773"/>
      <c r="AC385" s="773"/>
      <c r="AD385" s="773"/>
      <c r="AE385" s="773"/>
      <c r="AF385" s="773"/>
    </row>
    <row r="386" spans="4:32" ht="12.75" customHeight="1">
      <c r="D386" s="773"/>
      <c r="E386" s="773"/>
      <c r="F386" s="773"/>
      <c r="G386" s="773"/>
      <c r="H386" s="773"/>
      <c r="I386" s="773"/>
      <c r="J386" s="773"/>
      <c r="K386" s="773"/>
      <c r="L386" s="773"/>
      <c r="M386" s="773"/>
      <c r="N386" s="773"/>
      <c r="O386" s="773"/>
      <c r="P386" s="773"/>
      <c r="Q386" s="773"/>
      <c r="R386" s="773"/>
      <c r="S386" s="773"/>
      <c r="T386" s="773"/>
      <c r="U386" s="773"/>
      <c r="V386" s="773"/>
      <c r="W386" s="773"/>
      <c r="X386" s="773"/>
      <c r="Y386" s="773"/>
      <c r="Z386" s="773"/>
      <c r="AA386" s="773"/>
      <c r="AB386" s="773"/>
      <c r="AC386" s="773"/>
      <c r="AD386" s="773"/>
      <c r="AE386" s="773"/>
      <c r="AF386" s="773"/>
    </row>
    <row r="387" spans="4:32" ht="12.75" customHeight="1">
      <c r="D387" s="773"/>
      <c r="E387" s="773"/>
      <c r="F387" s="773"/>
      <c r="G387" s="773"/>
      <c r="H387" s="773"/>
      <c r="I387" s="773"/>
      <c r="J387" s="773"/>
      <c r="K387" s="773"/>
      <c r="L387" s="773"/>
      <c r="M387" s="773"/>
      <c r="N387" s="773"/>
      <c r="O387" s="773"/>
      <c r="P387" s="773"/>
      <c r="Q387" s="773"/>
      <c r="R387" s="773"/>
      <c r="S387" s="773"/>
      <c r="T387" s="773"/>
      <c r="U387" s="773"/>
      <c r="V387" s="773"/>
      <c r="W387" s="773"/>
      <c r="X387" s="773"/>
      <c r="Y387" s="773"/>
      <c r="Z387" s="773"/>
      <c r="AA387" s="773"/>
      <c r="AB387" s="773"/>
      <c r="AC387" s="773"/>
      <c r="AD387" s="773"/>
      <c r="AE387" s="773"/>
      <c r="AF387" s="773"/>
    </row>
    <row r="389" spans="4:32" ht="12.75" customHeight="1">
      <c r="D389" s="808" t="s">
        <v>55</v>
      </c>
      <c r="E389" s="808"/>
      <c r="F389" s="808"/>
      <c r="G389" s="808"/>
      <c r="H389" s="636">
        <f>COUNTIF($AH$23:$AH$334,10)</f>
        <v>148</v>
      </c>
    </row>
    <row r="390" spans="4:32" ht="12.75" customHeight="1">
      <c r="D390" s="808" t="s">
        <v>58</v>
      </c>
      <c r="E390" s="808"/>
      <c r="F390" s="808"/>
      <c r="G390" s="808"/>
      <c r="H390" s="636">
        <f>COUNTIF($AH$23:$AH$334,9)</f>
        <v>32</v>
      </c>
    </row>
    <row r="391" spans="4:32" ht="12.75" customHeight="1">
      <c r="D391" s="808" t="s">
        <v>60</v>
      </c>
      <c r="E391" s="808"/>
      <c r="F391" s="808"/>
      <c r="G391" s="808"/>
      <c r="H391" s="636">
        <f>COUNTIF($AH$23:$AH$334,8)</f>
        <v>35</v>
      </c>
    </row>
    <row r="392" spans="4:32" ht="12.75" customHeight="1">
      <c r="D392" s="808" t="s">
        <v>62</v>
      </c>
      <c r="E392" s="808"/>
      <c r="F392" s="808"/>
      <c r="G392" s="808"/>
      <c r="H392" s="636">
        <f>COUNTIF($AH$23:$AH$334,7)</f>
        <v>29</v>
      </c>
    </row>
    <row r="393" spans="4:32" ht="12.75" customHeight="1">
      <c r="D393" s="808" t="s">
        <v>64</v>
      </c>
      <c r="E393" s="808"/>
      <c r="F393" s="808"/>
      <c r="G393" s="808"/>
      <c r="H393" s="636">
        <f>COUNTIF($AH$23:$AH$334,6)</f>
        <v>24</v>
      </c>
    </row>
    <row r="394" spans="4:32" ht="12.75" customHeight="1">
      <c r="D394" s="808" t="s">
        <v>74</v>
      </c>
      <c r="E394" s="808"/>
      <c r="F394" s="808"/>
      <c r="G394" s="808"/>
      <c r="H394" s="636">
        <f>COUNTIF($AH$23:$AH$334,5)</f>
        <v>13</v>
      </c>
    </row>
    <row r="395" spans="4:32" ht="12.75" customHeight="1">
      <c r="D395" s="808" t="s">
        <v>76</v>
      </c>
      <c r="E395" s="808"/>
      <c r="F395" s="808"/>
      <c r="G395" s="808"/>
      <c r="H395" s="636">
        <f>COUNTIF($AH$23:$AH$334,4)</f>
        <v>15</v>
      </c>
    </row>
    <row r="396" spans="4:32" ht="12.75" customHeight="1">
      <c r="D396" s="808" t="s">
        <v>78</v>
      </c>
      <c r="E396" s="808"/>
      <c r="F396" s="808"/>
      <c r="G396" s="808"/>
      <c r="H396" s="636">
        <f>COUNTIF($AH$23:$AH$334,3)</f>
        <v>9</v>
      </c>
    </row>
    <row r="397" spans="4:32" ht="12.75" customHeight="1">
      <c r="D397" s="808" t="s">
        <v>80</v>
      </c>
      <c r="E397" s="808"/>
      <c r="F397" s="808"/>
      <c r="G397" s="808"/>
      <c r="H397" s="636">
        <f>COUNTIF($AH$23:$AH$334,2)</f>
        <v>5</v>
      </c>
    </row>
    <row r="398" spans="4:32" ht="12.75" customHeight="1">
      <c r="D398" s="808" t="s">
        <v>82</v>
      </c>
      <c r="E398" s="808"/>
      <c r="F398" s="808"/>
      <c r="G398" s="808"/>
      <c r="H398" s="636">
        <f>COUNTIF($AH$23:$AH$334,1)</f>
        <v>1</v>
      </c>
    </row>
    <row r="399" spans="4:32" ht="12.75" customHeight="1">
      <c r="D399" s="808" t="s">
        <v>1015</v>
      </c>
      <c r="E399" s="808"/>
      <c r="F399" s="808"/>
      <c r="G399" s="808"/>
      <c r="H399" s="636">
        <v>0</v>
      </c>
    </row>
    <row r="400" spans="4:32" ht="12.75" customHeight="1">
      <c r="D400" s="636"/>
      <c r="E400" s="636"/>
      <c r="F400" s="636"/>
      <c r="G400" s="636"/>
      <c r="H400" s="636">
        <f>SUM(H389:H399)</f>
        <v>311</v>
      </c>
      <c r="I400" s="137">
        <f>SUM(H390:H399)</f>
        <v>163</v>
      </c>
    </row>
  </sheetData>
  <mergeCells count="33">
    <mergeCell ref="AK3:CJ3"/>
    <mergeCell ref="AI4:AJ4"/>
    <mergeCell ref="AK4:CJ5"/>
    <mergeCell ref="AI5:AJ5"/>
    <mergeCell ref="D397:G397"/>
    <mergeCell ref="D389:G389"/>
    <mergeCell ref="D390:G390"/>
    <mergeCell ref="D391:G391"/>
    <mergeCell ref="D340:AF362"/>
    <mergeCell ref="D364:AF387"/>
    <mergeCell ref="D398:G398"/>
    <mergeCell ref="D399:G399"/>
    <mergeCell ref="D392:G392"/>
    <mergeCell ref="D393:G393"/>
    <mergeCell ref="D394:G394"/>
    <mergeCell ref="D395:G395"/>
    <mergeCell ref="D396:G396"/>
    <mergeCell ref="A1:A2"/>
    <mergeCell ref="BL10:BL22"/>
    <mergeCell ref="B22:AG22"/>
    <mergeCell ref="B234:AG234"/>
    <mergeCell ref="Z1:AD1"/>
    <mergeCell ref="Z2:AD2"/>
    <mergeCell ref="S1:T1"/>
    <mergeCell ref="U1:V1"/>
    <mergeCell ref="E1:H2"/>
    <mergeCell ref="I1:J2"/>
    <mergeCell ref="S2:V2"/>
    <mergeCell ref="L2:O2"/>
    <mergeCell ref="AI1:CJ1"/>
    <mergeCell ref="AI2:AJ2"/>
    <mergeCell ref="AK2:CJ2"/>
    <mergeCell ref="AI3:AJ3"/>
  </mergeCells>
  <conditionalFormatting sqref="BL149 BL175 BL195 BL229 BL231 BL234">
    <cfRule type="cellIs" dxfId="302" priority="321" operator="lessThan">
      <formula>26</formula>
    </cfRule>
  </conditionalFormatting>
  <conditionalFormatting sqref="BL23">
    <cfRule type="cellIs" dxfId="301" priority="314" operator="lessThan">
      <formula>26</formula>
    </cfRule>
  </conditionalFormatting>
  <conditionalFormatting sqref="BL63">
    <cfRule type="cellIs" dxfId="300" priority="313" operator="lessThan">
      <formula>26</formula>
    </cfRule>
  </conditionalFormatting>
  <conditionalFormatting sqref="BL138">
    <cfRule type="cellIs" dxfId="299" priority="312" operator="lessThan">
      <formula>26</formula>
    </cfRule>
  </conditionalFormatting>
  <conditionalFormatting sqref="BL60">
    <cfRule type="cellIs" dxfId="298" priority="311" operator="lessThan">
      <formula>26</formula>
    </cfRule>
  </conditionalFormatting>
  <conditionalFormatting sqref="BL39">
    <cfRule type="cellIs" dxfId="297" priority="310" operator="lessThan">
      <formula>26</formula>
    </cfRule>
  </conditionalFormatting>
  <conditionalFormatting sqref="BL40">
    <cfRule type="cellIs" dxfId="296" priority="309" operator="lessThan">
      <formula>26</formula>
    </cfRule>
  </conditionalFormatting>
  <conditionalFormatting sqref="BL160 BL162">
    <cfRule type="cellIs" dxfId="295" priority="308" operator="lessThan">
      <formula>26</formula>
    </cfRule>
  </conditionalFormatting>
  <conditionalFormatting sqref="BL214">
    <cfRule type="cellIs" dxfId="294" priority="307" operator="lessThan">
      <formula>26</formula>
    </cfRule>
  </conditionalFormatting>
  <conditionalFormatting sqref="BL217">
    <cfRule type="cellIs" dxfId="293" priority="306" operator="lessThan">
      <formula>26</formula>
    </cfRule>
  </conditionalFormatting>
  <conditionalFormatting sqref="BL42">
    <cfRule type="cellIs" dxfId="292" priority="305" operator="lessThan">
      <formula>26</formula>
    </cfRule>
  </conditionalFormatting>
  <conditionalFormatting sqref="BL54">
    <cfRule type="cellIs" dxfId="291" priority="304" operator="lessThan">
      <formula>26</formula>
    </cfRule>
  </conditionalFormatting>
  <conditionalFormatting sqref="BL137">
    <cfRule type="cellIs" dxfId="290" priority="303" operator="lessThan">
      <formula>26</formula>
    </cfRule>
  </conditionalFormatting>
  <conditionalFormatting sqref="BL233">
    <cfRule type="cellIs" dxfId="289" priority="302" operator="lessThan">
      <formula>26</formula>
    </cfRule>
  </conditionalFormatting>
  <conditionalFormatting sqref="BL89">
    <cfRule type="cellIs" dxfId="288" priority="301" operator="lessThan">
      <formula>26</formula>
    </cfRule>
  </conditionalFormatting>
  <conditionalFormatting sqref="BL36">
    <cfRule type="cellIs" dxfId="287" priority="299" operator="lessThan">
      <formula>26</formula>
    </cfRule>
  </conditionalFormatting>
  <conditionalFormatting sqref="BL32">
    <cfRule type="cellIs" dxfId="286" priority="298" operator="lessThan">
      <formula>26</formula>
    </cfRule>
  </conditionalFormatting>
  <conditionalFormatting sqref="BL48">
    <cfRule type="cellIs" dxfId="285" priority="297" operator="lessThan">
      <formula>26</formula>
    </cfRule>
  </conditionalFormatting>
  <conditionalFormatting sqref="BL218">
    <cfRule type="cellIs" dxfId="284" priority="296" operator="lessThan">
      <formula>26</formula>
    </cfRule>
  </conditionalFormatting>
  <conditionalFormatting sqref="BL80">
    <cfRule type="cellIs" dxfId="283" priority="295" operator="lessThan">
      <formula>26</formula>
    </cfRule>
  </conditionalFormatting>
  <conditionalFormatting sqref="BL31">
    <cfRule type="cellIs" dxfId="282" priority="294" operator="lessThan">
      <formula>26</formula>
    </cfRule>
  </conditionalFormatting>
  <conditionalFormatting sqref="BL73">
    <cfRule type="cellIs" dxfId="281" priority="292" operator="lessThan">
      <formula>26</formula>
    </cfRule>
  </conditionalFormatting>
  <conditionalFormatting sqref="BL225">
    <cfRule type="cellIs" dxfId="280" priority="291" operator="lessThan">
      <formula>26</formula>
    </cfRule>
  </conditionalFormatting>
  <conditionalFormatting sqref="BL198">
    <cfRule type="cellIs" dxfId="279" priority="290" operator="lessThan">
      <formula>26</formula>
    </cfRule>
  </conditionalFormatting>
  <conditionalFormatting sqref="BL58">
    <cfRule type="cellIs" dxfId="278" priority="289" operator="lessThan">
      <formula>26</formula>
    </cfRule>
  </conditionalFormatting>
  <conditionalFormatting sqref="BL222 BL224">
    <cfRule type="cellIs" dxfId="277" priority="288" operator="lessThan">
      <formula>26</formula>
    </cfRule>
  </conditionalFormatting>
  <conditionalFormatting sqref="BL59">
    <cfRule type="cellIs" dxfId="276" priority="287" operator="lessThan">
      <formula>26</formula>
    </cfRule>
  </conditionalFormatting>
  <conditionalFormatting sqref="BL200">
    <cfRule type="cellIs" dxfId="275" priority="286" operator="lessThan">
      <formula>26</formula>
    </cfRule>
  </conditionalFormatting>
  <conditionalFormatting sqref="BL85">
    <cfRule type="cellIs" dxfId="274" priority="285" operator="lessThan">
      <formula>26</formula>
    </cfRule>
  </conditionalFormatting>
  <conditionalFormatting sqref="BL170">
    <cfRule type="cellIs" dxfId="273" priority="284" operator="lessThan">
      <formula>26</formula>
    </cfRule>
  </conditionalFormatting>
  <conditionalFormatting sqref="BL147">
    <cfRule type="cellIs" dxfId="272" priority="283" operator="lessThan">
      <formula>26</formula>
    </cfRule>
  </conditionalFormatting>
  <conditionalFormatting sqref="BL69">
    <cfRule type="cellIs" dxfId="271" priority="282" operator="lessThan">
      <formula>26</formula>
    </cfRule>
  </conditionalFormatting>
  <conditionalFormatting sqref="BL158">
    <cfRule type="cellIs" dxfId="270" priority="280" operator="lessThan">
      <formula>26</formula>
    </cfRule>
  </conditionalFormatting>
  <conditionalFormatting sqref="BL118">
    <cfRule type="cellIs" dxfId="269" priority="279" operator="lessThan">
      <formula>26</formula>
    </cfRule>
  </conditionalFormatting>
  <conditionalFormatting sqref="BL65">
    <cfRule type="cellIs" dxfId="268" priority="278" operator="lessThan">
      <formula>26</formula>
    </cfRule>
  </conditionalFormatting>
  <conditionalFormatting sqref="BL206">
    <cfRule type="cellIs" dxfId="267" priority="277" operator="lessThan">
      <formula>26</formula>
    </cfRule>
  </conditionalFormatting>
  <conditionalFormatting sqref="BL110:BL111">
    <cfRule type="cellIs" dxfId="266" priority="276" operator="lessThan">
      <formula>26</formula>
    </cfRule>
  </conditionalFormatting>
  <conditionalFormatting sqref="BL76">
    <cfRule type="cellIs" dxfId="265" priority="275" operator="lessThan">
      <formula>26</formula>
    </cfRule>
  </conditionalFormatting>
  <conditionalFormatting sqref="BL181">
    <cfRule type="cellIs" dxfId="264" priority="274" operator="lessThan">
      <formula>26</formula>
    </cfRule>
  </conditionalFormatting>
  <conditionalFormatting sqref="BL64">
    <cfRule type="cellIs" dxfId="263" priority="273" operator="lessThan">
      <formula>26</formula>
    </cfRule>
  </conditionalFormatting>
  <conditionalFormatting sqref="BL207">
    <cfRule type="cellIs" dxfId="262" priority="272" operator="lessThan">
      <formula>26</formula>
    </cfRule>
  </conditionalFormatting>
  <conditionalFormatting sqref="BL78">
    <cfRule type="cellIs" dxfId="261" priority="270" operator="lessThan">
      <formula>26</formula>
    </cfRule>
  </conditionalFormatting>
  <conditionalFormatting sqref="BL232">
    <cfRule type="cellIs" dxfId="260" priority="269" operator="lessThan">
      <formula>26</formula>
    </cfRule>
  </conditionalFormatting>
  <conditionalFormatting sqref="BL228">
    <cfRule type="cellIs" dxfId="259" priority="268" operator="lessThan">
      <formula>26</formula>
    </cfRule>
  </conditionalFormatting>
  <conditionalFormatting sqref="BL75">
    <cfRule type="cellIs" dxfId="258" priority="267" operator="lessThan">
      <formula>26</formula>
    </cfRule>
  </conditionalFormatting>
  <conditionalFormatting sqref="BL105">
    <cfRule type="cellIs" dxfId="257" priority="266" operator="lessThan">
      <formula>26</formula>
    </cfRule>
  </conditionalFormatting>
  <conditionalFormatting sqref="BL133">
    <cfRule type="cellIs" dxfId="256" priority="265" operator="lessThan">
      <formula>26</formula>
    </cfRule>
  </conditionalFormatting>
  <conditionalFormatting sqref="BL180">
    <cfRule type="cellIs" dxfId="255" priority="264" operator="lessThan">
      <formula>26</formula>
    </cfRule>
  </conditionalFormatting>
  <conditionalFormatting sqref="BL44">
    <cfRule type="cellIs" dxfId="254" priority="263" operator="lessThan">
      <formula>26</formula>
    </cfRule>
  </conditionalFormatting>
  <conditionalFormatting sqref="BL25">
    <cfRule type="cellIs" dxfId="253" priority="262" operator="lessThan">
      <formula>26</formula>
    </cfRule>
  </conditionalFormatting>
  <conditionalFormatting sqref="BL122">
    <cfRule type="cellIs" dxfId="252" priority="261" operator="lessThan">
      <formula>26</formula>
    </cfRule>
  </conditionalFormatting>
  <conditionalFormatting sqref="BL202">
    <cfRule type="cellIs" dxfId="251" priority="258" operator="lessThan">
      <formula>26</formula>
    </cfRule>
  </conditionalFormatting>
  <conditionalFormatting sqref="BL154">
    <cfRule type="cellIs" dxfId="250" priority="256" operator="lessThan">
      <formula>26</formula>
    </cfRule>
  </conditionalFormatting>
  <conditionalFormatting sqref="BL120">
    <cfRule type="cellIs" dxfId="249" priority="255" operator="lessThan">
      <formula>26</formula>
    </cfRule>
  </conditionalFormatting>
  <conditionalFormatting sqref="BL132">
    <cfRule type="cellIs" dxfId="248" priority="254" operator="lessThan">
      <formula>26</formula>
    </cfRule>
  </conditionalFormatting>
  <conditionalFormatting sqref="BL113">
    <cfRule type="cellIs" dxfId="247" priority="253" operator="lessThan">
      <formula>26</formula>
    </cfRule>
  </conditionalFormatting>
  <conditionalFormatting sqref="BL189">
    <cfRule type="cellIs" dxfId="246" priority="252" operator="lessThan">
      <formula>26</formula>
    </cfRule>
  </conditionalFormatting>
  <conditionalFormatting sqref="BL45">
    <cfRule type="cellIs" dxfId="245" priority="251" operator="lessThan">
      <formula>26</formula>
    </cfRule>
  </conditionalFormatting>
  <conditionalFormatting sqref="BL26">
    <cfRule type="cellIs" dxfId="244" priority="250" operator="lessThan">
      <formula>26</formula>
    </cfRule>
  </conditionalFormatting>
  <conditionalFormatting sqref="BL47">
    <cfRule type="cellIs" dxfId="243" priority="249" operator="lessThan">
      <formula>26</formula>
    </cfRule>
  </conditionalFormatting>
  <conditionalFormatting sqref="BL117">
    <cfRule type="cellIs" dxfId="242" priority="248" operator="lessThan">
      <formula>26</formula>
    </cfRule>
  </conditionalFormatting>
  <conditionalFormatting sqref="BL24">
    <cfRule type="cellIs" dxfId="241" priority="246" operator="lessThan">
      <formula>26</formula>
    </cfRule>
  </conditionalFormatting>
  <conditionalFormatting sqref="BL221">
    <cfRule type="cellIs" dxfId="240" priority="245" operator="lessThan">
      <formula>26</formula>
    </cfRule>
  </conditionalFormatting>
  <conditionalFormatting sqref="BL33">
    <cfRule type="cellIs" dxfId="239" priority="244" operator="lessThan">
      <formula>26</formula>
    </cfRule>
  </conditionalFormatting>
  <conditionalFormatting sqref="BL51">
    <cfRule type="cellIs" dxfId="238" priority="243" operator="lessThan">
      <formula>26</formula>
    </cfRule>
  </conditionalFormatting>
  <conditionalFormatting sqref="BL96">
    <cfRule type="cellIs" dxfId="237" priority="242" operator="lessThan">
      <formula>26</formula>
    </cfRule>
  </conditionalFormatting>
  <conditionalFormatting sqref="BL82">
    <cfRule type="cellIs" dxfId="236" priority="241" operator="lessThan">
      <formula>26</formula>
    </cfRule>
  </conditionalFormatting>
  <conditionalFormatting sqref="BL56">
    <cfRule type="cellIs" dxfId="235" priority="240" operator="lessThan">
      <formula>26</formula>
    </cfRule>
  </conditionalFormatting>
  <conditionalFormatting sqref="BL102">
    <cfRule type="cellIs" dxfId="234" priority="239" operator="lessThan">
      <formula>26</formula>
    </cfRule>
  </conditionalFormatting>
  <conditionalFormatting sqref="BL68">
    <cfRule type="cellIs" dxfId="233" priority="238" operator="lessThan">
      <formula>26</formula>
    </cfRule>
  </conditionalFormatting>
  <conditionalFormatting sqref="BL136">
    <cfRule type="cellIs" dxfId="232" priority="237" operator="lessThan">
      <formula>26</formula>
    </cfRule>
  </conditionalFormatting>
  <conditionalFormatting sqref="BL227">
    <cfRule type="cellIs" dxfId="231" priority="236" operator="lessThan">
      <formula>26</formula>
    </cfRule>
  </conditionalFormatting>
  <conditionalFormatting sqref="BL215">
    <cfRule type="cellIs" dxfId="230" priority="235" operator="lessThan">
      <formula>26</formula>
    </cfRule>
  </conditionalFormatting>
  <conditionalFormatting sqref="BL178">
    <cfRule type="cellIs" dxfId="229" priority="234" operator="lessThan">
      <formula>26</formula>
    </cfRule>
  </conditionalFormatting>
  <conditionalFormatting sqref="BL90">
    <cfRule type="cellIs" dxfId="228" priority="233" operator="lessThan">
      <formula>26</formula>
    </cfRule>
  </conditionalFormatting>
  <conditionalFormatting sqref="BL219">
    <cfRule type="cellIs" dxfId="227" priority="232" operator="lessThan">
      <formula>26</formula>
    </cfRule>
  </conditionalFormatting>
  <conditionalFormatting sqref="BL28">
    <cfRule type="cellIs" dxfId="226" priority="231" operator="lessThan">
      <formula>26</formula>
    </cfRule>
  </conditionalFormatting>
  <conditionalFormatting sqref="BL151">
    <cfRule type="cellIs" dxfId="225" priority="230" operator="lessThan">
      <formula>26</formula>
    </cfRule>
  </conditionalFormatting>
  <conditionalFormatting sqref="BL201">
    <cfRule type="cellIs" dxfId="224" priority="229" operator="lessThan">
      <formula>26</formula>
    </cfRule>
  </conditionalFormatting>
  <conditionalFormatting sqref="BL55">
    <cfRule type="cellIs" dxfId="223" priority="228" operator="lessThan">
      <formula>26</formula>
    </cfRule>
  </conditionalFormatting>
  <conditionalFormatting sqref="BL34">
    <cfRule type="cellIs" dxfId="222" priority="227" operator="lessThan">
      <formula>26</formula>
    </cfRule>
  </conditionalFormatting>
  <conditionalFormatting sqref="BL108">
    <cfRule type="cellIs" dxfId="221" priority="226" operator="lessThan">
      <formula>26</formula>
    </cfRule>
  </conditionalFormatting>
  <conditionalFormatting sqref="BL128">
    <cfRule type="cellIs" dxfId="220" priority="225" operator="lessThan">
      <formula>26</formula>
    </cfRule>
  </conditionalFormatting>
  <conditionalFormatting sqref="BL49">
    <cfRule type="cellIs" dxfId="219" priority="224" operator="lessThan">
      <formula>26</formula>
    </cfRule>
  </conditionalFormatting>
  <conditionalFormatting sqref="BL97">
    <cfRule type="cellIs" dxfId="218" priority="223" operator="lessThan">
      <formula>26</formula>
    </cfRule>
  </conditionalFormatting>
  <conditionalFormatting sqref="BL50">
    <cfRule type="cellIs" dxfId="217" priority="222" operator="lessThan">
      <formula>26</formula>
    </cfRule>
  </conditionalFormatting>
  <conditionalFormatting sqref="BL191">
    <cfRule type="cellIs" dxfId="216" priority="221" operator="lessThan">
      <formula>26</formula>
    </cfRule>
  </conditionalFormatting>
  <conditionalFormatting sqref="BL66">
    <cfRule type="cellIs" dxfId="215" priority="220" operator="lessThan">
      <formula>26</formula>
    </cfRule>
  </conditionalFormatting>
  <conditionalFormatting sqref="BL192">
    <cfRule type="cellIs" dxfId="214" priority="219" operator="lessThan">
      <formula>26</formula>
    </cfRule>
  </conditionalFormatting>
  <conditionalFormatting sqref="BL205">
    <cfRule type="cellIs" dxfId="213" priority="218" operator="lessThan">
      <formula>26</formula>
    </cfRule>
  </conditionalFormatting>
  <conditionalFormatting sqref="BL52">
    <cfRule type="cellIs" dxfId="212" priority="216" operator="lessThan">
      <formula>26</formula>
    </cfRule>
  </conditionalFormatting>
  <conditionalFormatting sqref="BL99">
    <cfRule type="cellIs" dxfId="211" priority="215" operator="lessThan">
      <formula>26</formula>
    </cfRule>
  </conditionalFormatting>
  <conditionalFormatting sqref="BL116">
    <cfRule type="cellIs" dxfId="210" priority="214" operator="lessThan">
      <formula>26</formula>
    </cfRule>
  </conditionalFormatting>
  <conditionalFormatting sqref="BL152">
    <cfRule type="cellIs" dxfId="209" priority="213" operator="lessThan">
      <formula>26</formula>
    </cfRule>
  </conditionalFormatting>
  <conditionalFormatting sqref="BL194">
    <cfRule type="cellIs" dxfId="208" priority="212" operator="lessThan">
      <formula>26</formula>
    </cfRule>
  </conditionalFormatting>
  <conditionalFormatting sqref="BL212">
    <cfRule type="cellIs" dxfId="207" priority="211" operator="lessThan">
      <formula>26</formula>
    </cfRule>
  </conditionalFormatting>
  <conditionalFormatting sqref="BL193">
    <cfRule type="cellIs" dxfId="206" priority="210" operator="lessThan">
      <formula>26</formula>
    </cfRule>
  </conditionalFormatting>
  <conditionalFormatting sqref="BL121">
    <cfRule type="cellIs" dxfId="205" priority="209" operator="lessThan">
      <formula>26</formula>
    </cfRule>
  </conditionalFormatting>
  <conditionalFormatting sqref="BL62">
    <cfRule type="cellIs" dxfId="204" priority="208" operator="lessThan">
      <formula>26</formula>
    </cfRule>
  </conditionalFormatting>
  <conditionalFormatting sqref="BL176">
    <cfRule type="cellIs" dxfId="203" priority="207" operator="lessThan">
      <formula>26</formula>
    </cfRule>
  </conditionalFormatting>
  <conditionalFormatting sqref="BL70">
    <cfRule type="cellIs" dxfId="202" priority="206" operator="lessThan">
      <formula>26</formula>
    </cfRule>
  </conditionalFormatting>
  <conditionalFormatting sqref="BL79">
    <cfRule type="cellIs" dxfId="201" priority="205" operator="lessThan">
      <formula>26</formula>
    </cfRule>
  </conditionalFormatting>
  <conditionalFormatting sqref="BL220">
    <cfRule type="cellIs" dxfId="200" priority="204" operator="lessThan">
      <formula>26</formula>
    </cfRule>
  </conditionalFormatting>
  <conditionalFormatting sqref="BL112">
    <cfRule type="cellIs" dxfId="199" priority="203" operator="lessThan">
      <formula>26</formula>
    </cfRule>
  </conditionalFormatting>
  <conditionalFormatting sqref="BL86">
    <cfRule type="cellIs" dxfId="198" priority="201" operator="lessThan">
      <formula>26</formula>
    </cfRule>
  </conditionalFormatting>
  <conditionalFormatting sqref="BL196">
    <cfRule type="cellIs" dxfId="197" priority="200" operator="lessThan">
      <formula>26</formula>
    </cfRule>
  </conditionalFormatting>
  <conditionalFormatting sqref="BL153">
    <cfRule type="cellIs" dxfId="196" priority="199" operator="lessThan">
      <formula>26</formula>
    </cfRule>
  </conditionalFormatting>
  <conditionalFormatting sqref="BL29">
    <cfRule type="cellIs" dxfId="195" priority="198" operator="lessThan">
      <formula>26</formula>
    </cfRule>
  </conditionalFormatting>
  <conditionalFormatting sqref="BL94">
    <cfRule type="cellIs" dxfId="194" priority="197" operator="lessThan">
      <formula>26</formula>
    </cfRule>
  </conditionalFormatting>
  <conditionalFormatting sqref="BL126">
    <cfRule type="cellIs" dxfId="193" priority="196" operator="lessThan">
      <formula>26</formula>
    </cfRule>
  </conditionalFormatting>
  <conditionalFormatting sqref="BL115">
    <cfRule type="cellIs" dxfId="192" priority="195" operator="lessThan">
      <formula>26</formula>
    </cfRule>
  </conditionalFormatting>
  <conditionalFormatting sqref="BL134">
    <cfRule type="cellIs" dxfId="191" priority="194" operator="lessThan">
      <formula>26</formula>
    </cfRule>
  </conditionalFormatting>
  <conditionalFormatting sqref="BL184">
    <cfRule type="cellIs" dxfId="190" priority="193" operator="lessThan">
      <formula>26</formula>
    </cfRule>
  </conditionalFormatting>
  <conditionalFormatting sqref="BL168">
    <cfRule type="cellIs" dxfId="189" priority="192" operator="lessThan">
      <formula>26</formula>
    </cfRule>
  </conditionalFormatting>
  <conditionalFormatting sqref="BL216">
    <cfRule type="cellIs" dxfId="188" priority="190" operator="lessThan">
      <formula>26</formula>
    </cfRule>
  </conditionalFormatting>
  <conditionalFormatting sqref="BL92">
    <cfRule type="cellIs" dxfId="187" priority="189" operator="lessThan">
      <formula>26</formula>
    </cfRule>
  </conditionalFormatting>
  <conditionalFormatting sqref="BL159">
    <cfRule type="cellIs" dxfId="186" priority="188" operator="lessThan">
      <formula>26</formula>
    </cfRule>
  </conditionalFormatting>
  <conditionalFormatting sqref="BL143">
    <cfRule type="cellIs" dxfId="185" priority="187" operator="lessThan">
      <formula>26</formula>
    </cfRule>
  </conditionalFormatting>
  <conditionalFormatting sqref="BL109">
    <cfRule type="cellIs" dxfId="184" priority="186" operator="lessThan">
      <formula>26</formula>
    </cfRule>
  </conditionalFormatting>
  <conditionalFormatting sqref="BL74">
    <cfRule type="cellIs" dxfId="183" priority="185" operator="lessThan">
      <formula>26</formula>
    </cfRule>
  </conditionalFormatting>
  <conditionalFormatting sqref="BL84">
    <cfRule type="cellIs" dxfId="182" priority="184" operator="lessThan">
      <formula>26</formula>
    </cfRule>
  </conditionalFormatting>
  <conditionalFormatting sqref="BL114">
    <cfRule type="cellIs" dxfId="181" priority="183" operator="lessThan">
      <formula>26</formula>
    </cfRule>
  </conditionalFormatting>
  <conditionalFormatting sqref="BL125">
    <cfRule type="cellIs" dxfId="180" priority="182" operator="lessThan">
      <formula>26</formula>
    </cfRule>
  </conditionalFormatting>
  <conditionalFormatting sqref="BL61">
    <cfRule type="cellIs" dxfId="179" priority="181" operator="lessThan">
      <formula>26</formula>
    </cfRule>
  </conditionalFormatting>
  <conditionalFormatting sqref="BL167">
    <cfRule type="cellIs" dxfId="178" priority="180" operator="lessThan">
      <formula>26</formula>
    </cfRule>
  </conditionalFormatting>
  <conditionalFormatting sqref="BL129">
    <cfRule type="cellIs" dxfId="177" priority="179" operator="lessThan">
      <formula>26</formula>
    </cfRule>
  </conditionalFormatting>
  <conditionalFormatting sqref="BL173">
    <cfRule type="cellIs" dxfId="176" priority="178" operator="lessThan">
      <formula>26</formula>
    </cfRule>
  </conditionalFormatting>
  <conditionalFormatting sqref="BL139">
    <cfRule type="cellIs" dxfId="175" priority="177" operator="lessThan">
      <formula>26</formula>
    </cfRule>
  </conditionalFormatting>
  <conditionalFormatting sqref="BL88">
    <cfRule type="cellIs" dxfId="174" priority="176" operator="lessThan">
      <formula>26</formula>
    </cfRule>
  </conditionalFormatting>
  <conditionalFormatting sqref="BL37">
    <cfRule type="cellIs" dxfId="173" priority="175" operator="lessThan">
      <formula>26</formula>
    </cfRule>
  </conditionalFormatting>
  <conditionalFormatting sqref="BL35">
    <cfRule type="cellIs" dxfId="172" priority="174" operator="lessThan">
      <formula>26</formula>
    </cfRule>
  </conditionalFormatting>
  <conditionalFormatting sqref="BL41">
    <cfRule type="cellIs" dxfId="171" priority="173" operator="lessThan">
      <formula>26</formula>
    </cfRule>
  </conditionalFormatting>
  <conditionalFormatting sqref="BL103">
    <cfRule type="cellIs" dxfId="170" priority="172" operator="lessThan">
      <formula>26</formula>
    </cfRule>
  </conditionalFormatting>
  <conditionalFormatting sqref="BL104">
    <cfRule type="cellIs" dxfId="169" priority="171" operator="lessThan">
      <formula>26</formula>
    </cfRule>
  </conditionalFormatting>
  <conditionalFormatting sqref="BL157">
    <cfRule type="cellIs" dxfId="168" priority="170" operator="lessThan">
      <formula>26</formula>
    </cfRule>
  </conditionalFormatting>
  <conditionalFormatting sqref="BL161">
    <cfRule type="cellIs" dxfId="167" priority="169" operator="lessThan">
      <formula>26</formula>
    </cfRule>
  </conditionalFormatting>
  <conditionalFormatting sqref="BL164">
    <cfRule type="cellIs" dxfId="166" priority="168" operator="lessThan">
      <formula>26</formula>
    </cfRule>
  </conditionalFormatting>
  <conditionalFormatting sqref="BL166">
    <cfRule type="cellIs" dxfId="165" priority="167" operator="lessThan">
      <formula>26</formula>
    </cfRule>
  </conditionalFormatting>
  <conditionalFormatting sqref="BL210">
    <cfRule type="cellIs" dxfId="164" priority="166" operator="lessThan">
      <formula>26</formula>
    </cfRule>
  </conditionalFormatting>
  <conditionalFormatting sqref="BL106">
    <cfRule type="cellIs" dxfId="163" priority="165" operator="lessThan">
      <formula>26</formula>
    </cfRule>
  </conditionalFormatting>
  <conditionalFormatting sqref="BL72">
    <cfRule type="cellIs" dxfId="162" priority="164" operator="lessThan">
      <formula>26</formula>
    </cfRule>
  </conditionalFormatting>
  <conditionalFormatting sqref="BL155">
    <cfRule type="cellIs" dxfId="161" priority="163" operator="lessThan">
      <formula>26</formula>
    </cfRule>
  </conditionalFormatting>
  <conditionalFormatting sqref="BL43">
    <cfRule type="cellIs" dxfId="160" priority="162" operator="lessThan">
      <formula>26</formula>
    </cfRule>
  </conditionalFormatting>
  <conditionalFormatting sqref="BL165">
    <cfRule type="cellIs" dxfId="159" priority="161" operator="lessThan">
      <formula>26</formula>
    </cfRule>
  </conditionalFormatting>
  <conditionalFormatting sqref="BL87">
    <cfRule type="cellIs" dxfId="158" priority="160" operator="lessThan">
      <formula>26</formula>
    </cfRule>
  </conditionalFormatting>
  <conditionalFormatting sqref="BL169">
    <cfRule type="cellIs" dxfId="157" priority="159" operator="lessThan">
      <formula>26</formula>
    </cfRule>
  </conditionalFormatting>
  <conditionalFormatting sqref="BL150">
    <cfRule type="cellIs" dxfId="156" priority="158" operator="lessThan">
      <formula>26</formula>
    </cfRule>
  </conditionalFormatting>
  <conditionalFormatting sqref="BL179">
    <cfRule type="cellIs" dxfId="155" priority="157" operator="lessThan">
      <formula>26</formula>
    </cfRule>
  </conditionalFormatting>
  <conditionalFormatting sqref="BL46">
    <cfRule type="cellIs" dxfId="154" priority="156" operator="lessThan">
      <formula>26</formula>
    </cfRule>
  </conditionalFormatting>
  <conditionalFormatting sqref="BL203">
    <cfRule type="cellIs" dxfId="153" priority="155" operator="lessThan">
      <formula>26</formula>
    </cfRule>
  </conditionalFormatting>
  <conditionalFormatting sqref="BL182">
    <cfRule type="cellIs" dxfId="152" priority="154" operator="lessThan">
      <formula>26</formula>
    </cfRule>
  </conditionalFormatting>
  <conditionalFormatting sqref="BL119">
    <cfRule type="cellIs" dxfId="151" priority="153" operator="lessThan">
      <formula>26</formula>
    </cfRule>
  </conditionalFormatting>
  <conditionalFormatting sqref="BL171">
    <cfRule type="cellIs" dxfId="150" priority="151" operator="lessThan">
      <formula>26</formula>
    </cfRule>
  </conditionalFormatting>
  <conditionalFormatting sqref="BL71">
    <cfRule type="cellIs" dxfId="149" priority="150" operator="lessThan">
      <formula>26</formula>
    </cfRule>
  </conditionalFormatting>
  <conditionalFormatting sqref="BL100">
    <cfRule type="cellIs" dxfId="148" priority="149" operator="lessThan">
      <formula>26</formula>
    </cfRule>
  </conditionalFormatting>
  <conditionalFormatting sqref="BL135">
    <cfRule type="cellIs" dxfId="147" priority="148" operator="lessThan">
      <formula>26</formula>
    </cfRule>
  </conditionalFormatting>
  <conditionalFormatting sqref="BL127">
    <cfRule type="cellIs" dxfId="146" priority="147" operator="lessThan">
      <formula>26</formula>
    </cfRule>
  </conditionalFormatting>
  <conditionalFormatting sqref="BL185">
    <cfRule type="cellIs" dxfId="145" priority="146" operator="lessThan">
      <formula>26</formula>
    </cfRule>
  </conditionalFormatting>
  <conditionalFormatting sqref="BL209">
    <cfRule type="cellIs" dxfId="144" priority="144" operator="lessThan">
      <formula>26</formula>
    </cfRule>
  </conditionalFormatting>
  <conditionalFormatting sqref="BL177">
    <cfRule type="cellIs" dxfId="143" priority="143" operator="lessThan">
      <formula>26</formula>
    </cfRule>
  </conditionalFormatting>
  <conditionalFormatting sqref="BL123">
    <cfRule type="cellIs" dxfId="142" priority="142" operator="lessThan">
      <formula>26</formula>
    </cfRule>
  </conditionalFormatting>
  <conditionalFormatting sqref="BL226">
    <cfRule type="cellIs" dxfId="141" priority="141" operator="lessThan">
      <formula>26</formula>
    </cfRule>
  </conditionalFormatting>
  <conditionalFormatting sqref="BL204">
    <cfRule type="cellIs" dxfId="140" priority="140" operator="lessThan">
      <formula>26</formula>
    </cfRule>
  </conditionalFormatting>
  <conditionalFormatting sqref="BL124">
    <cfRule type="cellIs" dxfId="139" priority="139" operator="lessThan">
      <formula>26</formula>
    </cfRule>
  </conditionalFormatting>
  <conditionalFormatting sqref="BL188">
    <cfRule type="cellIs" dxfId="138" priority="138" operator="lessThan">
      <formula>26</formula>
    </cfRule>
  </conditionalFormatting>
  <conditionalFormatting sqref="BL57">
    <cfRule type="cellIs" dxfId="137" priority="137" operator="lessThan">
      <formula>26</formula>
    </cfRule>
  </conditionalFormatting>
  <conditionalFormatting sqref="BL91">
    <cfRule type="cellIs" dxfId="136" priority="136" operator="lessThan">
      <formula>26</formula>
    </cfRule>
  </conditionalFormatting>
  <conditionalFormatting sqref="BL95">
    <cfRule type="cellIs" dxfId="135" priority="135" operator="lessThan">
      <formula>26</formula>
    </cfRule>
  </conditionalFormatting>
  <conditionalFormatting sqref="BL101">
    <cfRule type="cellIs" dxfId="134" priority="134" operator="lessThan">
      <formula>26</formula>
    </cfRule>
  </conditionalFormatting>
  <conditionalFormatting sqref="BL131">
    <cfRule type="cellIs" dxfId="133" priority="133" operator="lessThan">
      <formula>26</formula>
    </cfRule>
  </conditionalFormatting>
  <conditionalFormatting sqref="BL145">
    <cfRule type="cellIs" dxfId="132" priority="132" operator="lessThan">
      <formula>26</formula>
    </cfRule>
  </conditionalFormatting>
  <conditionalFormatting sqref="BL172">
    <cfRule type="cellIs" dxfId="131" priority="131" operator="lessThan">
      <formula>26</formula>
    </cfRule>
  </conditionalFormatting>
  <conditionalFormatting sqref="BL174">
    <cfRule type="cellIs" dxfId="130" priority="130" operator="lessThan">
      <formula>26</formula>
    </cfRule>
  </conditionalFormatting>
  <conditionalFormatting sqref="BL190">
    <cfRule type="cellIs" dxfId="129" priority="129" operator="lessThan">
      <formula>26</formula>
    </cfRule>
  </conditionalFormatting>
  <conditionalFormatting sqref="BL199">
    <cfRule type="cellIs" dxfId="128" priority="128" operator="lessThan">
      <formula>26</formula>
    </cfRule>
  </conditionalFormatting>
  <conditionalFormatting sqref="BL211">
    <cfRule type="cellIs" dxfId="127" priority="127" operator="lessThan">
      <formula>26</formula>
    </cfRule>
  </conditionalFormatting>
  <conditionalFormatting sqref="BL213">
    <cfRule type="cellIs" dxfId="126" priority="126" operator="lessThan">
      <formula>26</formula>
    </cfRule>
  </conditionalFormatting>
  <conditionalFormatting sqref="BL186">
    <cfRule type="cellIs" dxfId="125" priority="125" operator="lessThan">
      <formula>26</formula>
    </cfRule>
  </conditionalFormatting>
  <conditionalFormatting sqref="BL53">
    <cfRule type="cellIs" dxfId="124" priority="123" operator="lessThan">
      <formula>26</formula>
    </cfRule>
  </conditionalFormatting>
  <conditionalFormatting sqref="BL67">
    <cfRule type="cellIs" dxfId="123" priority="122" operator="lessThan">
      <formula>26</formula>
    </cfRule>
  </conditionalFormatting>
  <conditionalFormatting sqref="BL83">
    <cfRule type="cellIs" dxfId="122" priority="121" operator="lessThan">
      <formula>26</formula>
    </cfRule>
  </conditionalFormatting>
  <conditionalFormatting sqref="BL107">
    <cfRule type="cellIs" dxfId="121" priority="120" operator="lessThan">
      <formula>26</formula>
    </cfRule>
  </conditionalFormatting>
  <conditionalFormatting sqref="BL130">
    <cfRule type="cellIs" dxfId="120" priority="119" operator="lessThan">
      <formula>26</formula>
    </cfRule>
  </conditionalFormatting>
  <conditionalFormatting sqref="BL144">
    <cfRule type="cellIs" dxfId="119" priority="118" operator="lessThan">
      <formula>26</formula>
    </cfRule>
  </conditionalFormatting>
  <conditionalFormatting sqref="BL156">
    <cfRule type="cellIs" dxfId="118" priority="117" operator="lessThan">
      <formula>26</formula>
    </cfRule>
  </conditionalFormatting>
  <conditionalFormatting sqref="BL183">
    <cfRule type="cellIs" dxfId="117" priority="116" operator="lessThan">
      <formula>26</formula>
    </cfRule>
  </conditionalFormatting>
  <conditionalFormatting sqref="BL187">
    <cfRule type="cellIs" dxfId="116" priority="115" operator="lessThan">
      <formula>26</formula>
    </cfRule>
  </conditionalFormatting>
  <conditionalFormatting sqref="BL230">
    <cfRule type="cellIs" dxfId="115" priority="114" operator="lessThan">
      <formula>26</formula>
    </cfRule>
  </conditionalFormatting>
  <conditionalFormatting sqref="BL146">
    <cfRule type="cellIs" dxfId="114" priority="113" operator="lessThan">
      <formula>26</formula>
    </cfRule>
  </conditionalFormatting>
  <conditionalFormatting sqref="BL140:BL141">
    <cfRule type="cellIs" dxfId="113" priority="112" operator="lessThan">
      <formula>26</formula>
    </cfRule>
  </conditionalFormatting>
  <conditionalFormatting sqref="BL30">
    <cfRule type="cellIs" dxfId="112" priority="111" operator="lessThan">
      <formula>26</formula>
    </cfRule>
  </conditionalFormatting>
  <conditionalFormatting sqref="BL38">
    <cfRule type="cellIs" dxfId="111" priority="110" operator="lessThan">
      <formula>26</formula>
    </cfRule>
  </conditionalFormatting>
  <conditionalFormatting sqref="BL197">
    <cfRule type="cellIs" dxfId="110" priority="109" operator="lessThan">
      <formula>26</formula>
    </cfRule>
  </conditionalFormatting>
  <conditionalFormatting sqref="BL223">
    <cfRule type="cellIs" dxfId="109" priority="108" operator="lessThan">
      <formula>26</formula>
    </cfRule>
  </conditionalFormatting>
  <conditionalFormatting sqref="BL235">
    <cfRule type="cellIs" dxfId="108" priority="107" operator="lessThan">
      <formula>26</formula>
    </cfRule>
  </conditionalFormatting>
  <conditionalFormatting sqref="BL142">
    <cfRule type="cellIs" dxfId="107" priority="106" operator="lessThan">
      <formula>26</formula>
    </cfRule>
  </conditionalFormatting>
  <conditionalFormatting sqref="BL27">
    <cfRule type="cellIs" dxfId="106" priority="105" operator="lessThan">
      <formula>26</formula>
    </cfRule>
  </conditionalFormatting>
  <conditionalFormatting sqref="BL334">
    <cfRule type="cellIs" dxfId="105" priority="104" operator="lessThan">
      <formula>26</formula>
    </cfRule>
  </conditionalFormatting>
  <conditionalFormatting sqref="BL317">
    <cfRule type="cellIs" dxfId="104" priority="103" operator="lessThan">
      <formula>26</formula>
    </cfRule>
  </conditionalFormatting>
  <conditionalFormatting sqref="BL292">
    <cfRule type="cellIs" dxfId="103" priority="102" operator="lessThan">
      <formula>26</formula>
    </cfRule>
  </conditionalFormatting>
  <conditionalFormatting sqref="BL319">
    <cfRule type="cellIs" dxfId="102" priority="101" operator="lessThan">
      <formula>26</formula>
    </cfRule>
  </conditionalFormatting>
  <conditionalFormatting sqref="BL310">
    <cfRule type="cellIs" dxfId="101" priority="100" operator="lessThan">
      <formula>26</formula>
    </cfRule>
  </conditionalFormatting>
  <conditionalFormatting sqref="BL330">
    <cfRule type="cellIs" dxfId="100" priority="99" operator="lessThan">
      <formula>26</formula>
    </cfRule>
  </conditionalFormatting>
  <conditionalFormatting sqref="BL312">
    <cfRule type="cellIs" dxfId="99" priority="98" operator="lessThan">
      <formula>26</formula>
    </cfRule>
  </conditionalFormatting>
  <conditionalFormatting sqref="BL300">
    <cfRule type="cellIs" dxfId="98" priority="97" operator="lessThan">
      <formula>26</formula>
    </cfRule>
  </conditionalFormatting>
  <conditionalFormatting sqref="BL285">
    <cfRule type="cellIs" dxfId="97" priority="96" operator="lessThan">
      <formula>26</formula>
    </cfRule>
  </conditionalFormatting>
  <conditionalFormatting sqref="BL323">
    <cfRule type="cellIs" dxfId="96" priority="95" operator="lessThan">
      <formula>26</formula>
    </cfRule>
  </conditionalFormatting>
  <conditionalFormatting sqref="BL254">
    <cfRule type="cellIs" dxfId="95" priority="94" operator="lessThan">
      <formula>26</formula>
    </cfRule>
  </conditionalFormatting>
  <conditionalFormatting sqref="BL261 BL273">
    <cfRule type="cellIs" dxfId="94" priority="93" operator="lessThan">
      <formula>26</formula>
    </cfRule>
  </conditionalFormatting>
  <conditionalFormatting sqref="BL290">
    <cfRule type="cellIs" dxfId="93" priority="92" operator="lessThan">
      <formula>26</formula>
    </cfRule>
  </conditionalFormatting>
  <conditionalFormatting sqref="BL245 BL247">
    <cfRule type="cellIs" dxfId="92" priority="91" operator="lessThan">
      <formula>26</formula>
    </cfRule>
  </conditionalFormatting>
  <conditionalFormatting sqref="BL248">
    <cfRule type="cellIs" dxfId="91" priority="90" operator="lessThan">
      <formula>26</formula>
    </cfRule>
  </conditionalFormatting>
  <conditionalFormatting sqref="BL324 BL328">
    <cfRule type="cellIs" dxfId="90" priority="89" operator="lessThan">
      <formula>26</formula>
    </cfRule>
  </conditionalFormatting>
  <conditionalFormatting sqref="BL276">
    <cfRule type="cellIs" dxfId="89" priority="88" operator="lessThan">
      <formula>26</formula>
    </cfRule>
  </conditionalFormatting>
  <conditionalFormatting sqref="BL271">
    <cfRule type="cellIs" dxfId="88" priority="87" operator="lessThan">
      <formula>26</formula>
    </cfRule>
  </conditionalFormatting>
  <conditionalFormatting sqref="BL313">
    <cfRule type="cellIs" dxfId="87" priority="86" operator="lessThan">
      <formula>26</formula>
    </cfRule>
  </conditionalFormatting>
  <conditionalFormatting sqref="BL242">
    <cfRule type="cellIs" dxfId="86" priority="85" operator="lessThan">
      <formula>26</formula>
    </cfRule>
  </conditionalFormatting>
  <conditionalFormatting sqref="BL252">
    <cfRule type="cellIs" dxfId="85" priority="84" operator="lessThan">
      <formula>26</formula>
    </cfRule>
  </conditionalFormatting>
  <conditionalFormatting sqref="BL236">
    <cfRule type="cellIs" dxfId="84" priority="83" operator="lessThan">
      <formula>26</formula>
    </cfRule>
  </conditionalFormatting>
  <conditionalFormatting sqref="BL272">
    <cfRule type="cellIs" dxfId="83" priority="82" operator="lessThan">
      <formula>26</formula>
    </cfRule>
  </conditionalFormatting>
  <conditionalFormatting sqref="BL318">
    <cfRule type="cellIs" dxfId="82" priority="81" operator="lessThan">
      <formula>26</formula>
    </cfRule>
  </conditionalFormatting>
  <conditionalFormatting sqref="BL257">
    <cfRule type="cellIs" dxfId="81" priority="80" operator="lessThan">
      <formula>26</formula>
    </cfRule>
  </conditionalFormatting>
  <conditionalFormatting sqref="BL241">
    <cfRule type="cellIs" dxfId="80" priority="79" operator="lessThan">
      <formula>26</formula>
    </cfRule>
  </conditionalFormatting>
  <conditionalFormatting sqref="BL320">
    <cfRule type="cellIs" dxfId="79" priority="78" operator="lessThan">
      <formula>26</formula>
    </cfRule>
  </conditionalFormatting>
  <conditionalFormatting sqref="BL331">
    <cfRule type="cellIs" dxfId="78" priority="76" operator="lessThan">
      <formula>26</formula>
    </cfRule>
  </conditionalFormatting>
  <conditionalFormatting sqref="BL284">
    <cfRule type="cellIs" dxfId="77" priority="75" operator="lessThan">
      <formula>26</formula>
    </cfRule>
  </conditionalFormatting>
  <conditionalFormatting sqref="BL208">
    <cfRule type="cellIs" dxfId="76" priority="73" operator="lessThan">
      <formula>26</formula>
    </cfRule>
  </conditionalFormatting>
  <conditionalFormatting sqref="BL325">
    <cfRule type="cellIs" dxfId="75" priority="72" operator="lessThan">
      <formula>26</formula>
    </cfRule>
  </conditionalFormatting>
  <conditionalFormatting sqref="BL301">
    <cfRule type="cellIs" dxfId="74" priority="71" operator="lessThan">
      <formula>26</formula>
    </cfRule>
  </conditionalFormatting>
  <conditionalFormatting sqref="BL256">
    <cfRule type="cellIs" dxfId="73" priority="70" operator="lessThan">
      <formula>26</formula>
    </cfRule>
  </conditionalFormatting>
  <conditionalFormatting sqref="BL240">
    <cfRule type="cellIs" dxfId="72" priority="69" operator="lessThan">
      <formula>26</formula>
    </cfRule>
  </conditionalFormatting>
  <conditionalFormatting sqref="BL239">
    <cfRule type="cellIs" dxfId="71" priority="68" operator="lessThan">
      <formula>26</formula>
    </cfRule>
  </conditionalFormatting>
  <conditionalFormatting sqref="BL237">
    <cfRule type="cellIs" dxfId="70" priority="67" operator="lessThan">
      <formula>26</formula>
    </cfRule>
  </conditionalFormatting>
  <conditionalFormatting sqref="BL333">
    <cfRule type="cellIs" dxfId="69" priority="66" operator="lessThan">
      <formula>26</formula>
    </cfRule>
  </conditionalFormatting>
  <conditionalFormatting sqref="BL266">
    <cfRule type="cellIs" dxfId="68" priority="65" operator="lessThan">
      <formula>26</formula>
    </cfRule>
  </conditionalFormatting>
  <conditionalFormatting sqref="BL309">
    <cfRule type="cellIs" dxfId="67" priority="64" operator="lessThan">
      <formula>26</formula>
    </cfRule>
  </conditionalFormatting>
  <conditionalFormatting sqref="BL265">
    <cfRule type="cellIs" dxfId="66" priority="63" operator="lessThan">
      <formula>26</formula>
    </cfRule>
  </conditionalFormatting>
  <conditionalFormatting sqref="BL327">
    <cfRule type="cellIs" dxfId="65" priority="62" operator="lessThan">
      <formula>26</formula>
    </cfRule>
  </conditionalFormatting>
  <conditionalFormatting sqref="BL326">
    <cfRule type="cellIs" dxfId="64" priority="61" operator="lessThan">
      <formula>26</formula>
    </cfRule>
  </conditionalFormatting>
  <conditionalFormatting sqref="BL238">
    <cfRule type="cellIs" dxfId="63" priority="60" operator="lessThan">
      <formula>26</formula>
    </cfRule>
  </conditionalFormatting>
  <conditionalFormatting sqref="BL253">
    <cfRule type="cellIs" dxfId="62" priority="59" operator="lessThan">
      <formula>26</formula>
    </cfRule>
  </conditionalFormatting>
  <conditionalFormatting sqref="BL250">
    <cfRule type="cellIs" dxfId="61" priority="58" operator="lessThan">
      <formula>26</formula>
    </cfRule>
  </conditionalFormatting>
  <conditionalFormatting sqref="BL299">
    <cfRule type="cellIs" dxfId="60" priority="57" operator="lessThan">
      <formula>26</formula>
    </cfRule>
  </conditionalFormatting>
  <conditionalFormatting sqref="BL243">
    <cfRule type="cellIs" dxfId="59" priority="56" operator="lessThan">
      <formula>26</formula>
    </cfRule>
  </conditionalFormatting>
  <conditionalFormatting sqref="BL274">
    <cfRule type="cellIs" dxfId="58" priority="55" operator="lessThan">
      <formula>26</formula>
    </cfRule>
  </conditionalFormatting>
  <conditionalFormatting sqref="BL332">
    <cfRule type="cellIs" dxfId="57" priority="54" operator="lessThan">
      <formula>26</formula>
    </cfRule>
  </conditionalFormatting>
  <conditionalFormatting sqref="BL280">
    <cfRule type="cellIs" dxfId="56" priority="53" operator="lessThan">
      <formula>26</formula>
    </cfRule>
  </conditionalFormatting>
  <conditionalFormatting sqref="BL93">
    <cfRule type="cellIs" dxfId="55" priority="52" operator="lessThan">
      <formula>26</formula>
    </cfRule>
  </conditionalFormatting>
  <conditionalFormatting sqref="BL98">
    <cfRule type="cellIs" dxfId="54" priority="51" operator="lessThan">
      <formula>26</formula>
    </cfRule>
  </conditionalFormatting>
  <conditionalFormatting sqref="BL148">
    <cfRule type="cellIs" dxfId="53" priority="50" operator="lessThan">
      <formula>26</formula>
    </cfRule>
  </conditionalFormatting>
  <conditionalFormatting sqref="BL163">
    <cfRule type="cellIs" dxfId="52" priority="49" operator="lessThan">
      <formula>26</formula>
    </cfRule>
  </conditionalFormatting>
  <conditionalFormatting sqref="BL255">
    <cfRule type="cellIs" dxfId="51" priority="48" operator="lessThan">
      <formula>26</formula>
    </cfRule>
  </conditionalFormatting>
  <conditionalFormatting sqref="BL267">
    <cfRule type="cellIs" dxfId="50" priority="47" operator="lessThan">
      <formula>26</formula>
    </cfRule>
  </conditionalFormatting>
  <conditionalFormatting sqref="BL251">
    <cfRule type="cellIs" dxfId="49" priority="46" operator="lessThan">
      <formula>26</formula>
    </cfRule>
  </conditionalFormatting>
  <conditionalFormatting sqref="BL311">
    <cfRule type="cellIs" dxfId="48" priority="45" operator="lessThan">
      <formula>26</formula>
    </cfRule>
  </conditionalFormatting>
  <conditionalFormatting sqref="BL303">
    <cfRule type="cellIs" dxfId="47" priority="44" operator="lessThan">
      <formula>26</formula>
    </cfRule>
  </conditionalFormatting>
  <conditionalFormatting sqref="BL302">
    <cfRule type="cellIs" dxfId="46" priority="43" operator="lessThan">
      <formula>26</formula>
    </cfRule>
  </conditionalFormatting>
  <conditionalFormatting sqref="BL289">
    <cfRule type="cellIs" dxfId="45" priority="42" operator="lessThan">
      <formula>26</formula>
    </cfRule>
  </conditionalFormatting>
  <conditionalFormatting sqref="BL282">
    <cfRule type="cellIs" dxfId="44" priority="41" operator="lessThan">
      <formula>26</formula>
    </cfRule>
  </conditionalFormatting>
  <conditionalFormatting sqref="BL275">
    <cfRule type="cellIs" dxfId="43" priority="40" operator="lessThan">
      <formula>26</formula>
    </cfRule>
  </conditionalFormatting>
  <conditionalFormatting sqref="BL263">
    <cfRule type="cellIs" dxfId="42" priority="39" operator="lessThan">
      <formula>26</formula>
    </cfRule>
  </conditionalFormatting>
  <conditionalFormatting sqref="BL281">
    <cfRule type="cellIs" dxfId="41" priority="38" operator="lessThan">
      <formula>26</formula>
    </cfRule>
  </conditionalFormatting>
  <conditionalFormatting sqref="BL308">
    <cfRule type="cellIs" dxfId="40" priority="37" operator="lessThan">
      <formula>26</formula>
    </cfRule>
  </conditionalFormatting>
  <conditionalFormatting sqref="BL293:BL294">
    <cfRule type="cellIs" dxfId="39" priority="36" operator="lessThan">
      <formula>26</formula>
    </cfRule>
  </conditionalFormatting>
  <conditionalFormatting sqref="BL316">
    <cfRule type="cellIs" dxfId="38" priority="35" operator="lessThan">
      <formula>26</formula>
    </cfRule>
  </conditionalFormatting>
  <conditionalFormatting sqref="BL315">
    <cfRule type="cellIs" dxfId="37" priority="34" operator="lessThan">
      <formula>26</formula>
    </cfRule>
  </conditionalFormatting>
  <conditionalFormatting sqref="BL296">
    <cfRule type="cellIs" dxfId="36" priority="33" operator="lessThan">
      <formula>26</formula>
    </cfRule>
  </conditionalFormatting>
  <conditionalFormatting sqref="BL259">
    <cfRule type="cellIs" dxfId="35" priority="32" operator="lessThan">
      <formula>26</formula>
    </cfRule>
  </conditionalFormatting>
  <conditionalFormatting sqref="BL295">
    <cfRule type="cellIs" dxfId="34" priority="31" operator="lessThan">
      <formula>26</formula>
    </cfRule>
  </conditionalFormatting>
  <conditionalFormatting sqref="BL322">
    <cfRule type="cellIs" dxfId="33" priority="30" operator="lessThan">
      <formula>26</formula>
    </cfRule>
  </conditionalFormatting>
  <conditionalFormatting sqref="BL329">
    <cfRule type="cellIs" dxfId="32" priority="29" operator="lessThan">
      <formula>26</formula>
    </cfRule>
  </conditionalFormatting>
  <conditionalFormatting sqref="BL288">
    <cfRule type="cellIs" dxfId="31" priority="28" operator="lessThan">
      <formula>26</formula>
    </cfRule>
  </conditionalFormatting>
  <conditionalFormatting sqref="BL278">
    <cfRule type="cellIs" dxfId="30" priority="27" operator="lessThan">
      <formula>26</formula>
    </cfRule>
  </conditionalFormatting>
  <conditionalFormatting sqref="BL246">
    <cfRule type="cellIs" dxfId="29" priority="26" operator="lessThan">
      <formula>26</formula>
    </cfRule>
  </conditionalFormatting>
  <conditionalFormatting sqref="BL297">
    <cfRule type="cellIs" dxfId="28" priority="25" operator="lessThan">
      <formula>26</formula>
    </cfRule>
  </conditionalFormatting>
  <conditionalFormatting sqref="BL286">
    <cfRule type="cellIs" dxfId="27" priority="24" operator="lessThan">
      <formula>26</formula>
    </cfRule>
  </conditionalFormatting>
  <conditionalFormatting sqref="BL77">
    <cfRule type="cellIs" dxfId="26" priority="23" operator="lessThan">
      <formula>26</formula>
    </cfRule>
  </conditionalFormatting>
  <conditionalFormatting sqref="BL268">
    <cfRule type="cellIs" dxfId="25" priority="22" operator="lessThan">
      <formula>26</formula>
    </cfRule>
  </conditionalFormatting>
  <conditionalFormatting sqref="BL304">
    <cfRule type="cellIs" dxfId="24" priority="21" operator="lessThan">
      <formula>26</formula>
    </cfRule>
  </conditionalFormatting>
  <conditionalFormatting sqref="BL269">
    <cfRule type="cellIs" dxfId="23" priority="20" operator="lessThan">
      <formula>26</formula>
    </cfRule>
  </conditionalFormatting>
  <conditionalFormatting sqref="BL287">
    <cfRule type="cellIs" dxfId="22" priority="19" operator="lessThan">
      <formula>26</formula>
    </cfRule>
  </conditionalFormatting>
  <conditionalFormatting sqref="BL249">
    <cfRule type="cellIs" dxfId="21" priority="18" operator="lessThan">
      <formula>26</formula>
    </cfRule>
  </conditionalFormatting>
  <conditionalFormatting sqref="BL81">
    <cfRule type="cellIs" dxfId="20" priority="17" operator="lessThan">
      <formula>26</formula>
    </cfRule>
  </conditionalFormatting>
  <conditionalFormatting sqref="BL307">
    <cfRule type="cellIs" dxfId="19" priority="16" operator="lessThan">
      <formula>26</formula>
    </cfRule>
  </conditionalFormatting>
  <conditionalFormatting sqref="BL321">
    <cfRule type="cellIs" dxfId="18" priority="15" operator="lessThan">
      <formula>26</formula>
    </cfRule>
  </conditionalFormatting>
  <conditionalFormatting sqref="BL277">
    <cfRule type="cellIs" dxfId="17" priority="14" operator="lessThan">
      <formula>26</formula>
    </cfRule>
  </conditionalFormatting>
  <conditionalFormatting sqref="BL291">
    <cfRule type="cellIs" dxfId="16" priority="13" operator="lessThan">
      <formula>26</formula>
    </cfRule>
  </conditionalFormatting>
  <conditionalFormatting sqref="BL264">
    <cfRule type="cellIs" dxfId="15" priority="12" operator="lessThan">
      <formula>26</formula>
    </cfRule>
  </conditionalFormatting>
  <conditionalFormatting sqref="BL244">
    <cfRule type="cellIs" dxfId="14" priority="11" operator="lessThan">
      <formula>26</formula>
    </cfRule>
  </conditionalFormatting>
  <conditionalFormatting sqref="BL279">
    <cfRule type="cellIs" dxfId="13" priority="10" operator="lessThan">
      <formula>26</formula>
    </cfRule>
  </conditionalFormatting>
  <conditionalFormatting sqref="BL258">
    <cfRule type="cellIs" dxfId="12" priority="9" operator="lessThan">
      <formula>26</formula>
    </cfRule>
  </conditionalFormatting>
  <conditionalFormatting sqref="BL283">
    <cfRule type="cellIs" dxfId="11" priority="8" operator="lessThan">
      <formula>26</formula>
    </cfRule>
  </conditionalFormatting>
  <conditionalFormatting sqref="BL262">
    <cfRule type="cellIs" dxfId="10" priority="7" operator="lessThan">
      <formula>26</formula>
    </cfRule>
  </conditionalFormatting>
  <conditionalFormatting sqref="BL260">
    <cfRule type="cellIs" dxfId="9" priority="6" operator="lessThan">
      <formula>26</formula>
    </cfRule>
  </conditionalFormatting>
  <conditionalFormatting sqref="BL306">
    <cfRule type="cellIs" dxfId="8" priority="5" operator="lessThan">
      <formula>26</formula>
    </cfRule>
  </conditionalFormatting>
  <conditionalFormatting sqref="BL270">
    <cfRule type="cellIs" dxfId="7" priority="4" operator="lessThan">
      <formula>26</formula>
    </cfRule>
  </conditionalFormatting>
  <conditionalFormatting sqref="BL298">
    <cfRule type="cellIs" dxfId="6" priority="3" operator="lessThan">
      <formula>26</formula>
    </cfRule>
  </conditionalFormatting>
  <conditionalFormatting sqref="BL314">
    <cfRule type="cellIs" dxfId="5" priority="2" operator="lessThan">
      <formula>26</formula>
    </cfRule>
  </conditionalFormatting>
  <conditionalFormatting sqref="BL305">
    <cfRule type="cellIs" dxfId="4" priority="1" operator="lessThan">
      <formula>26</formula>
    </cfRule>
  </conditionalFormatting>
  <hyperlinks>
    <hyperlink ref="BL10" r:id="rId1" location="7" display="http://tangotiger.com/index.php/site/comments/scoring-system-for-hof-ballots-2015 - 7" xr:uid="{00000000-0004-0000-0100-000000000000}"/>
    <hyperlink ref="AI149" r:id="rId2" xr:uid="{00000000-0004-0000-0100-000001000000}"/>
    <hyperlink ref="AI175" r:id="rId3" xr:uid="{00000000-0004-0000-0100-000002000000}"/>
    <hyperlink ref="AI63" r:id="rId4" xr:uid="{00000000-0004-0000-0100-000003000000}"/>
    <hyperlink ref="AI138" r:id="rId5" xr:uid="{00000000-0004-0000-0100-000004000000}"/>
    <hyperlink ref="AI39" r:id="rId6" xr:uid="{00000000-0004-0000-0100-000005000000}"/>
    <hyperlink ref="AI60" r:id="rId7" xr:uid="{00000000-0004-0000-0100-000006000000}"/>
    <hyperlink ref="AI160" r:id="rId8" xr:uid="{00000000-0004-0000-0100-000007000000}"/>
    <hyperlink ref="AI137" r:id="rId9" xr:uid="{00000000-0004-0000-0100-000008000000}"/>
    <hyperlink ref="AI36" r:id="rId10" xr:uid="{00000000-0004-0000-0100-000009000000}"/>
    <hyperlink ref="AI58" r:id="rId11" xr:uid="{00000000-0004-0000-0100-00000A000000}"/>
    <hyperlink ref="AI59" r:id="rId12" xr:uid="{00000000-0004-0000-0100-00000B000000}"/>
    <hyperlink ref="AI85" r:id="rId13" xr:uid="{00000000-0004-0000-0100-00000C000000}"/>
    <hyperlink ref="AI170" r:id="rId14" xr:uid="{00000000-0004-0000-0100-00000D000000}"/>
    <hyperlink ref="AI158" r:id="rId15" xr:uid="{00000000-0004-0000-0100-00000E000000}"/>
    <hyperlink ref="CJ18" r:id="rId16" xr:uid="{00000000-0004-0000-0100-00000F000000}"/>
    <hyperlink ref="AI64" r:id="rId17" xr:uid="{00000000-0004-0000-0100-000010000000}"/>
    <hyperlink ref="AI207" r:id="rId18" xr:uid="{00000000-0004-0000-0100-000011000000}"/>
    <hyperlink ref="AI133" r:id="rId19" xr:uid="{00000000-0004-0000-0100-000012000000}"/>
    <hyperlink ref="AI105" r:id="rId20" xr:uid="{00000000-0004-0000-0100-000013000000}"/>
    <hyperlink ref="AI25" r:id="rId21" xr:uid="{00000000-0004-0000-0100-000014000000}"/>
    <hyperlink ref="AI23" r:id="rId22" xr:uid="{00000000-0004-0000-0100-000015000000}"/>
    <hyperlink ref="AI202" r:id="rId23" xr:uid="{00000000-0004-0000-0100-000016000000}"/>
    <hyperlink ref="AI66" r:id="rId24" xr:uid="{00000000-0004-0000-0100-000017000000}"/>
    <hyperlink ref="AI216" r:id="rId25" xr:uid="{00000000-0004-0000-0100-000018000000}"/>
    <hyperlink ref="AI136" r:id="rId26" xr:uid="{00000000-0004-0000-0100-000019000000}"/>
    <hyperlink ref="AI150" r:id="rId27" xr:uid="{00000000-0004-0000-0100-00001A000000}"/>
    <hyperlink ref="AI179" r:id="rId28" xr:uid="{00000000-0004-0000-0100-00001B000000}"/>
    <hyperlink ref="AI203" r:id="rId29" xr:uid="{00000000-0004-0000-0100-00001C000000}"/>
    <hyperlink ref="AI46" r:id="rId30" xr:uid="{00000000-0004-0000-0100-00001D000000}"/>
    <hyperlink ref="AI176" r:id="rId31" xr:uid="{00000000-0004-0000-0100-00001E000000}"/>
    <hyperlink ref="AI142" r:id="rId32" xr:uid="{00000000-0004-0000-0100-00001F000000}"/>
    <hyperlink ref="AI141" r:id="rId33" xr:uid="{00000000-0004-0000-0100-000020000000}"/>
    <hyperlink ref="AI92" r:id="rId34" xr:uid="{00000000-0004-0000-0100-000021000000}"/>
  </hyperlinks>
  <pageMargins left="0.7" right="0.7" top="0.75" bottom="0.75" header="0.3" footer="0.3"/>
  <pageSetup orientation="portrait" r:id="rId3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DA353"/>
  <sheetViews>
    <sheetView workbookViewId="0" xr3:uid="{51F8DEE0-4D01-5F28-A812-FC0BD7CAC4A5}">
      <pane xSplit="1" ySplit="8" topLeftCell="F9" activePane="bottomRight" state="frozen"/>
      <selection pane="bottomRight" activeCell="CZ16" sqref="CZ16"/>
      <selection pane="bottomLeft" activeCell="A9" sqref="A9"/>
      <selection pane="topRight" activeCell="B1" sqref="B1"/>
    </sheetView>
  </sheetViews>
  <sheetFormatPr defaultColWidth="14.42578125" defaultRowHeight="12.75" customHeight="1"/>
  <cols>
    <col min="1" max="1" width="28" style="137" customWidth="1"/>
    <col min="2" max="2" width="14.85546875" style="137" hidden="1" customWidth="1"/>
    <col min="3" max="3" width="11.85546875" style="137" hidden="1" customWidth="1"/>
    <col min="4" max="7" width="6.42578125" style="137" customWidth="1"/>
    <col min="8" max="8" width="6.42578125" style="137" hidden="1" customWidth="1"/>
    <col min="9" max="10" width="6.42578125" style="137" customWidth="1"/>
    <col min="11" max="11" width="6.42578125" style="137" hidden="1" customWidth="1"/>
    <col min="12" max="12" width="6.42578125" style="137" customWidth="1"/>
    <col min="13" max="13" width="6.42578125" style="137" hidden="1" customWidth="1"/>
    <col min="14" max="14" width="8.140625" style="137" customWidth="1"/>
    <col min="15" max="15" width="6.42578125" style="137" hidden="1" customWidth="1"/>
    <col min="16" max="16" width="6.42578125" style="137" customWidth="1"/>
    <col min="17" max="17" width="9.42578125" style="137" hidden="1" customWidth="1"/>
    <col min="18" max="24" width="6.42578125" style="137" customWidth="1"/>
    <col min="25" max="25" width="6.42578125" style="137" hidden="1" customWidth="1"/>
    <col min="26" max="29" width="6.42578125" style="137" customWidth="1"/>
    <col min="30" max="30" width="7" style="137" customWidth="1"/>
    <col min="31" max="31" width="6.42578125" style="137" hidden="1" customWidth="1"/>
    <col min="32" max="36" width="6.42578125" style="137" customWidth="1"/>
    <col min="37" max="37" width="7" style="137" customWidth="1"/>
    <col min="38" max="38" width="6.85546875" style="137" customWidth="1"/>
    <col min="39" max="39" width="19.7109375" style="137" customWidth="1"/>
    <col min="40" max="40" width="11.42578125" style="137" customWidth="1"/>
    <col min="41" max="41" width="1.42578125" style="137" customWidth="1"/>
    <col min="42" max="78" width="3" style="137" hidden="1" customWidth="1"/>
    <col min="79" max="80" width="8" style="137" customWidth="1"/>
    <col min="81" max="103" width="3.7109375" style="137" hidden="1" customWidth="1"/>
    <col min="104" max="104" width="15.28515625" style="137" customWidth="1"/>
    <col min="105" max="105" width="2.28515625" style="137" customWidth="1"/>
    <col min="106" max="16384" width="14.42578125" style="137"/>
  </cols>
  <sheetData>
    <row r="1" spans="1:104" ht="39.75" customHeight="1">
      <c r="A1" s="831" t="str">
        <f>HYPERLINK("www.twitter.com/NotMrTibbs", "Follow @NotMrTibbs on Twitter")</f>
        <v>Follow @NotMrTibbs on Twitter</v>
      </c>
      <c r="B1" s="640"/>
      <c r="C1" s="640"/>
      <c r="D1" s="840" t="s">
        <v>1016</v>
      </c>
      <c r="E1" s="817"/>
      <c r="F1" s="817"/>
      <c r="G1" s="817"/>
      <c r="H1" s="817"/>
      <c r="I1" s="817"/>
      <c r="J1" s="817"/>
      <c r="K1" s="817"/>
      <c r="L1" s="817"/>
      <c r="M1" s="199"/>
      <c r="N1" s="833">
        <f>(COUNTA($A22:$A353))</f>
        <v>331</v>
      </c>
      <c r="O1" s="200"/>
      <c r="P1" s="201"/>
      <c r="Q1" s="202">
        <f>571-N1</f>
        <v>240</v>
      </c>
      <c r="R1" s="824" t="s">
        <v>1017</v>
      </c>
      <c r="S1" s="817"/>
      <c r="T1" s="817"/>
      <c r="U1" s="825">
        <f>N1/549</f>
        <v>0.60291438979963574</v>
      </c>
      <c r="V1" s="817"/>
      <c r="W1" s="203"/>
      <c r="X1" s="816" t="s">
        <v>695</v>
      </c>
      <c r="Y1" s="817"/>
      <c r="Z1" s="817"/>
      <c r="AA1" s="817"/>
      <c r="AB1" s="204">
        <f>AVERAGE(AL22:AL353)</f>
        <v>8.7280966767371595</v>
      </c>
      <c r="AC1" s="205">
        <f>AB1*N1</f>
        <v>2889</v>
      </c>
      <c r="AD1" s="837" t="str">
        <f>HYPERLINK("http://1drv.ms/1JDa1qL", "Downloadable Excel Version (as of 326 ballots)")</f>
        <v>Downloadable Excel Version (as of 326 ballots)</v>
      </c>
      <c r="AE1" s="817"/>
      <c r="AF1" s="817"/>
      <c r="AG1" s="206"/>
      <c r="AH1" s="838" t="s">
        <v>1018</v>
      </c>
      <c r="AI1" s="839"/>
      <c r="AJ1" s="839"/>
      <c r="AK1" s="839"/>
      <c r="AL1" s="207"/>
      <c r="AM1" s="835" t="s">
        <v>1019</v>
      </c>
      <c r="AN1" s="817"/>
      <c r="AO1" s="640"/>
      <c r="AP1" s="640"/>
      <c r="AQ1" s="640"/>
      <c r="AR1" s="640"/>
      <c r="AS1" s="640"/>
      <c r="AT1" s="640"/>
      <c r="AU1" s="640"/>
      <c r="AV1" s="640"/>
      <c r="AW1" s="640"/>
      <c r="AX1" s="640"/>
      <c r="AY1" s="640"/>
      <c r="AZ1" s="640"/>
      <c r="BA1" s="640"/>
      <c r="BB1" s="640"/>
      <c r="BC1" s="640"/>
      <c r="BD1" s="640"/>
      <c r="BE1" s="640"/>
      <c r="BF1" s="640"/>
      <c r="BG1" s="640"/>
      <c r="BH1" s="640"/>
      <c r="BI1" s="640"/>
      <c r="BJ1" s="640"/>
      <c r="BK1" s="640"/>
      <c r="BL1" s="640"/>
      <c r="BM1" s="640"/>
      <c r="BN1" s="640"/>
      <c r="BO1" s="640"/>
      <c r="BP1" s="640"/>
      <c r="BQ1" s="640"/>
      <c r="BR1" s="640"/>
      <c r="BS1" s="640"/>
      <c r="BT1" s="640"/>
      <c r="BU1" s="640"/>
      <c r="BV1" s="640"/>
      <c r="BW1" s="640"/>
      <c r="BX1" s="640"/>
      <c r="BY1" s="640"/>
      <c r="BZ1" s="640"/>
      <c r="CA1" s="818" t="s">
        <v>1020</v>
      </c>
      <c r="CB1" s="817"/>
      <c r="CC1" s="817"/>
      <c r="CD1" s="817"/>
      <c r="CE1" s="817"/>
      <c r="CF1" s="817"/>
      <c r="CG1" s="817"/>
      <c r="CH1" s="817"/>
      <c r="CI1" s="817"/>
      <c r="CJ1" s="817"/>
      <c r="CK1" s="817"/>
      <c r="CL1" s="817"/>
      <c r="CM1" s="817"/>
      <c r="CN1" s="817"/>
      <c r="CO1" s="817"/>
      <c r="CP1" s="817"/>
      <c r="CQ1" s="817"/>
      <c r="CR1" s="817"/>
      <c r="CS1" s="817"/>
      <c r="CT1" s="817"/>
      <c r="CU1" s="817"/>
      <c r="CV1" s="817"/>
      <c r="CW1" s="817"/>
      <c r="CX1" s="817"/>
      <c r="CY1" s="817"/>
      <c r="CZ1" s="819"/>
    </row>
    <row r="2" spans="1:104" ht="45" customHeight="1">
      <c r="A2" s="832"/>
      <c r="B2" s="639"/>
      <c r="C2" s="639"/>
      <c r="D2" s="820"/>
      <c r="E2" s="820"/>
      <c r="F2" s="820"/>
      <c r="G2" s="820"/>
      <c r="H2" s="820"/>
      <c r="I2" s="820"/>
      <c r="J2" s="820"/>
      <c r="K2" s="820"/>
      <c r="L2" s="820"/>
      <c r="M2" s="138"/>
      <c r="N2" s="834"/>
      <c r="O2" s="208"/>
      <c r="P2" s="208"/>
      <c r="Q2" s="195"/>
      <c r="R2" s="827" t="s">
        <v>1021</v>
      </c>
      <c r="S2" s="820"/>
      <c r="T2" s="820"/>
      <c r="U2" s="820"/>
      <c r="V2" s="820"/>
      <c r="W2" s="209"/>
      <c r="X2" s="826" t="s">
        <v>8</v>
      </c>
      <c r="Y2" s="820"/>
      <c r="Z2" s="820"/>
      <c r="AA2" s="820"/>
      <c r="AB2" s="210">
        <f>AC2</f>
        <v>7.9541284403669721</v>
      </c>
      <c r="AC2" s="211">
        <f>(AL4-AC1)/AL5</f>
        <v>7.9541284403669721</v>
      </c>
      <c r="AD2" s="820"/>
      <c r="AE2" s="820"/>
      <c r="AF2" s="820"/>
      <c r="AG2" s="212"/>
      <c r="AH2" s="836" t="s">
        <v>1022</v>
      </c>
      <c r="AI2" s="815"/>
      <c r="AJ2" s="815"/>
      <c r="AK2" s="815"/>
      <c r="AL2" s="142"/>
      <c r="AM2" s="820"/>
      <c r="AN2" s="820"/>
      <c r="AO2" s="639"/>
      <c r="AP2" s="639"/>
      <c r="AQ2" s="639"/>
      <c r="AR2" s="639"/>
      <c r="AS2" s="639"/>
      <c r="AT2" s="639"/>
      <c r="AU2" s="639"/>
      <c r="AV2" s="639"/>
      <c r="AW2" s="639"/>
      <c r="AX2" s="639"/>
      <c r="AY2" s="639"/>
      <c r="AZ2" s="639"/>
      <c r="BA2" s="639"/>
      <c r="BB2" s="639"/>
      <c r="BC2" s="639"/>
      <c r="BD2" s="639"/>
      <c r="BE2" s="639"/>
      <c r="BF2" s="639"/>
      <c r="BG2" s="639"/>
      <c r="BH2" s="639"/>
      <c r="BI2" s="639"/>
      <c r="BJ2" s="639"/>
      <c r="BK2" s="639"/>
      <c r="BL2" s="639"/>
      <c r="BM2" s="639"/>
      <c r="BN2" s="639"/>
      <c r="BO2" s="639"/>
      <c r="BP2" s="639"/>
      <c r="BQ2" s="639"/>
      <c r="BR2" s="639"/>
      <c r="BS2" s="639"/>
      <c r="BT2" s="639"/>
      <c r="BU2" s="639"/>
      <c r="BV2" s="639"/>
      <c r="BW2" s="639"/>
      <c r="BX2" s="639"/>
      <c r="BY2" s="639"/>
      <c r="BZ2" s="639"/>
      <c r="CA2" s="820"/>
      <c r="CB2" s="820"/>
      <c r="CC2" s="820"/>
      <c r="CD2" s="820"/>
      <c r="CE2" s="820"/>
      <c r="CF2" s="820"/>
      <c r="CG2" s="820"/>
      <c r="CH2" s="820"/>
      <c r="CI2" s="820"/>
      <c r="CJ2" s="820"/>
      <c r="CK2" s="820"/>
      <c r="CL2" s="820"/>
      <c r="CM2" s="820"/>
      <c r="CN2" s="820"/>
      <c r="CO2" s="820"/>
      <c r="CP2" s="820"/>
      <c r="CQ2" s="820"/>
      <c r="CR2" s="820"/>
      <c r="CS2" s="820"/>
      <c r="CT2" s="820"/>
      <c r="CU2" s="820"/>
      <c r="CV2" s="820"/>
      <c r="CW2" s="820"/>
      <c r="CX2" s="820"/>
      <c r="CY2" s="820"/>
      <c r="CZ2" s="821"/>
    </row>
    <row r="3" spans="1:104" ht="37.5" customHeight="1">
      <c r="A3" s="832"/>
      <c r="B3" s="641" t="s">
        <v>1023</v>
      </c>
      <c r="C3" s="190" t="s">
        <v>1024</v>
      </c>
      <c r="D3" s="213" t="s">
        <v>1025</v>
      </c>
      <c r="E3" s="213" t="s">
        <v>1026</v>
      </c>
      <c r="F3" s="213" t="s">
        <v>1027</v>
      </c>
      <c r="G3" s="213" t="s">
        <v>1028</v>
      </c>
      <c r="H3" s="213" t="s">
        <v>1029</v>
      </c>
      <c r="I3" s="213" t="s">
        <v>1030</v>
      </c>
      <c r="J3" s="214" t="s">
        <v>1031</v>
      </c>
      <c r="K3" s="213" t="s">
        <v>1032</v>
      </c>
      <c r="L3" s="213" t="s">
        <v>1033</v>
      </c>
      <c r="M3" s="213" t="s">
        <v>1034</v>
      </c>
      <c r="N3" s="214" t="s">
        <v>1035</v>
      </c>
      <c r="O3" s="214" t="s">
        <v>1036</v>
      </c>
      <c r="P3" s="214" t="s">
        <v>1037</v>
      </c>
      <c r="Q3" s="214" t="s">
        <v>1038</v>
      </c>
      <c r="R3" s="214" t="s">
        <v>1039</v>
      </c>
      <c r="S3" s="213" t="s">
        <v>1040</v>
      </c>
      <c r="T3" s="213" t="s">
        <v>1041</v>
      </c>
      <c r="U3" s="214" t="s">
        <v>1042</v>
      </c>
      <c r="V3" s="213" t="s">
        <v>1043</v>
      </c>
      <c r="W3" s="213" t="s">
        <v>1044</v>
      </c>
      <c r="X3" s="213" t="s">
        <v>1045</v>
      </c>
      <c r="Y3" s="213" t="s">
        <v>1046</v>
      </c>
      <c r="Z3" s="213" t="s">
        <v>1047</v>
      </c>
      <c r="AA3" s="213" t="s">
        <v>1048</v>
      </c>
      <c r="AB3" s="213" t="s">
        <v>1049</v>
      </c>
      <c r="AC3" s="213" t="s">
        <v>1050</v>
      </c>
      <c r="AD3" s="213" t="s">
        <v>1051</v>
      </c>
      <c r="AE3" s="214" t="s">
        <v>1052</v>
      </c>
      <c r="AF3" s="214" t="s">
        <v>1053</v>
      </c>
      <c r="AG3" s="213" t="s">
        <v>1054</v>
      </c>
      <c r="AH3" s="214" t="s">
        <v>1055</v>
      </c>
      <c r="AI3" s="213" t="s">
        <v>1056</v>
      </c>
      <c r="AJ3" s="213" t="s">
        <v>1057</v>
      </c>
      <c r="AK3" s="213" t="s">
        <v>1058</v>
      </c>
      <c r="AL3" s="143" t="s">
        <v>730</v>
      </c>
      <c r="AM3" s="829" t="s">
        <v>1059</v>
      </c>
      <c r="AN3" s="820"/>
      <c r="AO3" s="639"/>
      <c r="AP3" s="639"/>
      <c r="AQ3" s="639"/>
      <c r="AR3" s="639"/>
      <c r="AS3" s="639"/>
      <c r="AT3" s="639"/>
      <c r="AU3" s="639"/>
      <c r="AV3" s="639"/>
      <c r="AW3" s="639"/>
      <c r="AX3" s="639"/>
      <c r="AY3" s="639"/>
      <c r="AZ3" s="639"/>
      <c r="BA3" s="639"/>
      <c r="BB3" s="639"/>
      <c r="BC3" s="639"/>
      <c r="BD3" s="639"/>
      <c r="BE3" s="639"/>
      <c r="BF3" s="639"/>
      <c r="BG3" s="639"/>
      <c r="BH3" s="639"/>
      <c r="BI3" s="639"/>
      <c r="BJ3" s="639"/>
      <c r="BK3" s="639"/>
      <c r="BL3" s="639"/>
      <c r="BM3" s="639"/>
      <c r="BN3" s="639"/>
      <c r="BO3" s="639"/>
      <c r="BP3" s="639"/>
      <c r="BQ3" s="639"/>
      <c r="BR3" s="639"/>
      <c r="BS3" s="639"/>
      <c r="BT3" s="639"/>
      <c r="BU3" s="639"/>
      <c r="BV3" s="639"/>
      <c r="BW3" s="639"/>
      <c r="BX3" s="639"/>
      <c r="BY3" s="639"/>
      <c r="BZ3" s="639"/>
      <c r="CA3" s="822" t="s">
        <v>1060</v>
      </c>
      <c r="CB3" s="820"/>
      <c r="CC3" s="820"/>
      <c r="CD3" s="820"/>
      <c r="CE3" s="820"/>
      <c r="CF3" s="820"/>
      <c r="CG3" s="820"/>
      <c r="CH3" s="820"/>
      <c r="CI3" s="820"/>
      <c r="CJ3" s="820"/>
      <c r="CK3" s="820"/>
      <c r="CL3" s="820"/>
      <c r="CM3" s="820"/>
      <c r="CN3" s="820"/>
      <c r="CO3" s="820"/>
      <c r="CP3" s="820"/>
      <c r="CQ3" s="820"/>
      <c r="CR3" s="820"/>
      <c r="CS3" s="820"/>
      <c r="CT3" s="820"/>
      <c r="CU3" s="820"/>
      <c r="CV3" s="820"/>
      <c r="CW3" s="820"/>
      <c r="CX3" s="820"/>
      <c r="CY3" s="820"/>
      <c r="CZ3" s="821"/>
    </row>
    <row r="4" spans="1:104" ht="17.25" customHeight="1">
      <c r="A4" s="215" t="s">
        <v>1061</v>
      </c>
      <c r="B4" s="216"/>
      <c r="C4" s="217">
        <f>COUNTIF(C190:C210,"1")/COUNTA($A190:$A210)</f>
        <v>0</v>
      </c>
      <c r="D4" s="218">
        <f t="shared" ref="D4:AK4" si="0">COUNTIF(D22:D353,"1")/$N$1</f>
        <v>0.60725075528700911</v>
      </c>
      <c r="E4" s="218">
        <f t="shared" si="0"/>
        <v>0.85800604229607247</v>
      </c>
      <c r="F4" s="218">
        <f t="shared" si="0"/>
        <v>0.39274924471299094</v>
      </c>
      <c r="G4" s="218">
        <f t="shared" si="0"/>
        <v>3.0211480362537764E-3</v>
      </c>
      <c r="H4" s="218">
        <f t="shared" si="0"/>
        <v>0</v>
      </c>
      <c r="I4" s="218">
        <f t="shared" si="0"/>
        <v>0.39274924471299094</v>
      </c>
      <c r="J4" s="218">
        <f t="shared" si="0"/>
        <v>2.1148036253776436E-2</v>
      </c>
      <c r="K4" s="218">
        <f t="shared" si="0"/>
        <v>0</v>
      </c>
      <c r="L4" s="218">
        <f t="shared" si="0"/>
        <v>0</v>
      </c>
      <c r="M4" s="218">
        <f t="shared" si="0"/>
        <v>0</v>
      </c>
      <c r="N4" s="218">
        <f t="shared" si="0"/>
        <v>2.4169184290030211E-2</v>
      </c>
      <c r="O4" s="218">
        <f t="shared" si="0"/>
        <v>0</v>
      </c>
      <c r="P4" s="218">
        <f t="shared" si="0"/>
        <v>3.0211480362537764E-3</v>
      </c>
      <c r="Q4" s="218">
        <f t="shared" si="0"/>
        <v>0</v>
      </c>
      <c r="R4" s="218">
        <f t="shared" si="0"/>
        <v>0.99093655589123864</v>
      </c>
      <c r="S4" s="218">
        <f t="shared" si="0"/>
        <v>0.13897280966767372</v>
      </c>
      <c r="T4" s="218">
        <f t="shared" si="0"/>
        <v>0.27492447129909364</v>
      </c>
      <c r="U4" s="218">
        <f t="shared" si="0"/>
        <v>0.98187311178247738</v>
      </c>
      <c r="V4" s="218">
        <f t="shared" si="0"/>
        <v>6.6465256797583083E-2</v>
      </c>
      <c r="W4" s="218">
        <f t="shared" si="0"/>
        <v>0.12688821752265861</v>
      </c>
      <c r="X4" s="218">
        <f t="shared" si="0"/>
        <v>9.3655589123867067E-2</v>
      </c>
      <c r="Y4" s="218">
        <f t="shared" si="0"/>
        <v>0</v>
      </c>
      <c r="Z4" s="218">
        <f t="shared" si="0"/>
        <v>0.30211480362537763</v>
      </c>
      <c r="AA4" s="218">
        <f t="shared" si="0"/>
        <v>3.0211480362537764E-3</v>
      </c>
      <c r="AB4" s="218">
        <f t="shared" si="0"/>
        <v>0.75226586102719029</v>
      </c>
      <c r="AC4" s="218">
        <f t="shared" si="0"/>
        <v>0.6012084592145015</v>
      </c>
      <c r="AD4" s="218">
        <f t="shared" si="0"/>
        <v>0.45619335347432022</v>
      </c>
      <c r="AE4" s="218">
        <f t="shared" si="0"/>
        <v>0</v>
      </c>
      <c r="AF4" s="218">
        <f t="shared" si="0"/>
        <v>0.1027190332326284</v>
      </c>
      <c r="AG4" s="218">
        <f t="shared" si="0"/>
        <v>0.25075528700906347</v>
      </c>
      <c r="AH4" s="218">
        <f t="shared" si="0"/>
        <v>0.87915407854984895</v>
      </c>
      <c r="AI4" s="218">
        <f t="shared" si="0"/>
        <v>5.1359516616314202E-2</v>
      </c>
      <c r="AJ4" s="218">
        <f t="shared" si="0"/>
        <v>0.25075528700906347</v>
      </c>
      <c r="AK4" s="218">
        <f t="shared" si="0"/>
        <v>8.7613293051359523E-2</v>
      </c>
      <c r="AL4" s="147">
        <v>4623</v>
      </c>
      <c r="AM4" s="820"/>
      <c r="AN4" s="820"/>
      <c r="AO4" s="639"/>
      <c r="AP4" s="639"/>
      <c r="AQ4" s="639"/>
      <c r="AR4" s="639"/>
      <c r="AS4" s="639"/>
      <c r="AT4" s="639"/>
      <c r="AU4" s="639"/>
      <c r="AV4" s="639"/>
      <c r="AW4" s="639"/>
      <c r="AX4" s="639"/>
      <c r="AY4" s="639"/>
      <c r="AZ4" s="639"/>
      <c r="BA4" s="639"/>
      <c r="BB4" s="639"/>
      <c r="BC4" s="639"/>
      <c r="BD4" s="639"/>
      <c r="BE4" s="639"/>
      <c r="BF4" s="639"/>
      <c r="BG4" s="639"/>
      <c r="BH4" s="639"/>
      <c r="BI4" s="639"/>
      <c r="BJ4" s="639"/>
      <c r="BK4" s="639"/>
      <c r="BL4" s="639"/>
      <c r="BM4" s="639"/>
      <c r="BN4" s="639"/>
      <c r="BO4" s="639"/>
      <c r="BP4" s="639"/>
      <c r="BQ4" s="639"/>
      <c r="BR4" s="639"/>
      <c r="BS4" s="639"/>
      <c r="BT4" s="639"/>
      <c r="BU4" s="639"/>
      <c r="BV4" s="639"/>
      <c r="BW4" s="639"/>
      <c r="BX4" s="639"/>
      <c r="BY4" s="639"/>
      <c r="BZ4" s="639"/>
      <c r="CA4" s="820"/>
      <c r="CB4" s="820"/>
      <c r="CC4" s="820"/>
      <c r="CD4" s="820"/>
      <c r="CE4" s="820"/>
      <c r="CF4" s="820"/>
      <c r="CG4" s="820"/>
      <c r="CH4" s="820"/>
      <c r="CI4" s="820"/>
      <c r="CJ4" s="820"/>
      <c r="CK4" s="820"/>
      <c r="CL4" s="820"/>
      <c r="CM4" s="820"/>
      <c r="CN4" s="820"/>
      <c r="CO4" s="820"/>
      <c r="CP4" s="820"/>
      <c r="CQ4" s="820"/>
      <c r="CR4" s="820"/>
      <c r="CS4" s="820"/>
      <c r="CT4" s="820"/>
      <c r="CU4" s="820"/>
      <c r="CV4" s="820"/>
      <c r="CW4" s="820"/>
      <c r="CX4" s="820"/>
      <c r="CY4" s="820"/>
      <c r="CZ4" s="821"/>
    </row>
    <row r="5" spans="1:104" ht="17.25" customHeight="1">
      <c r="A5" s="219" t="s">
        <v>1062</v>
      </c>
      <c r="B5" s="220">
        <f>SUM(B210:B457)</f>
        <v>0</v>
      </c>
      <c r="C5" s="221">
        <f>SUM(C190:C457)</f>
        <v>0</v>
      </c>
      <c r="D5" s="221">
        <f t="shared" ref="D5:AK5" si="1">SUM(D22:D$353)</f>
        <v>201</v>
      </c>
      <c r="E5" s="221">
        <f t="shared" si="1"/>
        <v>284</v>
      </c>
      <c r="F5" s="221">
        <f t="shared" si="1"/>
        <v>130</v>
      </c>
      <c r="G5" s="221">
        <f t="shared" si="1"/>
        <v>1</v>
      </c>
      <c r="H5" s="221">
        <f t="shared" si="1"/>
        <v>0</v>
      </c>
      <c r="I5" s="221">
        <f t="shared" si="1"/>
        <v>130</v>
      </c>
      <c r="J5" s="221">
        <f t="shared" si="1"/>
        <v>7</v>
      </c>
      <c r="K5" s="221">
        <f t="shared" si="1"/>
        <v>0</v>
      </c>
      <c r="L5" s="221">
        <f t="shared" si="1"/>
        <v>0</v>
      </c>
      <c r="M5" s="221">
        <f t="shared" si="1"/>
        <v>0</v>
      </c>
      <c r="N5" s="221">
        <f t="shared" si="1"/>
        <v>8</v>
      </c>
      <c r="O5" s="221">
        <f t="shared" si="1"/>
        <v>0</v>
      </c>
      <c r="P5" s="221">
        <f t="shared" si="1"/>
        <v>1</v>
      </c>
      <c r="Q5" s="221">
        <f t="shared" si="1"/>
        <v>0</v>
      </c>
      <c r="R5" s="221">
        <f t="shared" si="1"/>
        <v>328</v>
      </c>
      <c r="S5" s="221">
        <f t="shared" si="1"/>
        <v>46</v>
      </c>
      <c r="T5" s="221">
        <f t="shared" si="1"/>
        <v>91</v>
      </c>
      <c r="U5" s="221">
        <f t="shared" si="1"/>
        <v>325</v>
      </c>
      <c r="V5" s="221">
        <f t="shared" si="1"/>
        <v>22</v>
      </c>
      <c r="W5" s="221">
        <f t="shared" si="1"/>
        <v>42</v>
      </c>
      <c r="X5" s="221">
        <f t="shared" si="1"/>
        <v>31</v>
      </c>
      <c r="Y5" s="221">
        <f t="shared" si="1"/>
        <v>0</v>
      </c>
      <c r="Z5" s="221">
        <f t="shared" si="1"/>
        <v>100</v>
      </c>
      <c r="AA5" s="221">
        <f t="shared" si="1"/>
        <v>1</v>
      </c>
      <c r="AB5" s="221">
        <f t="shared" si="1"/>
        <v>249</v>
      </c>
      <c r="AC5" s="221">
        <f t="shared" si="1"/>
        <v>199</v>
      </c>
      <c r="AD5" s="221">
        <f t="shared" si="1"/>
        <v>151</v>
      </c>
      <c r="AE5" s="221">
        <f t="shared" si="1"/>
        <v>0</v>
      </c>
      <c r="AF5" s="221">
        <f t="shared" si="1"/>
        <v>34</v>
      </c>
      <c r="AG5" s="221">
        <f t="shared" si="1"/>
        <v>83</v>
      </c>
      <c r="AH5" s="221">
        <f t="shared" si="1"/>
        <v>291</v>
      </c>
      <c r="AI5" s="221">
        <f t="shared" si="1"/>
        <v>17</v>
      </c>
      <c r="AJ5" s="221">
        <f t="shared" si="1"/>
        <v>83</v>
      </c>
      <c r="AK5" s="221">
        <f t="shared" si="1"/>
        <v>29</v>
      </c>
      <c r="AL5" s="151">
        <f>549-N1</f>
        <v>218</v>
      </c>
      <c r="AM5" s="829" t="s">
        <v>1063</v>
      </c>
      <c r="AN5" s="820"/>
      <c r="AO5" s="639"/>
      <c r="AP5" s="639"/>
      <c r="AQ5" s="639"/>
      <c r="AR5" s="639"/>
      <c r="AS5" s="639"/>
      <c r="AT5" s="639"/>
      <c r="AU5" s="639"/>
      <c r="AV5" s="639"/>
      <c r="AW5" s="639"/>
      <c r="AX5" s="639"/>
      <c r="AY5" s="639"/>
      <c r="AZ5" s="639"/>
      <c r="BA5" s="639"/>
      <c r="BB5" s="639"/>
      <c r="BC5" s="639"/>
      <c r="BD5" s="639"/>
      <c r="BE5" s="639"/>
      <c r="BF5" s="639"/>
      <c r="BG5" s="639"/>
      <c r="BH5" s="639"/>
      <c r="BI5" s="639"/>
      <c r="BJ5" s="639"/>
      <c r="BK5" s="639"/>
      <c r="BL5" s="639"/>
      <c r="BM5" s="639"/>
      <c r="BN5" s="639"/>
      <c r="BO5" s="639"/>
      <c r="BP5" s="639"/>
      <c r="BQ5" s="639"/>
      <c r="BR5" s="639"/>
      <c r="BS5" s="639"/>
      <c r="BT5" s="639"/>
      <c r="BU5" s="639"/>
      <c r="BV5" s="639"/>
      <c r="BW5" s="639"/>
      <c r="BX5" s="639"/>
      <c r="BY5" s="639"/>
      <c r="BZ5" s="639"/>
      <c r="CA5" s="820"/>
      <c r="CB5" s="820"/>
      <c r="CC5" s="820"/>
      <c r="CD5" s="820"/>
      <c r="CE5" s="820"/>
      <c r="CF5" s="820"/>
      <c r="CG5" s="820"/>
      <c r="CH5" s="820"/>
      <c r="CI5" s="820"/>
      <c r="CJ5" s="820"/>
      <c r="CK5" s="820"/>
      <c r="CL5" s="820"/>
      <c r="CM5" s="820"/>
      <c r="CN5" s="820"/>
      <c r="CO5" s="820"/>
      <c r="CP5" s="820"/>
      <c r="CQ5" s="820"/>
      <c r="CR5" s="820"/>
      <c r="CS5" s="820"/>
      <c r="CT5" s="820"/>
      <c r="CU5" s="820"/>
      <c r="CV5" s="820"/>
      <c r="CW5" s="820"/>
      <c r="CX5" s="820"/>
      <c r="CY5" s="820"/>
      <c r="CZ5" s="821"/>
    </row>
    <row r="6" spans="1:104" ht="17.25" hidden="1" customHeight="1">
      <c r="A6" s="222" t="s">
        <v>1064</v>
      </c>
      <c r="B6" s="223"/>
      <c r="C6" s="152">
        <v>0.55649999999999999</v>
      </c>
      <c r="D6" s="152">
        <v>0.77426923076923104</v>
      </c>
      <c r="E6" s="152">
        <v>0.33107692307692299</v>
      </c>
      <c r="F6" s="152"/>
      <c r="G6" s="152">
        <v>0.34165384615384597</v>
      </c>
      <c r="H6" s="152"/>
      <c r="I6" s="152"/>
      <c r="J6" s="153" t="s">
        <v>1065</v>
      </c>
      <c r="K6" s="153"/>
      <c r="L6" s="153"/>
      <c r="M6" s="153"/>
      <c r="N6" s="153" t="s">
        <v>1065</v>
      </c>
      <c r="O6" s="153"/>
      <c r="P6" s="153" t="s">
        <v>1065</v>
      </c>
      <c r="Q6" s="152">
        <v>0.25580769230769201</v>
      </c>
      <c r="R6" s="152">
        <v>0.118076923076923</v>
      </c>
      <c r="S6" s="152">
        <v>0.115192307692308</v>
      </c>
      <c r="T6" s="152">
        <v>7.9769230769230801E-2</v>
      </c>
      <c r="U6" s="152">
        <v>0.67938461538461603</v>
      </c>
      <c r="V6" s="153" t="s">
        <v>1065</v>
      </c>
      <c r="W6" s="153" t="s">
        <v>1065</v>
      </c>
      <c r="X6" s="152">
        <v>3.2692307692307701E-2</v>
      </c>
      <c r="Y6" s="152">
        <v>0.65288461538461495</v>
      </c>
      <c r="Z6" s="152">
        <v>0.44326923076923103</v>
      </c>
      <c r="AA6" s="152"/>
      <c r="AB6" s="152">
        <v>0.36238461538461503</v>
      </c>
      <c r="AC6" s="152"/>
      <c r="AD6" s="152">
        <v>0.31138461538461498</v>
      </c>
      <c r="AE6" s="152"/>
      <c r="AF6" s="152">
        <v>6.3115384615384601E-2</v>
      </c>
      <c r="AG6" s="153" t="s">
        <v>1065</v>
      </c>
      <c r="AH6" s="152"/>
      <c r="AI6" s="152">
        <v>0.19715384615384601</v>
      </c>
      <c r="AJ6" s="152">
        <v>0.13473076923076899</v>
      </c>
      <c r="AK6" s="155"/>
      <c r="AL6" s="154"/>
      <c r="AM6" s="154"/>
      <c r="AN6" s="155"/>
      <c r="AO6" s="639"/>
      <c r="AP6" s="639"/>
      <c r="AQ6" s="639"/>
      <c r="AR6" s="639"/>
      <c r="AS6" s="639"/>
      <c r="AT6" s="639"/>
      <c r="AU6" s="639"/>
      <c r="AV6" s="639"/>
      <c r="AW6" s="639"/>
      <c r="AX6" s="639"/>
      <c r="AY6" s="639"/>
      <c r="AZ6" s="639"/>
      <c r="BA6" s="639"/>
      <c r="BB6" s="639"/>
      <c r="BC6" s="639"/>
      <c r="BD6" s="639"/>
      <c r="BE6" s="639"/>
      <c r="BF6" s="639"/>
      <c r="BG6" s="639"/>
      <c r="BH6" s="639"/>
      <c r="BI6" s="639"/>
      <c r="BJ6" s="639"/>
      <c r="BK6" s="639"/>
      <c r="BL6" s="639"/>
      <c r="BM6" s="639"/>
      <c r="BN6" s="639"/>
      <c r="BO6" s="639"/>
      <c r="BP6" s="639"/>
      <c r="BQ6" s="639"/>
      <c r="BR6" s="639"/>
      <c r="BS6" s="639"/>
      <c r="BT6" s="639"/>
      <c r="BU6" s="639"/>
      <c r="BV6" s="639"/>
      <c r="BW6" s="639"/>
      <c r="BX6" s="639"/>
      <c r="BY6" s="639"/>
      <c r="BZ6" s="639"/>
      <c r="CA6" s="820"/>
      <c r="CB6" s="820"/>
      <c r="CC6" s="820"/>
      <c r="CD6" s="820"/>
      <c r="CE6" s="820"/>
      <c r="CF6" s="820"/>
      <c r="CG6" s="820"/>
      <c r="CH6" s="820"/>
      <c r="CI6" s="820"/>
      <c r="CJ6" s="820"/>
      <c r="CK6" s="820"/>
      <c r="CL6" s="820"/>
      <c r="CM6" s="820"/>
      <c r="CN6" s="820"/>
      <c r="CO6" s="820"/>
      <c r="CP6" s="820"/>
      <c r="CQ6" s="820"/>
      <c r="CR6" s="820"/>
      <c r="CS6" s="820"/>
      <c r="CT6" s="820"/>
      <c r="CU6" s="820"/>
      <c r="CV6" s="820"/>
      <c r="CW6" s="820"/>
      <c r="CX6" s="820"/>
      <c r="CY6" s="820"/>
      <c r="CZ6" s="821"/>
    </row>
    <row r="7" spans="1:104" ht="17.25" customHeight="1">
      <c r="A7" s="224" t="s">
        <v>1066</v>
      </c>
      <c r="B7" s="225"/>
      <c r="C7" s="226">
        <v>0.54300000000000004</v>
      </c>
      <c r="D7" s="157">
        <f t="shared" ref="D7:AK7" si="2">D8/549</f>
        <v>0.55737704918032782</v>
      </c>
      <c r="E7" s="157">
        <f t="shared" si="2"/>
        <v>0.82695810564663019</v>
      </c>
      <c r="F7" s="157">
        <f t="shared" si="2"/>
        <v>0.36794171220400729</v>
      </c>
      <c r="G7" s="157">
        <f t="shared" si="2"/>
        <v>3.6429872495446266E-3</v>
      </c>
      <c r="H7" s="157">
        <f t="shared" si="2"/>
        <v>0</v>
      </c>
      <c r="I7" s="157">
        <f t="shared" si="2"/>
        <v>0.37522768670309653</v>
      </c>
      <c r="J7" s="157">
        <f t="shared" si="2"/>
        <v>3.825136612021858E-2</v>
      </c>
      <c r="K7" s="157">
        <f t="shared" si="2"/>
        <v>0</v>
      </c>
      <c r="L7" s="157">
        <f t="shared" si="2"/>
        <v>1.8214936247723133E-3</v>
      </c>
      <c r="M7" s="157">
        <f t="shared" si="2"/>
        <v>0</v>
      </c>
      <c r="N7" s="157">
        <f t="shared" si="2"/>
        <v>5.4644808743169397E-2</v>
      </c>
      <c r="O7" s="157">
        <f t="shared" si="2"/>
        <v>0</v>
      </c>
      <c r="P7" s="157">
        <f t="shared" si="2"/>
        <v>3.6429872495446266E-3</v>
      </c>
      <c r="Q7" s="157">
        <f t="shared" si="2"/>
        <v>0</v>
      </c>
      <c r="R7" s="157">
        <f t="shared" si="2"/>
        <v>0.97267759562841527</v>
      </c>
      <c r="S7" s="157">
        <f t="shared" si="2"/>
        <v>0.14025500910746813</v>
      </c>
      <c r="T7" s="157">
        <f t="shared" si="2"/>
        <v>0.26958105646630237</v>
      </c>
      <c r="U7" s="157">
        <f t="shared" si="2"/>
        <v>0.91074681238615662</v>
      </c>
      <c r="V7" s="157">
        <f t="shared" si="2"/>
        <v>9.107468123861566E-2</v>
      </c>
      <c r="W7" s="157">
        <f t="shared" si="2"/>
        <v>0.12932604735883424</v>
      </c>
      <c r="X7" s="157">
        <f t="shared" si="2"/>
        <v>0.10018214936247723</v>
      </c>
      <c r="Y7" s="157">
        <f t="shared" si="2"/>
        <v>0</v>
      </c>
      <c r="Z7" s="157">
        <f t="shared" si="2"/>
        <v>0.24590163934426229</v>
      </c>
      <c r="AA7" s="157">
        <f t="shared" si="2"/>
        <v>7.2859744990892532E-3</v>
      </c>
      <c r="AB7" s="227">
        <f t="shared" si="2"/>
        <v>0.69945355191256831</v>
      </c>
      <c r="AC7" s="157">
        <f t="shared" si="2"/>
        <v>0.55009107468123863</v>
      </c>
      <c r="AD7" s="157">
        <f t="shared" si="2"/>
        <v>0.39162112932604737</v>
      </c>
      <c r="AE7" s="157">
        <f t="shared" si="2"/>
        <v>0</v>
      </c>
      <c r="AF7" s="157">
        <f t="shared" si="2"/>
        <v>0.11657559198542805</v>
      </c>
      <c r="AG7" s="157">
        <f t="shared" si="2"/>
        <v>0.30236794171220399</v>
      </c>
      <c r="AH7" s="157">
        <f t="shared" si="2"/>
        <v>0.82877959927140255</v>
      </c>
      <c r="AI7" s="157">
        <f t="shared" si="2"/>
        <v>6.5573770491803282E-2</v>
      </c>
      <c r="AJ7" s="157">
        <f t="shared" si="2"/>
        <v>0.25136612021857924</v>
      </c>
      <c r="AK7" s="157">
        <f t="shared" si="2"/>
        <v>0.11839708561020036</v>
      </c>
      <c r="AL7" s="158">
        <f>SUM(AL22:AL353)</f>
        <v>2889</v>
      </c>
      <c r="AM7" s="639"/>
      <c r="AN7" s="639"/>
      <c r="AO7" s="639"/>
      <c r="AP7" s="639"/>
      <c r="AQ7" s="639"/>
      <c r="AR7" s="639"/>
      <c r="AS7" s="639"/>
      <c r="AT7" s="639"/>
      <c r="AU7" s="639"/>
      <c r="AV7" s="639"/>
      <c r="AW7" s="639"/>
      <c r="AX7" s="639"/>
      <c r="AY7" s="639"/>
      <c r="AZ7" s="639"/>
      <c r="BA7" s="639"/>
      <c r="BB7" s="639"/>
      <c r="BC7" s="639"/>
      <c r="BD7" s="639"/>
      <c r="BE7" s="639"/>
      <c r="BF7" s="639"/>
      <c r="BG7" s="639"/>
      <c r="BH7" s="639"/>
      <c r="BI7" s="639"/>
      <c r="BJ7" s="639"/>
      <c r="BK7" s="639"/>
      <c r="BL7" s="639"/>
      <c r="BM7" s="639"/>
      <c r="BN7" s="639"/>
      <c r="BO7" s="639"/>
      <c r="BP7" s="639"/>
      <c r="BQ7" s="639"/>
      <c r="BR7" s="639"/>
      <c r="BS7" s="639"/>
      <c r="BT7" s="639"/>
      <c r="BU7" s="639"/>
      <c r="BV7" s="639"/>
      <c r="BW7" s="639"/>
      <c r="BX7" s="639"/>
      <c r="BY7" s="639"/>
      <c r="BZ7" s="639"/>
      <c r="CA7" s="820"/>
      <c r="CB7" s="820"/>
      <c r="CC7" s="820"/>
      <c r="CD7" s="820"/>
      <c r="CE7" s="820"/>
      <c r="CF7" s="820"/>
      <c r="CG7" s="820"/>
      <c r="CH7" s="820"/>
      <c r="CI7" s="820"/>
      <c r="CJ7" s="820"/>
      <c r="CK7" s="820"/>
      <c r="CL7" s="820"/>
      <c r="CM7" s="820"/>
      <c r="CN7" s="820"/>
      <c r="CO7" s="820"/>
      <c r="CP7" s="820"/>
      <c r="CQ7" s="820"/>
      <c r="CR7" s="820"/>
      <c r="CS7" s="820"/>
      <c r="CT7" s="820"/>
      <c r="CU7" s="820"/>
      <c r="CV7" s="820"/>
      <c r="CW7" s="820"/>
      <c r="CX7" s="820"/>
      <c r="CY7" s="820"/>
      <c r="CZ7" s="821"/>
    </row>
    <row r="8" spans="1:104" ht="17.25" customHeight="1">
      <c r="A8" s="224" t="s">
        <v>1067</v>
      </c>
      <c r="B8" s="225"/>
      <c r="C8" s="228">
        <v>310</v>
      </c>
      <c r="D8" s="159">
        <v>306</v>
      </c>
      <c r="E8" s="159">
        <v>454</v>
      </c>
      <c r="F8" s="159">
        <v>202</v>
      </c>
      <c r="G8" s="159">
        <v>2</v>
      </c>
      <c r="H8" s="159"/>
      <c r="I8" s="159">
        <v>206</v>
      </c>
      <c r="J8" s="159">
        <v>21</v>
      </c>
      <c r="K8" s="159"/>
      <c r="L8" s="159">
        <v>1</v>
      </c>
      <c r="M8" s="159"/>
      <c r="N8" s="159">
        <v>30</v>
      </c>
      <c r="O8" s="159"/>
      <c r="P8" s="159">
        <v>2</v>
      </c>
      <c r="Q8" s="159"/>
      <c r="R8" s="159">
        <v>534</v>
      </c>
      <c r="S8" s="159">
        <v>77</v>
      </c>
      <c r="T8" s="159">
        <v>148</v>
      </c>
      <c r="U8" s="159">
        <v>500</v>
      </c>
      <c r="V8" s="159">
        <v>50</v>
      </c>
      <c r="W8" s="159">
        <v>71</v>
      </c>
      <c r="X8" s="159">
        <v>55</v>
      </c>
      <c r="Y8" s="159"/>
      <c r="Z8" s="159">
        <v>135</v>
      </c>
      <c r="AA8" s="159">
        <v>4</v>
      </c>
      <c r="AB8" s="159">
        <v>384</v>
      </c>
      <c r="AC8" s="159">
        <v>302</v>
      </c>
      <c r="AD8" s="159">
        <v>215</v>
      </c>
      <c r="AE8" s="159"/>
      <c r="AF8" s="159">
        <v>64</v>
      </c>
      <c r="AG8" s="159">
        <v>166</v>
      </c>
      <c r="AH8" s="159">
        <v>455</v>
      </c>
      <c r="AI8" s="159">
        <v>36</v>
      </c>
      <c r="AJ8" s="159">
        <v>138</v>
      </c>
      <c r="AK8" s="159">
        <v>65</v>
      </c>
      <c r="AL8" s="160"/>
      <c r="AM8" s="830" t="str">
        <f>HYPERLINK("http://www.baseballthinkfactory.org/newsstand/discussion/the_2015_hof_ballot_collecting_gizmo", "Repoz's Gizmo!")</f>
        <v>Repoz's Gizmo!</v>
      </c>
      <c r="AN8" s="820"/>
      <c r="AO8" s="639"/>
      <c r="AP8" s="639"/>
      <c r="AQ8" s="639"/>
      <c r="AR8" s="639"/>
      <c r="AS8" s="639"/>
      <c r="AT8" s="639"/>
      <c r="AU8" s="639"/>
      <c r="AV8" s="639"/>
      <c r="AW8" s="639"/>
      <c r="AX8" s="639"/>
      <c r="AY8" s="639"/>
      <c r="AZ8" s="639"/>
      <c r="BA8" s="639"/>
      <c r="BB8" s="639"/>
      <c r="BC8" s="639"/>
      <c r="BD8" s="639"/>
      <c r="BE8" s="639"/>
      <c r="BF8" s="639"/>
      <c r="BG8" s="639"/>
      <c r="BH8" s="639"/>
      <c r="BI8" s="639"/>
      <c r="BJ8" s="639"/>
      <c r="BK8" s="639"/>
      <c r="BL8" s="639"/>
      <c r="BM8" s="639"/>
      <c r="BN8" s="639"/>
      <c r="BO8" s="639"/>
      <c r="BP8" s="639"/>
      <c r="BQ8" s="639"/>
      <c r="BR8" s="639"/>
      <c r="BS8" s="639"/>
      <c r="BT8" s="639"/>
      <c r="BU8" s="639"/>
      <c r="BV8" s="639"/>
      <c r="BW8" s="639"/>
      <c r="BX8" s="639"/>
      <c r="BY8" s="639"/>
      <c r="BZ8" s="639"/>
      <c r="CA8" s="639"/>
      <c r="CB8" s="639"/>
      <c r="CC8" s="639"/>
      <c r="CD8" s="639"/>
      <c r="CE8" s="639"/>
      <c r="CF8" s="639"/>
      <c r="CG8" s="639"/>
      <c r="CH8" s="639"/>
      <c r="CI8" s="639"/>
      <c r="CJ8" s="639"/>
      <c r="CK8" s="639"/>
      <c r="CL8" s="639"/>
      <c r="CM8" s="639"/>
      <c r="CN8" s="639"/>
      <c r="CO8" s="639"/>
      <c r="CP8" s="639"/>
      <c r="CQ8" s="639"/>
      <c r="CR8" s="639"/>
      <c r="CS8" s="639"/>
      <c r="CT8" s="639"/>
      <c r="CU8" s="639"/>
      <c r="CV8" s="639"/>
      <c r="CW8" s="639"/>
      <c r="CX8" s="639"/>
      <c r="CY8" s="639"/>
      <c r="CZ8" s="643"/>
    </row>
    <row r="9" spans="1:104" ht="15" customHeight="1">
      <c r="A9" s="229" t="s">
        <v>734</v>
      </c>
      <c r="B9" s="230"/>
      <c r="C9" s="231">
        <f>COUNTIF(C190:C209,"1")/COUNTA($A190:$A209)</f>
        <v>0</v>
      </c>
      <c r="D9" s="232">
        <v>0.61880000000000002</v>
      </c>
      <c r="E9" s="232">
        <v>0.84160000000000001</v>
      </c>
      <c r="F9" s="232">
        <v>0.44059999999999999</v>
      </c>
      <c r="G9" s="232">
        <f t="shared" ref="G9:H9" si="3">COUNTIF(G190:G209,"1")/COUNTA($A190:$A209)</f>
        <v>0</v>
      </c>
      <c r="H9" s="232">
        <f t="shared" si="3"/>
        <v>0</v>
      </c>
      <c r="I9" s="232">
        <v>0.43559999999999999</v>
      </c>
      <c r="J9" s="232">
        <v>1.49E-2</v>
      </c>
      <c r="K9" s="232">
        <f t="shared" ref="K9:M9" si="4">COUNTIF(K190:K209,"1")/COUNTA($A190:$A209)</f>
        <v>0</v>
      </c>
      <c r="L9" s="232">
        <f t="shared" si="4"/>
        <v>0</v>
      </c>
      <c r="M9" s="232">
        <f t="shared" si="4"/>
        <v>0</v>
      </c>
      <c r="N9" s="232">
        <v>1.9800000000000002E-2</v>
      </c>
      <c r="O9" s="232">
        <f t="shared" ref="O9:Q9" si="5">COUNTIF(O190:O209,"1")/COUNTA($A190:$A209)</f>
        <v>0</v>
      </c>
      <c r="P9" s="232">
        <f t="shared" si="5"/>
        <v>0</v>
      </c>
      <c r="Q9" s="232">
        <f t="shared" si="5"/>
        <v>0</v>
      </c>
      <c r="R9" s="232">
        <v>0.98509999999999998</v>
      </c>
      <c r="S9" s="232">
        <v>0.1386</v>
      </c>
      <c r="T9" s="232">
        <v>0.30199999999999999</v>
      </c>
      <c r="U9" s="232">
        <v>0.98019999999999996</v>
      </c>
      <c r="V9" s="232">
        <v>5.45E-2</v>
      </c>
      <c r="W9" s="232">
        <v>0.1386</v>
      </c>
      <c r="X9" s="232">
        <v>7.9200000000000007E-2</v>
      </c>
      <c r="Y9" s="232">
        <f>COUNTIF(Y190:Y209,"1")/COUNTA($A190:$A209)</f>
        <v>0</v>
      </c>
      <c r="Z9" s="232">
        <v>0.35639999999999999</v>
      </c>
      <c r="AA9" s="232">
        <v>5.0000000000000001E-3</v>
      </c>
      <c r="AB9" s="232">
        <v>0.76239999999999997</v>
      </c>
      <c r="AC9" s="232">
        <v>0.64849999999999997</v>
      </c>
      <c r="AD9" s="232">
        <v>0.51239999999999997</v>
      </c>
      <c r="AE9" s="232">
        <f>COUNTIF(AE190:AE209,"1")/COUNTA($A190:$A209)</f>
        <v>0</v>
      </c>
      <c r="AF9" s="232">
        <v>9.9000000000000005E-2</v>
      </c>
      <c r="AG9" s="232">
        <v>0.2079</v>
      </c>
      <c r="AH9" s="232">
        <v>0.87129999999999996</v>
      </c>
      <c r="AI9" s="232">
        <v>4.9500000000000002E-2</v>
      </c>
      <c r="AJ9" s="232">
        <v>0.24260000000000001</v>
      </c>
      <c r="AK9" s="232">
        <v>7.4300000000000005E-2</v>
      </c>
      <c r="AL9" s="163"/>
      <c r="AM9" s="163"/>
      <c r="AN9" s="155"/>
      <c r="AO9" s="639"/>
      <c r="AP9" s="639"/>
      <c r="AQ9" s="639"/>
      <c r="AR9" s="639"/>
      <c r="AS9" s="639"/>
      <c r="AT9" s="639"/>
      <c r="AU9" s="639"/>
      <c r="AV9" s="639"/>
      <c r="AW9" s="639"/>
      <c r="AX9" s="639"/>
      <c r="AY9" s="639"/>
      <c r="AZ9" s="639"/>
      <c r="BA9" s="639"/>
      <c r="BB9" s="639"/>
      <c r="BC9" s="639"/>
      <c r="BD9" s="639"/>
      <c r="BE9" s="639"/>
      <c r="BF9" s="639"/>
      <c r="BG9" s="639"/>
      <c r="BH9" s="639"/>
      <c r="BI9" s="639"/>
      <c r="BJ9" s="639"/>
      <c r="BK9" s="639"/>
      <c r="BL9" s="639"/>
      <c r="BM9" s="639"/>
      <c r="BN9" s="639"/>
      <c r="BO9" s="639"/>
      <c r="BP9" s="639"/>
      <c r="BQ9" s="639"/>
      <c r="BR9" s="639"/>
      <c r="BS9" s="639"/>
      <c r="BT9" s="639"/>
      <c r="BU9" s="639"/>
      <c r="BV9" s="639"/>
      <c r="BW9" s="639"/>
      <c r="BX9" s="639"/>
      <c r="BY9" s="639"/>
      <c r="BZ9" s="639"/>
      <c r="CA9" s="823" t="str">
        <f>HYPERLINK("http://tangotiger.com/index.php/site/article/tangotiger-readers-rank-the-hof-players", "'Straight Arrow' Tango Score (-100 to 100)")</f>
        <v>'Straight Arrow' Tango Score (-100 to 100)</v>
      </c>
      <c r="CB9" s="823" t="str">
        <f>HYPERLINK("http://tangotiger.com/index.php/site/comments/scoring-system-for-hof-ballots-2015#7", "'Voter versus Voters' Tango Score (0 to 100) Revised")</f>
        <v>'Voter versus Voters' Tango Score (0 to 100) Revised</v>
      </c>
      <c r="CC9" s="639"/>
      <c r="CD9" s="639"/>
      <c r="CE9" s="639"/>
      <c r="CF9" s="639"/>
      <c r="CG9" s="639"/>
      <c r="CH9" s="639"/>
      <c r="CI9" s="639"/>
      <c r="CJ9" s="639"/>
      <c r="CK9" s="639"/>
      <c r="CL9" s="639"/>
      <c r="CM9" s="639"/>
      <c r="CN9" s="639"/>
      <c r="CO9" s="639"/>
      <c r="CP9" s="639"/>
      <c r="CQ9" s="639"/>
      <c r="CR9" s="639"/>
      <c r="CS9" s="639"/>
      <c r="CT9" s="639"/>
      <c r="CU9" s="639"/>
      <c r="CV9" s="639"/>
      <c r="CW9" s="639"/>
      <c r="CX9" s="639"/>
      <c r="CY9" s="639"/>
      <c r="CZ9" s="643"/>
    </row>
    <row r="10" spans="1:104">
      <c r="A10" s="229" t="s">
        <v>68</v>
      </c>
      <c r="B10" s="233"/>
      <c r="C10" s="234" t="s">
        <v>1068</v>
      </c>
      <c r="D10" s="165">
        <f t="shared" ref="D10:AK10" si="6">COUNTIF(D224:D353,"1")/COUNTA($A224:$A353)</f>
        <v>0.57692307692307687</v>
      </c>
      <c r="E10" s="165">
        <f t="shared" si="6"/>
        <v>0.87692307692307692</v>
      </c>
      <c r="F10" s="165">
        <f t="shared" si="6"/>
        <v>0.33076923076923076</v>
      </c>
      <c r="G10" s="165">
        <f t="shared" si="6"/>
        <v>7.6923076923076927E-3</v>
      </c>
      <c r="H10" s="165">
        <f t="shared" si="6"/>
        <v>0</v>
      </c>
      <c r="I10" s="165">
        <f t="shared" si="6"/>
        <v>0.33076923076923076</v>
      </c>
      <c r="J10" s="165">
        <f t="shared" si="6"/>
        <v>3.0769230769230771E-2</v>
      </c>
      <c r="K10" s="165">
        <f t="shared" si="6"/>
        <v>0</v>
      </c>
      <c r="L10" s="165">
        <f t="shared" si="6"/>
        <v>0</v>
      </c>
      <c r="M10" s="165">
        <f t="shared" si="6"/>
        <v>0</v>
      </c>
      <c r="N10" s="165">
        <f t="shared" si="6"/>
        <v>3.0769230769230771E-2</v>
      </c>
      <c r="O10" s="165">
        <f t="shared" si="6"/>
        <v>0</v>
      </c>
      <c r="P10" s="165">
        <f t="shared" si="6"/>
        <v>7.6923076923076927E-3</v>
      </c>
      <c r="Q10" s="165">
        <f t="shared" si="6"/>
        <v>0</v>
      </c>
      <c r="R10" s="165">
        <f t="shared" si="6"/>
        <v>1</v>
      </c>
      <c r="S10" s="165">
        <f t="shared" si="6"/>
        <v>0.13076923076923078</v>
      </c>
      <c r="T10" s="165">
        <f t="shared" si="6"/>
        <v>0.23846153846153847</v>
      </c>
      <c r="U10" s="165">
        <f t="shared" si="6"/>
        <v>0.98461538461538467</v>
      </c>
      <c r="V10" s="165">
        <f t="shared" si="6"/>
        <v>7.6923076923076927E-2</v>
      </c>
      <c r="W10" s="165">
        <f t="shared" si="6"/>
        <v>0.1076923076923077</v>
      </c>
      <c r="X10" s="165">
        <f t="shared" si="6"/>
        <v>0.11538461538461539</v>
      </c>
      <c r="Y10" s="165">
        <f t="shared" si="6"/>
        <v>0</v>
      </c>
      <c r="Z10" s="165">
        <f t="shared" si="6"/>
        <v>0.2153846153846154</v>
      </c>
      <c r="AA10" s="165">
        <f t="shared" si="6"/>
        <v>0</v>
      </c>
      <c r="AB10" s="165">
        <f t="shared" si="6"/>
        <v>0.73076923076923073</v>
      </c>
      <c r="AC10" s="165">
        <f t="shared" si="6"/>
        <v>0.52307692307692311</v>
      </c>
      <c r="AD10" s="165">
        <f t="shared" si="6"/>
        <v>0.36153846153846153</v>
      </c>
      <c r="AE10" s="165">
        <f t="shared" si="6"/>
        <v>0</v>
      </c>
      <c r="AF10" s="165">
        <f t="shared" si="6"/>
        <v>0.1076923076923077</v>
      </c>
      <c r="AG10" s="165">
        <f t="shared" si="6"/>
        <v>0.31538461538461537</v>
      </c>
      <c r="AH10" s="165">
        <f t="shared" si="6"/>
        <v>0.89230769230769236</v>
      </c>
      <c r="AI10" s="165">
        <f t="shared" si="6"/>
        <v>5.3846153846153849E-2</v>
      </c>
      <c r="AJ10" s="165">
        <f t="shared" si="6"/>
        <v>0.26923076923076922</v>
      </c>
      <c r="AK10" s="165">
        <f t="shared" si="6"/>
        <v>0.1076923076923077</v>
      </c>
      <c r="AL10" s="644"/>
      <c r="AM10" s="644"/>
      <c r="AN10" s="155"/>
      <c r="AO10" s="639"/>
      <c r="AP10" s="639"/>
      <c r="AQ10" s="639"/>
      <c r="AR10" s="639"/>
      <c r="AS10" s="639"/>
      <c r="AT10" s="639"/>
      <c r="AU10" s="639"/>
      <c r="AV10" s="639"/>
      <c r="AW10" s="639"/>
      <c r="AX10" s="639"/>
      <c r="AY10" s="639"/>
      <c r="AZ10" s="639"/>
      <c r="BA10" s="639"/>
      <c r="BB10" s="639"/>
      <c r="BC10" s="639"/>
      <c r="BD10" s="639"/>
      <c r="BE10" s="639"/>
      <c r="BF10" s="639"/>
      <c r="BG10" s="639"/>
      <c r="BH10" s="639"/>
      <c r="BI10" s="639"/>
      <c r="BJ10" s="639"/>
      <c r="BK10" s="639"/>
      <c r="BL10" s="639"/>
      <c r="BM10" s="639"/>
      <c r="BN10" s="639"/>
      <c r="BO10" s="639"/>
      <c r="BP10" s="639"/>
      <c r="BQ10" s="639"/>
      <c r="BR10" s="639"/>
      <c r="BS10" s="639"/>
      <c r="BT10" s="639"/>
      <c r="BU10" s="639"/>
      <c r="BV10" s="639"/>
      <c r="BW10" s="639"/>
      <c r="BX10" s="639"/>
      <c r="BY10" s="639"/>
      <c r="BZ10" s="639"/>
      <c r="CA10" s="820"/>
      <c r="CB10" s="820"/>
      <c r="CC10" s="639"/>
      <c r="CD10" s="639"/>
      <c r="CE10" s="639"/>
      <c r="CF10" s="639"/>
      <c r="CG10" s="639"/>
      <c r="CH10" s="639"/>
      <c r="CI10" s="639"/>
      <c r="CJ10" s="639"/>
      <c r="CK10" s="639"/>
      <c r="CL10" s="639"/>
      <c r="CM10" s="639"/>
      <c r="CN10" s="639"/>
      <c r="CO10" s="639"/>
      <c r="CP10" s="639"/>
      <c r="CQ10" s="639"/>
      <c r="CR10" s="639"/>
      <c r="CS10" s="639"/>
      <c r="CT10" s="639"/>
      <c r="CU10" s="639"/>
      <c r="CV10" s="639"/>
      <c r="CW10" s="639"/>
      <c r="CX10" s="639"/>
      <c r="CY10" s="639"/>
      <c r="CZ10" s="643"/>
    </row>
    <row r="11" spans="1:104">
      <c r="A11" s="235" t="s">
        <v>69</v>
      </c>
      <c r="B11" s="236"/>
      <c r="C11" s="237">
        <f>C14/$Q$1</f>
        <v>1.2918875000000001</v>
      </c>
      <c r="D11" s="238">
        <f t="shared" ref="D11:AK11" si="7">D14/D15</f>
        <v>0.48165137614678899</v>
      </c>
      <c r="E11" s="238">
        <f t="shared" si="7"/>
        <v>0.77981651376146788</v>
      </c>
      <c r="F11" s="238">
        <f t="shared" si="7"/>
        <v>0.33027522935779818</v>
      </c>
      <c r="G11" s="238">
        <f t="shared" si="7"/>
        <v>4.5871559633027525E-3</v>
      </c>
      <c r="H11" s="238">
        <f t="shared" si="7"/>
        <v>0</v>
      </c>
      <c r="I11" s="238">
        <f t="shared" si="7"/>
        <v>0.34862385321100919</v>
      </c>
      <c r="J11" s="238">
        <f t="shared" si="7"/>
        <v>6.4220183486238536E-2</v>
      </c>
      <c r="K11" s="238">
        <f t="shared" si="7"/>
        <v>0</v>
      </c>
      <c r="L11" s="238">
        <f t="shared" si="7"/>
        <v>4.5871559633027525E-3</v>
      </c>
      <c r="M11" s="238">
        <f t="shared" si="7"/>
        <v>0</v>
      </c>
      <c r="N11" s="238">
        <f t="shared" si="7"/>
        <v>0.10091743119266056</v>
      </c>
      <c r="O11" s="238">
        <f t="shared" si="7"/>
        <v>0</v>
      </c>
      <c r="P11" s="238">
        <f t="shared" si="7"/>
        <v>4.5871559633027525E-3</v>
      </c>
      <c r="Q11" s="238">
        <f t="shared" si="7"/>
        <v>0</v>
      </c>
      <c r="R11" s="238">
        <f t="shared" si="7"/>
        <v>0.94495412844036697</v>
      </c>
      <c r="S11" s="238">
        <f t="shared" si="7"/>
        <v>0.14220183486238533</v>
      </c>
      <c r="T11" s="238">
        <f t="shared" si="7"/>
        <v>0.26146788990825687</v>
      </c>
      <c r="U11" s="238">
        <f t="shared" si="7"/>
        <v>0.80275229357798161</v>
      </c>
      <c r="V11" s="238">
        <f t="shared" si="7"/>
        <v>0.12844036697247707</v>
      </c>
      <c r="W11" s="238">
        <f t="shared" si="7"/>
        <v>0.13302752293577982</v>
      </c>
      <c r="X11" s="238">
        <f t="shared" si="7"/>
        <v>0.11009174311926606</v>
      </c>
      <c r="Y11" s="238">
        <f t="shared" si="7"/>
        <v>0</v>
      </c>
      <c r="Z11" s="238">
        <f t="shared" si="7"/>
        <v>0.16055045871559634</v>
      </c>
      <c r="AA11" s="238">
        <f t="shared" si="7"/>
        <v>1.3761467889908258E-2</v>
      </c>
      <c r="AB11" s="238">
        <f t="shared" si="7"/>
        <v>0.61926605504587151</v>
      </c>
      <c r="AC11" s="238">
        <f t="shared" si="7"/>
        <v>0.47247706422018348</v>
      </c>
      <c r="AD11" s="238">
        <f t="shared" si="7"/>
        <v>0.29357798165137616</v>
      </c>
      <c r="AE11" s="238">
        <f t="shared" si="7"/>
        <v>0</v>
      </c>
      <c r="AF11" s="238">
        <f t="shared" si="7"/>
        <v>0.13761467889908258</v>
      </c>
      <c r="AG11" s="238">
        <f t="shared" si="7"/>
        <v>0.38073394495412843</v>
      </c>
      <c r="AH11" s="238">
        <f t="shared" si="7"/>
        <v>0.75229357798165142</v>
      </c>
      <c r="AI11" s="238">
        <f t="shared" si="7"/>
        <v>8.7155963302752298E-2</v>
      </c>
      <c r="AJ11" s="238">
        <f t="shared" si="7"/>
        <v>0.25229357798165136</v>
      </c>
      <c r="AK11" s="238">
        <f t="shared" si="7"/>
        <v>0.16513761467889909</v>
      </c>
      <c r="AL11" s="644"/>
      <c r="AM11" s="644"/>
      <c r="AN11" s="155"/>
      <c r="AO11" s="639"/>
      <c r="AP11" s="639"/>
      <c r="AQ11" s="639"/>
      <c r="AR11" s="639"/>
      <c r="AS11" s="639"/>
      <c r="AT11" s="639"/>
      <c r="AU11" s="639"/>
      <c r="AV11" s="639"/>
      <c r="AW11" s="639"/>
      <c r="AX11" s="639"/>
      <c r="AY11" s="639"/>
      <c r="AZ11" s="639"/>
      <c r="BA11" s="639"/>
      <c r="BB11" s="639"/>
      <c r="BC11" s="639"/>
      <c r="BD11" s="639"/>
      <c r="BE11" s="639"/>
      <c r="BF11" s="639"/>
      <c r="BG11" s="639"/>
      <c r="BH11" s="639"/>
      <c r="BI11" s="639"/>
      <c r="BJ11" s="639"/>
      <c r="BK11" s="639"/>
      <c r="BL11" s="639"/>
      <c r="BM11" s="639"/>
      <c r="BN11" s="639"/>
      <c r="BO11" s="639"/>
      <c r="BP11" s="639"/>
      <c r="BQ11" s="639"/>
      <c r="BR11" s="639"/>
      <c r="BS11" s="639"/>
      <c r="BT11" s="639"/>
      <c r="BU11" s="639"/>
      <c r="BV11" s="639"/>
      <c r="BW11" s="639"/>
      <c r="BX11" s="639"/>
      <c r="BY11" s="639"/>
      <c r="BZ11" s="639"/>
      <c r="CA11" s="820"/>
      <c r="CB11" s="820"/>
      <c r="CC11" s="639"/>
      <c r="CD11" s="639"/>
      <c r="CE11" s="639"/>
      <c r="CF11" s="639"/>
      <c r="CG11" s="639"/>
      <c r="CH11" s="639"/>
      <c r="CI11" s="639"/>
      <c r="CJ11" s="639"/>
      <c r="CK11" s="639"/>
      <c r="CL11" s="639"/>
      <c r="CM11" s="639"/>
      <c r="CN11" s="639"/>
      <c r="CO11" s="639"/>
      <c r="CP11" s="639"/>
      <c r="CQ11" s="639"/>
      <c r="CR11" s="639"/>
      <c r="CS11" s="639"/>
      <c r="CT11" s="639"/>
      <c r="CU11" s="639"/>
      <c r="CV11" s="639"/>
      <c r="CW11" s="639"/>
      <c r="CX11" s="639"/>
      <c r="CY11" s="639"/>
      <c r="CZ11" s="643"/>
    </row>
    <row r="12" spans="1:104">
      <c r="A12" s="229" t="s">
        <v>70</v>
      </c>
      <c r="B12" s="239"/>
      <c r="C12" s="239"/>
      <c r="D12" s="238">
        <f t="shared" ref="D12:AK12" si="8">D11-D4</f>
        <v>-0.12559937914022012</v>
      </c>
      <c r="E12" s="238">
        <f t="shared" si="8"/>
        <v>-7.8189528534604591E-2</v>
      </c>
      <c r="F12" s="238">
        <f t="shared" si="8"/>
        <v>-6.2474015355192758E-2</v>
      </c>
      <c r="G12" s="238">
        <f t="shared" si="8"/>
        <v>1.5660079270489761E-3</v>
      </c>
      <c r="H12" s="238">
        <f t="shared" si="8"/>
        <v>0</v>
      </c>
      <c r="I12" s="238">
        <f t="shared" si="8"/>
        <v>-4.4125391501981748E-2</v>
      </c>
      <c r="J12" s="238">
        <f t="shared" si="8"/>
        <v>4.3072147232462096E-2</v>
      </c>
      <c r="K12" s="238">
        <f t="shared" si="8"/>
        <v>0</v>
      </c>
      <c r="L12" s="238">
        <f t="shared" si="8"/>
        <v>4.5871559633027525E-3</v>
      </c>
      <c r="M12" s="238">
        <f t="shared" si="8"/>
        <v>0</v>
      </c>
      <c r="N12" s="238">
        <f t="shared" si="8"/>
        <v>7.6748246902630352E-2</v>
      </c>
      <c r="O12" s="238">
        <f t="shared" si="8"/>
        <v>0</v>
      </c>
      <c r="P12" s="238">
        <f t="shared" si="8"/>
        <v>1.5660079270489761E-3</v>
      </c>
      <c r="Q12" s="238">
        <f t="shared" si="8"/>
        <v>0</v>
      </c>
      <c r="R12" s="238">
        <f t="shared" si="8"/>
        <v>-4.5982427450871666E-2</v>
      </c>
      <c r="S12" s="238">
        <f t="shared" si="8"/>
        <v>3.2290251947116044E-3</v>
      </c>
      <c r="T12" s="238">
        <f t="shared" si="8"/>
        <v>-1.3456581390836775E-2</v>
      </c>
      <c r="U12" s="238">
        <f t="shared" si="8"/>
        <v>-0.17912081820449577</v>
      </c>
      <c r="V12" s="238">
        <f t="shared" si="8"/>
        <v>6.1975110174893988E-2</v>
      </c>
      <c r="W12" s="238">
        <f t="shared" si="8"/>
        <v>6.1393054131212155E-3</v>
      </c>
      <c r="X12" s="238">
        <f t="shared" si="8"/>
        <v>1.6436153995398994E-2</v>
      </c>
      <c r="Y12" s="238">
        <f t="shared" si="8"/>
        <v>0</v>
      </c>
      <c r="Z12" s="238">
        <f t="shared" si="8"/>
        <v>-0.14156434490978129</v>
      </c>
      <c r="AA12" s="238">
        <f t="shared" si="8"/>
        <v>1.0740319853654482E-2</v>
      </c>
      <c r="AB12" s="238">
        <f t="shared" si="8"/>
        <v>-0.13299980598131877</v>
      </c>
      <c r="AC12" s="238">
        <f t="shared" si="8"/>
        <v>-0.12873139499431802</v>
      </c>
      <c r="AD12" s="238">
        <f t="shared" si="8"/>
        <v>-0.16261537182294405</v>
      </c>
      <c r="AE12" s="238">
        <f t="shared" si="8"/>
        <v>0</v>
      </c>
      <c r="AF12" s="238">
        <f t="shared" si="8"/>
        <v>3.4895645666454173E-2</v>
      </c>
      <c r="AG12" s="238">
        <f t="shared" si="8"/>
        <v>0.12997865794506497</v>
      </c>
      <c r="AH12" s="238">
        <f t="shared" si="8"/>
        <v>-0.12686050056819753</v>
      </c>
      <c r="AI12" s="238">
        <f t="shared" si="8"/>
        <v>3.5796446686438096E-2</v>
      </c>
      <c r="AJ12" s="238">
        <f t="shared" si="8"/>
        <v>1.5382909725878968E-3</v>
      </c>
      <c r="AK12" s="238">
        <f t="shared" si="8"/>
        <v>7.7524321627539569E-2</v>
      </c>
      <c r="AL12" s="639"/>
      <c r="AM12" s="639"/>
      <c r="AN12" s="155"/>
      <c r="AO12" s="639"/>
      <c r="AP12" s="639"/>
      <c r="AQ12" s="639"/>
      <c r="AR12" s="639"/>
      <c r="AS12" s="639"/>
      <c r="AT12" s="639"/>
      <c r="AU12" s="639"/>
      <c r="AV12" s="639"/>
      <c r="AW12" s="639"/>
      <c r="AX12" s="639"/>
      <c r="AY12" s="639"/>
      <c r="AZ12" s="639"/>
      <c r="BA12" s="639"/>
      <c r="BB12" s="639"/>
      <c r="BC12" s="639"/>
      <c r="BD12" s="639"/>
      <c r="BE12" s="639"/>
      <c r="BF12" s="639"/>
      <c r="BG12" s="639"/>
      <c r="BH12" s="639"/>
      <c r="BI12" s="639"/>
      <c r="BJ12" s="639"/>
      <c r="BK12" s="639"/>
      <c r="BL12" s="639"/>
      <c r="BM12" s="639"/>
      <c r="BN12" s="639"/>
      <c r="BO12" s="639"/>
      <c r="BP12" s="639"/>
      <c r="BQ12" s="639"/>
      <c r="BR12" s="639"/>
      <c r="BS12" s="639"/>
      <c r="BT12" s="639"/>
      <c r="BU12" s="639"/>
      <c r="BV12" s="639"/>
      <c r="BW12" s="639"/>
      <c r="BX12" s="639"/>
      <c r="BY12" s="639"/>
      <c r="BZ12" s="639"/>
      <c r="CA12" s="820"/>
      <c r="CB12" s="820"/>
      <c r="CC12" s="639"/>
      <c r="CD12" s="639"/>
      <c r="CE12" s="639"/>
      <c r="CF12" s="639"/>
      <c r="CG12" s="639"/>
      <c r="CH12" s="639"/>
      <c r="CI12" s="639"/>
      <c r="CJ12" s="639"/>
      <c r="CK12" s="639"/>
      <c r="CL12" s="639"/>
      <c r="CM12" s="639"/>
      <c r="CN12" s="639"/>
      <c r="CO12" s="639"/>
      <c r="CP12" s="639"/>
      <c r="CQ12" s="639"/>
      <c r="CR12" s="639"/>
      <c r="CS12" s="639"/>
      <c r="CT12" s="639"/>
      <c r="CU12" s="639"/>
      <c r="CV12" s="639"/>
      <c r="CW12" s="639"/>
      <c r="CX12" s="639"/>
      <c r="CY12" s="639"/>
      <c r="CZ12" s="643"/>
    </row>
    <row r="13" spans="1:104" hidden="1">
      <c r="A13" s="240"/>
      <c r="B13" s="641"/>
      <c r="C13" s="641">
        <f>C7*571</f>
        <v>310.053</v>
      </c>
      <c r="D13" s="641">
        <f t="shared" ref="D13:AK13" si="9">D7*549</f>
        <v>306</v>
      </c>
      <c r="E13" s="641">
        <f t="shared" si="9"/>
        <v>454</v>
      </c>
      <c r="F13" s="641">
        <f t="shared" si="9"/>
        <v>202</v>
      </c>
      <c r="G13" s="641">
        <f t="shared" si="9"/>
        <v>2</v>
      </c>
      <c r="H13" s="641">
        <f t="shared" si="9"/>
        <v>0</v>
      </c>
      <c r="I13" s="641">
        <f t="shared" si="9"/>
        <v>206</v>
      </c>
      <c r="J13" s="641">
        <f t="shared" si="9"/>
        <v>21</v>
      </c>
      <c r="K13" s="641">
        <f t="shared" si="9"/>
        <v>0</v>
      </c>
      <c r="L13" s="641">
        <f t="shared" si="9"/>
        <v>1</v>
      </c>
      <c r="M13" s="641">
        <f t="shared" si="9"/>
        <v>0</v>
      </c>
      <c r="N13" s="641">
        <f t="shared" si="9"/>
        <v>30</v>
      </c>
      <c r="O13" s="641">
        <f t="shared" si="9"/>
        <v>0</v>
      </c>
      <c r="P13" s="641">
        <f t="shared" si="9"/>
        <v>2</v>
      </c>
      <c r="Q13" s="641">
        <f t="shared" si="9"/>
        <v>0</v>
      </c>
      <c r="R13" s="641">
        <f t="shared" si="9"/>
        <v>534</v>
      </c>
      <c r="S13" s="641">
        <f t="shared" si="9"/>
        <v>77</v>
      </c>
      <c r="T13" s="641">
        <f t="shared" si="9"/>
        <v>148</v>
      </c>
      <c r="U13" s="641">
        <f t="shared" si="9"/>
        <v>500</v>
      </c>
      <c r="V13" s="641">
        <f t="shared" si="9"/>
        <v>50</v>
      </c>
      <c r="W13" s="641">
        <f t="shared" si="9"/>
        <v>71</v>
      </c>
      <c r="X13" s="641">
        <f t="shared" si="9"/>
        <v>55</v>
      </c>
      <c r="Y13" s="641">
        <f t="shared" si="9"/>
        <v>0</v>
      </c>
      <c r="Z13" s="641">
        <f t="shared" si="9"/>
        <v>135</v>
      </c>
      <c r="AA13" s="641">
        <f t="shared" si="9"/>
        <v>4</v>
      </c>
      <c r="AB13" s="641">
        <f t="shared" si="9"/>
        <v>384</v>
      </c>
      <c r="AC13" s="641">
        <f t="shared" si="9"/>
        <v>302</v>
      </c>
      <c r="AD13" s="641">
        <f t="shared" si="9"/>
        <v>215</v>
      </c>
      <c r="AE13" s="641">
        <f t="shared" si="9"/>
        <v>0</v>
      </c>
      <c r="AF13" s="641">
        <f t="shared" si="9"/>
        <v>64</v>
      </c>
      <c r="AG13" s="641">
        <f t="shared" si="9"/>
        <v>166</v>
      </c>
      <c r="AH13" s="641">
        <f t="shared" si="9"/>
        <v>455</v>
      </c>
      <c r="AI13" s="641">
        <f t="shared" si="9"/>
        <v>36</v>
      </c>
      <c r="AJ13" s="641">
        <f t="shared" si="9"/>
        <v>138</v>
      </c>
      <c r="AK13" s="641">
        <f t="shared" si="9"/>
        <v>65</v>
      </c>
      <c r="AL13" s="639"/>
      <c r="AM13" s="639"/>
      <c r="AN13" s="155"/>
      <c r="AO13" s="639"/>
      <c r="AP13" s="639"/>
      <c r="AQ13" s="639"/>
      <c r="AR13" s="639"/>
      <c r="AS13" s="639"/>
      <c r="AT13" s="639"/>
      <c r="AU13" s="639"/>
      <c r="AV13" s="639"/>
      <c r="AW13" s="639"/>
      <c r="AX13" s="639"/>
      <c r="AY13" s="639"/>
      <c r="AZ13" s="639"/>
      <c r="BA13" s="639"/>
      <c r="BB13" s="639"/>
      <c r="BC13" s="639"/>
      <c r="BD13" s="639"/>
      <c r="BE13" s="639"/>
      <c r="BF13" s="639"/>
      <c r="BG13" s="639"/>
      <c r="BH13" s="639"/>
      <c r="BI13" s="639"/>
      <c r="BJ13" s="639"/>
      <c r="BK13" s="639"/>
      <c r="BL13" s="639"/>
      <c r="BM13" s="639"/>
      <c r="BN13" s="639"/>
      <c r="BO13" s="639"/>
      <c r="BP13" s="639"/>
      <c r="BQ13" s="639"/>
      <c r="BR13" s="639"/>
      <c r="BS13" s="639"/>
      <c r="BT13" s="639"/>
      <c r="BU13" s="639"/>
      <c r="BV13" s="639"/>
      <c r="BW13" s="639"/>
      <c r="BX13" s="639"/>
      <c r="BY13" s="639"/>
      <c r="BZ13" s="639"/>
      <c r="CA13" s="820"/>
      <c r="CB13" s="820"/>
      <c r="CC13" s="639"/>
      <c r="CD13" s="639"/>
      <c r="CE13" s="639"/>
      <c r="CF13" s="639"/>
      <c r="CG13" s="639"/>
      <c r="CH13" s="639"/>
      <c r="CI13" s="639"/>
      <c r="CJ13" s="639"/>
      <c r="CK13" s="639"/>
      <c r="CL13" s="639"/>
      <c r="CM13" s="639"/>
      <c r="CN13" s="639"/>
      <c r="CO13" s="639"/>
      <c r="CP13" s="639"/>
      <c r="CQ13" s="639"/>
      <c r="CR13" s="639"/>
      <c r="CS13" s="639"/>
      <c r="CT13" s="639"/>
      <c r="CU13" s="639"/>
      <c r="CV13" s="639"/>
      <c r="CW13" s="639"/>
      <c r="CX13" s="639"/>
      <c r="CY13" s="639"/>
      <c r="CZ13" s="643"/>
    </row>
    <row r="14" spans="1:104" hidden="1">
      <c r="A14" s="240"/>
      <c r="B14" s="639"/>
      <c r="C14" s="641">
        <f t="shared" ref="C14:AK14" si="10">C13-C5</f>
        <v>310.053</v>
      </c>
      <c r="D14" s="641">
        <f t="shared" si="10"/>
        <v>105</v>
      </c>
      <c r="E14" s="641">
        <f t="shared" si="10"/>
        <v>170</v>
      </c>
      <c r="F14" s="641">
        <f t="shared" si="10"/>
        <v>72</v>
      </c>
      <c r="G14" s="641">
        <f t="shared" si="10"/>
        <v>1</v>
      </c>
      <c r="H14" s="641">
        <f t="shared" si="10"/>
        <v>0</v>
      </c>
      <c r="I14" s="641">
        <f t="shared" si="10"/>
        <v>76</v>
      </c>
      <c r="J14" s="641">
        <f t="shared" si="10"/>
        <v>14</v>
      </c>
      <c r="K14" s="641">
        <f t="shared" si="10"/>
        <v>0</v>
      </c>
      <c r="L14" s="641">
        <f t="shared" si="10"/>
        <v>1</v>
      </c>
      <c r="M14" s="641">
        <f t="shared" si="10"/>
        <v>0</v>
      </c>
      <c r="N14" s="641">
        <f t="shared" si="10"/>
        <v>22</v>
      </c>
      <c r="O14" s="641">
        <f t="shared" si="10"/>
        <v>0</v>
      </c>
      <c r="P14" s="641">
        <f t="shared" si="10"/>
        <v>1</v>
      </c>
      <c r="Q14" s="641">
        <f t="shared" si="10"/>
        <v>0</v>
      </c>
      <c r="R14" s="641">
        <f t="shared" si="10"/>
        <v>206</v>
      </c>
      <c r="S14" s="641">
        <f t="shared" si="10"/>
        <v>31</v>
      </c>
      <c r="T14" s="641">
        <f t="shared" si="10"/>
        <v>57</v>
      </c>
      <c r="U14" s="641">
        <f t="shared" si="10"/>
        <v>175</v>
      </c>
      <c r="V14" s="641">
        <f t="shared" si="10"/>
        <v>28</v>
      </c>
      <c r="W14" s="641">
        <f t="shared" si="10"/>
        <v>29</v>
      </c>
      <c r="X14" s="641">
        <f t="shared" si="10"/>
        <v>24</v>
      </c>
      <c r="Y14" s="641">
        <f t="shared" si="10"/>
        <v>0</v>
      </c>
      <c r="Z14" s="641">
        <f t="shared" si="10"/>
        <v>35</v>
      </c>
      <c r="AA14" s="641">
        <f t="shared" si="10"/>
        <v>3</v>
      </c>
      <c r="AB14" s="641">
        <f t="shared" si="10"/>
        <v>135</v>
      </c>
      <c r="AC14" s="641">
        <f t="shared" si="10"/>
        <v>103</v>
      </c>
      <c r="AD14" s="641">
        <f t="shared" si="10"/>
        <v>64</v>
      </c>
      <c r="AE14" s="641">
        <f t="shared" si="10"/>
        <v>0</v>
      </c>
      <c r="AF14" s="641">
        <f t="shared" si="10"/>
        <v>30</v>
      </c>
      <c r="AG14" s="641">
        <f t="shared" si="10"/>
        <v>83</v>
      </c>
      <c r="AH14" s="641">
        <f t="shared" si="10"/>
        <v>164</v>
      </c>
      <c r="AI14" s="641">
        <f t="shared" si="10"/>
        <v>19</v>
      </c>
      <c r="AJ14" s="641">
        <f t="shared" si="10"/>
        <v>55</v>
      </c>
      <c r="AK14" s="641">
        <f t="shared" si="10"/>
        <v>36</v>
      </c>
      <c r="AL14" s="639"/>
      <c r="AM14" s="639"/>
      <c r="AN14" s="155"/>
      <c r="AO14" s="639"/>
      <c r="AP14" s="639"/>
      <c r="AQ14" s="639"/>
      <c r="AR14" s="639"/>
      <c r="AS14" s="639"/>
      <c r="AT14" s="639"/>
      <c r="AU14" s="639"/>
      <c r="AV14" s="639"/>
      <c r="AW14" s="639"/>
      <c r="AX14" s="639"/>
      <c r="AY14" s="639"/>
      <c r="AZ14" s="639"/>
      <c r="BA14" s="639"/>
      <c r="BB14" s="639"/>
      <c r="BC14" s="639"/>
      <c r="BD14" s="639"/>
      <c r="BE14" s="639"/>
      <c r="BF14" s="639"/>
      <c r="BG14" s="639"/>
      <c r="BH14" s="639"/>
      <c r="BI14" s="639"/>
      <c r="BJ14" s="639"/>
      <c r="BK14" s="639"/>
      <c r="BL14" s="639"/>
      <c r="BM14" s="639"/>
      <c r="BN14" s="639"/>
      <c r="BO14" s="639"/>
      <c r="BP14" s="639"/>
      <c r="BQ14" s="639"/>
      <c r="BR14" s="639"/>
      <c r="BS14" s="639"/>
      <c r="BT14" s="639"/>
      <c r="BU14" s="639"/>
      <c r="BV14" s="639"/>
      <c r="BW14" s="639"/>
      <c r="BX14" s="639"/>
      <c r="BY14" s="639"/>
      <c r="BZ14" s="639"/>
      <c r="CA14" s="820"/>
      <c r="CB14" s="820"/>
      <c r="CC14" s="639"/>
      <c r="CD14" s="639"/>
      <c r="CE14" s="639"/>
      <c r="CF14" s="639"/>
      <c r="CG14" s="639"/>
      <c r="CH14" s="639"/>
      <c r="CI14" s="639"/>
      <c r="CJ14" s="639"/>
      <c r="CK14" s="639"/>
      <c r="CL14" s="639"/>
      <c r="CM14" s="639"/>
      <c r="CN14" s="639"/>
      <c r="CO14" s="639"/>
      <c r="CP14" s="639"/>
      <c r="CQ14" s="639"/>
      <c r="CR14" s="639"/>
      <c r="CS14" s="639"/>
      <c r="CT14" s="639"/>
      <c r="CU14" s="639"/>
      <c r="CV14" s="639"/>
      <c r="CW14" s="639"/>
      <c r="CX14" s="639"/>
      <c r="CY14" s="639"/>
      <c r="CZ14" s="643"/>
    </row>
    <row r="15" spans="1:104" hidden="1">
      <c r="A15" s="240"/>
      <c r="B15" s="641"/>
      <c r="C15" s="641"/>
      <c r="D15" s="641">
        <f t="shared" ref="D15:AK15" si="11">549-$N1</f>
        <v>218</v>
      </c>
      <c r="E15" s="641">
        <f t="shared" si="11"/>
        <v>218</v>
      </c>
      <c r="F15" s="641">
        <f t="shared" si="11"/>
        <v>218</v>
      </c>
      <c r="G15" s="641">
        <f t="shared" si="11"/>
        <v>218</v>
      </c>
      <c r="H15" s="641">
        <f t="shared" si="11"/>
        <v>218</v>
      </c>
      <c r="I15" s="641">
        <f t="shared" si="11"/>
        <v>218</v>
      </c>
      <c r="J15" s="641">
        <f t="shared" si="11"/>
        <v>218</v>
      </c>
      <c r="K15" s="641">
        <f t="shared" si="11"/>
        <v>218</v>
      </c>
      <c r="L15" s="641">
        <f t="shared" si="11"/>
        <v>218</v>
      </c>
      <c r="M15" s="641">
        <f t="shared" si="11"/>
        <v>218</v>
      </c>
      <c r="N15" s="641">
        <f t="shared" si="11"/>
        <v>218</v>
      </c>
      <c r="O15" s="641">
        <f t="shared" si="11"/>
        <v>218</v>
      </c>
      <c r="P15" s="641">
        <f t="shared" si="11"/>
        <v>218</v>
      </c>
      <c r="Q15" s="641">
        <f t="shared" si="11"/>
        <v>218</v>
      </c>
      <c r="R15" s="641">
        <f t="shared" si="11"/>
        <v>218</v>
      </c>
      <c r="S15" s="641">
        <f t="shared" si="11"/>
        <v>218</v>
      </c>
      <c r="T15" s="641">
        <f t="shared" si="11"/>
        <v>218</v>
      </c>
      <c r="U15" s="641">
        <f t="shared" si="11"/>
        <v>218</v>
      </c>
      <c r="V15" s="641">
        <f t="shared" si="11"/>
        <v>218</v>
      </c>
      <c r="W15" s="641">
        <f t="shared" si="11"/>
        <v>218</v>
      </c>
      <c r="X15" s="641">
        <f t="shared" si="11"/>
        <v>218</v>
      </c>
      <c r="Y15" s="641">
        <f t="shared" si="11"/>
        <v>218</v>
      </c>
      <c r="Z15" s="641">
        <f t="shared" si="11"/>
        <v>218</v>
      </c>
      <c r="AA15" s="641">
        <f t="shared" si="11"/>
        <v>218</v>
      </c>
      <c r="AB15" s="641">
        <f t="shared" si="11"/>
        <v>218</v>
      </c>
      <c r="AC15" s="641">
        <f t="shared" si="11"/>
        <v>218</v>
      </c>
      <c r="AD15" s="641">
        <f t="shared" si="11"/>
        <v>218</v>
      </c>
      <c r="AE15" s="641">
        <f t="shared" si="11"/>
        <v>218</v>
      </c>
      <c r="AF15" s="641">
        <f t="shared" si="11"/>
        <v>218</v>
      </c>
      <c r="AG15" s="641">
        <f t="shared" si="11"/>
        <v>218</v>
      </c>
      <c r="AH15" s="641">
        <f t="shared" si="11"/>
        <v>218</v>
      </c>
      <c r="AI15" s="641">
        <f t="shared" si="11"/>
        <v>218</v>
      </c>
      <c r="AJ15" s="641">
        <f t="shared" si="11"/>
        <v>218</v>
      </c>
      <c r="AK15" s="641">
        <f t="shared" si="11"/>
        <v>218</v>
      </c>
      <c r="AL15" s="641"/>
      <c r="AM15" s="641"/>
      <c r="AN15" s="155"/>
      <c r="AO15" s="639"/>
      <c r="AP15" s="639"/>
      <c r="AQ15" s="639"/>
      <c r="AR15" s="639"/>
      <c r="AS15" s="639"/>
      <c r="AT15" s="639"/>
      <c r="AU15" s="639"/>
      <c r="AV15" s="639"/>
      <c r="AW15" s="639"/>
      <c r="AX15" s="639"/>
      <c r="AY15" s="639"/>
      <c r="AZ15" s="639"/>
      <c r="BA15" s="639"/>
      <c r="BB15" s="639"/>
      <c r="BC15" s="639"/>
      <c r="BD15" s="639"/>
      <c r="BE15" s="639"/>
      <c r="BF15" s="639"/>
      <c r="BG15" s="639"/>
      <c r="BH15" s="639"/>
      <c r="BI15" s="639"/>
      <c r="BJ15" s="639"/>
      <c r="BK15" s="639"/>
      <c r="BL15" s="639"/>
      <c r="BM15" s="639"/>
      <c r="BN15" s="639"/>
      <c r="BO15" s="639"/>
      <c r="BP15" s="639"/>
      <c r="BQ15" s="639"/>
      <c r="BR15" s="639"/>
      <c r="BS15" s="639"/>
      <c r="BT15" s="639"/>
      <c r="BU15" s="639"/>
      <c r="BV15" s="639"/>
      <c r="BW15" s="639"/>
      <c r="BX15" s="639"/>
      <c r="BY15" s="639"/>
      <c r="BZ15" s="639"/>
      <c r="CA15" s="820"/>
      <c r="CB15" s="820"/>
      <c r="CC15" s="639"/>
      <c r="CD15" s="639"/>
      <c r="CE15" s="639"/>
      <c r="CF15" s="639"/>
      <c r="CG15" s="639"/>
      <c r="CH15" s="639"/>
      <c r="CI15" s="639"/>
      <c r="CJ15" s="639"/>
      <c r="CK15" s="639"/>
      <c r="CL15" s="639"/>
      <c r="CM15" s="639"/>
      <c r="CN15" s="639"/>
      <c r="CO15" s="639"/>
      <c r="CP15" s="639"/>
      <c r="CQ15" s="639"/>
      <c r="CR15" s="639"/>
      <c r="CS15" s="639"/>
      <c r="CT15" s="639"/>
      <c r="CU15" s="639"/>
      <c r="CV15" s="639"/>
      <c r="CW15" s="639"/>
      <c r="CX15" s="639"/>
      <c r="CY15" s="639"/>
      <c r="CZ15" s="643"/>
    </row>
    <row r="16" spans="1:104">
      <c r="A16" s="241" t="s">
        <v>1069</v>
      </c>
      <c r="B16" s="242"/>
      <c r="C16" s="242"/>
      <c r="D16" s="243" t="s">
        <v>1070</v>
      </c>
      <c r="E16" s="243" t="s">
        <v>735</v>
      </c>
      <c r="F16" s="243"/>
      <c r="G16" s="243"/>
      <c r="H16" s="243"/>
      <c r="I16" s="243"/>
      <c r="J16" s="243"/>
      <c r="K16" s="243"/>
      <c r="L16" s="243"/>
      <c r="M16" s="243"/>
      <c r="N16" s="243"/>
      <c r="O16" s="243"/>
      <c r="P16" s="243"/>
      <c r="Q16" s="243"/>
      <c r="R16" s="243"/>
      <c r="S16" s="243"/>
      <c r="T16" s="243"/>
      <c r="U16" s="243"/>
      <c r="V16" s="243"/>
      <c r="W16" s="243"/>
      <c r="X16" s="243"/>
      <c r="Y16" s="243"/>
      <c r="Z16" s="243" t="s">
        <v>1071</v>
      </c>
      <c r="AA16" s="243"/>
      <c r="AB16" s="243" t="s">
        <v>1072</v>
      </c>
      <c r="AC16" s="243">
        <v>14</v>
      </c>
      <c r="AD16" s="243">
        <v>15</v>
      </c>
      <c r="AE16" s="243"/>
      <c r="AF16" s="243"/>
      <c r="AG16" s="243"/>
      <c r="AH16" s="243"/>
      <c r="AI16" s="243"/>
      <c r="AJ16" s="243"/>
      <c r="AK16" s="243"/>
      <c r="AL16" s="828"/>
      <c r="AM16" s="815"/>
      <c r="AN16" s="815"/>
      <c r="AO16" s="639"/>
      <c r="AP16" s="639"/>
      <c r="AQ16" s="639"/>
      <c r="AR16" s="639"/>
      <c r="AS16" s="639"/>
      <c r="AT16" s="639"/>
      <c r="AU16" s="639"/>
      <c r="AV16" s="639"/>
      <c r="AW16" s="639"/>
      <c r="AX16" s="639"/>
      <c r="AY16" s="639"/>
      <c r="AZ16" s="639"/>
      <c r="BA16" s="639"/>
      <c r="BB16" s="639"/>
      <c r="BC16" s="639"/>
      <c r="BD16" s="639"/>
      <c r="BE16" s="639"/>
      <c r="BF16" s="639"/>
      <c r="BG16" s="639"/>
      <c r="BH16" s="639"/>
      <c r="BI16" s="639"/>
      <c r="BJ16" s="639"/>
      <c r="BK16" s="639"/>
      <c r="BL16" s="639"/>
      <c r="BM16" s="639"/>
      <c r="BN16" s="639"/>
      <c r="BO16" s="639"/>
      <c r="BP16" s="639"/>
      <c r="BQ16" s="639"/>
      <c r="BR16" s="639"/>
      <c r="BS16" s="639"/>
      <c r="BT16" s="639"/>
      <c r="BU16" s="639"/>
      <c r="BV16" s="639"/>
      <c r="BW16" s="639"/>
      <c r="BX16" s="639"/>
      <c r="BY16" s="639"/>
      <c r="BZ16" s="639"/>
      <c r="CA16" s="820"/>
      <c r="CB16" s="820"/>
      <c r="CC16" s="639"/>
      <c r="CD16" s="639"/>
      <c r="CE16" s="639"/>
      <c r="CF16" s="639"/>
      <c r="CG16" s="639"/>
      <c r="CH16" s="639"/>
      <c r="CI16" s="639"/>
      <c r="CJ16" s="639"/>
      <c r="CK16" s="639"/>
      <c r="CL16" s="639"/>
      <c r="CM16" s="639"/>
      <c r="CN16" s="639"/>
      <c r="CO16" s="639"/>
      <c r="CP16" s="639"/>
      <c r="CQ16" s="639"/>
      <c r="CR16" s="639"/>
      <c r="CS16" s="639"/>
      <c r="CT16" s="639"/>
      <c r="CU16" s="639"/>
      <c r="CV16" s="639"/>
      <c r="CW16" s="639"/>
      <c r="CX16" s="639"/>
      <c r="CY16" s="639"/>
      <c r="CZ16" s="643"/>
    </row>
    <row r="17" spans="1:105">
      <c r="A17" s="241" t="s">
        <v>1073</v>
      </c>
      <c r="B17" s="242"/>
      <c r="C17" s="242"/>
      <c r="D17" s="176">
        <f>6/11</f>
        <v>0.54545454545454541</v>
      </c>
      <c r="E17" s="176">
        <f>9/11</f>
        <v>0.81818181818181823</v>
      </c>
      <c r="F17" s="176">
        <f>6/11</f>
        <v>0.54545454545454541</v>
      </c>
      <c r="G17" s="176"/>
      <c r="H17" s="176"/>
      <c r="I17" s="176">
        <f>6/11</f>
        <v>0.54545454545454541</v>
      </c>
      <c r="J17" s="176"/>
      <c r="K17" s="176"/>
      <c r="L17" s="176"/>
      <c r="M17" s="176"/>
      <c r="N17" s="176"/>
      <c r="O17" s="176"/>
      <c r="P17" s="176"/>
      <c r="Q17" s="176"/>
      <c r="R17" s="176"/>
      <c r="S17" s="176"/>
      <c r="T17" s="176"/>
      <c r="U17" s="176"/>
      <c r="V17" s="176"/>
      <c r="W17" s="176"/>
      <c r="X17" s="176"/>
      <c r="Y17" s="176"/>
      <c r="Z17" s="176">
        <f>7/11</f>
        <v>0.63636363636363635</v>
      </c>
      <c r="AA17" s="176"/>
      <c r="AB17" s="176">
        <f>10/11</f>
        <v>0.90909090909090906</v>
      </c>
      <c r="AC17" s="176">
        <f t="shared" ref="AC17:AD17" si="12">8/11</f>
        <v>0.72727272727272729</v>
      </c>
      <c r="AD17" s="176">
        <f t="shared" si="12"/>
        <v>0.72727272727272729</v>
      </c>
      <c r="AE17" s="244"/>
      <c r="AF17" s="244"/>
      <c r="AG17" s="244"/>
      <c r="AH17" s="244"/>
      <c r="AI17" s="244"/>
      <c r="AJ17" s="244"/>
      <c r="AK17" s="244"/>
      <c r="AL17" s="815"/>
      <c r="AM17" s="820"/>
      <c r="AN17" s="820"/>
      <c r="AO17" s="639"/>
      <c r="AP17" s="639"/>
      <c r="AQ17" s="639"/>
      <c r="AR17" s="639"/>
      <c r="AS17" s="639"/>
      <c r="AT17" s="639"/>
      <c r="AU17" s="639"/>
      <c r="AV17" s="639"/>
      <c r="AW17" s="639"/>
      <c r="AX17" s="639"/>
      <c r="AY17" s="639"/>
      <c r="AZ17" s="639"/>
      <c r="BA17" s="639"/>
      <c r="BB17" s="639"/>
      <c r="BC17" s="639"/>
      <c r="BD17" s="639"/>
      <c r="BE17" s="639"/>
      <c r="BF17" s="639"/>
      <c r="BG17" s="639"/>
      <c r="BH17" s="639"/>
      <c r="BI17" s="639"/>
      <c r="BJ17" s="639"/>
      <c r="BK17" s="639"/>
      <c r="BL17" s="639"/>
      <c r="BM17" s="639"/>
      <c r="BN17" s="639"/>
      <c r="BO17" s="639"/>
      <c r="BP17" s="639"/>
      <c r="BQ17" s="639"/>
      <c r="BR17" s="639"/>
      <c r="BS17" s="639"/>
      <c r="BT17" s="639"/>
      <c r="BU17" s="639"/>
      <c r="BV17" s="639"/>
      <c r="BW17" s="639"/>
      <c r="BX17" s="639"/>
      <c r="BY17" s="639"/>
      <c r="BZ17" s="639"/>
      <c r="CA17" s="820"/>
      <c r="CB17" s="820"/>
      <c r="CC17" s="639"/>
      <c r="CD17" s="639"/>
      <c r="CE17" s="639"/>
      <c r="CF17" s="639"/>
      <c r="CG17" s="639"/>
      <c r="CH17" s="639"/>
      <c r="CI17" s="639"/>
      <c r="CJ17" s="639"/>
      <c r="CK17" s="639"/>
      <c r="CL17" s="639"/>
      <c r="CM17" s="639"/>
      <c r="CN17" s="639"/>
      <c r="CO17" s="639"/>
      <c r="CP17" s="639"/>
      <c r="CQ17" s="639"/>
      <c r="CR17" s="639"/>
      <c r="CS17" s="639"/>
      <c r="CT17" s="639"/>
      <c r="CU17" s="639"/>
      <c r="CV17" s="639"/>
      <c r="CW17" s="639"/>
      <c r="CX17" s="639"/>
      <c r="CY17" s="639"/>
      <c r="CZ17" s="643"/>
    </row>
    <row r="18" spans="1:105">
      <c r="A18" s="241" t="s">
        <v>85</v>
      </c>
      <c r="B18" s="242"/>
      <c r="C18" s="242"/>
      <c r="D18" s="243" t="s">
        <v>86</v>
      </c>
      <c r="E18" s="243" t="s">
        <v>87</v>
      </c>
      <c r="F18" s="243"/>
      <c r="G18" s="243"/>
      <c r="H18" s="243"/>
      <c r="I18" s="243"/>
      <c r="J18" s="243"/>
      <c r="K18" s="243"/>
      <c r="L18" s="243"/>
      <c r="M18" s="243"/>
      <c r="N18" s="243"/>
      <c r="O18" s="243"/>
      <c r="P18" s="243"/>
      <c r="Q18" s="243"/>
      <c r="R18" s="243"/>
      <c r="S18" s="243"/>
      <c r="T18" s="243"/>
      <c r="U18" s="243"/>
      <c r="V18" s="243"/>
      <c r="W18" s="243"/>
      <c r="X18" s="243"/>
      <c r="Y18" s="243"/>
      <c r="Z18" s="243" t="s">
        <v>88</v>
      </c>
      <c r="AA18" s="243"/>
      <c r="AB18" s="243" t="s">
        <v>86</v>
      </c>
      <c r="AC18" s="243" t="s">
        <v>89</v>
      </c>
      <c r="AD18" s="243" t="s">
        <v>86</v>
      </c>
      <c r="AE18" s="243"/>
      <c r="AF18" s="243"/>
      <c r="AG18" s="243"/>
      <c r="AH18" s="243"/>
      <c r="AI18" s="243"/>
      <c r="AJ18" s="243"/>
      <c r="AK18" s="243"/>
      <c r="AL18" s="815"/>
      <c r="AM18" s="820"/>
      <c r="AN18" s="820"/>
      <c r="AO18" s="639"/>
      <c r="AP18" s="639"/>
      <c r="AQ18" s="639"/>
      <c r="AR18" s="639"/>
      <c r="AS18" s="639"/>
      <c r="AT18" s="639"/>
      <c r="AU18" s="639"/>
      <c r="AV18" s="639"/>
      <c r="AW18" s="639"/>
      <c r="AX18" s="639"/>
      <c r="AY18" s="639"/>
      <c r="AZ18" s="639"/>
      <c r="BA18" s="639"/>
      <c r="BB18" s="639"/>
      <c r="BC18" s="639"/>
      <c r="BD18" s="639"/>
      <c r="BE18" s="639"/>
      <c r="BF18" s="639"/>
      <c r="BG18" s="639"/>
      <c r="BH18" s="639"/>
      <c r="BI18" s="639"/>
      <c r="BJ18" s="639"/>
      <c r="BK18" s="639"/>
      <c r="BL18" s="639"/>
      <c r="BM18" s="639"/>
      <c r="BN18" s="639"/>
      <c r="BO18" s="639"/>
      <c r="BP18" s="639"/>
      <c r="BQ18" s="639"/>
      <c r="BR18" s="639"/>
      <c r="BS18" s="639"/>
      <c r="BT18" s="639"/>
      <c r="BU18" s="639"/>
      <c r="BV18" s="639"/>
      <c r="BW18" s="639"/>
      <c r="BX18" s="639"/>
      <c r="BY18" s="639"/>
      <c r="BZ18" s="639"/>
      <c r="CA18" s="820"/>
      <c r="CB18" s="820"/>
      <c r="CC18" s="639"/>
      <c r="CD18" s="639"/>
      <c r="CE18" s="639"/>
      <c r="CF18" s="639"/>
      <c r="CG18" s="639"/>
      <c r="CH18" s="639"/>
      <c r="CI18" s="639"/>
      <c r="CJ18" s="639"/>
      <c r="CK18" s="639"/>
      <c r="CL18" s="639"/>
      <c r="CM18" s="639"/>
      <c r="CN18" s="639"/>
      <c r="CO18" s="639"/>
      <c r="CP18" s="639"/>
      <c r="CQ18" s="639"/>
      <c r="CR18" s="639"/>
      <c r="CS18" s="639"/>
      <c r="CT18" s="639"/>
      <c r="CU18" s="639"/>
      <c r="CV18" s="639"/>
      <c r="CW18" s="639"/>
      <c r="CX18" s="639"/>
      <c r="CY18" s="639"/>
      <c r="CZ18" s="643"/>
    </row>
    <row r="19" spans="1:105">
      <c r="A19" s="241" t="s">
        <v>90</v>
      </c>
      <c r="B19" s="242"/>
      <c r="C19" s="242"/>
      <c r="D19" s="176">
        <f>2/4</f>
        <v>0.5</v>
      </c>
      <c r="E19" s="245">
        <f>4/4</f>
        <v>1</v>
      </c>
      <c r="F19" s="176">
        <f>3/4</f>
        <v>0.75</v>
      </c>
      <c r="G19" s="176"/>
      <c r="H19" s="176"/>
      <c r="I19" s="176">
        <f>3/4</f>
        <v>0.75</v>
      </c>
      <c r="J19" s="176"/>
      <c r="K19" s="176"/>
      <c r="L19" s="176"/>
      <c r="M19" s="176"/>
      <c r="N19" s="176"/>
      <c r="O19" s="176"/>
      <c r="P19" s="176"/>
      <c r="Q19" s="176"/>
      <c r="R19" s="176"/>
      <c r="S19" s="176"/>
      <c r="T19" s="176"/>
      <c r="U19" s="176"/>
      <c r="V19" s="176"/>
      <c r="W19" s="176"/>
      <c r="X19" s="176"/>
      <c r="Y19" s="176"/>
      <c r="Z19" s="176">
        <f>2/4</f>
        <v>0.5</v>
      </c>
      <c r="AA19" s="176"/>
      <c r="AB19" s="245">
        <f>4/4</f>
        <v>1</v>
      </c>
      <c r="AC19" s="176">
        <f>3/4</f>
        <v>0.75</v>
      </c>
      <c r="AD19" s="176">
        <f>1/4</f>
        <v>0.25</v>
      </c>
      <c r="AE19" s="244"/>
      <c r="AF19" s="244"/>
      <c r="AG19" s="244"/>
      <c r="AH19" s="244"/>
      <c r="AI19" s="244"/>
      <c r="AJ19" s="244"/>
      <c r="AK19" s="244"/>
      <c r="AL19" s="815"/>
      <c r="AM19" s="820"/>
      <c r="AN19" s="820"/>
      <c r="AO19" s="639"/>
      <c r="AP19" s="639"/>
      <c r="AQ19" s="639"/>
      <c r="AR19" s="639"/>
      <c r="AS19" s="639"/>
      <c r="AT19" s="639"/>
      <c r="AU19" s="639"/>
      <c r="AV19" s="639"/>
      <c r="AW19" s="639"/>
      <c r="AX19" s="639"/>
      <c r="AY19" s="639"/>
      <c r="AZ19" s="639"/>
      <c r="BA19" s="639"/>
      <c r="BB19" s="639"/>
      <c r="BC19" s="639"/>
      <c r="BD19" s="639"/>
      <c r="BE19" s="639"/>
      <c r="BF19" s="639"/>
      <c r="BG19" s="639"/>
      <c r="BH19" s="639"/>
      <c r="BI19" s="639"/>
      <c r="BJ19" s="639"/>
      <c r="BK19" s="639"/>
      <c r="BL19" s="639"/>
      <c r="BM19" s="639"/>
      <c r="BN19" s="639"/>
      <c r="BO19" s="639"/>
      <c r="BP19" s="639"/>
      <c r="BQ19" s="639"/>
      <c r="BR19" s="639"/>
      <c r="BS19" s="639"/>
      <c r="BT19" s="639"/>
      <c r="BU19" s="639"/>
      <c r="BV19" s="639"/>
      <c r="BW19" s="639"/>
      <c r="BX19" s="639"/>
      <c r="BY19" s="639"/>
      <c r="BZ19" s="639"/>
      <c r="CA19" s="820"/>
      <c r="CB19" s="820"/>
      <c r="CC19" s="639"/>
      <c r="CD19" s="639"/>
      <c r="CE19" s="639"/>
      <c r="CF19" s="639"/>
      <c r="CG19" s="639"/>
      <c r="CH19" s="639"/>
      <c r="CI19" s="639"/>
      <c r="CJ19" s="639"/>
      <c r="CK19" s="639"/>
      <c r="CL19" s="639"/>
      <c r="CM19" s="639"/>
      <c r="CN19" s="639"/>
      <c r="CO19" s="639"/>
      <c r="CP19" s="639"/>
      <c r="CQ19" s="639"/>
      <c r="CR19" s="639"/>
      <c r="CS19" s="639"/>
      <c r="CT19" s="639"/>
      <c r="CU19" s="639"/>
      <c r="CV19" s="639"/>
      <c r="CW19" s="639"/>
      <c r="CX19" s="639"/>
      <c r="CY19" s="639"/>
      <c r="CZ19" s="643"/>
    </row>
    <row r="20" spans="1:105">
      <c r="A20" s="241" t="s">
        <v>91</v>
      </c>
      <c r="B20" s="242"/>
      <c r="C20" s="242"/>
      <c r="D20" s="176">
        <f>14/25</f>
        <v>0.56000000000000005</v>
      </c>
      <c r="E20" s="176">
        <f>19/25</f>
        <v>0.76</v>
      </c>
      <c r="F20" s="176"/>
      <c r="G20" s="176"/>
      <c r="H20" s="176"/>
      <c r="I20" s="176"/>
      <c r="J20" s="176"/>
      <c r="K20" s="176"/>
      <c r="L20" s="176"/>
      <c r="M20" s="176"/>
      <c r="N20" s="176"/>
      <c r="O20" s="176"/>
      <c r="P20" s="176"/>
      <c r="Q20" s="176"/>
      <c r="R20" s="176"/>
      <c r="S20" s="176"/>
      <c r="T20" s="176"/>
      <c r="U20" s="176"/>
      <c r="V20" s="176"/>
      <c r="W20" s="176"/>
      <c r="X20" s="176"/>
      <c r="Y20" s="176"/>
      <c r="Z20" s="176">
        <f>9/25</f>
        <v>0.36</v>
      </c>
      <c r="AA20" s="176"/>
      <c r="AB20" s="176">
        <f>14/25</f>
        <v>0.56000000000000005</v>
      </c>
      <c r="AC20" s="176">
        <f>14/24</f>
        <v>0.58333333333333337</v>
      </c>
      <c r="AD20" s="176">
        <f>9/25</f>
        <v>0.36</v>
      </c>
      <c r="AE20" s="244"/>
      <c r="AF20" s="244"/>
      <c r="AG20" s="244"/>
      <c r="AH20" s="244"/>
      <c r="AI20" s="244"/>
      <c r="AJ20" s="244"/>
      <c r="AK20" s="244"/>
      <c r="AL20" s="815"/>
      <c r="AM20" s="815"/>
      <c r="AN20" s="815"/>
      <c r="AO20" s="639"/>
      <c r="AP20" s="639"/>
      <c r="AQ20" s="639"/>
      <c r="AR20" s="639"/>
      <c r="AS20" s="639"/>
      <c r="AT20" s="639"/>
      <c r="AU20" s="639"/>
      <c r="AV20" s="639"/>
      <c r="AW20" s="639"/>
      <c r="AX20" s="639"/>
      <c r="AY20" s="639"/>
      <c r="AZ20" s="639"/>
      <c r="BA20" s="639"/>
      <c r="BB20" s="639"/>
      <c r="BC20" s="639"/>
      <c r="BD20" s="639"/>
      <c r="BE20" s="639"/>
      <c r="BF20" s="639"/>
      <c r="BG20" s="639"/>
      <c r="BH20" s="639"/>
      <c r="BI20" s="639"/>
      <c r="BJ20" s="639"/>
      <c r="BK20" s="639"/>
      <c r="BL20" s="639"/>
      <c r="BM20" s="639"/>
      <c r="BN20" s="639"/>
      <c r="BO20" s="639"/>
      <c r="BP20" s="639"/>
      <c r="BQ20" s="639"/>
      <c r="BR20" s="639"/>
      <c r="BS20" s="639"/>
      <c r="BT20" s="639"/>
      <c r="BU20" s="639"/>
      <c r="BV20" s="639"/>
      <c r="BW20" s="639"/>
      <c r="BX20" s="639"/>
      <c r="BY20" s="639"/>
      <c r="BZ20" s="639"/>
      <c r="CA20" s="820"/>
      <c r="CB20" s="820"/>
      <c r="CC20" s="639"/>
      <c r="CD20" s="639"/>
      <c r="CE20" s="639"/>
      <c r="CF20" s="639"/>
      <c r="CG20" s="639"/>
      <c r="CH20" s="639"/>
      <c r="CI20" s="639"/>
      <c r="CJ20" s="639"/>
      <c r="CK20" s="639"/>
      <c r="CL20" s="639"/>
      <c r="CM20" s="639"/>
      <c r="CN20" s="639"/>
      <c r="CO20" s="639"/>
      <c r="CP20" s="639"/>
      <c r="CQ20" s="639"/>
      <c r="CR20" s="639"/>
      <c r="CS20" s="639"/>
      <c r="CT20" s="639"/>
      <c r="CU20" s="639"/>
      <c r="CV20" s="639"/>
      <c r="CW20" s="639"/>
      <c r="CX20" s="639"/>
      <c r="CY20" s="639"/>
      <c r="CZ20" s="643"/>
    </row>
    <row r="21" spans="1:105" ht="36">
      <c r="A21" s="246"/>
      <c r="B21" s="641"/>
      <c r="C21" s="247"/>
      <c r="D21" s="814" t="s">
        <v>1074</v>
      </c>
      <c r="E21" s="815"/>
      <c r="F21" s="815"/>
      <c r="G21" s="815"/>
      <c r="H21" s="815"/>
      <c r="I21" s="815"/>
      <c r="J21" s="815"/>
      <c r="K21" s="815"/>
      <c r="L21" s="815"/>
      <c r="M21" s="815"/>
      <c r="N21" s="815"/>
      <c r="O21" s="815"/>
      <c r="P21" s="815"/>
      <c r="Q21" s="815"/>
      <c r="R21" s="815"/>
      <c r="S21" s="815"/>
      <c r="T21" s="815"/>
      <c r="U21" s="815"/>
      <c r="V21" s="815"/>
      <c r="W21" s="815"/>
      <c r="X21" s="815"/>
      <c r="Y21" s="815"/>
      <c r="Z21" s="815"/>
      <c r="AA21" s="815"/>
      <c r="AB21" s="815"/>
      <c r="AC21" s="815"/>
      <c r="AD21" s="815"/>
      <c r="AE21" s="815"/>
      <c r="AF21" s="815"/>
      <c r="AG21" s="815"/>
      <c r="AH21" s="815"/>
      <c r="AI21" s="815"/>
      <c r="AJ21" s="815"/>
      <c r="AK21" s="815"/>
      <c r="AL21" s="167" t="s">
        <v>95</v>
      </c>
      <c r="AM21" s="167" t="s">
        <v>96</v>
      </c>
      <c r="AN21" s="167" t="s">
        <v>97</v>
      </c>
      <c r="AO21" s="641"/>
      <c r="AP21" s="641"/>
      <c r="AQ21" s="641"/>
      <c r="AR21" s="641"/>
      <c r="AS21" s="641"/>
      <c r="AT21" s="641"/>
      <c r="AU21" s="641"/>
      <c r="AV21" s="641"/>
      <c r="AW21" s="641"/>
      <c r="AX21" s="641"/>
      <c r="AY21" s="641"/>
      <c r="AZ21" s="641"/>
      <c r="BA21" s="641"/>
      <c r="BB21" s="641"/>
      <c r="BC21" s="641"/>
      <c r="BD21" s="641"/>
      <c r="BE21" s="641"/>
      <c r="BF21" s="641"/>
      <c r="BG21" s="641"/>
      <c r="BH21" s="641"/>
      <c r="BI21" s="641"/>
      <c r="BJ21" s="641"/>
      <c r="BK21" s="641"/>
      <c r="BL21" s="641"/>
      <c r="BM21" s="641"/>
      <c r="BN21" s="641"/>
      <c r="BO21" s="641"/>
      <c r="BP21" s="641"/>
      <c r="BQ21" s="641"/>
      <c r="BR21" s="641"/>
      <c r="BS21" s="641"/>
      <c r="BT21" s="641"/>
      <c r="BU21" s="641"/>
      <c r="BV21" s="641"/>
      <c r="BW21" s="641"/>
      <c r="BX21" s="641"/>
      <c r="BY21" s="641"/>
      <c r="BZ21" s="641"/>
      <c r="CA21" s="815"/>
      <c r="CB21" s="815"/>
      <c r="CC21" s="179"/>
      <c r="CD21" s="179"/>
      <c r="CE21" s="179"/>
      <c r="CF21" s="179"/>
      <c r="CG21" s="179"/>
      <c r="CH21" s="179"/>
      <c r="CI21" s="179"/>
      <c r="CJ21" s="179"/>
      <c r="CK21" s="179"/>
      <c r="CL21" s="179"/>
      <c r="CM21" s="179"/>
      <c r="CN21" s="179"/>
      <c r="CO21" s="179"/>
      <c r="CP21" s="179"/>
      <c r="CQ21" s="179"/>
      <c r="CR21" s="179"/>
      <c r="CS21" s="179"/>
      <c r="CT21" s="179"/>
      <c r="CU21" s="179"/>
      <c r="CV21" s="179"/>
      <c r="CW21" s="179"/>
      <c r="CX21" s="179"/>
      <c r="CY21" s="179"/>
      <c r="CZ21" s="625" t="s">
        <v>1075</v>
      </c>
      <c r="DA21" s="248"/>
    </row>
    <row r="22" spans="1:105">
      <c r="A22" s="249" t="s">
        <v>99</v>
      </c>
      <c r="B22" s="187"/>
      <c r="C22" s="644"/>
      <c r="D22" s="644">
        <v>1</v>
      </c>
      <c r="E22" s="250"/>
      <c r="F22" s="251">
        <v>1</v>
      </c>
      <c r="G22" s="251"/>
      <c r="H22" s="251"/>
      <c r="I22" s="251">
        <v>1</v>
      </c>
      <c r="J22" s="644"/>
      <c r="K22" s="644"/>
      <c r="L22" s="644"/>
      <c r="M22" s="644"/>
      <c r="N22" s="644"/>
      <c r="O22" s="644"/>
      <c r="P22" s="644"/>
      <c r="Q22" s="644"/>
      <c r="R22" s="644">
        <v>1</v>
      </c>
      <c r="S22" s="644"/>
      <c r="T22" s="644"/>
      <c r="U22" s="644">
        <v>1</v>
      </c>
      <c r="V22" s="644"/>
      <c r="W22" s="644"/>
      <c r="X22" s="644"/>
      <c r="Y22" s="644"/>
      <c r="Z22" s="644">
        <v>1</v>
      </c>
      <c r="AA22" s="644"/>
      <c r="AB22" s="644">
        <v>1</v>
      </c>
      <c r="AC22" s="644">
        <v>1</v>
      </c>
      <c r="AD22" s="644">
        <v>1</v>
      </c>
      <c r="AE22" s="644"/>
      <c r="AF22" s="644"/>
      <c r="AG22" s="644"/>
      <c r="AH22" s="644">
        <v>1</v>
      </c>
      <c r="AI22" s="644"/>
      <c r="AJ22" s="644"/>
      <c r="AK22" s="644"/>
      <c r="AL22" s="167">
        <v>10</v>
      </c>
      <c r="AM22" s="185" t="s">
        <v>1076</v>
      </c>
      <c r="AN22" s="186">
        <v>41996</v>
      </c>
      <c r="AO22" s="187"/>
      <c r="AP22" s="187">
        <f t="shared" ref="AP22:AP47" si="13">IF(F22=1,13,0)</f>
        <v>13</v>
      </c>
      <c r="AQ22" s="187">
        <f t="shared" ref="AQ22:AQ47" si="14">IF(I22=1,13,0)</f>
        <v>13</v>
      </c>
      <c r="AR22" s="187">
        <f t="shared" ref="AR22:AR47" si="15">IF(R22=1,13,0)</f>
        <v>13</v>
      </c>
      <c r="AS22" s="187">
        <f t="shared" ref="AS22:AS47" si="16">IF(U22=1,13,0)</f>
        <v>13</v>
      </c>
      <c r="AT22" s="187">
        <f t="shared" ref="AT22:AT47" si="17">IF(AB22=1, 9,0)</f>
        <v>9</v>
      </c>
      <c r="AU22" s="187">
        <f t="shared" ref="AU22:AU47" si="18">IF(D22=1, 9,0)</f>
        <v>9</v>
      </c>
      <c r="AV22" s="187">
        <f t="shared" ref="AV22:AV47" si="19">IF(AC22=1, 9,0)</f>
        <v>9</v>
      </c>
      <c r="AW22" s="187">
        <f t="shared" ref="AW22:AW47" si="20">IF(AJ22=1,7,0)</f>
        <v>0</v>
      </c>
      <c r="AX22" s="187">
        <f t="shared" ref="AX22:AX47" si="21">IF(AD22=1,7,0)</f>
        <v>7</v>
      </c>
      <c r="AY22" s="187">
        <f t="shared" ref="AY22:AY47" si="22">IF(Z22=1,7,0)</f>
        <v>7</v>
      </c>
      <c r="AZ22" s="187">
        <f t="shared" ref="AZ22:AZ47" si="23">IF(AH22=1,7,0)</f>
        <v>7</v>
      </c>
      <c r="BA22" s="187">
        <f t="shared" ref="BA22:BA47" si="24">IF(E22=1,7,0)</f>
        <v>0</v>
      </c>
      <c r="BB22" s="187">
        <f t="shared" ref="BB22:BB47" si="25">IF(AK22=1,4,0)</f>
        <v>0</v>
      </c>
      <c r="BC22" s="187">
        <f t="shared" ref="BC22:BC47" si="26">IF(T22=1,4,0)</f>
        <v>0</v>
      </c>
      <c r="BD22" s="187">
        <f t="shared" ref="BD22:BD47" si="27">IF(X22=1,4,0)</f>
        <v>0</v>
      </c>
      <c r="BE22" s="187">
        <f t="shared" ref="BE22:BE47" si="28">IF(AF22=1,3,0)</f>
        <v>0</v>
      </c>
      <c r="BF22" s="187">
        <f t="shared" ref="BF22:BF47" si="29">IF(W22=1,3,0)</f>
        <v>0</v>
      </c>
      <c r="BG22" s="187">
        <f t="shared" ref="BG22:BG47" si="30">IF(AI22=1,2,0)</f>
        <v>0</v>
      </c>
      <c r="BH22" s="187">
        <f t="shared" ref="BH22:BH47" si="31">IF(S22=1,2,0)</f>
        <v>0</v>
      </c>
      <c r="BI22" s="187">
        <f t="shared" ref="BI22:BI47" si="32">IF(V22=1,1,0)</f>
        <v>0</v>
      </c>
      <c r="BJ22" s="187">
        <f t="shared" ref="BJ22:BJ47" si="33">IF(AG22=1,1,0)</f>
        <v>0</v>
      </c>
      <c r="BK22" s="187">
        <f t="shared" ref="BK22:BK47" si="34">IF(O22=1,1,0)</f>
        <v>0</v>
      </c>
      <c r="BL22" s="187">
        <f t="shared" ref="BL22:BL47" si="35">IF(J22=1,1,0)</f>
        <v>0</v>
      </c>
      <c r="BM22" s="187">
        <f t="shared" ref="BM22:BM47" si="36">IF(N22=1,1,0)</f>
        <v>0</v>
      </c>
      <c r="BN22" s="188">
        <f t="shared" ref="BN22:BN47" si="37">10-AL22</f>
        <v>0</v>
      </c>
      <c r="BO22" s="187">
        <f t="shared" ref="BO22:BO47" si="38">IF(C22=1,1,0)</f>
        <v>0</v>
      </c>
      <c r="BP22" s="187">
        <f t="shared" ref="BP22:BQ22" si="39">IF(G22=1,1,0)</f>
        <v>0</v>
      </c>
      <c r="BQ22" s="187">
        <f t="shared" si="39"/>
        <v>0</v>
      </c>
      <c r="BR22" s="187">
        <f t="shared" ref="BR22:BT22" si="40">IF(K22=1,1,0)</f>
        <v>0</v>
      </c>
      <c r="BS22" s="187">
        <f t="shared" si="40"/>
        <v>0</v>
      </c>
      <c r="BT22" s="187">
        <f t="shared" si="40"/>
        <v>0</v>
      </c>
      <c r="BU22" s="187">
        <f t="shared" ref="BU22:BV22" si="41">IF(P22=1,1,0)</f>
        <v>0</v>
      </c>
      <c r="BV22" s="187">
        <f t="shared" si="41"/>
        <v>0</v>
      </c>
      <c r="BW22" s="187">
        <f t="shared" ref="BW22:BW47" si="42">IF(AA22=1,1,0)</f>
        <v>0</v>
      </c>
      <c r="BX22" s="187">
        <f t="shared" ref="BX22:BX47" si="43">IF(AE22=1,1,0)</f>
        <v>0</v>
      </c>
      <c r="BY22" s="187">
        <f t="shared" ref="BY22:BY47" si="44">SUM(BN22:BX22)</f>
        <v>0</v>
      </c>
      <c r="BZ22" s="187">
        <f t="shared" ref="BZ22:BZ47" si="45">(BY22*BY22)*-1</f>
        <v>0</v>
      </c>
      <c r="CA22" s="167">
        <f t="shared" ref="CA22:CA47" si="46">SUM(AP22:BM22)+BZ22</f>
        <v>100</v>
      </c>
      <c r="CB22" s="167">
        <f t="shared" ref="CB22:CB222" si="47">LARGE(CC22:CY22,1)+LARGE(CC22:CY22,2)+LARGE(CC22:CY22,3)+LARGE(CC22:CY22,4)+LARGE(CC22:CY22,5)+LARGE(CC22:CY22,6)+LARGE(CC22:CY22,7)+LARGE(CC22:CY22,8)</f>
        <v>88</v>
      </c>
      <c r="CC22" s="644">
        <f t="shared" ref="CC22:CC222" si="48">IF(R22=1,23,0)</f>
        <v>23</v>
      </c>
      <c r="CD22" s="644">
        <f t="shared" ref="CD22:CD222" si="49">IF(U22=1,19,0)</f>
        <v>19</v>
      </c>
      <c r="CE22" s="644">
        <f t="shared" ref="CE22:CE222" si="50">IF(AH22=1,15,0)</f>
        <v>15</v>
      </c>
      <c r="CF22" s="644">
        <f t="shared" ref="CF22:CF222" si="51">IF(E22=1,15,0)</f>
        <v>0</v>
      </c>
      <c r="CG22" s="644">
        <f t="shared" ref="CG22:CG222" si="52">IF(AB22=1, 9,0)</f>
        <v>9</v>
      </c>
      <c r="CH22" s="644">
        <f t="shared" ref="CH22:CH36" si="53">IF(D1=1,7,0)</f>
        <v>0</v>
      </c>
      <c r="CI22" s="644">
        <f t="shared" ref="CI22:CI222" si="54">IF(AC22=1,7,0)</f>
        <v>7</v>
      </c>
      <c r="CJ22" s="644">
        <f t="shared" ref="CJ22:CJ222" si="55">IF(AD22=1,5,0)</f>
        <v>5</v>
      </c>
      <c r="CK22" s="644">
        <f t="shared" ref="CK22:CK222" si="56">IF(I22=1,5,0)</f>
        <v>5</v>
      </c>
      <c r="CL22" s="644">
        <f t="shared" ref="CL22:CL222" si="57">IF(F22=1,5,0)</f>
        <v>5</v>
      </c>
      <c r="CM22" s="644">
        <f t="shared" ref="CM22:CM222" si="58">IF(AG22=1,3,0)</f>
        <v>0</v>
      </c>
      <c r="CN22" s="644">
        <f t="shared" ref="CN22:CN222" si="59">IF(T22=1,3,0)</f>
        <v>0</v>
      </c>
      <c r="CO22" s="644">
        <f t="shared" ref="CO22:CO222" si="60">IF(AJ22=1,3,0)</f>
        <v>0</v>
      </c>
      <c r="CP22" s="644">
        <f t="shared" ref="CP22:CP222" si="61">IF(Z22=1,3,0)</f>
        <v>3</v>
      </c>
      <c r="CQ22" s="644">
        <f t="shared" ref="CQ22:CQ222" si="62">IF(S22=1,2,0)</f>
        <v>0</v>
      </c>
      <c r="CR22" s="644">
        <f t="shared" ref="CR22:CR222" si="63">IF(W22=1,2,0)</f>
        <v>0</v>
      </c>
      <c r="CS22" s="644">
        <f t="shared" ref="CS22:CS222" si="64">IF(AK22=1,2,0)</f>
        <v>0</v>
      </c>
      <c r="CT22" s="644">
        <f t="shared" ref="CT22:CT222" si="65">IF(AF22=1,2,0)</f>
        <v>0</v>
      </c>
      <c r="CU22" s="644">
        <f t="shared" ref="CU22:CU222" si="66">IF(X22=1,1,0)</f>
        <v>0</v>
      </c>
      <c r="CV22" s="644">
        <f t="shared" ref="CV22:CV222" si="67">IF(V22=1,1,0)</f>
        <v>0</v>
      </c>
      <c r="CW22" s="644">
        <f t="shared" ref="CW22:CW222" si="68">IF(AI22=1,1,0)</f>
        <v>0</v>
      </c>
      <c r="CX22" s="644">
        <f t="shared" ref="CX22:CX222" si="69">IF(N22=1,1,0)</f>
        <v>0</v>
      </c>
      <c r="CY22" s="644">
        <f t="shared" ref="CY22:CY222" si="70">IF(J22=1,1,0)</f>
        <v>0</v>
      </c>
      <c r="CZ22" s="624" t="s">
        <v>740</v>
      </c>
      <c r="DA22" s="252"/>
    </row>
    <row r="23" spans="1:105">
      <c r="A23" s="253" t="s">
        <v>101</v>
      </c>
      <c r="B23" s="641"/>
      <c r="C23" s="641"/>
      <c r="D23" s="155">
        <v>1</v>
      </c>
      <c r="E23" s="155">
        <v>1</v>
      </c>
      <c r="F23" s="155"/>
      <c r="G23" s="155"/>
      <c r="H23" s="155"/>
      <c r="I23" s="155"/>
      <c r="J23" s="155"/>
      <c r="K23" s="155"/>
      <c r="L23" s="155"/>
      <c r="M23" s="155"/>
      <c r="N23" s="155"/>
      <c r="O23" s="155"/>
      <c r="P23" s="155"/>
      <c r="Q23" s="155"/>
      <c r="R23" s="155">
        <v>1</v>
      </c>
      <c r="S23" s="155">
        <v>1</v>
      </c>
      <c r="T23" s="155"/>
      <c r="U23" s="155">
        <v>1</v>
      </c>
      <c r="V23" s="155"/>
      <c r="W23" s="155"/>
      <c r="X23" s="155"/>
      <c r="Y23" s="155"/>
      <c r="Z23" s="155"/>
      <c r="AA23" s="155"/>
      <c r="AB23" s="155">
        <v>1</v>
      </c>
      <c r="AC23" s="155">
        <v>1</v>
      </c>
      <c r="AD23" s="155"/>
      <c r="AE23" s="155"/>
      <c r="AF23" s="155"/>
      <c r="AG23" s="155"/>
      <c r="AH23" s="155">
        <v>1</v>
      </c>
      <c r="AI23" s="155"/>
      <c r="AJ23" s="155"/>
      <c r="AK23" s="155"/>
      <c r="AL23" s="190">
        <v>8</v>
      </c>
      <c r="AM23" s="191" t="s">
        <v>1077</v>
      </c>
      <c r="AN23" s="192">
        <v>42011</v>
      </c>
      <c r="AO23" s="187"/>
      <c r="AP23" s="187">
        <f t="shared" si="13"/>
        <v>0</v>
      </c>
      <c r="AQ23" s="187">
        <f t="shared" si="14"/>
        <v>0</v>
      </c>
      <c r="AR23" s="187">
        <f t="shared" si="15"/>
        <v>13</v>
      </c>
      <c r="AS23" s="187">
        <f t="shared" si="16"/>
        <v>13</v>
      </c>
      <c r="AT23" s="187">
        <f t="shared" si="17"/>
        <v>9</v>
      </c>
      <c r="AU23" s="187">
        <f t="shared" si="18"/>
        <v>9</v>
      </c>
      <c r="AV23" s="187">
        <f t="shared" si="19"/>
        <v>9</v>
      </c>
      <c r="AW23" s="187">
        <f t="shared" si="20"/>
        <v>0</v>
      </c>
      <c r="AX23" s="187">
        <f t="shared" si="21"/>
        <v>0</v>
      </c>
      <c r="AY23" s="187">
        <f t="shared" si="22"/>
        <v>0</v>
      </c>
      <c r="AZ23" s="187">
        <f t="shared" si="23"/>
        <v>7</v>
      </c>
      <c r="BA23" s="187">
        <f t="shared" si="24"/>
        <v>7</v>
      </c>
      <c r="BB23" s="187">
        <f t="shared" si="25"/>
        <v>0</v>
      </c>
      <c r="BC23" s="187">
        <f t="shared" si="26"/>
        <v>0</v>
      </c>
      <c r="BD23" s="187">
        <f t="shared" si="27"/>
        <v>0</v>
      </c>
      <c r="BE23" s="187">
        <f t="shared" si="28"/>
        <v>0</v>
      </c>
      <c r="BF23" s="187">
        <f t="shared" si="29"/>
        <v>0</v>
      </c>
      <c r="BG23" s="187">
        <f t="shared" si="30"/>
        <v>0</v>
      </c>
      <c r="BH23" s="187">
        <f t="shared" si="31"/>
        <v>2</v>
      </c>
      <c r="BI23" s="187">
        <f t="shared" si="32"/>
        <v>0</v>
      </c>
      <c r="BJ23" s="187">
        <f t="shared" si="33"/>
        <v>0</v>
      </c>
      <c r="BK23" s="187">
        <f t="shared" si="34"/>
        <v>0</v>
      </c>
      <c r="BL23" s="187">
        <f t="shared" si="35"/>
        <v>0</v>
      </c>
      <c r="BM23" s="187">
        <f t="shared" si="36"/>
        <v>0</v>
      </c>
      <c r="BN23" s="188">
        <f t="shared" si="37"/>
        <v>2</v>
      </c>
      <c r="BO23" s="187">
        <f t="shared" si="38"/>
        <v>0</v>
      </c>
      <c r="BP23" s="187">
        <f t="shared" ref="BP23:BQ23" si="71">IF(G23=1,1,0)</f>
        <v>0</v>
      </c>
      <c r="BQ23" s="187">
        <f t="shared" si="71"/>
        <v>0</v>
      </c>
      <c r="BR23" s="187">
        <f t="shared" ref="BR23:BT23" si="72">IF(K23=1,1,0)</f>
        <v>0</v>
      </c>
      <c r="BS23" s="187">
        <f t="shared" si="72"/>
        <v>0</v>
      </c>
      <c r="BT23" s="187">
        <f t="shared" si="72"/>
        <v>0</v>
      </c>
      <c r="BU23" s="187">
        <f t="shared" ref="BU23:BV23" si="73">IF(P23=1,1,0)</f>
        <v>0</v>
      </c>
      <c r="BV23" s="187">
        <f t="shared" si="73"/>
        <v>0</v>
      </c>
      <c r="BW23" s="187">
        <f t="shared" si="42"/>
        <v>0</v>
      </c>
      <c r="BX23" s="187">
        <f t="shared" si="43"/>
        <v>0</v>
      </c>
      <c r="BY23" s="187">
        <f t="shared" si="44"/>
        <v>2</v>
      </c>
      <c r="BZ23" s="187">
        <f t="shared" si="45"/>
        <v>-4</v>
      </c>
      <c r="CA23" s="167">
        <f t="shared" si="46"/>
        <v>65</v>
      </c>
      <c r="CB23" s="167">
        <f t="shared" si="47"/>
        <v>90</v>
      </c>
      <c r="CC23" s="644">
        <f t="shared" si="48"/>
        <v>23</v>
      </c>
      <c r="CD23" s="644">
        <f t="shared" si="49"/>
        <v>19</v>
      </c>
      <c r="CE23" s="644">
        <f t="shared" si="50"/>
        <v>15</v>
      </c>
      <c r="CF23" s="644">
        <f t="shared" si="51"/>
        <v>15</v>
      </c>
      <c r="CG23" s="644">
        <f t="shared" si="52"/>
        <v>9</v>
      </c>
      <c r="CH23" s="644">
        <f t="shared" si="53"/>
        <v>0</v>
      </c>
      <c r="CI23" s="644">
        <f t="shared" si="54"/>
        <v>7</v>
      </c>
      <c r="CJ23" s="644">
        <f t="shared" si="55"/>
        <v>0</v>
      </c>
      <c r="CK23" s="644">
        <f t="shared" si="56"/>
        <v>0</v>
      </c>
      <c r="CL23" s="644">
        <f t="shared" si="57"/>
        <v>0</v>
      </c>
      <c r="CM23" s="644">
        <f t="shared" si="58"/>
        <v>0</v>
      </c>
      <c r="CN23" s="644">
        <f t="shared" si="59"/>
        <v>0</v>
      </c>
      <c r="CO23" s="644">
        <f t="shared" si="60"/>
        <v>0</v>
      </c>
      <c r="CP23" s="644">
        <f t="shared" si="61"/>
        <v>0</v>
      </c>
      <c r="CQ23" s="644">
        <f t="shared" si="62"/>
        <v>2</v>
      </c>
      <c r="CR23" s="644">
        <f t="shared" si="63"/>
        <v>0</v>
      </c>
      <c r="CS23" s="644">
        <f t="shared" si="64"/>
        <v>0</v>
      </c>
      <c r="CT23" s="644">
        <f t="shared" si="65"/>
        <v>0</v>
      </c>
      <c r="CU23" s="644">
        <f t="shared" si="66"/>
        <v>0</v>
      </c>
      <c r="CV23" s="644">
        <f t="shared" si="67"/>
        <v>0</v>
      </c>
      <c r="CW23" s="644">
        <f t="shared" si="68"/>
        <v>0</v>
      </c>
      <c r="CX23" s="644">
        <f t="shared" si="69"/>
        <v>0</v>
      </c>
      <c r="CY23" s="644">
        <f t="shared" si="70"/>
        <v>0</v>
      </c>
      <c r="CZ23" s="624" t="s">
        <v>752</v>
      </c>
    </row>
    <row r="24" spans="1:105">
      <c r="A24" s="249" t="s">
        <v>102</v>
      </c>
      <c r="B24" s="187"/>
      <c r="C24" s="644"/>
      <c r="D24" s="644">
        <v>1</v>
      </c>
      <c r="E24" s="644">
        <v>1</v>
      </c>
      <c r="F24" s="251">
        <v>1</v>
      </c>
      <c r="G24" s="251"/>
      <c r="H24" s="251"/>
      <c r="I24" s="251">
        <v>1</v>
      </c>
      <c r="J24" s="644"/>
      <c r="K24" s="644"/>
      <c r="L24" s="644"/>
      <c r="M24" s="644"/>
      <c r="N24" s="644"/>
      <c r="O24" s="644"/>
      <c r="P24" s="644"/>
      <c r="Q24" s="644"/>
      <c r="R24" s="644">
        <v>1</v>
      </c>
      <c r="S24" s="644"/>
      <c r="T24" s="644"/>
      <c r="U24" s="644">
        <v>1</v>
      </c>
      <c r="V24" s="644"/>
      <c r="W24" s="644"/>
      <c r="X24" s="644"/>
      <c r="Y24" s="644"/>
      <c r="Z24" s="644"/>
      <c r="AA24" s="644">
        <v>1</v>
      </c>
      <c r="AB24" s="250"/>
      <c r="AC24" s="644">
        <v>1</v>
      </c>
      <c r="AD24" s="644"/>
      <c r="AE24" s="644"/>
      <c r="AF24" s="644"/>
      <c r="AG24" s="644">
        <v>1</v>
      </c>
      <c r="AH24" s="644"/>
      <c r="AI24" s="644"/>
      <c r="AJ24" s="644">
        <v>1</v>
      </c>
      <c r="AK24" s="644"/>
      <c r="AL24" s="167">
        <v>10</v>
      </c>
      <c r="AM24" s="185" t="s">
        <v>1078</v>
      </c>
      <c r="AN24" s="186">
        <v>42010</v>
      </c>
      <c r="AO24" s="187"/>
      <c r="AP24" s="187">
        <f t="shared" si="13"/>
        <v>13</v>
      </c>
      <c r="AQ24" s="187">
        <f t="shared" si="14"/>
        <v>13</v>
      </c>
      <c r="AR24" s="187">
        <f t="shared" si="15"/>
        <v>13</v>
      </c>
      <c r="AS24" s="187">
        <f t="shared" si="16"/>
        <v>13</v>
      </c>
      <c r="AT24" s="187">
        <f t="shared" si="17"/>
        <v>0</v>
      </c>
      <c r="AU24" s="187">
        <f t="shared" si="18"/>
        <v>9</v>
      </c>
      <c r="AV24" s="187">
        <f t="shared" si="19"/>
        <v>9</v>
      </c>
      <c r="AW24" s="187">
        <f t="shared" si="20"/>
        <v>7</v>
      </c>
      <c r="AX24" s="187">
        <f t="shared" si="21"/>
        <v>0</v>
      </c>
      <c r="AY24" s="187">
        <f t="shared" si="22"/>
        <v>0</v>
      </c>
      <c r="AZ24" s="187">
        <f t="shared" si="23"/>
        <v>0</v>
      </c>
      <c r="BA24" s="187">
        <f t="shared" si="24"/>
        <v>7</v>
      </c>
      <c r="BB24" s="187">
        <f t="shared" si="25"/>
        <v>0</v>
      </c>
      <c r="BC24" s="187">
        <f t="shared" si="26"/>
        <v>0</v>
      </c>
      <c r="BD24" s="187">
        <f t="shared" si="27"/>
        <v>0</v>
      </c>
      <c r="BE24" s="187">
        <f t="shared" si="28"/>
        <v>0</v>
      </c>
      <c r="BF24" s="187">
        <f t="shared" si="29"/>
        <v>0</v>
      </c>
      <c r="BG24" s="187">
        <f t="shared" si="30"/>
        <v>0</v>
      </c>
      <c r="BH24" s="187">
        <f t="shared" si="31"/>
        <v>0</v>
      </c>
      <c r="BI24" s="187">
        <f t="shared" si="32"/>
        <v>0</v>
      </c>
      <c r="BJ24" s="187">
        <f t="shared" si="33"/>
        <v>1</v>
      </c>
      <c r="BK24" s="187">
        <f t="shared" si="34"/>
        <v>0</v>
      </c>
      <c r="BL24" s="187">
        <f t="shared" si="35"/>
        <v>0</v>
      </c>
      <c r="BM24" s="187">
        <f t="shared" si="36"/>
        <v>0</v>
      </c>
      <c r="BN24" s="188">
        <f t="shared" si="37"/>
        <v>0</v>
      </c>
      <c r="BO24" s="187">
        <f t="shared" si="38"/>
        <v>0</v>
      </c>
      <c r="BP24" s="187">
        <f t="shared" ref="BP24:BQ24" si="74">IF(G24=1,1,0)</f>
        <v>0</v>
      </c>
      <c r="BQ24" s="187">
        <f t="shared" si="74"/>
        <v>0</v>
      </c>
      <c r="BR24" s="187">
        <f t="shared" ref="BR24:BT24" si="75">IF(K24=1,1,0)</f>
        <v>0</v>
      </c>
      <c r="BS24" s="187">
        <f t="shared" si="75"/>
        <v>0</v>
      </c>
      <c r="BT24" s="187">
        <f t="shared" si="75"/>
        <v>0</v>
      </c>
      <c r="BU24" s="187">
        <f t="shared" ref="BU24:BV24" si="76">IF(P24=1,1,0)</f>
        <v>0</v>
      </c>
      <c r="BV24" s="187">
        <f t="shared" si="76"/>
        <v>0</v>
      </c>
      <c r="BW24" s="187">
        <f t="shared" si="42"/>
        <v>1</v>
      </c>
      <c r="BX24" s="187">
        <f t="shared" si="43"/>
        <v>0</v>
      </c>
      <c r="BY24" s="187">
        <f t="shared" si="44"/>
        <v>1</v>
      </c>
      <c r="BZ24" s="187">
        <f t="shared" si="45"/>
        <v>-1</v>
      </c>
      <c r="CA24" s="167">
        <f t="shared" si="46"/>
        <v>84</v>
      </c>
      <c r="CB24" s="167">
        <f t="shared" si="47"/>
        <v>80</v>
      </c>
      <c r="CC24" s="644">
        <f t="shared" si="48"/>
        <v>23</v>
      </c>
      <c r="CD24" s="644">
        <f t="shared" si="49"/>
        <v>19</v>
      </c>
      <c r="CE24" s="644">
        <f t="shared" si="50"/>
        <v>0</v>
      </c>
      <c r="CF24" s="644">
        <f t="shared" si="51"/>
        <v>15</v>
      </c>
      <c r="CG24" s="644">
        <f t="shared" si="52"/>
        <v>0</v>
      </c>
      <c r="CH24" s="644">
        <f t="shared" si="53"/>
        <v>0</v>
      </c>
      <c r="CI24" s="644">
        <f t="shared" si="54"/>
        <v>7</v>
      </c>
      <c r="CJ24" s="644">
        <f t="shared" si="55"/>
        <v>0</v>
      </c>
      <c r="CK24" s="644">
        <f t="shared" si="56"/>
        <v>5</v>
      </c>
      <c r="CL24" s="644">
        <f t="shared" si="57"/>
        <v>5</v>
      </c>
      <c r="CM24" s="644">
        <f t="shared" si="58"/>
        <v>3</v>
      </c>
      <c r="CN24" s="644">
        <f t="shared" si="59"/>
        <v>0</v>
      </c>
      <c r="CO24" s="644">
        <f t="shared" si="60"/>
        <v>3</v>
      </c>
      <c r="CP24" s="644">
        <f t="shared" si="61"/>
        <v>0</v>
      </c>
      <c r="CQ24" s="644">
        <f t="shared" si="62"/>
        <v>0</v>
      </c>
      <c r="CR24" s="644">
        <f t="shared" si="63"/>
        <v>0</v>
      </c>
      <c r="CS24" s="644">
        <f t="shared" si="64"/>
        <v>0</v>
      </c>
      <c r="CT24" s="644">
        <f t="shared" si="65"/>
        <v>0</v>
      </c>
      <c r="CU24" s="644">
        <f t="shared" si="66"/>
        <v>0</v>
      </c>
      <c r="CV24" s="644">
        <f t="shared" si="67"/>
        <v>0</v>
      </c>
      <c r="CW24" s="644">
        <f t="shared" si="68"/>
        <v>0</v>
      </c>
      <c r="CX24" s="644">
        <f t="shared" si="69"/>
        <v>0</v>
      </c>
      <c r="CY24" s="644">
        <f t="shared" si="70"/>
        <v>0</v>
      </c>
      <c r="CZ24" s="624" t="s">
        <v>768</v>
      </c>
      <c r="DA24" s="248"/>
    </row>
    <row r="25" spans="1:105">
      <c r="A25" s="254" t="s">
        <v>1079</v>
      </c>
      <c r="B25" s="187"/>
      <c r="C25" s="644"/>
      <c r="D25" s="255"/>
      <c r="E25" s="256">
        <v>1</v>
      </c>
      <c r="F25" s="255"/>
      <c r="G25" s="251"/>
      <c r="H25" s="251"/>
      <c r="I25" s="255"/>
      <c r="J25" s="644"/>
      <c r="K25" s="644"/>
      <c r="L25" s="644"/>
      <c r="M25" s="644"/>
      <c r="N25" s="644"/>
      <c r="O25" s="644"/>
      <c r="P25" s="644"/>
      <c r="Q25" s="644"/>
      <c r="R25" s="644">
        <v>1</v>
      </c>
      <c r="S25" s="644"/>
      <c r="T25" s="644"/>
      <c r="U25" s="644">
        <v>1</v>
      </c>
      <c r="V25" s="644"/>
      <c r="W25" s="644"/>
      <c r="X25" s="644"/>
      <c r="Y25" s="644"/>
      <c r="Z25" s="256">
        <v>1</v>
      </c>
      <c r="AA25" s="644"/>
      <c r="AB25" s="255"/>
      <c r="AC25" s="256">
        <v>1</v>
      </c>
      <c r="AD25" s="256">
        <v>1</v>
      </c>
      <c r="AE25" s="644"/>
      <c r="AF25" s="644"/>
      <c r="AG25" s="644"/>
      <c r="AH25" s="644">
        <v>1</v>
      </c>
      <c r="AI25" s="644"/>
      <c r="AJ25" s="644"/>
      <c r="AK25" s="644"/>
      <c r="AL25" s="167">
        <v>7</v>
      </c>
      <c r="AM25" s="185" t="str">
        <f>HYPERLINK("http://bit.ly/1D92yRr", "Via email")</f>
        <v>Via email</v>
      </c>
      <c r="AN25" s="186">
        <v>42008</v>
      </c>
      <c r="AO25" s="187"/>
      <c r="AP25" s="187">
        <f t="shared" si="13"/>
        <v>0</v>
      </c>
      <c r="AQ25" s="187">
        <f t="shared" si="14"/>
        <v>0</v>
      </c>
      <c r="AR25" s="187">
        <f t="shared" si="15"/>
        <v>13</v>
      </c>
      <c r="AS25" s="187">
        <f t="shared" si="16"/>
        <v>13</v>
      </c>
      <c r="AT25" s="187">
        <f t="shared" si="17"/>
        <v>0</v>
      </c>
      <c r="AU25" s="187">
        <f t="shared" si="18"/>
        <v>0</v>
      </c>
      <c r="AV25" s="187">
        <f t="shared" si="19"/>
        <v>9</v>
      </c>
      <c r="AW25" s="187">
        <f t="shared" si="20"/>
        <v>0</v>
      </c>
      <c r="AX25" s="187">
        <f t="shared" si="21"/>
        <v>7</v>
      </c>
      <c r="AY25" s="187">
        <f t="shared" si="22"/>
        <v>7</v>
      </c>
      <c r="AZ25" s="187">
        <f t="shared" si="23"/>
        <v>7</v>
      </c>
      <c r="BA25" s="187">
        <f t="shared" si="24"/>
        <v>7</v>
      </c>
      <c r="BB25" s="187">
        <f t="shared" si="25"/>
        <v>0</v>
      </c>
      <c r="BC25" s="187">
        <f t="shared" si="26"/>
        <v>0</v>
      </c>
      <c r="BD25" s="187">
        <f t="shared" si="27"/>
        <v>0</v>
      </c>
      <c r="BE25" s="187">
        <f t="shared" si="28"/>
        <v>0</v>
      </c>
      <c r="BF25" s="187">
        <f t="shared" si="29"/>
        <v>0</v>
      </c>
      <c r="BG25" s="187">
        <f t="shared" si="30"/>
        <v>0</v>
      </c>
      <c r="BH25" s="187">
        <f t="shared" si="31"/>
        <v>0</v>
      </c>
      <c r="BI25" s="187">
        <f t="shared" si="32"/>
        <v>0</v>
      </c>
      <c r="BJ25" s="187">
        <f t="shared" si="33"/>
        <v>0</v>
      </c>
      <c r="BK25" s="187">
        <f t="shared" si="34"/>
        <v>0</v>
      </c>
      <c r="BL25" s="187">
        <f t="shared" si="35"/>
        <v>0</v>
      </c>
      <c r="BM25" s="187">
        <f t="shared" si="36"/>
        <v>0</v>
      </c>
      <c r="BN25" s="188">
        <f t="shared" si="37"/>
        <v>3</v>
      </c>
      <c r="BO25" s="187">
        <f t="shared" si="38"/>
        <v>0</v>
      </c>
      <c r="BP25" s="187">
        <f t="shared" ref="BP25:BQ25" si="77">IF(G25=1,1,0)</f>
        <v>0</v>
      </c>
      <c r="BQ25" s="187">
        <f t="shared" si="77"/>
        <v>0</v>
      </c>
      <c r="BR25" s="187">
        <f t="shared" ref="BR25:BT25" si="78">IF(K25=1,1,0)</f>
        <v>0</v>
      </c>
      <c r="BS25" s="187">
        <f t="shared" si="78"/>
        <v>0</v>
      </c>
      <c r="BT25" s="187">
        <f t="shared" si="78"/>
        <v>0</v>
      </c>
      <c r="BU25" s="187">
        <f t="shared" ref="BU25:BV25" si="79">IF(P25=1,1,0)</f>
        <v>0</v>
      </c>
      <c r="BV25" s="187">
        <f t="shared" si="79"/>
        <v>0</v>
      </c>
      <c r="BW25" s="187">
        <f t="shared" si="42"/>
        <v>0</v>
      </c>
      <c r="BX25" s="187">
        <f t="shared" si="43"/>
        <v>0</v>
      </c>
      <c r="BY25" s="187">
        <f t="shared" si="44"/>
        <v>3</v>
      </c>
      <c r="BZ25" s="187">
        <f t="shared" si="45"/>
        <v>-9</v>
      </c>
      <c r="CA25" s="167">
        <f t="shared" si="46"/>
        <v>54</v>
      </c>
      <c r="CB25" s="167">
        <f t="shared" si="47"/>
        <v>87</v>
      </c>
      <c r="CC25" s="644">
        <f t="shared" si="48"/>
        <v>23</v>
      </c>
      <c r="CD25" s="644">
        <f t="shared" si="49"/>
        <v>19</v>
      </c>
      <c r="CE25" s="644">
        <f t="shared" si="50"/>
        <v>15</v>
      </c>
      <c r="CF25" s="644">
        <f t="shared" si="51"/>
        <v>15</v>
      </c>
      <c r="CG25" s="644">
        <f t="shared" si="52"/>
        <v>0</v>
      </c>
      <c r="CH25" s="644">
        <f t="shared" si="53"/>
        <v>0</v>
      </c>
      <c r="CI25" s="644">
        <f t="shared" si="54"/>
        <v>7</v>
      </c>
      <c r="CJ25" s="644">
        <f t="shared" si="55"/>
        <v>5</v>
      </c>
      <c r="CK25" s="644">
        <f t="shared" si="56"/>
        <v>0</v>
      </c>
      <c r="CL25" s="644">
        <f t="shared" si="57"/>
        <v>0</v>
      </c>
      <c r="CM25" s="644">
        <f t="shared" si="58"/>
        <v>0</v>
      </c>
      <c r="CN25" s="644">
        <f t="shared" si="59"/>
        <v>0</v>
      </c>
      <c r="CO25" s="644">
        <f t="shared" si="60"/>
        <v>0</v>
      </c>
      <c r="CP25" s="644">
        <f t="shared" si="61"/>
        <v>3</v>
      </c>
      <c r="CQ25" s="644">
        <f t="shared" si="62"/>
        <v>0</v>
      </c>
      <c r="CR25" s="644">
        <f t="shared" si="63"/>
        <v>0</v>
      </c>
      <c r="CS25" s="644">
        <f t="shared" si="64"/>
        <v>0</v>
      </c>
      <c r="CT25" s="644">
        <f t="shared" si="65"/>
        <v>0</v>
      </c>
      <c r="CU25" s="644">
        <f t="shared" si="66"/>
        <v>0</v>
      </c>
      <c r="CV25" s="644">
        <f t="shared" si="67"/>
        <v>0</v>
      </c>
      <c r="CW25" s="644">
        <f t="shared" si="68"/>
        <v>0</v>
      </c>
      <c r="CX25" s="644">
        <f t="shared" si="69"/>
        <v>0</v>
      </c>
      <c r="CY25" s="644">
        <f t="shared" si="70"/>
        <v>0</v>
      </c>
      <c r="CZ25" s="624" t="s">
        <v>766</v>
      </c>
      <c r="DA25" s="257"/>
    </row>
    <row r="26" spans="1:105">
      <c r="A26" s="249" t="s">
        <v>1080</v>
      </c>
      <c r="B26" s="187"/>
      <c r="C26" s="644"/>
      <c r="D26" s="644"/>
      <c r="E26" s="644"/>
      <c r="F26" s="251"/>
      <c r="G26" s="251"/>
      <c r="H26" s="251"/>
      <c r="I26" s="251"/>
      <c r="J26" s="644"/>
      <c r="K26" s="644"/>
      <c r="L26" s="644"/>
      <c r="M26" s="644"/>
      <c r="N26" s="644"/>
      <c r="O26" s="644"/>
      <c r="P26" s="644"/>
      <c r="Q26" s="644"/>
      <c r="R26" s="644">
        <v>1</v>
      </c>
      <c r="S26" s="644"/>
      <c r="T26" s="644"/>
      <c r="U26" s="644">
        <v>1</v>
      </c>
      <c r="V26" s="644"/>
      <c r="W26" s="644"/>
      <c r="X26" s="644"/>
      <c r="Y26" s="644"/>
      <c r="Z26" s="644"/>
      <c r="AA26" s="644"/>
      <c r="AB26" s="644"/>
      <c r="AC26" s="644">
        <v>1</v>
      </c>
      <c r="AD26" s="644">
        <v>1</v>
      </c>
      <c r="AE26" s="644"/>
      <c r="AF26" s="644"/>
      <c r="AG26" s="644"/>
      <c r="AH26" s="644">
        <v>1</v>
      </c>
      <c r="AI26" s="644"/>
      <c r="AJ26" s="644"/>
      <c r="AK26" s="644"/>
      <c r="AL26" s="167">
        <v>5</v>
      </c>
      <c r="AM26" s="185" t="s">
        <v>1081</v>
      </c>
      <c r="AN26" s="186">
        <v>41999</v>
      </c>
      <c r="AO26" s="187"/>
      <c r="AP26" s="187">
        <f t="shared" si="13"/>
        <v>0</v>
      </c>
      <c r="AQ26" s="187">
        <f t="shared" si="14"/>
        <v>0</v>
      </c>
      <c r="AR26" s="187">
        <f t="shared" si="15"/>
        <v>13</v>
      </c>
      <c r="AS26" s="187">
        <f t="shared" si="16"/>
        <v>13</v>
      </c>
      <c r="AT26" s="187">
        <f t="shared" si="17"/>
        <v>0</v>
      </c>
      <c r="AU26" s="187">
        <f t="shared" si="18"/>
        <v>0</v>
      </c>
      <c r="AV26" s="187">
        <f t="shared" si="19"/>
        <v>9</v>
      </c>
      <c r="AW26" s="187">
        <f t="shared" si="20"/>
        <v>0</v>
      </c>
      <c r="AX26" s="187">
        <f t="shared" si="21"/>
        <v>7</v>
      </c>
      <c r="AY26" s="187">
        <f t="shared" si="22"/>
        <v>0</v>
      </c>
      <c r="AZ26" s="187">
        <f t="shared" si="23"/>
        <v>7</v>
      </c>
      <c r="BA26" s="187">
        <f t="shared" si="24"/>
        <v>0</v>
      </c>
      <c r="BB26" s="187">
        <f t="shared" si="25"/>
        <v>0</v>
      </c>
      <c r="BC26" s="187">
        <f t="shared" si="26"/>
        <v>0</v>
      </c>
      <c r="BD26" s="187">
        <f t="shared" si="27"/>
        <v>0</v>
      </c>
      <c r="BE26" s="187">
        <f t="shared" si="28"/>
        <v>0</v>
      </c>
      <c r="BF26" s="187">
        <f t="shared" si="29"/>
        <v>0</v>
      </c>
      <c r="BG26" s="187">
        <f t="shared" si="30"/>
        <v>0</v>
      </c>
      <c r="BH26" s="187">
        <f t="shared" si="31"/>
        <v>0</v>
      </c>
      <c r="BI26" s="187">
        <f t="shared" si="32"/>
        <v>0</v>
      </c>
      <c r="BJ26" s="187">
        <f t="shared" si="33"/>
        <v>0</v>
      </c>
      <c r="BK26" s="187">
        <f t="shared" si="34"/>
        <v>0</v>
      </c>
      <c r="BL26" s="187">
        <f t="shared" si="35"/>
        <v>0</v>
      </c>
      <c r="BM26" s="187">
        <f t="shared" si="36"/>
        <v>0</v>
      </c>
      <c r="BN26" s="188">
        <f t="shared" si="37"/>
        <v>5</v>
      </c>
      <c r="BO26" s="187">
        <f t="shared" si="38"/>
        <v>0</v>
      </c>
      <c r="BP26" s="187">
        <f t="shared" ref="BP26:BQ26" si="80">IF(G26=1,1,0)</f>
        <v>0</v>
      </c>
      <c r="BQ26" s="187">
        <f t="shared" si="80"/>
        <v>0</v>
      </c>
      <c r="BR26" s="187">
        <f t="shared" ref="BR26:BT26" si="81">IF(K26=1,1,0)</f>
        <v>0</v>
      </c>
      <c r="BS26" s="187">
        <f t="shared" si="81"/>
        <v>0</v>
      </c>
      <c r="BT26" s="187">
        <f t="shared" si="81"/>
        <v>0</v>
      </c>
      <c r="BU26" s="187">
        <f t="shared" ref="BU26:BV26" si="82">IF(P26=1,1,0)</f>
        <v>0</v>
      </c>
      <c r="BV26" s="187">
        <f t="shared" si="82"/>
        <v>0</v>
      </c>
      <c r="BW26" s="187">
        <f t="shared" si="42"/>
        <v>0</v>
      </c>
      <c r="BX26" s="187">
        <f t="shared" si="43"/>
        <v>0</v>
      </c>
      <c r="BY26" s="187">
        <f t="shared" si="44"/>
        <v>5</v>
      </c>
      <c r="BZ26" s="187">
        <f t="shared" si="45"/>
        <v>-25</v>
      </c>
      <c r="CA26" s="167">
        <f t="shared" si="46"/>
        <v>24</v>
      </c>
      <c r="CB26" s="167">
        <f t="shared" si="47"/>
        <v>69</v>
      </c>
      <c r="CC26" s="644">
        <f t="shared" si="48"/>
        <v>23</v>
      </c>
      <c r="CD26" s="644">
        <f t="shared" si="49"/>
        <v>19</v>
      </c>
      <c r="CE26" s="644">
        <f t="shared" si="50"/>
        <v>15</v>
      </c>
      <c r="CF26" s="644">
        <f t="shared" si="51"/>
        <v>0</v>
      </c>
      <c r="CG26" s="644">
        <f t="shared" si="52"/>
        <v>0</v>
      </c>
      <c r="CH26" s="644">
        <f t="shared" si="53"/>
        <v>0</v>
      </c>
      <c r="CI26" s="644">
        <f t="shared" si="54"/>
        <v>7</v>
      </c>
      <c r="CJ26" s="644">
        <f t="shared" si="55"/>
        <v>5</v>
      </c>
      <c r="CK26" s="644">
        <f t="shared" si="56"/>
        <v>0</v>
      </c>
      <c r="CL26" s="644">
        <f t="shared" si="57"/>
        <v>0</v>
      </c>
      <c r="CM26" s="644">
        <f t="shared" si="58"/>
        <v>0</v>
      </c>
      <c r="CN26" s="644">
        <f t="shared" si="59"/>
        <v>0</v>
      </c>
      <c r="CO26" s="644">
        <f t="shared" si="60"/>
        <v>0</v>
      </c>
      <c r="CP26" s="644">
        <f t="shared" si="61"/>
        <v>0</v>
      </c>
      <c r="CQ26" s="644">
        <f t="shared" si="62"/>
        <v>0</v>
      </c>
      <c r="CR26" s="644">
        <f t="shared" si="63"/>
        <v>0</v>
      </c>
      <c r="CS26" s="644">
        <f t="shared" si="64"/>
        <v>0</v>
      </c>
      <c r="CT26" s="644">
        <f t="shared" si="65"/>
        <v>0</v>
      </c>
      <c r="CU26" s="644">
        <f t="shared" si="66"/>
        <v>0</v>
      </c>
      <c r="CV26" s="644">
        <f t="shared" si="67"/>
        <v>0</v>
      </c>
      <c r="CW26" s="644">
        <f t="shared" si="68"/>
        <v>0</v>
      </c>
      <c r="CX26" s="644">
        <f t="shared" si="69"/>
        <v>0</v>
      </c>
      <c r="CY26" s="644">
        <f t="shared" si="70"/>
        <v>0</v>
      </c>
      <c r="CZ26" s="624" t="s">
        <v>768</v>
      </c>
      <c r="DA26" s="257"/>
    </row>
    <row r="27" spans="1:105">
      <c r="A27" s="249" t="s">
        <v>110</v>
      </c>
      <c r="B27" s="187"/>
      <c r="C27" s="644"/>
      <c r="D27" s="644">
        <v>1</v>
      </c>
      <c r="E27" s="644">
        <v>1</v>
      </c>
      <c r="F27" s="251"/>
      <c r="G27" s="251"/>
      <c r="H27" s="251"/>
      <c r="I27" s="251"/>
      <c r="J27" s="644"/>
      <c r="K27" s="644"/>
      <c r="L27" s="644"/>
      <c r="M27" s="644"/>
      <c r="N27" s="644"/>
      <c r="O27" s="644"/>
      <c r="P27" s="644"/>
      <c r="Q27" s="644"/>
      <c r="R27" s="644">
        <v>1</v>
      </c>
      <c r="S27" s="644"/>
      <c r="T27" s="644">
        <v>1</v>
      </c>
      <c r="U27" s="644">
        <v>1</v>
      </c>
      <c r="V27" s="644"/>
      <c r="W27" s="644"/>
      <c r="X27" s="644"/>
      <c r="Y27" s="644"/>
      <c r="Z27" s="644">
        <v>1</v>
      </c>
      <c r="AA27" s="644"/>
      <c r="AB27" s="644">
        <v>1</v>
      </c>
      <c r="AC27" s="644">
        <v>1</v>
      </c>
      <c r="AD27" s="644"/>
      <c r="AE27" s="644"/>
      <c r="AF27" s="644"/>
      <c r="AG27" s="644"/>
      <c r="AH27" s="644">
        <v>1</v>
      </c>
      <c r="AI27" s="644"/>
      <c r="AJ27" s="644">
        <v>1</v>
      </c>
      <c r="AK27" s="644"/>
      <c r="AL27" s="167">
        <v>10</v>
      </c>
      <c r="AM27" s="185" t="s">
        <v>1082</v>
      </c>
      <c r="AN27" s="186">
        <v>41998</v>
      </c>
      <c r="AO27" s="187"/>
      <c r="AP27" s="187">
        <f t="shared" si="13"/>
        <v>0</v>
      </c>
      <c r="AQ27" s="187">
        <f t="shared" si="14"/>
        <v>0</v>
      </c>
      <c r="AR27" s="187">
        <f t="shared" si="15"/>
        <v>13</v>
      </c>
      <c r="AS27" s="187">
        <f t="shared" si="16"/>
        <v>13</v>
      </c>
      <c r="AT27" s="187">
        <f t="shared" si="17"/>
        <v>9</v>
      </c>
      <c r="AU27" s="187">
        <f t="shared" si="18"/>
        <v>9</v>
      </c>
      <c r="AV27" s="187">
        <f t="shared" si="19"/>
        <v>9</v>
      </c>
      <c r="AW27" s="187">
        <f t="shared" si="20"/>
        <v>7</v>
      </c>
      <c r="AX27" s="187">
        <f t="shared" si="21"/>
        <v>0</v>
      </c>
      <c r="AY27" s="187">
        <f t="shared" si="22"/>
        <v>7</v>
      </c>
      <c r="AZ27" s="187">
        <f t="shared" si="23"/>
        <v>7</v>
      </c>
      <c r="BA27" s="187">
        <f t="shared" si="24"/>
        <v>7</v>
      </c>
      <c r="BB27" s="187">
        <f t="shared" si="25"/>
        <v>0</v>
      </c>
      <c r="BC27" s="187">
        <f t="shared" si="26"/>
        <v>4</v>
      </c>
      <c r="BD27" s="187">
        <f t="shared" si="27"/>
        <v>0</v>
      </c>
      <c r="BE27" s="187">
        <f t="shared" si="28"/>
        <v>0</v>
      </c>
      <c r="BF27" s="187">
        <f t="shared" si="29"/>
        <v>0</v>
      </c>
      <c r="BG27" s="187">
        <f t="shared" si="30"/>
        <v>0</v>
      </c>
      <c r="BH27" s="187">
        <f t="shared" si="31"/>
        <v>0</v>
      </c>
      <c r="BI27" s="187">
        <f t="shared" si="32"/>
        <v>0</v>
      </c>
      <c r="BJ27" s="187">
        <f t="shared" si="33"/>
        <v>0</v>
      </c>
      <c r="BK27" s="187">
        <f t="shared" si="34"/>
        <v>0</v>
      </c>
      <c r="BL27" s="187">
        <f t="shared" si="35"/>
        <v>0</v>
      </c>
      <c r="BM27" s="187">
        <f t="shared" si="36"/>
        <v>0</v>
      </c>
      <c r="BN27" s="188">
        <f t="shared" si="37"/>
        <v>0</v>
      </c>
      <c r="BO27" s="187">
        <f t="shared" si="38"/>
        <v>0</v>
      </c>
      <c r="BP27" s="187">
        <f t="shared" ref="BP27:BQ27" si="83">IF(G27=1,1,0)</f>
        <v>0</v>
      </c>
      <c r="BQ27" s="187">
        <f t="shared" si="83"/>
        <v>0</v>
      </c>
      <c r="BR27" s="187">
        <f t="shared" ref="BR27:BT27" si="84">IF(K27=1,1,0)</f>
        <v>0</v>
      </c>
      <c r="BS27" s="187">
        <f t="shared" si="84"/>
        <v>0</v>
      </c>
      <c r="BT27" s="187">
        <f t="shared" si="84"/>
        <v>0</v>
      </c>
      <c r="BU27" s="187">
        <f t="shared" ref="BU27:BV27" si="85">IF(P27=1,1,0)</f>
        <v>0</v>
      </c>
      <c r="BV27" s="187">
        <f t="shared" si="85"/>
        <v>0</v>
      </c>
      <c r="BW27" s="187">
        <f t="shared" si="42"/>
        <v>0</v>
      </c>
      <c r="BX27" s="187">
        <f t="shared" si="43"/>
        <v>0</v>
      </c>
      <c r="BY27" s="187">
        <f t="shared" si="44"/>
        <v>0</v>
      </c>
      <c r="BZ27" s="187">
        <f t="shared" si="45"/>
        <v>0</v>
      </c>
      <c r="CA27" s="167">
        <f t="shared" si="46"/>
        <v>85</v>
      </c>
      <c r="CB27" s="167">
        <f t="shared" si="47"/>
        <v>94</v>
      </c>
      <c r="CC27" s="644">
        <f t="shared" si="48"/>
        <v>23</v>
      </c>
      <c r="CD27" s="644">
        <f t="shared" si="49"/>
        <v>19</v>
      </c>
      <c r="CE27" s="644">
        <f t="shared" si="50"/>
        <v>15</v>
      </c>
      <c r="CF27" s="644">
        <f t="shared" si="51"/>
        <v>15</v>
      </c>
      <c r="CG27" s="644">
        <f t="shared" si="52"/>
        <v>9</v>
      </c>
      <c r="CH27" s="644">
        <f t="shared" si="53"/>
        <v>0</v>
      </c>
      <c r="CI27" s="644">
        <f t="shared" si="54"/>
        <v>7</v>
      </c>
      <c r="CJ27" s="644">
        <f t="shared" si="55"/>
        <v>0</v>
      </c>
      <c r="CK27" s="644">
        <f t="shared" si="56"/>
        <v>0</v>
      </c>
      <c r="CL27" s="644">
        <f t="shared" si="57"/>
        <v>0</v>
      </c>
      <c r="CM27" s="644">
        <f t="shared" si="58"/>
        <v>0</v>
      </c>
      <c r="CN27" s="644">
        <f t="shared" si="59"/>
        <v>3</v>
      </c>
      <c r="CO27" s="644">
        <f t="shared" si="60"/>
        <v>3</v>
      </c>
      <c r="CP27" s="644">
        <f t="shared" si="61"/>
        <v>3</v>
      </c>
      <c r="CQ27" s="644">
        <f t="shared" si="62"/>
        <v>0</v>
      </c>
      <c r="CR27" s="644">
        <f t="shared" si="63"/>
        <v>0</v>
      </c>
      <c r="CS27" s="644">
        <f t="shared" si="64"/>
        <v>0</v>
      </c>
      <c r="CT27" s="644">
        <f t="shared" si="65"/>
        <v>0</v>
      </c>
      <c r="CU27" s="644">
        <f t="shared" si="66"/>
        <v>0</v>
      </c>
      <c r="CV27" s="644">
        <f t="shared" si="67"/>
        <v>0</v>
      </c>
      <c r="CW27" s="644">
        <f t="shared" si="68"/>
        <v>0</v>
      </c>
      <c r="CX27" s="644">
        <f t="shared" si="69"/>
        <v>0</v>
      </c>
      <c r="CY27" s="644">
        <f t="shared" si="70"/>
        <v>0</v>
      </c>
      <c r="CZ27" s="624" t="s">
        <v>749</v>
      </c>
      <c r="DA27" s="257"/>
    </row>
    <row r="28" spans="1:105">
      <c r="A28" s="249" t="s">
        <v>111</v>
      </c>
      <c r="B28" s="187"/>
      <c r="C28" s="644"/>
      <c r="D28" s="644">
        <v>1</v>
      </c>
      <c r="E28" s="644">
        <v>1</v>
      </c>
      <c r="F28" s="251"/>
      <c r="G28" s="251"/>
      <c r="H28" s="251"/>
      <c r="I28" s="251"/>
      <c r="J28" s="644"/>
      <c r="K28" s="644"/>
      <c r="L28" s="644"/>
      <c r="M28" s="644"/>
      <c r="N28" s="644"/>
      <c r="O28" s="644"/>
      <c r="P28" s="644"/>
      <c r="Q28" s="644"/>
      <c r="R28" s="644">
        <v>1</v>
      </c>
      <c r="S28" s="644"/>
      <c r="T28" s="644">
        <v>1</v>
      </c>
      <c r="U28" s="644">
        <v>1</v>
      </c>
      <c r="V28" s="644"/>
      <c r="W28" s="644"/>
      <c r="X28" s="644"/>
      <c r="Y28" s="644"/>
      <c r="Z28" s="644"/>
      <c r="AA28" s="644"/>
      <c r="AB28" s="644">
        <v>1</v>
      </c>
      <c r="AC28" s="250"/>
      <c r="AD28" s="644">
        <v>1</v>
      </c>
      <c r="AE28" s="644"/>
      <c r="AF28" s="644"/>
      <c r="AG28" s="644">
        <v>1</v>
      </c>
      <c r="AH28" s="644">
        <v>1</v>
      </c>
      <c r="AI28" s="644"/>
      <c r="AJ28" s="644"/>
      <c r="AK28" s="644">
        <v>1</v>
      </c>
      <c r="AL28" s="167">
        <v>10</v>
      </c>
      <c r="AM28" s="185" t="s">
        <v>1083</v>
      </c>
      <c r="AN28" s="186">
        <v>42010</v>
      </c>
      <c r="AO28" s="187"/>
      <c r="AP28" s="187">
        <f t="shared" si="13"/>
        <v>0</v>
      </c>
      <c r="AQ28" s="187">
        <f t="shared" si="14"/>
        <v>0</v>
      </c>
      <c r="AR28" s="187">
        <f t="shared" si="15"/>
        <v>13</v>
      </c>
      <c r="AS28" s="187">
        <f t="shared" si="16"/>
        <v>13</v>
      </c>
      <c r="AT28" s="187">
        <f t="shared" si="17"/>
        <v>9</v>
      </c>
      <c r="AU28" s="187">
        <f t="shared" si="18"/>
        <v>9</v>
      </c>
      <c r="AV28" s="187">
        <f t="shared" si="19"/>
        <v>0</v>
      </c>
      <c r="AW28" s="187">
        <f t="shared" si="20"/>
        <v>0</v>
      </c>
      <c r="AX28" s="187">
        <f t="shared" si="21"/>
        <v>7</v>
      </c>
      <c r="AY28" s="187">
        <f t="shared" si="22"/>
        <v>0</v>
      </c>
      <c r="AZ28" s="187">
        <f t="shared" si="23"/>
        <v>7</v>
      </c>
      <c r="BA28" s="187">
        <f t="shared" si="24"/>
        <v>7</v>
      </c>
      <c r="BB28" s="187">
        <f t="shared" si="25"/>
        <v>4</v>
      </c>
      <c r="BC28" s="187">
        <f t="shared" si="26"/>
        <v>4</v>
      </c>
      <c r="BD28" s="187">
        <f t="shared" si="27"/>
        <v>0</v>
      </c>
      <c r="BE28" s="187">
        <f t="shared" si="28"/>
        <v>0</v>
      </c>
      <c r="BF28" s="187">
        <f t="shared" si="29"/>
        <v>0</v>
      </c>
      <c r="BG28" s="187">
        <f t="shared" si="30"/>
        <v>0</v>
      </c>
      <c r="BH28" s="187">
        <f t="shared" si="31"/>
        <v>0</v>
      </c>
      <c r="BI28" s="187">
        <f t="shared" si="32"/>
        <v>0</v>
      </c>
      <c r="BJ28" s="187">
        <f t="shared" si="33"/>
        <v>1</v>
      </c>
      <c r="BK28" s="187">
        <f t="shared" si="34"/>
        <v>0</v>
      </c>
      <c r="BL28" s="187">
        <f t="shared" si="35"/>
        <v>0</v>
      </c>
      <c r="BM28" s="187">
        <f t="shared" si="36"/>
        <v>0</v>
      </c>
      <c r="BN28" s="188">
        <f t="shared" si="37"/>
        <v>0</v>
      </c>
      <c r="BO28" s="187">
        <f t="shared" si="38"/>
        <v>0</v>
      </c>
      <c r="BP28" s="187">
        <f t="shared" ref="BP28:BQ28" si="86">IF(G28=1,1,0)</f>
        <v>0</v>
      </c>
      <c r="BQ28" s="187">
        <f t="shared" si="86"/>
        <v>0</v>
      </c>
      <c r="BR28" s="187">
        <f t="shared" ref="BR28:BT28" si="87">IF(K28=1,1,0)</f>
        <v>0</v>
      </c>
      <c r="BS28" s="187">
        <f t="shared" si="87"/>
        <v>0</v>
      </c>
      <c r="BT28" s="187">
        <f t="shared" si="87"/>
        <v>0</v>
      </c>
      <c r="BU28" s="187">
        <f t="shared" ref="BU28:BV28" si="88">IF(P28=1,1,0)</f>
        <v>0</v>
      </c>
      <c r="BV28" s="187">
        <f t="shared" si="88"/>
        <v>0</v>
      </c>
      <c r="BW28" s="187">
        <f t="shared" si="42"/>
        <v>0</v>
      </c>
      <c r="BX28" s="187">
        <f t="shared" si="43"/>
        <v>0</v>
      </c>
      <c r="BY28" s="187">
        <f t="shared" si="44"/>
        <v>0</v>
      </c>
      <c r="BZ28" s="187">
        <f t="shared" si="45"/>
        <v>0</v>
      </c>
      <c r="CA28" s="167">
        <f t="shared" si="46"/>
        <v>74</v>
      </c>
      <c r="CB28" s="167">
        <f t="shared" si="47"/>
        <v>92</v>
      </c>
      <c r="CC28" s="644">
        <f t="shared" si="48"/>
        <v>23</v>
      </c>
      <c r="CD28" s="644">
        <f t="shared" si="49"/>
        <v>19</v>
      </c>
      <c r="CE28" s="644">
        <f t="shared" si="50"/>
        <v>15</v>
      </c>
      <c r="CF28" s="644">
        <f t="shared" si="51"/>
        <v>15</v>
      </c>
      <c r="CG28" s="644">
        <f t="shared" si="52"/>
        <v>9</v>
      </c>
      <c r="CH28" s="644">
        <f t="shared" si="53"/>
        <v>0</v>
      </c>
      <c r="CI28" s="644">
        <f t="shared" si="54"/>
        <v>0</v>
      </c>
      <c r="CJ28" s="644">
        <f t="shared" si="55"/>
        <v>5</v>
      </c>
      <c r="CK28" s="644">
        <f t="shared" si="56"/>
        <v>0</v>
      </c>
      <c r="CL28" s="644">
        <f t="shared" si="57"/>
        <v>0</v>
      </c>
      <c r="CM28" s="644">
        <f t="shared" si="58"/>
        <v>3</v>
      </c>
      <c r="CN28" s="644">
        <f t="shared" si="59"/>
        <v>3</v>
      </c>
      <c r="CO28" s="644">
        <f t="shared" si="60"/>
        <v>0</v>
      </c>
      <c r="CP28" s="644">
        <f t="shared" si="61"/>
        <v>0</v>
      </c>
      <c r="CQ28" s="644">
        <f t="shared" si="62"/>
        <v>0</v>
      </c>
      <c r="CR28" s="644">
        <f t="shared" si="63"/>
        <v>0</v>
      </c>
      <c r="CS28" s="644">
        <f t="shared" si="64"/>
        <v>2</v>
      </c>
      <c r="CT28" s="644">
        <f t="shared" si="65"/>
        <v>0</v>
      </c>
      <c r="CU28" s="644">
        <f t="shared" si="66"/>
        <v>0</v>
      </c>
      <c r="CV28" s="644">
        <f t="shared" si="67"/>
        <v>0</v>
      </c>
      <c r="CW28" s="644">
        <f t="shared" si="68"/>
        <v>0</v>
      </c>
      <c r="CX28" s="644">
        <f t="shared" si="69"/>
        <v>0</v>
      </c>
      <c r="CY28" s="644">
        <f t="shared" si="70"/>
        <v>0</v>
      </c>
      <c r="CZ28" s="624" t="s">
        <v>748</v>
      </c>
      <c r="DA28" s="257"/>
    </row>
    <row r="29" spans="1:105">
      <c r="A29" s="249" t="s">
        <v>1084</v>
      </c>
      <c r="B29" s="187"/>
      <c r="C29" s="644"/>
      <c r="D29" s="644"/>
      <c r="E29" s="644">
        <v>1</v>
      </c>
      <c r="F29" s="251"/>
      <c r="G29" s="251"/>
      <c r="H29" s="251"/>
      <c r="I29" s="251"/>
      <c r="J29" s="644"/>
      <c r="K29" s="644"/>
      <c r="L29" s="644"/>
      <c r="M29" s="644"/>
      <c r="N29" s="644"/>
      <c r="O29" s="644"/>
      <c r="P29" s="644"/>
      <c r="Q29" s="644"/>
      <c r="R29" s="644">
        <v>1</v>
      </c>
      <c r="S29" s="644"/>
      <c r="T29" s="644">
        <v>1</v>
      </c>
      <c r="U29" s="644">
        <v>1</v>
      </c>
      <c r="V29" s="644">
        <v>1</v>
      </c>
      <c r="W29" s="644"/>
      <c r="X29" s="644"/>
      <c r="Y29" s="644"/>
      <c r="Z29" s="258">
        <v>1</v>
      </c>
      <c r="AA29" s="644"/>
      <c r="AB29" s="644"/>
      <c r="AC29" s="644">
        <v>1</v>
      </c>
      <c r="AD29" s="644"/>
      <c r="AE29" s="644"/>
      <c r="AF29" s="644"/>
      <c r="AG29" s="644">
        <v>1</v>
      </c>
      <c r="AH29" s="644">
        <v>1</v>
      </c>
      <c r="AI29" s="644"/>
      <c r="AJ29" s="644">
        <v>1</v>
      </c>
      <c r="AK29" s="644"/>
      <c r="AL29" s="167">
        <v>10</v>
      </c>
      <c r="AM29" s="185" t="s">
        <v>1085</v>
      </c>
      <c r="AN29" s="186">
        <v>42009</v>
      </c>
      <c r="AO29" s="187"/>
      <c r="AP29" s="187">
        <f t="shared" si="13"/>
        <v>0</v>
      </c>
      <c r="AQ29" s="187">
        <f t="shared" si="14"/>
        <v>0</v>
      </c>
      <c r="AR29" s="187">
        <f t="shared" si="15"/>
        <v>13</v>
      </c>
      <c r="AS29" s="187">
        <f t="shared" si="16"/>
        <v>13</v>
      </c>
      <c r="AT29" s="187">
        <f t="shared" si="17"/>
        <v>0</v>
      </c>
      <c r="AU29" s="187">
        <f t="shared" si="18"/>
        <v>0</v>
      </c>
      <c r="AV29" s="187">
        <f t="shared" si="19"/>
        <v>9</v>
      </c>
      <c r="AW29" s="187">
        <f t="shared" si="20"/>
        <v>7</v>
      </c>
      <c r="AX29" s="187">
        <f t="shared" si="21"/>
        <v>0</v>
      </c>
      <c r="AY29" s="187">
        <f t="shared" si="22"/>
        <v>7</v>
      </c>
      <c r="AZ29" s="187">
        <f t="shared" si="23"/>
        <v>7</v>
      </c>
      <c r="BA29" s="187">
        <f t="shared" si="24"/>
        <v>7</v>
      </c>
      <c r="BB29" s="187">
        <f t="shared" si="25"/>
        <v>0</v>
      </c>
      <c r="BC29" s="187">
        <f t="shared" si="26"/>
        <v>4</v>
      </c>
      <c r="BD29" s="187">
        <f t="shared" si="27"/>
        <v>0</v>
      </c>
      <c r="BE29" s="187">
        <f t="shared" si="28"/>
        <v>0</v>
      </c>
      <c r="BF29" s="187">
        <f t="shared" si="29"/>
        <v>0</v>
      </c>
      <c r="BG29" s="187">
        <f t="shared" si="30"/>
        <v>0</v>
      </c>
      <c r="BH29" s="187">
        <f t="shared" si="31"/>
        <v>0</v>
      </c>
      <c r="BI29" s="187">
        <f t="shared" si="32"/>
        <v>1</v>
      </c>
      <c r="BJ29" s="187">
        <f t="shared" si="33"/>
        <v>1</v>
      </c>
      <c r="BK29" s="187">
        <f t="shared" si="34"/>
        <v>0</v>
      </c>
      <c r="BL29" s="187">
        <f t="shared" si="35"/>
        <v>0</v>
      </c>
      <c r="BM29" s="187">
        <f t="shared" si="36"/>
        <v>0</v>
      </c>
      <c r="BN29" s="188">
        <f t="shared" si="37"/>
        <v>0</v>
      </c>
      <c r="BO29" s="187">
        <f t="shared" si="38"/>
        <v>0</v>
      </c>
      <c r="BP29" s="187">
        <f t="shared" ref="BP29:BQ29" si="89">IF(G29=1,1,0)</f>
        <v>0</v>
      </c>
      <c r="BQ29" s="187">
        <f t="shared" si="89"/>
        <v>0</v>
      </c>
      <c r="BR29" s="187">
        <f t="shared" ref="BR29:BT29" si="90">IF(K29=1,1,0)</f>
        <v>0</v>
      </c>
      <c r="BS29" s="187">
        <f t="shared" si="90"/>
        <v>0</v>
      </c>
      <c r="BT29" s="187">
        <f t="shared" si="90"/>
        <v>0</v>
      </c>
      <c r="BU29" s="187">
        <f t="shared" ref="BU29:BV29" si="91">IF(P29=1,1,0)</f>
        <v>0</v>
      </c>
      <c r="BV29" s="187">
        <f t="shared" si="91"/>
        <v>0</v>
      </c>
      <c r="BW29" s="187">
        <f t="shared" si="42"/>
        <v>0</v>
      </c>
      <c r="BX29" s="187">
        <f t="shared" si="43"/>
        <v>0</v>
      </c>
      <c r="BY29" s="187">
        <f t="shared" si="44"/>
        <v>0</v>
      </c>
      <c r="BZ29" s="187">
        <f t="shared" si="45"/>
        <v>0</v>
      </c>
      <c r="CA29" s="167">
        <f t="shared" si="46"/>
        <v>69</v>
      </c>
      <c r="CB29" s="167">
        <f t="shared" si="47"/>
        <v>88</v>
      </c>
      <c r="CC29" s="644">
        <f t="shared" si="48"/>
        <v>23</v>
      </c>
      <c r="CD29" s="644">
        <f t="shared" si="49"/>
        <v>19</v>
      </c>
      <c r="CE29" s="644">
        <f t="shared" si="50"/>
        <v>15</v>
      </c>
      <c r="CF29" s="644">
        <f t="shared" si="51"/>
        <v>15</v>
      </c>
      <c r="CG29" s="644">
        <f t="shared" si="52"/>
        <v>0</v>
      </c>
      <c r="CH29" s="644">
        <f t="shared" si="53"/>
        <v>0</v>
      </c>
      <c r="CI29" s="644">
        <f t="shared" si="54"/>
        <v>7</v>
      </c>
      <c r="CJ29" s="644">
        <f t="shared" si="55"/>
        <v>0</v>
      </c>
      <c r="CK29" s="644">
        <f t="shared" si="56"/>
        <v>0</v>
      </c>
      <c r="CL29" s="644">
        <f t="shared" si="57"/>
        <v>0</v>
      </c>
      <c r="CM29" s="644">
        <f t="shared" si="58"/>
        <v>3</v>
      </c>
      <c r="CN29" s="644">
        <f t="shared" si="59"/>
        <v>3</v>
      </c>
      <c r="CO29" s="644">
        <f t="shared" si="60"/>
        <v>3</v>
      </c>
      <c r="CP29" s="644">
        <f t="shared" si="61"/>
        <v>3</v>
      </c>
      <c r="CQ29" s="644">
        <f t="shared" si="62"/>
        <v>0</v>
      </c>
      <c r="CR29" s="644">
        <f t="shared" si="63"/>
        <v>0</v>
      </c>
      <c r="CS29" s="644">
        <f t="shared" si="64"/>
        <v>0</v>
      </c>
      <c r="CT29" s="644">
        <f t="shared" si="65"/>
        <v>0</v>
      </c>
      <c r="CU29" s="644">
        <f t="shared" si="66"/>
        <v>0</v>
      </c>
      <c r="CV29" s="644">
        <f t="shared" si="67"/>
        <v>1</v>
      </c>
      <c r="CW29" s="644">
        <f t="shared" si="68"/>
        <v>0</v>
      </c>
      <c r="CX29" s="644">
        <f t="shared" si="69"/>
        <v>0</v>
      </c>
      <c r="CY29" s="644">
        <f t="shared" si="70"/>
        <v>0</v>
      </c>
      <c r="CZ29" s="624" t="s">
        <v>814</v>
      </c>
      <c r="DA29" s="257"/>
    </row>
    <row r="30" spans="1:105">
      <c r="A30" s="249" t="s">
        <v>114</v>
      </c>
      <c r="B30" s="187"/>
      <c r="C30" s="644"/>
      <c r="D30" s="644"/>
      <c r="E30" s="644">
        <v>1</v>
      </c>
      <c r="F30" s="251"/>
      <c r="G30" s="251"/>
      <c r="H30" s="251"/>
      <c r="I30" s="251"/>
      <c r="J30" s="644"/>
      <c r="K30" s="644"/>
      <c r="L30" s="644"/>
      <c r="M30" s="644"/>
      <c r="N30" s="644">
        <v>1</v>
      </c>
      <c r="O30" s="644"/>
      <c r="P30" s="644"/>
      <c r="Q30" s="644"/>
      <c r="R30" s="644">
        <v>1</v>
      </c>
      <c r="S30" s="644"/>
      <c r="T30" s="644"/>
      <c r="U30" s="644">
        <v>1</v>
      </c>
      <c r="V30" s="644">
        <v>1</v>
      </c>
      <c r="W30" s="644"/>
      <c r="X30" s="644"/>
      <c r="Y30" s="644"/>
      <c r="Z30" s="644"/>
      <c r="AA30" s="644"/>
      <c r="AB30" s="644">
        <v>1</v>
      </c>
      <c r="AC30" s="644"/>
      <c r="AD30" s="644"/>
      <c r="AE30" s="644"/>
      <c r="AF30" s="644"/>
      <c r="AG30" s="644">
        <v>1</v>
      </c>
      <c r="AH30" s="644">
        <v>1</v>
      </c>
      <c r="AI30" s="644"/>
      <c r="AJ30" s="644">
        <v>1</v>
      </c>
      <c r="AK30" s="644"/>
      <c r="AL30" s="167">
        <v>9</v>
      </c>
      <c r="AM30" s="185" t="s">
        <v>1086</v>
      </c>
      <c r="AN30" s="186">
        <v>42009</v>
      </c>
      <c r="AO30" s="187"/>
      <c r="AP30" s="187">
        <f t="shared" si="13"/>
        <v>0</v>
      </c>
      <c r="AQ30" s="187">
        <f t="shared" si="14"/>
        <v>0</v>
      </c>
      <c r="AR30" s="187">
        <f t="shared" si="15"/>
        <v>13</v>
      </c>
      <c r="AS30" s="187">
        <f t="shared" si="16"/>
        <v>13</v>
      </c>
      <c r="AT30" s="187">
        <f t="shared" si="17"/>
        <v>9</v>
      </c>
      <c r="AU30" s="187">
        <f t="shared" si="18"/>
        <v>0</v>
      </c>
      <c r="AV30" s="187">
        <f t="shared" si="19"/>
        <v>0</v>
      </c>
      <c r="AW30" s="187">
        <f t="shared" si="20"/>
        <v>7</v>
      </c>
      <c r="AX30" s="187">
        <f t="shared" si="21"/>
        <v>0</v>
      </c>
      <c r="AY30" s="187">
        <f t="shared" si="22"/>
        <v>0</v>
      </c>
      <c r="AZ30" s="187">
        <f t="shared" si="23"/>
        <v>7</v>
      </c>
      <c r="BA30" s="187">
        <f t="shared" si="24"/>
        <v>7</v>
      </c>
      <c r="BB30" s="187">
        <f t="shared" si="25"/>
        <v>0</v>
      </c>
      <c r="BC30" s="187">
        <f t="shared" si="26"/>
        <v>0</v>
      </c>
      <c r="BD30" s="187">
        <f t="shared" si="27"/>
        <v>0</v>
      </c>
      <c r="BE30" s="187">
        <f t="shared" si="28"/>
        <v>0</v>
      </c>
      <c r="BF30" s="187">
        <f t="shared" si="29"/>
        <v>0</v>
      </c>
      <c r="BG30" s="187">
        <f t="shared" si="30"/>
        <v>0</v>
      </c>
      <c r="BH30" s="187">
        <f t="shared" si="31"/>
        <v>0</v>
      </c>
      <c r="BI30" s="187">
        <f t="shared" si="32"/>
        <v>1</v>
      </c>
      <c r="BJ30" s="187">
        <f t="shared" si="33"/>
        <v>1</v>
      </c>
      <c r="BK30" s="187">
        <f t="shared" si="34"/>
        <v>0</v>
      </c>
      <c r="BL30" s="187">
        <f t="shared" si="35"/>
        <v>0</v>
      </c>
      <c r="BM30" s="187">
        <f t="shared" si="36"/>
        <v>1</v>
      </c>
      <c r="BN30" s="188">
        <f t="shared" si="37"/>
        <v>1</v>
      </c>
      <c r="BO30" s="187">
        <f t="shared" si="38"/>
        <v>0</v>
      </c>
      <c r="BP30" s="187">
        <f t="shared" ref="BP30:BQ30" si="92">IF(G30=1,1,0)</f>
        <v>0</v>
      </c>
      <c r="BQ30" s="187">
        <f t="shared" si="92"/>
        <v>0</v>
      </c>
      <c r="BR30" s="187">
        <f t="shared" ref="BR30:BT30" si="93">IF(K30=1,1,0)</f>
        <v>0</v>
      </c>
      <c r="BS30" s="187">
        <f t="shared" si="93"/>
        <v>0</v>
      </c>
      <c r="BT30" s="187">
        <f t="shared" si="93"/>
        <v>0</v>
      </c>
      <c r="BU30" s="187">
        <f t="shared" ref="BU30:BV30" si="94">IF(P30=1,1,0)</f>
        <v>0</v>
      </c>
      <c r="BV30" s="187">
        <f t="shared" si="94"/>
        <v>0</v>
      </c>
      <c r="BW30" s="187">
        <f t="shared" si="42"/>
        <v>0</v>
      </c>
      <c r="BX30" s="187">
        <f t="shared" si="43"/>
        <v>0</v>
      </c>
      <c r="BY30" s="187">
        <f t="shared" si="44"/>
        <v>1</v>
      </c>
      <c r="BZ30" s="187">
        <f t="shared" si="45"/>
        <v>-1</v>
      </c>
      <c r="CA30" s="167">
        <f t="shared" si="46"/>
        <v>58</v>
      </c>
      <c r="CB30" s="167">
        <f t="shared" si="47"/>
        <v>88</v>
      </c>
      <c r="CC30" s="644">
        <f t="shared" si="48"/>
        <v>23</v>
      </c>
      <c r="CD30" s="644">
        <f t="shared" si="49"/>
        <v>19</v>
      </c>
      <c r="CE30" s="644">
        <f t="shared" si="50"/>
        <v>15</v>
      </c>
      <c r="CF30" s="644">
        <f t="shared" si="51"/>
        <v>15</v>
      </c>
      <c r="CG30" s="644">
        <f t="shared" si="52"/>
        <v>9</v>
      </c>
      <c r="CH30" s="644">
        <f t="shared" si="53"/>
        <v>0</v>
      </c>
      <c r="CI30" s="644">
        <f t="shared" si="54"/>
        <v>0</v>
      </c>
      <c r="CJ30" s="644">
        <f t="shared" si="55"/>
        <v>0</v>
      </c>
      <c r="CK30" s="644">
        <f t="shared" si="56"/>
        <v>0</v>
      </c>
      <c r="CL30" s="644">
        <f t="shared" si="57"/>
        <v>0</v>
      </c>
      <c r="CM30" s="644">
        <f t="shared" si="58"/>
        <v>3</v>
      </c>
      <c r="CN30" s="644">
        <f t="shared" si="59"/>
        <v>0</v>
      </c>
      <c r="CO30" s="644">
        <f t="shared" si="60"/>
        <v>3</v>
      </c>
      <c r="CP30" s="644">
        <f t="shared" si="61"/>
        <v>0</v>
      </c>
      <c r="CQ30" s="644">
        <f t="shared" si="62"/>
        <v>0</v>
      </c>
      <c r="CR30" s="644">
        <f t="shared" si="63"/>
        <v>0</v>
      </c>
      <c r="CS30" s="644">
        <f t="shared" si="64"/>
        <v>0</v>
      </c>
      <c r="CT30" s="644">
        <f t="shared" si="65"/>
        <v>0</v>
      </c>
      <c r="CU30" s="644">
        <f t="shared" si="66"/>
        <v>0</v>
      </c>
      <c r="CV30" s="644">
        <f t="shared" si="67"/>
        <v>1</v>
      </c>
      <c r="CW30" s="644">
        <f t="shared" si="68"/>
        <v>0</v>
      </c>
      <c r="CX30" s="644">
        <f t="shared" si="69"/>
        <v>1</v>
      </c>
      <c r="CY30" s="644">
        <f t="shared" si="70"/>
        <v>0</v>
      </c>
      <c r="CZ30" s="624" t="s">
        <v>750</v>
      </c>
      <c r="DA30" s="257"/>
    </row>
    <row r="31" spans="1:105">
      <c r="A31" s="249" t="s">
        <v>117</v>
      </c>
      <c r="B31" s="187"/>
      <c r="C31" s="644"/>
      <c r="D31" s="644">
        <v>1</v>
      </c>
      <c r="E31" s="644">
        <v>1</v>
      </c>
      <c r="F31" s="251"/>
      <c r="G31" s="251"/>
      <c r="H31" s="251"/>
      <c r="I31" s="251"/>
      <c r="J31" s="644"/>
      <c r="K31" s="644"/>
      <c r="L31" s="644"/>
      <c r="M31" s="644"/>
      <c r="N31" s="644"/>
      <c r="O31" s="644"/>
      <c r="P31" s="644"/>
      <c r="Q31" s="644"/>
      <c r="R31" s="644">
        <v>1</v>
      </c>
      <c r="S31" s="644"/>
      <c r="T31" s="644">
        <v>1</v>
      </c>
      <c r="U31" s="644">
        <v>1</v>
      </c>
      <c r="V31" s="644"/>
      <c r="W31" s="644"/>
      <c r="X31" s="644"/>
      <c r="Y31" s="644"/>
      <c r="Z31" s="644"/>
      <c r="AA31" s="644"/>
      <c r="AB31" s="644">
        <v>1</v>
      </c>
      <c r="AC31" s="644">
        <v>1</v>
      </c>
      <c r="AD31" s="644">
        <v>1</v>
      </c>
      <c r="AE31" s="644"/>
      <c r="AF31" s="644"/>
      <c r="AG31" s="644">
        <v>1</v>
      </c>
      <c r="AH31" s="644">
        <v>1</v>
      </c>
      <c r="AI31" s="644"/>
      <c r="AJ31" s="644"/>
      <c r="AK31" s="644"/>
      <c r="AL31" s="167">
        <v>10</v>
      </c>
      <c r="AM31" s="185" t="s">
        <v>1087</v>
      </c>
      <c r="AN31" s="186">
        <v>41987</v>
      </c>
      <c r="AO31" s="187"/>
      <c r="AP31" s="187">
        <f t="shared" si="13"/>
        <v>0</v>
      </c>
      <c r="AQ31" s="187">
        <f t="shared" si="14"/>
        <v>0</v>
      </c>
      <c r="AR31" s="187">
        <f t="shared" si="15"/>
        <v>13</v>
      </c>
      <c r="AS31" s="187">
        <f t="shared" si="16"/>
        <v>13</v>
      </c>
      <c r="AT31" s="187">
        <f t="shared" si="17"/>
        <v>9</v>
      </c>
      <c r="AU31" s="187">
        <f t="shared" si="18"/>
        <v>9</v>
      </c>
      <c r="AV31" s="187">
        <f t="shared" si="19"/>
        <v>9</v>
      </c>
      <c r="AW31" s="187">
        <f t="shared" si="20"/>
        <v>0</v>
      </c>
      <c r="AX31" s="187">
        <f t="shared" si="21"/>
        <v>7</v>
      </c>
      <c r="AY31" s="187">
        <f t="shared" si="22"/>
        <v>0</v>
      </c>
      <c r="AZ31" s="187">
        <f t="shared" si="23"/>
        <v>7</v>
      </c>
      <c r="BA31" s="187">
        <f t="shared" si="24"/>
        <v>7</v>
      </c>
      <c r="BB31" s="187">
        <f t="shared" si="25"/>
        <v>0</v>
      </c>
      <c r="BC31" s="187">
        <f t="shared" si="26"/>
        <v>4</v>
      </c>
      <c r="BD31" s="187">
        <f t="shared" si="27"/>
        <v>0</v>
      </c>
      <c r="BE31" s="187">
        <f t="shared" si="28"/>
        <v>0</v>
      </c>
      <c r="BF31" s="187">
        <f t="shared" si="29"/>
        <v>0</v>
      </c>
      <c r="BG31" s="187">
        <f t="shared" si="30"/>
        <v>0</v>
      </c>
      <c r="BH31" s="187">
        <f t="shared" si="31"/>
        <v>0</v>
      </c>
      <c r="BI31" s="187">
        <f t="shared" si="32"/>
        <v>0</v>
      </c>
      <c r="BJ31" s="187">
        <f t="shared" si="33"/>
        <v>1</v>
      </c>
      <c r="BK31" s="187">
        <f t="shared" si="34"/>
        <v>0</v>
      </c>
      <c r="BL31" s="187">
        <f t="shared" si="35"/>
        <v>0</v>
      </c>
      <c r="BM31" s="187">
        <f t="shared" si="36"/>
        <v>0</v>
      </c>
      <c r="BN31" s="188">
        <f t="shared" si="37"/>
        <v>0</v>
      </c>
      <c r="BO31" s="187">
        <f t="shared" si="38"/>
        <v>0</v>
      </c>
      <c r="BP31" s="187">
        <f t="shared" ref="BP31:BQ31" si="95">IF(G31=1,1,0)</f>
        <v>0</v>
      </c>
      <c r="BQ31" s="187">
        <f t="shared" si="95"/>
        <v>0</v>
      </c>
      <c r="BR31" s="187">
        <f t="shared" ref="BR31:BT31" si="96">IF(K31=1,1,0)</f>
        <v>0</v>
      </c>
      <c r="BS31" s="187">
        <f t="shared" si="96"/>
        <v>0</v>
      </c>
      <c r="BT31" s="187">
        <f t="shared" si="96"/>
        <v>0</v>
      </c>
      <c r="BU31" s="187">
        <f t="shared" ref="BU31:BV31" si="97">IF(P31=1,1,0)</f>
        <v>0</v>
      </c>
      <c r="BV31" s="187">
        <f t="shared" si="97"/>
        <v>0</v>
      </c>
      <c r="BW31" s="187">
        <f t="shared" si="42"/>
        <v>0</v>
      </c>
      <c r="BX31" s="187">
        <f t="shared" si="43"/>
        <v>0</v>
      </c>
      <c r="BY31" s="187">
        <f t="shared" si="44"/>
        <v>0</v>
      </c>
      <c r="BZ31" s="187">
        <f t="shared" si="45"/>
        <v>0</v>
      </c>
      <c r="CA31" s="167">
        <f t="shared" si="46"/>
        <v>79</v>
      </c>
      <c r="CB31" s="167">
        <f t="shared" si="47"/>
        <v>96</v>
      </c>
      <c r="CC31" s="644">
        <f t="shared" si="48"/>
        <v>23</v>
      </c>
      <c r="CD31" s="644">
        <f t="shared" si="49"/>
        <v>19</v>
      </c>
      <c r="CE31" s="644">
        <f t="shared" si="50"/>
        <v>15</v>
      </c>
      <c r="CF31" s="644">
        <f t="shared" si="51"/>
        <v>15</v>
      </c>
      <c r="CG31" s="644">
        <f t="shared" si="52"/>
        <v>9</v>
      </c>
      <c r="CH31" s="644">
        <f t="shared" si="53"/>
        <v>0</v>
      </c>
      <c r="CI31" s="644">
        <f t="shared" si="54"/>
        <v>7</v>
      </c>
      <c r="CJ31" s="644">
        <f t="shared" si="55"/>
        <v>5</v>
      </c>
      <c r="CK31" s="644">
        <f t="shared" si="56"/>
        <v>0</v>
      </c>
      <c r="CL31" s="644">
        <f t="shared" si="57"/>
        <v>0</v>
      </c>
      <c r="CM31" s="644">
        <f t="shared" si="58"/>
        <v>3</v>
      </c>
      <c r="CN31" s="644">
        <f t="shared" si="59"/>
        <v>3</v>
      </c>
      <c r="CO31" s="644">
        <f t="shared" si="60"/>
        <v>0</v>
      </c>
      <c r="CP31" s="644">
        <f t="shared" si="61"/>
        <v>0</v>
      </c>
      <c r="CQ31" s="644">
        <f t="shared" si="62"/>
        <v>0</v>
      </c>
      <c r="CR31" s="644">
        <f t="shared" si="63"/>
        <v>0</v>
      </c>
      <c r="CS31" s="644">
        <f t="shared" si="64"/>
        <v>0</v>
      </c>
      <c r="CT31" s="644">
        <f t="shared" si="65"/>
        <v>0</v>
      </c>
      <c r="CU31" s="644">
        <f t="shared" si="66"/>
        <v>0</v>
      </c>
      <c r="CV31" s="644">
        <f t="shared" si="67"/>
        <v>0</v>
      </c>
      <c r="CW31" s="644">
        <f t="shared" si="68"/>
        <v>0</v>
      </c>
      <c r="CX31" s="644">
        <f t="shared" si="69"/>
        <v>0</v>
      </c>
      <c r="CY31" s="644">
        <f t="shared" si="70"/>
        <v>0</v>
      </c>
      <c r="CZ31" s="624" t="s">
        <v>754</v>
      </c>
      <c r="DA31" s="257"/>
    </row>
    <row r="32" spans="1:105">
      <c r="A32" s="249" t="s">
        <v>118</v>
      </c>
      <c r="B32" s="187"/>
      <c r="C32" s="644"/>
      <c r="D32" s="644">
        <v>1</v>
      </c>
      <c r="E32" s="644"/>
      <c r="F32" s="251">
        <v>1</v>
      </c>
      <c r="G32" s="251"/>
      <c r="H32" s="251"/>
      <c r="I32" s="251">
        <v>1</v>
      </c>
      <c r="J32" s="644"/>
      <c r="K32" s="644"/>
      <c r="L32" s="644"/>
      <c r="M32" s="644"/>
      <c r="N32" s="644"/>
      <c r="O32" s="644"/>
      <c r="P32" s="644"/>
      <c r="Q32" s="644"/>
      <c r="R32" s="644">
        <v>1</v>
      </c>
      <c r="S32" s="644"/>
      <c r="T32" s="644"/>
      <c r="U32" s="644">
        <v>1</v>
      </c>
      <c r="V32" s="644"/>
      <c r="W32" s="644"/>
      <c r="X32" s="644">
        <v>1</v>
      </c>
      <c r="Y32" s="644"/>
      <c r="Z32" s="644"/>
      <c r="AA32" s="644"/>
      <c r="AB32" s="644">
        <v>1</v>
      </c>
      <c r="AC32" s="644"/>
      <c r="AD32" s="644"/>
      <c r="AE32" s="644"/>
      <c r="AF32" s="644"/>
      <c r="AG32" s="644"/>
      <c r="AH32" s="644">
        <v>1</v>
      </c>
      <c r="AI32" s="644"/>
      <c r="AJ32" s="644"/>
      <c r="AK32" s="644"/>
      <c r="AL32" s="167">
        <v>8</v>
      </c>
      <c r="AM32" s="185" t="s">
        <v>1088</v>
      </c>
      <c r="AN32" s="186">
        <v>41979</v>
      </c>
      <c r="AO32" s="187"/>
      <c r="AP32" s="187">
        <f t="shared" si="13"/>
        <v>13</v>
      </c>
      <c r="AQ32" s="187">
        <f t="shared" si="14"/>
        <v>13</v>
      </c>
      <c r="AR32" s="187">
        <f t="shared" si="15"/>
        <v>13</v>
      </c>
      <c r="AS32" s="187">
        <f t="shared" si="16"/>
        <v>13</v>
      </c>
      <c r="AT32" s="187">
        <f t="shared" si="17"/>
        <v>9</v>
      </c>
      <c r="AU32" s="187">
        <f t="shared" si="18"/>
        <v>9</v>
      </c>
      <c r="AV32" s="187">
        <f t="shared" si="19"/>
        <v>0</v>
      </c>
      <c r="AW32" s="187">
        <f t="shared" si="20"/>
        <v>0</v>
      </c>
      <c r="AX32" s="187">
        <f t="shared" si="21"/>
        <v>0</v>
      </c>
      <c r="AY32" s="187">
        <f t="shared" si="22"/>
        <v>0</v>
      </c>
      <c r="AZ32" s="187">
        <f t="shared" si="23"/>
        <v>7</v>
      </c>
      <c r="BA32" s="187">
        <f t="shared" si="24"/>
        <v>0</v>
      </c>
      <c r="BB32" s="187">
        <f t="shared" si="25"/>
        <v>0</v>
      </c>
      <c r="BC32" s="187">
        <f t="shared" si="26"/>
        <v>0</v>
      </c>
      <c r="BD32" s="187">
        <f t="shared" si="27"/>
        <v>4</v>
      </c>
      <c r="BE32" s="187">
        <f t="shared" si="28"/>
        <v>0</v>
      </c>
      <c r="BF32" s="187">
        <f t="shared" si="29"/>
        <v>0</v>
      </c>
      <c r="BG32" s="187">
        <f t="shared" si="30"/>
        <v>0</v>
      </c>
      <c r="BH32" s="187">
        <f t="shared" si="31"/>
        <v>0</v>
      </c>
      <c r="BI32" s="187">
        <f t="shared" si="32"/>
        <v>0</v>
      </c>
      <c r="BJ32" s="187">
        <f t="shared" si="33"/>
        <v>0</v>
      </c>
      <c r="BK32" s="187">
        <f t="shared" si="34"/>
        <v>0</v>
      </c>
      <c r="BL32" s="187">
        <f t="shared" si="35"/>
        <v>0</v>
      </c>
      <c r="BM32" s="187">
        <f t="shared" si="36"/>
        <v>0</v>
      </c>
      <c r="BN32" s="188">
        <f t="shared" si="37"/>
        <v>2</v>
      </c>
      <c r="BO32" s="187">
        <f t="shared" si="38"/>
        <v>0</v>
      </c>
      <c r="BP32" s="187">
        <f t="shared" ref="BP32:BQ32" si="98">IF(G32=1,1,0)</f>
        <v>0</v>
      </c>
      <c r="BQ32" s="187">
        <f t="shared" si="98"/>
        <v>0</v>
      </c>
      <c r="BR32" s="187">
        <f t="shared" ref="BR32:BT32" si="99">IF(K32=1,1,0)</f>
        <v>0</v>
      </c>
      <c r="BS32" s="187">
        <f t="shared" si="99"/>
        <v>0</v>
      </c>
      <c r="BT32" s="187">
        <f t="shared" si="99"/>
        <v>0</v>
      </c>
      <c r="BU32" s="187">
        <f t="shared" ref="BU32:BV32" si="100">IF(P32=1,1,0)</f>
        <v>0</v>
      </c>
      <c r="BV32" s="187">
        <f t="shared" si="100"/>
        <v>0</v>
      </c>
      <c r="BW32" s="187">
        <f t="shared" si="42"/>
        <v>0</v>
      </c>
      <c r="BX32" s="187">
        <f t="shared" si="43"/>
        <v>0</v>
      </c>
      <c r="BY32" s="187">
        <f t="shared" si="44"/>
        <v>2</v>
      </c>
      <c r="BZ32" s="187">
        <f t="shared" si="45"/>
        <v>-4</v>
      </c>
      <c r="CA32" s="167">
        <f t="shared" si="46"/>
        <v>77</v>
      </c>
      <c r="CB32" s="167">
        <f t="shared" si="47"/>
        <v>77</v>
      </c>
      <c r="CC32" s="644">
        <f t="shared" si="48"/>
        <v>23</v>
      </c>
      <c r="CD32" s="644">
        <f t="shared" si="49"/>
        <v>19</v>
      </c>
      <c r="CE32" s="644">
        <f t="shared" si="50"/>
        <v>15</v>
      </c>
      <c r="CF32" s="644">
        <f t="shared" si="51"/>
        <v>0</v>
      </c>
      <c r="CG32" s="644">
        <f t="shared" si="52"/>
        <v>9</v>
      </c>
      <c r="CH32" s="644">
        <f t="shared" si="53"/>
        <v>0</v>
      </c>
      <c r="CI32" s="644">
        <f t="shared" si="54"/>
        <v>0</v>
      </c>
      <c r="CJ32" s="644">
        <f t="shared" si="55"/>
        <v>0</v>
      </c>
      <c r="CK32" s="644">
        <f t="shared" si="56"/>
        <v>5</v>
      </c>
      <c r="CL32" s="644">
        <f t="shared" si="57"/>
        <v>5</v>
      </c>
      <c r="CM32" s="644">
        <f t="shared" si="58"/>
        <v>0</v>
      </c>
      <c r="CN32" s="644">
        <f t="shared" si="59"/>
        <v>0</v>
      </c>
      <c r="CO32" s="644">
        <f t="shared" si="60"/>
        <v>0</v>
      </c>
      <c r="CP32" s="644">
        <f t="shared" si="61"/>
        <v>0</v>
      </c>
      <c r="CQ32" s="644">
        <f t="shared" si="62"/>
        <v>0</v>
      </c>
      <c r="CR32" s="644">
        <f t="shared" si="63"/>
        <v>0</v>
      </c>
      <c r="CS32" s="644">
        <f t="shared" si="64"/>
        <v>0</v>
      </c>
      <c r="CT32" s="644">
        <f t="shared" si="65"/>
        <v>0</v>
      </c>
      <c r="CU32" s="644">
        <f t="shared" si="66"/>
        <v>1</v>
      </c>
      <c r="CV32" s="644">
        <f t="shared" si="67"/>
        <v>0</v>
      </c>
      <c r="CW32" s="644">
        <f t="shared" si="68"/>
        <v>0</v>
      </c>
      <c r="CX32" s="644">
        <f t="shared" si="69"/>
        <v>0</v>
      </c>
      <c r="CY32" s="644">
        <f t="shared" si="70"/>
        <v>0</v>
      </c>
      <c r="CZ32" s="624" t="s">
        <v>740</v>
      </c>
      <c r="DA32" s="257"/>
    </row>
    <row r="33" spans="1:105" ht="25.5">
      <c r="A33" s="249" t="s">
        <v>120</v>
      </c>
      <c r="B33" s="187"/>
      <c r="C33" s="644"/>
      <c r="D33" s="644">
        <v>1</v>
      </c>
      <c r="E33" s="644">
        <v>1</v>
      </c>
      <c r="F33" s="251"/>
      <c r="G33" s="251"/>
      <c r="H33" s="251"/>
      <c r="I33" s="251"/>
      <c r="J33" s="644"/>
      <c r="K33" s="644"/>
      <c r="L33" s="644"/>
      <c r="M33" s="644"/>
      <c r="N33" s="644"/>
      <c r="O33" s="644"/>
      <c r="P33" s="644"/>
      <c r="Q33" s="644"/>
      <c r="R33" s="644">
        <v>1</v>
      </c>
      <c r="S33" s="644">
        <v>1</v>
      </c>
      <c r="T33" s="644">
        <v>1</v>
      </c>
      <c r="U33" s="644">
        <v>1</v>
      </c>
      <c r="V33" s="644"/>
      <c r="W33" s="644"/>
      <c r="X33" s="644"/>
      <c r="Y33" s="644"/>
      <c r="Z33" s="258">
        <v>1</v>
      </c>
      <c r="AA33" s="644"/>
      <c r="AB33" s="644">
        <v>1</v>
      </c>
      <c r="AC33" s="644"/>
      <c r="AD33" s="644">
        <v>1</v>
      </c>
      <c r="AE33" s="644"/>
      <c r="AF33" s="644"/>
      <c r="AG33" s="644"/>
      <c r="AH33" s="644">
        <v>1</v>
      </c>
      <c r="AI33" s="644"/>
      <c r="AJ33" s="644"/>
      <c r="AK33" s="644"/>
      <c r="AL33" s="167">
        <v>10</v>
      </c>
      <c r="AM33" s="185" t="s">
        <v>1089</v>
      </c>
      <c r="AN33" s="186">
        <v>42002</v>
      </c>
      <c r="AO33" s="187"/>
      <c r="AP33" s="187">
        <f t="shared" si="13"/>
        <v>0</v>
      </c>
      <c r="AQ33" s="187">
        <f t="shared" si="14"/>
        <v>0</v>
      </c>
      <c r="AR33" s="187">
        <f t="shared" si="15"/>
        <v>13</v>
      </c>
      <c r="AS33" s="187">
        <f t="shared" si="16"/>
        <v>13</v>
      </c>
      <c r="AT33" s="187">
        <f t="shared" si="17"/>
        <v>9</v>
      </c>
      <c r="AU33" s="187">
        <f t="shared" si="18"/>
        <v>9</v>
      </c>
      <c r="AV33" s="187">
        <f t="shared" si="19"/>
        <v>0</v>
      </c>
      <c r="AW33" s="187">
        <f t="shared" si="20"/>
        <v>0</v>
      </c>
      <c r="AX33" s="187">
        <f t="shared" si="21"/>
        <v>7</v>
      </c>
      <c r="AY33" s="187">
        <f t="shared" si="22"/>
        <v>7</v>
      </c>
      <c r="AZ33" s="187">
        <f t="shared" si="23"/>
        <v>7</v>
      </c>
      <c r="BA33" s="187">
        <f t="shared" si="24"/>
        <v>7</v>
      </c>
      <c r="BB33" s="187">
        <f t="shared" si="25"/>
        <v>0</v>
      </c>
      <c r="BC33" s="187">
        <f t="shared" si="26"/>
        <v>4</v>
      </c>
      <c r="BD33" s="187">
        <f t="shared" si="27"/>
        <v>0</v>
      </c>
      <c r="BE33" s="187">
        <f t="shared" si="28"/>
        <v>0</v>
      </c>
      <c r="BF33" s="187">
        <f t="shared" si="29"/>
        <v>0</v>
      </c>
      <c r="BG33" s="187">
        <f t="shared" si="30"/>
        <v>0</v>
      </c>
      <c r="BH33" s="187">
        <f t="shared" si="31"/>
        <v>2</v>
      </c>
      <c r="BI33" s="187">
        <f t="shared" si="32"/>
        <v>0</v>
      </c>
      <c r="BJ33" s="187">
        <f t="shared" si="33"/>
        <v>0</v>
      </c>
      <c r="BK33" s="187">
        <f t="shared" si="34"/>
        <v>0</v>
      </c>
      <c r="BL33" s="187">
        <f t="shared" si="35"/>
        <v>0</v>
      </c>
      <c r="BM33" s="187">
        <f t="shared" si="36"/>
        <v>0</v>
      </c>
      <c r="BN33" s="188">
        <f t="shared" si="37"/>
        <v>0</v>
      </c>
      <c r="BO33" s="187">
        <f t="shared" si="38"/>
        <v>0</v>
      </c>
      <c r="BP33" s="187">
        <f t="shared" ref="BP33:BQ33" si="101">IF(G33=1,1,0)</f>
        <v>0</v>
      </c>
      <c r="BQ33" s="187">
        <f t="shared" si="101"/>
        <v>0</v>
      </c>
      <c r="BR33" s="187">
        <f t="shared" ref="BR33:BT33" si="102">IF(K33=1,1,0)</f>
        <v>0</v>
      </c>
      <c r="BS33" s="187">
        <f t="shared" si="102"/>
        <v>0</v>
      </c>
      <c r="BT33" s="187">
        <f t="shared" si="102"/>
        <v>0</v>
      </c>
      <c r="BU33" s="187">
        <f t="shared" ref="BU33:BV33" si="103">IF(P33=1,1,0)</f>
        <v>0</v>
      </c>
      <c r="BV33" s="187">
        <f t="shared" si="103"/>
        <v>0</v>
      </c>
      <c r="BW33" s="187">
        <f t="shared" si="42"/>
        <v>0</v>
      </c>
      <c r="BX33" s="187">
        <f t="shared" si="43"/>
        <v>0</v>
      </c>
      <c r="BY33" s="187">
        <f t="shared" si="44"/>
        <v>0</v>
      </c>
      <c r="BZ33" s="187">
        <f t="shared" si="45"/>
        <v>0</v>
      </c>
      <c r="CA33" s="167">
        <f t="shared" si="46"/>
        <v>78</v>
      </c>
      <c r="CB33" s="167">
        <f t="shared" si="47"/>
        <v>92</v>
      </c>
      <c r="CC33" s="644">
        <f t="shared" si="48"/>
        <v>23</v>
      </c>
      <c r="CD33" s="644">
        <f t="shared" si="49"/>
        <v>19</v>
      </c>
      <c r="CE33" s="644">
        <f t="shared" si="50"/>
        <v>15</v>
      </c>
      <c r="CF33" s="644">
        <f t="shared" si="51"/>
        <v>15</v>
      </c>
      <c r="CG33" s="644">
        <f t="shared" si="52"/>
        <v>9</v>
      </c>
      <c r="CH33" s="644">
        <f t="shared" si="53"/>
        <v>0</v>
      </c>
      <c r="CI33" s="644">
        <f t="shared" si="54"/>
        <v>0</v>
      </c>
      <c r="CJ33" s="644">
        <f t="shared" si="55"/>
        <v>5</v>
      </c>
      <c r="CK33" s="644">
        <f t="shared" si="56"/>
        <v>0</v>
      </c>
      <c r="CL33" s="644">
        <f t="shared" si="57"/>
        <v>0</v>
      </c>
      <c r="CM33" s="644">
        <f t="shared" si="58"/>
        <v>0</v>
      </c>
      <c r="CN33" s="644">
        <f t="shared" si="59"/>
        <v>3</v>
      </c>
      <c r="CO33" s="644">
        <f t="shared" si="60"/>
        <v>0</v>
      </c>
      <c r="CP33" s="644">
        <f t="shared" si="61"/>
        <v>3</v>
      </c>
      <c r="CQ33" s="644">
        <f t="shared" si="62"/>
        <v>2</v>
      </c>
      <c r="CR33" s="644">
        <f t="shared" si="63"/>
        <v>0</v>
      </c>
      <c r="CS33" s="644">
        <f t="shared" si="64"/>
        <v>0</v>
      </c>
      <c r="CT33" s="644">
        <f t="shared" si="65"/>
        <v>0</v>
      </c>
      <c r="CU33" s="644">
        <f t="shared" si="66"/>
        <v>0</v>
      </c>
      <c r="CV33" s="644">
        <f t="shared" si="67"/>
        <v>0</v>
      </c>
      <c r="CW33" s="644">
        <f t="shared" si="68"/>
        <v>0</v>
      </c>
      <c r="CX33" s="644">
        <f t="shared" si="69"/>
        <v>0</v>
      </c>
      <c r="CY33" s="644">
        <f t="shared" si="70"/>
        <v>0</v>
      </c>
      <c r="CZ33" s="624" t="s">
        <v>1090</v>
      </c>
      <c r="DA33" s="257"/>
    </row>
    <row r="34" spans="1:105" ht="25.5">
      <c r="A34" s="249" t="s">
        <v>759</v>
      </c>
      <c r="B34" s="187"/>
      <c r="C34" s="644"/>
      <c r="D34" s="644">
        <v>1</v>
      </c>
      <c r="E34" s="644">
        <v>1</v>
      </c>
      <c r="F34" s="251"/>
      <c r="G34" s="251"/>
      <c r="H34" s="251"/>
      <c r="I34" s="251"/>
      <c r="J34" s="644"/>
      <c r="K34" s="644"/>
      <c r="L34" s="644"/>
      <c r="M34" s="644"/>
      <c r="N34" s="644"/>
      <c r="O34" s="644"/>
      <c r="P34" s="644"/>
      <c r="Q34" s="644"/>
      <c r="R34" s="644">
        <v>1</v>
      </c>
      <c r="S34" s="644"/>
      <c r="T34" s="644"/>
      <c r="U34" s="644">
        <v>1</v>
      </c>
      <c r="V34" s="644"/>
      <c r="W34" s="644"/>
      <c r="X34" s="644"/>
      <c r="Y34" s="644"/>
      <c r="Z34" s="644"/>
      <c r="AA34" s="644"/>
      <c r="AB34" s="644">
        <v>1</v>
      </c>
      <c r="AC34" s="644"/>
      <c r="AD34" s="644"/>
      <c r="AE34" s="644"/>
      <c r="AF34" s="644"/>
      <c r="AG34" s="644">
        <v>1</v>
      </c>
      <c r="AH34" s="644">
        <v>1</v>
      </c>
      <c r="AI34" s="644"/>
      <c r="AJ34" s="644"/>
      <c r="AK34" s="644"/>
      <c r="AL34" s="167">
        <v>7</v>
      </c>
      <c r="AM34" s="185" t="s">
        <v>1091</v>
      </c>
      <c r="AN34" s="186">
        <v>42009</v>
      </c>
      <c r="AO34" s="187"/>
      <c r="AP34" s="187">
        <f t="shared" si="13"/>
        <v>0</v>
      </c>
      <c r="AQ34" s="187">
        <f t="shared" si="14"/>
        <v>0</v>
      </c>
      <c r="AR34" s="187">
        <f t="shared" si="15"/>
        <v>13</v>
      </c>
      <c r="AS34" s="187">
        <f t="shared" si="16"/>
        <v>13</v>
      </c>
      <c r="AT34" s="187">
        <f t="shared" si="17"/>
        <v>9</v>
      </c>
      <c r="AU34" s="187">
        <f t="shared" si="18"/>
        <v>9</v>
      </c>
      <c r="AV34" s="187">
        <f t="shared" si="19"/>
        <v>0</v>
      </c>
      <c r="AW34" s="187">
        <f t="shared" si="20"/>
        <v>0</v>
      </c>
      <c r="AX34" s="187">
        <f t="shared" si="21"/>
        <v>0</v>
      </c>
      <c r="AY34" s="187">
        <f t="shared" si="22"/>
        <v>0</v>
      </c>
      <c r="AZ34" s="187">
        <f t="shared" si="23"/>
        <v>7</v>
      </c>
      <c r="BA34" s="187">
        <f t="shared" si="24"/>
        <v>7</v>
      </c>
      <c r="BB34" s="187">
        <f t="shared" si="25"/>
        <v>0</v>
      </c>
      <c r="BC34" s="187">
        <f t="shared" si="26"/>
        <v>0</v>
      </c>
      <c r="BD34" s="187">
        <f t="shared" si="27"/>
        <v>0</v>
      </c>
      <c r="BE34" s="187">
        <f t="shared" si="28"/>
        <v>0</v>
      </c>
      <c r="BF34" s="187">
        <f t="shared" si="29"/>
        <v>0</v>
      </c>
      <c r="BG34" s="187">
        <f t="shared" si="30"/>
        <v>0</v>
      </c>
      <c r="BH34" s="187">
        <f t="shared" si="31"/>
        <v>0</v>
      </c>
      <c r="BI34" s="187">
        <f t="shared" si="32"/>
        <v>0</v>
      </c>
      <c r="BJ34" s="187">
        <f t="shared" si="33"/>
        <v>1</v>
      </c>
      <c r="BK34" s="187">
        <f t="shared" si="34"/>
        <v>0</v>
      </c>
      <c r="BL34" s="187">
        <f t="shared" si="35"/>
        <v>0</v>
      </c>
      <c r="BM34" s="187">
        <f t="shared" si="36"/>
        <v>0</v>
      </c>
      <c r="BN34" s="188">
        <f t="shared" si="37"/>
        <v>3</v>
      </c>
      <c r="BO34" s="187">
        <f t="shared" si="38"/>
        <v>0</v>
      </c>
      <c r="BP34" s="187">
        <f t="shared" ref="BP34:BQ34" si="104">IF(G34=1,1,0)</f>
        <v>0</v>
      </c>
      <c r="BQ34" s="187">
        <f t="shared" si="104"/>
        <v>0</v>
      </c>
      <c r="BR34" s="187">
        <f t="shared" ref="BR34:BT34" si="105">IF(K34=1,1,0)</f>
        <v>0</v>
      </c>
      <c r="BS34" s="187">
        <f t="shared" si="105"/>
        <v>0</v>
      </c>
      <c r="BT34" s="187">
        <f t="shared" si="105"/>
        <v>0</v>
      </c>
      <c r="BU34" s="187">
        <f t="shared" ref="BU34:BV34" si="106">IF(P34=1,1,0)</f>
        <v>0</v>
      </c>
      <c r="BV34" s="187">
        <f t="shared" si="106"/>
        <v>0</v>
      </c>
      <c r="BW34" s="187">
        <f t="shared" si="42"/>
        <v>0</v>
      </c>
      <c r="BX34" s="187">
        <f t="shared" si="43"/>
        <v>0</v>
      </c>
      <c r="BY34" s="187">
        <f t="shared" si="44"/>
        <v>3</v>
      </c>
      <c r="BZ34" s="187">
        <f t="shared" si="45"/>
        <v>-9</v>
      </c>
      <c r="CA34" s="167">
        <f t="shared" si="46"/>
        <v>50</v>
      </c>
      <c r="CB34" s="167">
        <f t="shared" si="47"/>
        <v>84</v>
      </c>
      <c r="CC34" s="644">
        <f t="shared" si="48"/>
        <v>23</v>
      </c>
      <c r="CD34" s="644">
        <f t="shared" si="49"/>
        <v>19</v>
      </c>
      <c r="CE34" s="644">
        <f t="shared" si="50"/>
        <v>15</v>
      </c>
      <c r="CF34" s="644">
        <f t="shared" si="51"/>
        <v>15</v>
      </c>
      <c r="CG34" s="644">
        <f t="shared" si="52"/>
        <v>9</v>
      </c>
      <c r="CH34" s="644">
        <f t="shared" si="53"/>
        <v>0</v>
      </c>
      <c r="CI34" s="644">
        <f t="shared" si="54"/>
        <v>0</v>
      </c>
      <c r="CJ34" s="644">
        <f t="shared" si="55"/>
        <v>0</v>
      </c>
      <c r="CK34" s="644">
        <f t="shared" si="56"/>
        <v>0</v>
      </c>
      <c r="CL34" s="644">
        <f t="shared" si="57"/>
        <v>0</v>
      </c>
      <c r="CM34" s="644">
        <f t="shared" si="58"/>
        <v>3</v>
      </c>
      <c r="CN34" s="644">
        <f t="shared" si="59"/>
        <v>0</v>
      </c>
      <c r="CO34" s="644">
        <f t="shared" si="60"/>
        <v>0</v>
      </c>
      <c r="CP34" s="644">
        <f t="shared" si="61"/>
        <v>0</v>
      </c>
      <c r="CQ34" s="644">
        <f t="shared" si="62"/>
        <v>0</v>
      </c>
      <c r="CR34" s="644">
        <f t="shared" si="63"/>
        <v>0</v>
      </c>
      <c r="CS34" s="644">
        <f t="shared" si="64"/>
        <v>0</v>
      </c>
      <c r="CT34" s="644">
        <f t="shared" si="65"/>
        <v>0</v>
      </c>
      <c r="CU34" s="644">
        <f t="shared" si="66"/>
        <v>0</v>
      </c>
      <c r="CV34" s="644">
        <f t="shared" si="67"/>
        <v>0</v>
      </c>
      <c r="CW34" s="644">
        <f t="shared" si="68"/>
        <v>0</v>
      </c>
      <c r="CX34" s="644">
        <f t="shared" si="69"/>
        <v>0</v>
      </c>
      <c r="CY34" s="644">
        <f t="shared" si="70"/>
        <v>0</v>
      </c>
      <c r="CZ34" s="624" t="s">
        <v>743</v>
      </c>
      <c r="DA34" s="257"/>
    </row>
    <row r="35" spans="1:105" ht="25.5">
      <c r="A35" s="249" t="s">
        <v>1092</v>
      </c>
      <c r="B35" s="187"/>
      <c r="C35" s="644"/>
      <c r="D35" s="644">
        <v>1</v>
      </c>
      <c r="E35" s="644">
        <v>1</v>
      </c>
      <c r="F35" s="251"/>
      <c r="G35" s="251"/>
      <c r="H35" s="251"/>
      <c r="I35" s="251"/>
      <c r="J35" s="644"/>
      <c r="K35" s="644"/>
      <c r="L35" s="644"/>
      <c r="M35" s="644"/>
      <c r="N35" s="644"/>
      <c r="O35" s="644"/>
      <c r="P35" s="644"/>
      <c r="Q35" s="644"/>
      <c r="R35" s="644"/>
      <c r="S35" s="644"/>
      <c r="T35" s="644">
        <v>1</v>
      </c>
      <c r="U35" s="644"/>
      <c r="V35" s="644"/>
      <c r="W35" s="644"/>
      <c r="X35" s="644"/>
      <c r="Y35" s="644"/>
      <c r="Z35" s="251">
        <v>1</v>
      </c>
      <c r="AA35" s="644"/>
      <c r="AB35" s="258">
        <v>1</v>
      </c>
      <c r="AC35" s="644">
        <v>1</v>
      </c>
      <c r="AD35" s="644">
        <v>1</v>
      </c>
      <c r="AE35" s="644"/>
      <c r="AF35" s="644"/>
      <c r="AG35" s="644"/>
      <c r="AH35" s="644">
        <v>1</v>
      </c>
      <c r="AI35" s="644"/>
      <c r="AJ35" s="644">
        <v>1</v>
      </c>
      <c r="AK35" s="644">
        <v>1</v>
      </c>
      <c r="AL35" s="167">
        <v>10</v>
      </c>
      <c r="AM35" s="187" t="s">
        <v>1093</v>
      </c>
      <c r="AN35" s="186">
        <v>42001</v>
      </c>
      <c r="AO35" s="187"/>
      <c r="AP35" s="187">
        <f t="shared" si="13"/>
        <v>0</v>
      </c>
      <c r="AQ35" s="187">
        <f t="shared" si="14"/>
        <v>0</v>
      </c>
      <c r="AR35" s="187">
        <f t="shared" si="15"/>
        <v>0</v>
      </c>
      <c r="AS35" s="187">
        <f t="shared" si="16"/>
        <v>0</v>
      </c>
      <c r="AT35" s="187">
        <f t="shared" si="17"/>
        <v>9</v>
      </c>
      <c r="AU35" s="187">
        <f t="shared" si="18"/>
        <v>9</v>
      </c>
      <c r="AV35" s="187">
        <f t="shared" si="19"/>
        <v>9</v>
      </c>
      <c r="AW35" s="187">
        <f t="shared" si="20"/>
        <v>7</v>
      </c>
      <c r="AX35" s="187">
        <f t="shared" si="21"/>
        <v>7</v>
      </c>
      <c r="AY35" s="187">
        <f t="shared" si="22"/>
        <v>7</v>
      </c>
      <c r="AZ35" s="187">
        <f t="shared" si="23"/>
        <v>7</v>
      </c>
      <c r="BA35" s="187">
        <f t="shared" si="24"/>
        <v>7</v>
      </c>
      <c r="BB35" s="187">
        <f t="shared" si="25"/>
        <v>4</v>
      </c>
      <c r="BC35" s="187">
        <f t="shared" si="26"/>
        <v>4</v>
      </c>
      <c r="BD35" s="187">
        <f t="shared" si="27"/>
        <v>0</v>
      </c>
      <c r="BE35" s="187">
        <f t="shared" si="28"/>
        <v>0</v>
      </c>
      <c r="BF35" s="187">
        <f t="shared" si="29"/>
        <v>0</v>
      </c>
      <c r="BG35" s="187">
        <f t="shared" si="30"/>
        <v>0</v>
      </c>
      <c r="BH35" s="187">
        <f t="shared" si="31"/>
        <v>0</v>
      </c>
      <c r="BI35" s="187">
        <f t="shared" si="32"/>
        <v>0</v>
      </c>
      <c r="BJ35" s="187">
        <f t="shared" si="33"/>
        <v>0</v>
      </c>
      <c r="BK35" s="187">
        <f t="shared" si="34"/>
        <v>0</v>
      </c>
      <c r="BL35" s="187">
        <f t="shared" si="35"/>
        <v>0</v>
      </c>
      <c r="BM35" s="187">
        <f t="shared" si="36"/>
        <v>0</v>
      </c>
      <c r="BN35" s="188">
        <f t="shared" si="37"/>
        <v>0</v>
      </c>
      <c r="BO35" s="187">
        <f t="shared" si="38"/>
        <v>0</v>
      </c>
      <c r="BP35" s="187">
        <f t="shared" ref="BP35:BQ35" si="107">IF(G35=1,1,0)</f>
        <v>0</v>
      </c>
      <c r="BQ35" s="187">
        <f t="shared" si="107"/>
        <v>0</v>
      </c>
      <c r="BR35" s="187">
        <f t="shared" ref="BR35:BT35" si="108">IF(K35=1,1,0)</f>
        <v>0</v>
      </c>
      <c r="BS35" s="187">
        <f t="shared" si="108"/>
        <v>0</v>
      </c>
      <c r="BT35" s="187">
        <f t="shared" si="108"/>
        <v>0</v>
      </c>
      <c r="BU35" s="187">
        <f t="shared" ref="BU35:BV35" si="109">IF(P35=1,1,0)</f>
        <v>0</v>
      </c>
      <c r="BV35" s="187">
        <f t="shared" si="109"/>
        <v>0</v>
      </c>
      <c r="BW35" s="187">
        <f t="shared" si="42"/>
        <v>0</v>
      </c>
      <c r="BX35" s="187">
        <f t="shared" si="43"/>
        <v>0</v>
      </c>
      <c r="BY35" s="187">
        <f t="shared" si="44"/>
        <v>0</v>
      </c>
      <c r="BZ35" s="187">
        <f t="shared" si="45"/>
        <v>0</v>
      </c>
      <c r="CA35" s="167">
        <f t="shared" si="46"/>
        <v>70</v>
      </c>
      <c r="CB35" s="167">
        <f t="shared" si="47"/>
        <v>60</v>
      </c>
      <c r="CC35" s="644">
        <f t="shared" si="48"/>
        <v>0</v>
      </c>
      <c r="CD35" s="644">
        <f t="shared" si="49"/>
        <v>0</v>
      </c>
      <c r="CE35" s="644">
        <f t="shared" si="50"/>
        <v>15</v>
      </c>
      <c r="CF35" s="644">
        <f t="shared" si="51"/>
        <v>15</v>
      </c>
      <c r="CG35" s="644">
        <f t="shared" si="52"/>
        <v>9</v>
      </c>
      <c r="CH35" s="644">
        <f t="shared" si="53"/>
        <v>0</v>
      </c>
      <c r="CI35" s="644">
        <f t="shared" si="54"/>
        <v>7</v>
      </c>
      <c r="CJ35" s="644">
        <f t="shared" si="55"/>
        <v>5</v>
      </c>
      <c r="CK35" s="644">
        <f t="shared" si="56"/>
        <v>0</v>
      </c>
      <c r="CL35" s="644">
        <f t="shared" si="57"/>
        <v>0</v>
      </c>
      <c r="CM35" s="644">
        <f t="shared" si="58"/>
        <v>0</v>
      </c>
      <c r="CN35" s="644">
        <f t="shared" si="59"/>
        <v>3</v>
      </c>
      <c r="CO35" s="644">
        <f t="shared" si="60"/>
        <v>3</v>
      </c>
      <c r="CP35" s="644">
        <f t="shared" si="61"/>
        <v>3</v>
      </c>
      <c r="CQ35" s="644">
        <f t="shared" si="62"/>
        <v>0</v>
      </c>
      <c r="CR35" s="644">
        <f t="shared" si="63"/>
        <v>0</v>
      </c>
      <c r="CS35" s="644">
        <f t="shared" si="64"/>
        <v>2</v>
      </c>
      <c r="CT35" s="644">
        <f t="shared" si="65"/>
        <v>0</v>
      </c>
      <c r="CU35" s="644">
        <f t="shared" si="66"/>
        <v>0</v>
      </c>
      <c r="CV35" s="644">
        <f t="shared" si="67"/>
        <v>0</v>
      </c>
      <c r="CW35" s="644">
        <f t="shared" si="68"/>
        <v>0</v>
      </c>
      <c r="CX35" s="644">
        <f t="shared" si="69"/>
        <v>0</v>
      </c>
      <c r="CY35" s="644">
        <f t="shared" si="70"/>
        <v>0</v>
      </c>
      <c r="CZ35" s="624" t="s">
        <v>1090</v>
      </c>
      <c r="DA35" s="257"/>
    </row>
    <row r="36" spans="1:105">
      <c r="A36" s="249" t="s">
        <v>124</v>
      </c>
      <c r="B36" s="187"/>
      <c r="C36" s="644"/>
      <c r="D36" s="258">
        <v>1</v>
      </c>
      <c r="E36" s="644">
        <v>1</v>
      </c>
      <c r="F36" s="251"/>
      <c r="G36" s="251"/>
      <c r="H36" s="251"/>
      <c r="I36" s="251"/>
      <c r="J36" s="644"/>
      <c r="K36" s="644"/>
      <c r="L36" s="644"/>
      <c r="M36" s="644"/>
      <c r="N36" s="644"/>
      <c r="O36" s="644"/>
      <c r="P36" s="644"/>
      <c r="Q36" s="644"/>
      <c r="R36" s="644">
        <v>1</v>
      </c>
      <c r="S36" s="644"/>
      <c r="T36" s="644"/>
      <c r="U36" s="644">
        <v>1</v>
      </c>
      <c r="V36" s="644"/>
      <c r="W36" s="644"/>
      <c r="X36" s="644"/>
      <c r="Y36" s="644"/>
      <c r="Z36" s="644"/>
      <c r="AA36" s="644"/>
      <c r="AB36" s="644"/>
      <c r="AC36" s="644"/>
      <c r="AD36" s="258">
        <v>1</v>
      </c>
      <c r="AE36" s="644"/>
      <c r="AF36" s="644"/>
      <c r="AG36" s="644">
        <v>1</v>
      </c>
      <c r="AH36" s="644">
        <v>1</v>
      </c>
      <c r="AI36" s="644"/>
      <c r="AJ36" s="644"/>
      <c r="AK36" s="644"/>
      <c r="AL36" s="167">
        <v>7</v>
      </c>
      <c r="AM36" s="185" t="s">
        <v>1094</v>
      </c>
      <c r="AN36" s="186">
        <v>42009</v>
      </c>
      <c r="AO36" s="187"/>
      <c r="AP36" s="187">
        <f t="shared" si="13"/>
        <v>0</v>
      </c>
      <c r="AQ36" s="187">
        <f t="shared" si="14"/>
        <v>0</v>
      </c>
      <c r="AR36" s="187">
        <f t="shared" si="15"/>
        <v>13</v>
      </c>
      <c r="AS36" s="187">
        <f t="shared" si="16"/>
        <v>13</v>
      </c>
      <c r="AT36" s="187">
        <f t="shared" si="17"/>
        <v>0</v>
      </c>
      <c r="AU36" s="187">
        <f t="shared" si="18"/>
        <v>9</v>
      </c>
      <c r="AV36" s="187">
        <f t="shared" si="19"/>
        <v>0</v>
      </c>
      <c r="AW36" s="187">
        <f t="shared" si="20"/>
        <v>0</v>
      </c>
      <c r="AX36" s="187">
        <f t="shared" si="21"/>
        <v>7</v>
      </c>
      <c r="AY36" s="187">
        <f t="shared" si="22"/>
        <v>0</v>
      </c>
      <c r="AZ36" s="187">
        <f t="shared" si="23"/>
        <v>7</v>
      </c>
      <c r="BA36" s="187">
        <f t="shared" si="24"/>
        <v>7</v>
      </c>
      <c r="BB36" s="187">
        <f t="shared" si="25"/>
        <v>0</v>
      </c>
      <c r="BC36" s="187">
        <f t="shared" si="26"/>
        <v>0</v>
      </c>
      <c r="BD36" s="187">
        <f t="shared" si="27"/>
        <v>0</v>
      </c>
      <c r="BE36" s="187">
        <f t="shared" si="28"/>
        <v>0</v>
      </c>
      <c r="BF36" s="187">
        <f t="shared" si="29"/>
        <v>0</v>
      </c>
      <c r="BG36" s="187">
        <f t="shared" si="30"/>
        <v>0</v>
      </c>
      <c r="BH36" s="187">
        <f t="shared" si="31"/>
        <v>0</v>
      </c>
      <c r="BI36" s="187">
        <f t="shared" si="32"/>
        <v>0</v>
      </c>
      <c r="BJ36" s="187">
        <f t="shared" si="33"/>
        <v>1</v>
      </c>
      <c r="BK36" s="187">
        <f t="shared" si="34"/>
        <v>0</v>
      </c>
      <c r="BL36" s="187">
        <f t="shared" si="35"/>
        <v>0</v>
      </c>
      <c r="BM36" s="187">
        <f t="shared" si="36"/>
        <v>0</v>
      </c>
      <c r="BN36" s="188">
        <f t="shared" si="37"/>
        <v>3</v>
      </c>
      <c r="BO36" s="187">
        <f t="shared" si="38"/>
        <v>0</v>
      </c>
      <c r="BP36" s="187">
        <f t="shared" ref="BP36:BQ36" si="110">IF(G36=1,1,0)</f>
        <v>0</v>
      </c>
      <c r="BQ36" s="187">
        <f t="shared" si="110"/>
        <v>0</v>
      </c>
      <c r="BR36" s="187">
        <f t="shared" ref="BR36:BT36" si="111">IF(K36=1,1,0)</f>
        <v>0</v>
      </c>
      <c r="BS36" s="187">
        <f t="shared" si="111"/>
        <v>0</v>
      </c>
      <c r="BT36" s="187">
        <f t="shared" si="111"/>
        <v>0</v>
      </c>
      <c r="BU36" s="187">
        <f t="shared" ref="BU36:BV36" si="112">IF(P36=1,1,0)</f>
        <v>0</v>
      </c>
      <c r="BV36" s="187">
        <f t="shared" si="112"/>
        <v>0</v>
      </c>
      <c r="BW36" s="187">
        <f t="shared" si="42"/>
        <v>0</v>
      </c>
      <c r="BX36" s="187">
        <f t="shared" si="43"/>
        <v>0</v>
      </c>
      <c r="BY36" s="187">
        <f t="shared" si="44"/>
        <v>3</v>
      </c>
      <c r="BZ36" s="187">
        <f t="shared" si="45"/>
        <v>-9</v>
      </c>
      <c r="CA36" s="167">
        <f t="shared" si="46"/>
        <v>48</v>
      </c>
      <c r="CB36" s="167">
        <f t="shared" si="47"/>
        <v>80</v>
      </c>
      <c r="CC36" s="644">
        <f t="shared" si="48"/>
        <v>23</v>
      </c>
      <c r="CD36" s="644">
        <f t="shared" si="49"/>
        <v>19</v>
      </c>
      <c r="CE36" s="644">
        <f t="shared" si="50"/>
        <v>15</v>
      </c>
      <c r="CF36" s="644">
        <f t="shared" si="51"/>
        <v>15</v>
      </c>
      <c r="CG36" s="644">
        <f t="shared" si="52"/>
        <v>0</v>
      </c>
      <c r="CH36" s="644">
        <f t="shared" si="53"/>
        <v>0</v>
      </c>
      <c r="CI36" s="644">
        <f t="shared" si="54"/>
        <v>0</v>
      </c>
      <c r="CJ36" s="644">
        <f t="shared" si="55"/>
        <v>5</v>
      </c>
      <c r="CK36" s="644">
        <f t="shared" si="56"/>
        <v>0</v>
      </c>
      <c r="CL36" s="644">
        <f t="shared" si="57"/>
        <v>0</v>
      </c>
      <c r="CM36" s="644">
        <f t="shared" si="58"/>
        <v>3</v>
      </c>
      <c r="CN36" s="644">
        <f t="shared" si="59"/>
        <v>0</v>
      </c>
      <c r="CO36" s="644">
        <f t="shared" si="60"/>
        <v>0</v>
      </c>
      <c r="CP36" s="644">
        <f t="shared" si="61"/>
        <v>0</v>
      </c>
      <c r="CQ36" s="644">
        <f t="shared" si="62"/>
        <v>0</v>
      </c>
      <c r="CR36" s="644">
        <f t="shared" si="63"/>
        <v>0</v>
      </c>
      <c r="CS36" s="644">
        <f t="shared" si="64"/>
        <v>0</v>
      </c>
      <c r="CT36" s="644">
        <f t="shared" si="65"/>
        <v>0</v>
      </c>
      <c r="CU36" s="644">
        <f t="shared" si="66"/>
        <v>0</v>
      </c>
      <c r="CV36" s="644">
        <f t="shared" si="67"/>
        <v>0</v>
      </c>
      <c r="CW36" s="644">
        <f t="shared" si="68"/>
        <v>0</v>
      </c>
      <c r="CX36" s="644">
        <f t="shared" si="69"/>
        <v>0</v>
      </c>
      <c r="CY36" s="644">
        <f t="shared" si="70"/>
        <v>0</v>
      </c>
      <c r="CZ36" s="624" t="s">
        <v>764</v>
      </c>
      <c r="DA36" s="257"/>
    </row>
    <row r="37" spans="1:105">
      <c r="A37" s="249" t="s">
        <v>125</v>
      </c>
      <c r="B37" s="187"/>
      <c r="C37" s="644"/>
      <c r="D37" s="644">
        <v>1</v>
      </c>
      <c r="E37" s="644">
        <v>1</v>
      </c>
      <c r="F37" s="251">
        <v>1</v>
      </c>
      <c r="G37" s="251"/>
      <c r="H37" s="251"/>
      <c r="I37" s="251">
        <v>1</v>
      </c>
      <c r="J37" s="644">
        <v>1</v>
      </c>
      <c r="K37" s="644"/>
      <c r="L37" s="644"/>
      <c r="M37" s="644"/>
      <c r="N37" s="644"/>
      <c r="O37" s="644"/>
      <c r="P37" s="644"/>
      <c r="Q37" s="644"/>
      <c r="R37" s="644">
        <v>1</v>
      </c>
      <c r="S37" s="644"/>
      <c r="T37" s="644"/>
      <c r="U37" s="644">
        <v>1</v>
      </c>
      <c r="V37" s="644"/>
      <c r="W37" s="644"/>
      <c r="X37" s="644"/>
      <c r="Y37" s="644"/>
      <c r="Z37" s="644"/>
      <c r="AA37" s="644"/>
      <c r="AB37" s="644">
        <v>1</v>
      </c>
      <c r="AC37" s="644">
        <v>1</v>
      </c>
      <c r="AD37" s="644"/>
      <c r="AE37" s="644"/>
      <c r="AF37" s="644"/>
      <c r="AG37" s="644"/>
      <c r="AH37" s="644">
        <v>1</v>
      </c>
      <c r="AI37" s="644"/>
      <c r="AJ37" s="644"/>
      <c r="AK37" s="644"/>
      <c r="AL37" s="167">
        <v>10</v>
      </c>
      <c r="AM37" s="185" t="s">
        <v>1095</v>
      </c>
      <c r="AN37" s="186">
        <v>42009</v>
      </c>
      <c r="AO37" s="187"/>
      <c r="AP37" s="187">
        <f t="shared" si="13"/>
        <v>13</v>
      </c>
      <c r="AQ37" s="187">
        <f t="shared" si="14"/>
        <v>13</v>
      </c>
      <c r="AR37" s="187">
        <f t="shared" si="15"/>
        <v>13</v>
      </c>
      <c r="AS37" s="187">
        <f t="shared" si="16"/>
        <v>13</v>
      </c>
      <c r="AT37" s="187">
        <f t="shared" si="17"/>
        <v>9</v>
      </c>
      <c r="AU37" s="187">
        <f t="shared" si="18"/>
        <v>9</v>
      </c>
      <c r="AV37" s="187">
        <f t="shared" si="19"/>
        <v>9</v>
      </c>
      <c r="AW37" s="187">
        <f t="shared" si="20"/>
        <v>0</v>
      </c>
      <c r="AX37" s="187">
        <f t="shared" si="21"/>
        <v>0</v>
      </c>
      <c r="AY37" s="187">
        <f t="shared" si="22"/>
        <v>0</v>
      </c>
      <c r="AZ37" s="187">
        <f t="shared" si="23"/>
        <v>7</v>
      </c>
      <c r="BA37" s="187">
        <f t="shared" si="24"/>
        <v>7</v>
      </c>
      <c r="BB37" s="187">
        <f t="shared" si="25"/>
        <v>0</v>
      </c>
      <c r="BC37" s="187">
        <f t="shared" si="26"/>
        <v>0</v>
      </c>
      <c r="BD37" s="187">
        <f t="shared" si="27"/>
        <v>0</v>
      </c>
      <c r="BE37" s="187">
        <f t="shared" si="28"/>
        <v>0</v>
      </c>
      <c r="BF37" s="187">
        <f t="shared" si="29"/>
        <v>0</v>
      </c>
      <c r="BG37" s="187">
        <f t="shared" si="30"/>
        <v>0</v>
      </c>
      <c r="BH37" s="187">
        <f t="shared" si="31"/>
        <v>0</v>
      </c>
      <c r="BI37" s="187">
        <f t="shared" si="32"/>
        <v>0</v>
      </c>
      <c r="BJ37" s="187">
        <f t="shared" si="33"/>
        <v>0</v>
      </c>
      <c r="BK37" s="187">
        <f t="shared" si="34"/>
        <v>0</v>
      </c>
      <c r="BL37" s="187">
        <f t="shared" si="35"/>
        <v>1</v>
      </c>
      <c r="BM37" s="187">
        <f t="shared" si="36"/>
        <v>0</v>
      </c>
      <c r="BN37" s="188">
        <f t="shared" si="37"/>
        <v>0</v>
      </c>
      <c r="BO37" s="187">
        <f t="shared" si="38"/>
        <v>0</v>
      </c>
      <c r="BP37" s="187">
        <f t="shared" ref="BP37:BQ37" si="113">IF(G37=1,1,0)</f>
        <v>0</v>
      </c>
      <c r="BQ37" s="187">
        <f t="shared" si="113"/>
        <v>0</v>
      </c>
      <c r="BR37" s="187">
        <f t="shared" ref="BR37:BT37" si="114">IF(K37=1,1,0)</f>
        <v>0</v>
      </c>
      <c r="BS37" s="187">
        <f t="shared" si="114"/>
        <v>0</v>
      </c>
      <c r="BT37" s="187">
        <f t="shared" si="114"/>
        <v>0</v>
      </c>
      <c r="BU37" s="187">
        <f t="shared" ref="BU37:BV37" si="115">IF(P37=1,1,0)</f>
        <v>0</v>
      </c>
      <c r="BV37" s="187">
        <f t="shared" si="115"/>
        <v>0</v>
      </c>
      <c r="BW37" s="187">
        <f t="shared" si="42"/>
        <v>0</v>
      </c>
      <c r="BX37" s="187">
        <f t="shared" si="43"/>
        <v>0</v>
      </c>
      <c r="BY37" s="187">
        <f t="shared" si="44"/>
        <v>0</v>
      </c>
      <c r="BZ37" s="187">
        <f t="shared" si="45"/>
        <v>0</v>
      </c>
      <c r="CA37" s="167">
        <f t="shared" si="46"/>
        <v>94</v>
      </c>
      <c r="CB37" s="167">
        <f t="shared" si="47"/>
        <v>98</v>
      </c>
      <c r="CC37" s="644">
        <f t="shared" si="48"/>
        <v>23</v>
      </c>
      <c r="CD37" s="644">
        <f t="shared" si="49"/>
        <v>19</v>
      </c>
      <c r="CE37" s="644">
        <f t="shared" si="50"/>
        <v>15</v>
      </c>
      <c r="CF37" s="644">
        <f t="shared" si="51"/>
        <v>15</v>
      </c>
      <c r="CG37" s="644">
        <f t="shared" si="52"/>
        <v>9</v>
      </c>
      <c r="CH37" s="644">
        <f t="shared" ref="CH37:CH38" si="116">IF("#REF!"=1,7,0)</f>
        <v>0</v>
      </c>
      <c r="CI37" s="644">
        <f t="shared" si="54"/>
        <v>7</v>
      </c>
      <c r="CJ37" s="644">
        <f t="shared" si="55"/>
        <v>0</v>
      </c>
      <c r="CK37" s="644">
        <f t="shared" si="56"/>
        <v>5</v>
      </c>
      <c r="CL37" s="644">
        <f t="shared" si="57"/>
        <v>5</v>
      </c>
      <c r="CM37" s="644">
        <f t="shared" si="58"/>
        <v>0</v>
      </c>
      <c r="CN37" s="644">
        <f t="shared" si="59"/>
        <v>0</v>
      </c>
      <c r="CO37" s="644">
        <f t="shared" si="60"/>
        <v>0</v>
      </c>
      <c r="CP37" s="644">
        <f t="shared" si="61"/>
        <v>0</v>
      </c>
      <c r="CQ37" s="644">
        <f t="shared" si="62"/>
        <v>0</v>
      </c>
      <c r="CR37" s="644">
        <f t="shared" si="63"/>
        <v>0</v>
      </c>
      <c r="CS37" s="644">
        <f t="shared" si="64"/>
        <v>0</v>
      </c>
      <c r="CT37" s="644">
        <f t="shared" si="65"/>
        <v>0</v>
      </c>
      <c r="CU37" s="644">
        <f t="shared" si="66"/>
        <v>0</v>
      </c>
      <c r="CV37" s="644">
        <f t="shared" si="67"/>
        <v>0</v>
      </c>
      <c r="CW37" s="644">
        <f t="shared" si="68"/>
        <v>0</v>
      </c>
      <c r="CX37" s="644">
        <f t="shared" si="69"/>
        <v>0</v>
      </c>
      <c r="CY37" s="644">
        <f t="shared" si="70"/>
        <v>1</v>
      </c>
      <c r="CZ37" s="624" t="s">
        <v>809</v>
      </c>
      <c r="DA37" s="257"/>
    </row>
    <row r="38" spans="1:105">
      <c r="A38" s="249" t="s">
        <v>127</v>
      </c>
      <c r="B38" s="187"/>
      <c r="C38" s="644"/>
      <c r="D38" s="644">
        <v>1</v>
      </c>
      <c r="E38" s="644">
        <v>1</v>
      </c>
      <c r="F38" s="251">
        <v>1</v>
      </c>
      <c r="G38" s="251"/>
      <c r="H38" s="251"/>
      <c r="I38" s="251">
        <v>1</v>
      </c>
      <c r="J38" s="644"/>
      <c r="K38" s="644"/>
      <c r="L38" s="644"/>
      <c r="M38" s="644"/>
      <c r="N38" s="644"/>
      <c r="O38" s="644"/>
      <c r="P38" s="644"/>
      <c r="Q38" s="644"/>
      <c r="R38" s="644">
        <v>1</v>
      </c>
      <c r="S38" s="644"/>
      <c r="T38" s="644"/>
      <c r="U38" s="644">
        <v>1</v>
      </c>
      <c r="V38" s="644"/>
      <c r="W38" s="644"/>
      <c r="X38" s="644"/>
      <c r="Y38" s="644"/>
      <c r="Z38" s="258">
        <v>1</v>
      </c>
      <c r="AA38" s="644"/>
      <c r="AB38" s="644">
        <v>1</v>
      </c>
      <c r="AC38" s="251"/>
      <c r="AD38" s="258">
        <v>1</v>
      </c>
      <c r="AE38" s="644"/>
      <c r="AF38" s="644"/>
      <c r="AG38" s="644"/>
      <c r="AH38" s="644">
        <v>1</v>
      </c>
      <c r="AI38" s="644"/>
      <c r="AJ38" s="644"/>
      <c r="AK38" s="644"/>
      <c r="AL38" s="167">
        <v>10</v>
      </c>
      <c r="AM38" s="185" t="s">
        <v>1096</v>
      </c>
      <c r="AN38" s="186">
        <v>41992</v>
      </c>
      <c r="AO38" s="187"/>
      <c r="AP38" s="187">
        <f t="shared" si="13"/>
        <v>13</v>
      </c>
      <c r="AQ38" s="187">
        <f t="shared" si="14"/>
        <v>13</v>
      </c>
      <c r="AR38" s="187">
        <f t="shared" si="15"/>
        <v>13</v>
      </c>
      <c r="AS38" s="187">
        <f t="shared" si="16"/>
        <v>13</v>
      </c>
      <c r="AT38" s="187">
        <f t="shared" si="17"/>
        <v>9</v>
      </c>
      <c r="AU38" s="187">
        <f t="shared" si="18"/>
        <v>9</v>
      </c>
      <c r="AV38" s="187">
        <f t="shared" si="19"/>
        <v>0</v>
      </c>
      <c r="AW38" s="187">
        <f t="shared" si="20"/>
        <v>0</v>
      </c>
      <c r="AX38" s="187">
        <f t="shared" si="21"/>
        <v>7</v>
      </c>
      <c r="AY38" s="187">
        <f t="shared" si="22"/>
        <v>7</v>
      </c>
      <c r="AZ38" s="187">
        <f t="shared" si="23"/>
        <v>7</v>
      </c>
      <c r="BA38" s="187">
        <f t="shared" si="24"/>
        <v>7</v>
      </c>
      <c r="BB38" s="187">
        <f t="shared" si="25"/>
        <v>0</v>
      </c>
      <c r="BC38" s="187">
        <f t="shared" si="26"/>
        <v>0</v>
      </c>
      <c r="BD38" s="187">
        <f t="shared" si="27"/>
        <v>0</v>
      </c>
      <c r="BE38" s="187">
        <f t="shared" si="28"/>
        <v>0</v>
      </c>
      <c r="BF38" s="187">
        <f t="shared" si="29"/>
        <v>0</v>
      </c>
      <c r="BG38" s="187">
        <f t="shared" si="30"/>
        <v>0</v>
      </c>
      <c r="BH38" s="187">
        <f t="shared" si="31"/>
        <v>0</v>
      </c>
      <c r="BI38" s="187">
        <f t="shared" si="32"/>
        <v>0</v>
      </c>
      <c r="BJ38" s="187">
        <f t="shared" si="33"/>
        <v>0</v>
      </c>
      <c r="BK38" s="187">
        <f t="shared" si="34"/>
        <v>0</v>
      </c>
      <c r="BL38" s="187">
        <f t="shared" si="35"/>
        <v>0</v>
      </c>
      <c r="BM38" s="187">
        <f t="shared" si="36"/>
        <v>0</v>
      </c>
      <c r="BN38" s="188">
        <f t="shared" si="37"/>
        <v>0</v>
      </c>
      <c r="BO38" s="187">
        <f t="shared" si="38"/>
        <v>0</v>
      </c>
      <c r="BP38" s="187">
        <f t="shared" ref="BP38:BQ38" si="117">IF(G38=1,1,0)</f>
        <v>0</v>
      </c>
      <c r="BQ38" s="187">
        <f t="shared" si="117"/>
        <v>0</v>
      </c>
      <c r="BR38" s="187">
        <f t="shared" ref="BR38:BT38" si="118">IF(K38=1,1,0)</f>
        <v>0</v>
      </c>
      <c r="BS38" s="187">
        <f t="shared" si="118"/>
        <v>0</v>
      </c>
      <c r="BT38" s="187">
        <f t="shared" si="118"/>
        <v>0</v>
      </c>
      <c r="BU38" s="187">
        <f t="shared" ref="BU38:BV38" si="119">IF(P38=1,1,0)</f>
        <v>0</v>
      </c>
      <c r="BV38" s="187">
        <f t="shared" si="119"/>
        <v>0</v>
      </c>
      <c r="BW38" s="187">
        <f t="shared" si="42"/>
        <v>0</v>
      </c>
      <c r="BX38" s="187">
        <f t="shared" si="43"/>
        <v>0</v>
      </c>
      <c r="BY38" s="187">
        <f t="shared" si="44"/>
        <v>0</v>
      </c>
      <c r="BZ38" s="187">
        <f t="shared" si="45"/>
        <v>0</v>
      </c>
      <c r="CA38" s="167">
        <f t="shared" si="46"/>
        <v>98</v>
      </c>
      <c r="CB38" s="167">
        <f t="shared" si="47"/>
        <v>96</v>
      </c>
      <c r="CC38" s="644">
        <f t="shared" si="48"/>
        <v>23</v>
      </c>
      <c r="CD38" s="644">
        <f t="shared" si="49"/>
        <v>19</v>
      </c>
      <c r="CE38" s="644">
        <f t="shared" si="50"/>
        <v>15</v>
      </c>
      <c r="CF38" s="644">
        <f t="shared" si="51"/>
        <v>15</v>
      </c>
      <c r="CG38" s="644">
        <f t="shared" si="52"/>
        <v>9</v>
      </c>
      <c r="CH38" s="644">
        <f t="shared" si="116"/>
        <v>0</v>
      </c>
      <c r="CI38" s="644">
        <f t="shared" si="54"/>
        <v>0</v>
      </c>
      <c r="CJ38" s="644">
        <f t="shared" si="55"/>
        <v>5</v>
      </c>
      <c r="CK38" s="644">
        <f t="shared" si="56"/>
        <v>5</v>
      </c>
      <c r="CL38" s="644">
        <f t="shared" si="57"/>
        <v>5</v>
      </c>
      <c r="CM38" s="644">
        <f t="shared" si="58"/>
        <v>0</v>
      </c>
      <c r="CN38" s="644">
        <f t="shared" si="59"/>
        <v>0</v>
      </c>
      <c r="CO38" s="644">
        <f t="shared" si="60"/>
        <v>0</v>
      </c>
      <c r="CP38" s="644">
        <f t="shared" si="61"/>
        <v>3</v>
      </c>
      <c r="CQ38" s="644">
        <f t="shared" si="62"/>
        <v>0</v>
      </c>
      <c r="CR38" s="644">
        <f t="shared" si="63"/>
        <v>0</v>
      </c>
      <c r="CS38" s="644">
        <f t="shared" si="64"/>
        <v>0</v>
      </c>
      <c r="CT38" s="644">
        <f t="shared" si="65"/>
        <v>0</v>
      </c>
      <c r="CU38" s="644">
        <f t="shared" si="66"/>
        <v>0</v>
      </c>
      <c r="CV38" s="644">
        <f t="shared" si="67"/>
        <v>0</v>
      </c>
      <c r="CW38" s="644">
        <f t="shared" si="68"/>
        <v>0</v>
      </c>
      <c r="CX38" s="644">
        <f t="shared" si="69"/>
        <v>0</v>
      </c>
      <c r="CY38" s="644">
        <f t="shared" si="70"/>
        <v>0</v>
      </c>
      <c r="CZ38" s="624" t="s">
        <v>1097</v>
      </c>
      <c r="DA38" s="257"/>
    </row>
    <row r="39" spans="1:105" ht="25.5">
      <c r="A39" s="249" t="s">
        <v>542</v>
      </c>
      <c r="B39" s="187"/>
      <c r="C39" s="644"/>
      <c r="D39" s="644"/>
      <c r="E39" s="258">
        <v>1</v>
      </c>
      <c r="F39" s="251"/>
      <c r="G39" s="251"/>
      <c r="H39" s="251"/>
      <c r="I39" s="251"/>
      <c r="J39" s="644"/>
      <c r="K39" s="644"/>
      <c r="L39" s="644"/>
      <c r="M39" s="644"/>
      <c r="N39" s="644"/>
      <c r="O39" s="644"/>
      <c r="P39" s="644"/>
      <c r="Q39" s="644"/>
      <c r="R39" s="644">
        <v>1</v>
      </c>
      <c r="S39" s="644"/>
      <c r="T39" s="644"/>
      <c r="U39" s="644">
        <v>1</v>
      </c>
      <c r="V39" s="644"/>
      <c r="W39" s="644">
        <v>1</v>
      </c>
      <c r="X39" s="644"/>
      <c r="Y39" s="644"/>
      <c r="Z39" s="644"/>
      <c r="AA39" s="644"/>
      <c r="AB39" s="644"/>
      <c r="AC39" s="644"/>
      <c r="AD39" s="644"/>
      <c r="AE39" s="644"/>
      <c r="AF39" s="644"/>
      <c r="AG39" s="644"/>
      <c r="AH39" s="644">
        <v>1</v>
      </c>
      <c r="AI39" s="644"/>
      <c r="AJ39" s="644"/>
      <c r="AK39" s="644"/>
      <c r="AL39" s="167">
        <v>5</v>
      </c>
      <c r="AM39" s="185" t="s">
        <v>1091</v>
      </c>
      <c r="AN39" s="186">
        <v>42009</v>
      </c>
      <c r="AO39" s="187"/>
      <c r="AP39" s="187">
        <f t="shared" si="13"/>
        <v>0</v>
      </c>
      <c r="AQ39" s="187">
        <f t="shared" si="14"/>
        <v>0</v>
      </c>
      <c r="AR39" s="187">
        <f t="shared" si="15"/>
        <v>13</v>
      </c>
      <c r="AS39" s="187">
        <f t="shared" si="16"/>
        <v>13</v>
      </c>
      <c r="AT39" s="187">
        <f t="shared" si="17"/>
        <v>0</v>
      </c>
      <c r="AU39" s="187">
        <f t="shared" si="18"/>
        <v>0</v>
      </c>
      <c r="AV39" s="187">
        <f t="shared" si="19"/>
        <v>0</v>
      </c>
      <c r="AW39" s="187">
        <f t="shared" si="20"/>
        <v>0</v>
      </c>
      <c r="AX39" s="187">
        <f t="shared" si="21"/>
        <v>0</v>
      </c>
      <c r="AY39" s="187">
        <f t="shared" si="22"/>
        <v>0</v>
      </c>
      <c r="AZ39" s="187">
        <f t="shared" si="23"/>
        <v>7</v>
      </c>
      <c r="BA39" s="187">
        <f t="shared" si="24"/>
        <v>7</v>
      </c>
      <c r="BB39" s="187">
        <f t="shared" si="25"/>
        <v>0</v>
      </c>
      <c r="BC39" s="187">
        <f t="shared" si="26"/>
        <v>0</v>
      </c>
      <c r="BD39" s="187">
        <f t="shared" si="27"/>
        <v>0</v>
      </c>
      <c r="BE39" s="187">
        <f t="shared" si="28"/>
        <v>0</v>
      </c>
      <c r="BF39" s="187">
        <f t="shared" si="29"/>
        <v>3</v>
      </c>
      <c r="BG39" s="187">
        <f t="shared" si="30"/>
        <v>0</v>
      </c>
      <c r="BH39" s="187">
        <f t="shared" si="31"/>
        <v>0</v>
      </c>
      <c r="BI39" s="187">
        <f t="shared" si="32"/>
        <v>0</v>
      </c>
      <c r="BJ39" s="187">
        <f t="shared" si="33"/>
        <v>0</v>
      </c>
      <c r="BK39" s="187">
        <f t="shared" si="34"/>
        <v>0</v>
      </c>
      <c r="BL39" s="187">
        <f t="shared" si="35"/>
        <v>0</v>
      </c>
      <c r="BM39" s="187">
        <f t="shared" si="36"/>
        <v>0</v>
      </c>
      <c r="BN39" s="188">
        <f t="shared" si="37"/>
        <v>5</v>
      </c>
      <c r="BO39" s="187">
        <f t="shared" si="38"/>
        <v>0</v>
      </c>
      <c r="BP39" s="187">
        <f t="shared" ref="BP39:BQ39" si="120">IF(G39=1,1,0)</f>
        <v>0</v>
      </c>
      <c r="BQ39" s="187">
        <f t="shared" si="120"/>
        <v>0</v>
      </c>
      <c r="BR39" s="187">
        <f t="shared" ref="BR39:BT39" si="121">IF(K39=1,1,0)</f>
        <v>0</v>
      </c>
      <c r="BS39" s="187">
        <f t="shared" si="121"/>
        <v>0</v>
      </c>
      <c r="BT39" s="187">
        <f t="shared" si="121"/>
        <v>0</v>
      </c>
      <c r="BU39" s="187">
        <f t="shared" ref="BU39:BV39" si="122">IF(P39=1,1,0)</f>
        <v>0</v>
      </c>
      <c r="BV39" s="187">
        <f t="shared" si="122"/>
        <v>0</v>
      </c>
      <c r="BW39" s="187">
        <f t="shared" si="42"/>
        <v>0</v>
      </c>
      <c r="BX39" s="187">
        <f t="shared" si="43"/>
        <v>0</v>
      </c>
      <c r="BY39" s="187">
        <f t="shared" si="44"/>
        <v>5</v>
      </c>
      <c r="BZ39" s="187">
        <f t="shared" si="45"/>
        <v>-25</v>
      </c>
      <c r="CA39" s="167">
        <f t="shared" si="46"/>
        <v>18</v>
      </c>
      <c r="CB39" s="167">
        <f t="shared" si="47"/>
        <v>74</v>
      </c>
      <c r="CC39" s="644">
        <f t="shared" si="48"/>
        <v>23</v>
      </c>
      <c r="CD39" s="644">
        <f t="shared" si="49"/>
        <v>19</v>
      </c>
      <c r="CE39" s="644">
        <f t="shared" si="50"/>
        <v>15</v>
      </c>
      <c r="CF39" s="644">
        <f t="shared" si="51"/>
        <v>15</v>
      </c>
      <c r="CG39" s="644">
        <f t="shared" si="52"/>
        <v>0</v>
      </c>
      <c r="CH39" s="644">
        <f t="shared" ref="CH39:CH168" si="123">IF(D21=1,7,0)</f>
        <v>0</v>
      </c>
      <c r="CI39" s="644">
        <f t="shared" si="54"/>
        <v>0</v>
      </c>
      <c r="CJ39" s="644">
        <f t="shared" si="55"/>
        <v>0</v>
      </c>
      <c r="CK39" s="644">
        <f t="shared" si="56"/>
        <v>0</v>
      </c>
      <c r="CL39" s="644">
        <f t="shared" si="57"/>
        <v>0</v>
      </c>
      <c r="CM39" s="644">
        <f t="shared" si="58"/>
        <v>0</v>
      </c>
      <c r="CN39" s="644">
        <f t="shared" si="59"/>
        <v>0</v>
      </c>
      <c r="CO39" s="644">
        <f t="shared" si="60"/>
        <v>0</v>
      </c>
      <c r="CP39" s="644">
        <f t="shared" si="61"/>
        <v>0</v>
      </c>
      <c r="CQ39" s="644">
        <f t="shared" si="62"/>
        <v>0</v>
      </c>
      <c r="CR39" s="644">
        <f t="shared" si="63"/>
        <v>2</v>
      </c>
      <c r="CS39" s="644">
        <f t="shared" si="64"/>
        <v>0</v>
      </c>
      <c r="CT39" s="644">
        <f t="shared" si="65"/>
        <v>0</v>
      </c>
      <c r="CU39" s="644">
        <f t="shared" si="66"/>
        <v>0</v>
      </c>
      <c r="CV39" s="644">
        <f t="shared" si="67"/>
        <v>0</v>
      </c>
      <c r="CW39" s="644">
        <f t="shared" si="68"/>
        <v>0</v>
      </c>
      <c r="CX39" s="644">
        <f t="shared" si="69"/>
        <v>0</v>
      </c>
      <c r="CY39" s="644">
        <f t="shared" si="70"/>
        <v>0</v>
      </c>
      <c r="CZ39" s="624" t="s">
        <v>1098</v>
      </c>
      <c r="DA39" s="257"/>
    </row>
    <row r="40" spans="1:105">
      <c r="A40" s="259" t="s">
        <v>132</v>
      </c>
      <c r="B40" s="187"/>
      <c r="C40" s="644"/>
      <c r="D40" s="255"/>
      <c r="E40" s="255"/>
      <c r="F40" s="256">
        <v>1</v>
      </c>
      <c r="G40" s="251"/>
      <c r="H40" s="251"/>
      <c r="I40" s="256">
        <v>1</v>
      </c>
      <c r="J40" s="644"/>
      <c r="K40" s="644"/>
      <c r="L40" s="644"/>
      <c r="M40" s="644"/>
      <c r="N40" s="644"/>
      <c r="O40" s="644"/>
      <c r="P40" s="644"/>
      <c r="Q40" s="644"/>
      <c r="R40" s="644">
        <v>1</v>
      </c>
      <c r="S40" s="644"/>
      <c r="T40" s="644"/>
      <c r="U40" s="644">
        <v>1</v>
      </c>
      <c r="V40" s="644"/>
      <c r="W40" s="644"/>
      <c r="X40" s="644">
        <v>1</v>
      </c>
      <c r="Y40" s="644"/>
      <c r="Z40" s="255"/>
      <c r="AA40" s="644"/>
      <c r="AB40" s="256">
        <v>1</v>
      </c>
      <c r="AC40" s="255"/>
      <c r="AD40" s="256">
        <v>1</v>
      </c>
      <c r="AE40" s="644"/>
      <c r="AF40" s="644"/>
      <c r="AG40" s="644"/>
      <c r="AH40" s="644">
        <v>1</v>
      </c>
      <c r="AI40" s="644"/>
      <c r="AJ40" s="644"/>
      <c r="AK40" s="644"/>
      <c r="AL40" s="167">
        <v>8</v>
      </c>
      <c r="AM40" s="185" t="s">
        <v>1099</v>
      </c>
      <c r="AN40" s="186">
        <v>41983</v>
      </c>
      <c r="AO40" s="187"/>
      <c r="AP40" s="187">
        <f t="shared" si="13"/>
        <v>13</v>
      </c>
      <c r="AQ40" s="187">
        <f t="shared" si="14"/>
        <v>13</v>
      </c>
      <c r="AR40" s="187">
        <f t="shared" si="15"/>
        <v>13</v>
      </c>
      <c r="AS40" s="187">
        <f t="shared" si="16"/>
        <v>13</v>
      </c>
      <c r="AT40" s="187">
        <f t="shared" si="17"/>
        <v>9</v>
      </c>
      <c r="AU40" s="187">
        <f t="shared" si="18"/>
        <v>0</v>
      </c>
      <c r="AV40" s="187">
        <f t="shared" si="19"/>
        <v>0</v>
      </c>
      <c r="AW40" s="187">
        <f t="shared" si="20"/>
        <v>0</v>
      </c>
      <c r="AX40" s="187">
        <f t="shared" si="21"/>
        <v>7</v>
      </c>
      <c r="AY40" s="187">
        <f t="shared" si="22"/>
        <v>0</v>
      </c>
      <c r="AZ40" s="187">
        <f t="shared" si="23"/>
        <v>7</v>
      </c>
      <c r="BA40" s="187">
        <f t="shared" si="24"/>
        <v>0</v>
      </c>
      <c r="BB40" s="187">
        <f t="shared" si="25"/>
        <v>0</v>
      </c>
      <c r="BC40" s="187">
        <f t="shared" si="26"/>
        <v>0</v>
      </c>
      <c r="BD40" s="187">
        <f t="shared" si="27"/>
        <v>4</v>
      </c>
      <c r="BE40" s="187">
        <f t="shared" si="28"/>
        <v>0</v>
      </c>
      <c r="BF40" s="187">
        <f t="shared" si="29"/>
        <v>0</v>
      </c>
      <c r="BG40" s="187">
        <f t="shared" si="30"/>
        <v>0</v>
      </c>
      <c r="BH40" s="187">
        <f t="shared" si="31"/>
        <v>0</v>
      </c>
      <c r="BI40" s="187">
        <f t="shared" si="32"/>
        <v>0</v>
      </c>
      <c r="BJ40" s="187">
        <f t="shared" si="33"/>
        <v>0</v>
      </c>
      <c r="BK40" s="187">
        <f t="shared" si="34"/>
        <v>0</v>
      </c>
      <c r="BL40" s="187">
        <f t="shared" si="35"/>
        <v>0</v>
      </c>
      <c r="BM40" s="187">
        <f t="shared" si="36"/>
        <v>0</v>
      </c>
      <c r="BN40" s="188">
        <f t="shared" si="37"/>
        <v>2</v>
      </c>
      <c r="BO40" s="187">
        <f t="shared" si="38"/>
        <v>0</v>
      </c>
      <c r="BP40" s="187">
        <f t="shared" ref="BP40:BQ40" si="124">IF(G40=1,1,0)</f>
        <v>0</v>
      </c>
      <c r="BQ40" s="187">
        <f t="shared" si="124"/>
        <v>0</v>
      </c>
      <c r="BR40" s="187">
        <f t="shared" ref="BR40:BT40" si="125">IF(K40=1,1,0)</f>
        <v>0</v>
      </c>
      <c r="BS40" s="187">
        <f t="shared" si="125"/>
        <v>0</v>
      </c>
      <c r="BT40" s="187">
        <f t="shared" si="125"/>
        <v>0</v>
      </c>
      <c r="BU40" s="187">
        <f t="shared" ref="BU40:BV40" si="126">IF(P40=1,1,0)</f>
        <v>0</v>
      </c>
      <c r="BV40" s="187">
        <f t="shared" si="126"/>
        <v>0</v>
      </c>
      <c r="BW40" s="187">
        <f t="shared" si="42"/>
        <v>0</v>
      </c>
      <c r="BX40" s="187">
        <f t="shared" si="43"/>
        <v>0</v>
      </c>
      <c r="BY40" s="187">
        <f t="shared" si="44"/>
        <v>2</v>
      </c>
      <c r="BZ40" s="187">
        <f t="shared" si="45"/>
        <v>-4</v>
      </c>
      <c r="CA40" s="167">
        <f t="shared" si="46"/>
        <v>75</v>
      </c>
      <c r="CB40" s="167">
        <f t="shared" si="47"/>
        <v>88</v>
      </c>
      <c r="CC40" s="644">
        <f t="shared" si="48"/>
        <v>23</v>
      </c>
      <c r="CD40" s="644">
        <f t="shared" si="49"/>
        <v>19</v>
      </c>
      <c r="CE40" s="644">
        <f t="shared" si="50"/>
        <v>15</v>
      </c>
      <c r="CF40" s="644">
        <f t="shared" si="51"/>
        <v>0</v>
      </c>
      <c r="CG40" s="644">
        <f t="shared" si="52"/>
        <v>9</v>
      </c>
      <c r="CH40" s="644">
        <f t="shared" si="123"/>
        <v>7</v>
      </c>
      <c r="CI40" s="644">
        <f t="shared" si="54"/>
        <v>0</v>
      </c>
      <c r="CJ40" s="644">
        <f t="shared" si="55"/>
        <v>5</v>
      </c>
      <c r="CK40" s="644">
        <f t="shared" si="56"/>
        <v>5</v>
      </c>
      <c r="CL40" s="644">
        <f t="shared" si="57"/>
        <v>5</v>
      </c>
      <c r="CM40" s="644">
        <f t="shared" si="58"/>
        <v>0</v>
      </c>
      <c r="CN40" s="644">
        <f t="shared" si="59"/>
        <v>0</v>
      </c>
      <c r="CO40" s="644">
        <f t="shared" si="60"/>
        <v>0</v>
      </c>
      <c r="CP40" s="644">
        <f t="shared" si="61"/>
        <v>0</v>
      </c>
      <c r="CQ40" s="644">
        <f t="shared" si="62"/>
        <v>0</v>
      </c>
      <c r="CR40" s="644">
        <f t="shared" si="63"/>
        <v>0</v>
      </c>
      <c r="CS40" s="644">
        <f t="shared" si="64"/>
        <v>0</v>
      </c>
      <c r="CT40" s="644">
        <f t="shared" si="65"/>
        <v>0</v>
      </c>
      <c r="CU40" s="644">
        <f t="shared" si="66"/>
        <v>1</v>
      </c>
      <c r="CV40" s="644">
        <f t="shared" si="67"/>
        <v>0</v>
      </c>
      <c r="CW40" s="644">
        <f t="shared" si="68"/>
        <v>0</v>
      </c>
      <c r="CX40" s="644">
        <f t="shared" si="69"/>
        <v>0</v>
      </c>
      <c r="CY40" s="644">
        <f t="shared" si="70"/>
        <v>0</v>
      </c>
      <c r="CZ40" s="624" t="s">
        <v>740</v>
      </c>
      <c r="DA40" s="257"/>
    </row>
    <row r="41" spans="1:105">
      <c r="A41" s="249" t="s">
        <v>133</v>
      </c>
      <c r="B41" s="187"/>
      <c r="C41" s="644"/>
      <c r="D41" s="644">
        <v>1</v>
      </c>
      <c r="E41" s="644"/>
      <c r="F41" s="251"/>
      <c r="G41" s="251"/>
      <c r="H41" s="251"/>
      <c r="I41" s="251"/>
      <c r="J41" s="644"/>
      <c r="K41" s="644"/>
      <c r="L41" s="644"/>
      <c r="M41" s="644"/>
      <c r="N41" s="644"/>
      <c r="O41" s="644"/>
      <c r="P41" s="644"/>
      <c r="Q41" s="644"/>
      <c r="R41" s="644">
        <v>1</v>
      </c>
      <c r="S41" s="644">
        <v>1</v>
      </c>
      <c r="T41" s="644">
        <v>1</v>
      </c>
      <c r="U41" s="644">
        <v>1</v>
      </c>
      <c r="V41" s="644"/>
      <c r="W41" s="644">
        <v>1</v>
      </c>
      <c r="X41" s="644"/>
      <c r="Y41" s="644"/>
      <c r="Z41" s="644"/>
      <c r="AA41" s="644"/>
      <c r="AB41" s="644">
        <v>1</v>
      </c>
      <c r="AC41" s="644">
        <v>1</v>
      </c>
      <c r="AD41" s="644">
        <v>1</v>
      </c>
      <c r="AE41" s="644"/>
      <c r="AF41" s="644"/>
      <c r="AG41" s="644"/>
      <c r="AH41" s="644">
        <v>1</v>
      </c>
      <c r="AI41" s="644"/>
      <c r="AJ41" s="644"/>
      <c r="AK41" s="644"/>
      <c r="AL41" s="167">
        <v>10</v>
      </c>
      <c r="AM41" s="185" t="s">
        <v>1100</v>
      </c>
      <c r="AN41" s="186">
        <v>41995</v>
      </c>
      <c r="AO41" s="187"/>
      <c r="AP41" s="187">
        <f t="shared" si="13"/>
        <v>0</v>
      </c>
      <c r="AQ41" s="187">
        <f t="shared" si="14"/>
        <v>0</v>
      </c>
      <c r="AR41" s="187">
        <f t="shared" si="15"/>
        <v>13</v>
      </c>
      <c r="AS41" s="187">
        <f t="shared" si="16"/>
        <v>13</v>
      </c>
      <c r="AT41" s="187">
        <f t="shared" si="17"/>
        <v>9</v>
      </c>
      <c r="AU41" s="187">
        <f t="shared" si="18"/>
        <v>9</v>
      </c>
      <c r="AV41" s="187">
        <f t="shared" si="19"/>
        <v>9</v>
      </c>
      <c r="AW41" s="187">
        <f t="shared" si="20"/>
        <v>0</v>
      </c>
      <c r="AX41" s="187">
        <f t="shared" si="21"/>
        <v>7</v>
      </c>
      <c r="AY41" s="187">
        <f t="shared" si="22"/>
        <v>0</v>
      </c>
      <c r="AZ41" s="187">
        <f t="shared" si="23"/>
        <v>7</v>
      </c>
      <c r="BA41" s="187">
        <f t="shared" si="24"/>
        <v>0</v>
      </c>
      <c r="BB41" s="187">
        <f t="shared" si="25"/>
        <v>0</v>
      </c>
      <c r="BC41" s="187">
        <f t="shared" si="26"/>
        <v>4</v>
      </c>
      <c r="BD41" s="187">
        <f t="shared" si="27"/>
        <v>0</v>
      </c>
      <c r="BE41" s="187">
        <f t="shared" si="28"/>
        <v>0</v>
      </c>
      <c r="BF41" s="187">
        <f t="shared" si="29"/>
        <v>3</v>
      </c>
      <c r="BG41" s="187">
        <f t="shared" si="30"/>
        <v>0</v>
      </c>
      <c r="BH41" s="187">
        <f t="shared" si="31"/>
        <v>2</v>
      </c>
      <c r="BI41" s="187">
        <f t="shared" si="32"/>
        <v>0</v>
      </c>
      <c r="BJ41" s="187">
        <f t="shared" si="33"/>
        <v>0</v>
      </c>
      <c r="BK41" s="187">
        <f t="shared" si="34"/>
        <v>0</v>
      </c>
      <c r="BL41" s="187">
        <f t="shared" si="35"/>
        <v>0</v>
      </c>
      <c r="BM41" s="187">
        <f t="shared" si="36"/>
        <v>0</v>
      </c>
      <c r="BN41" s="188">
        <f t="shared" si="37"/>
        <v>0</v>
      </c>
      <c r="BO41" s="187">
        <f t="shared" si="38"/>
        <v>0</v>
      </c>
      <c r="BP41" s="187">
        <f t="shared" ref="BP41:BQ41" si="127">IF(G41=1,1,0)</f>
        <v>0</v>
      </c>
      <c r="BQ41" s="187">
        <f t="shared" si="127"/>
        <v>0</v>
      </c>
      <c r="BR41" s="187">
        <f t="shared" ref="BR41:BT41" si="128">IF(K41=1,1,0)</f>
        <v>0</v>
      </c>
      <c r="BS41" s="187">
        <f t="shared" si="128"/>
        <v>0</v>
      </c>
      <c r="BT41" s="187">
        <f t="shared" si="128"/>
        <v>0</v>
      </c>
      <c r="BU41" s="187">
        <f t="shared" ref="BU41:BV41" si="129">IF(P41=1,1,0)</f>
        <v>0</v>
      </c>
      <c r="BV41" s="187">
        <f t="shared" si="129"/>
        <v>0</v>
      </c>
      <c r="BW41" s="187">
        <f t="shared" si="42"/>
        <v>0</v>
      </c>
      <c r="BX41" s="187">
        <f t="shared" si="43"/>
        <v>0</v>
      </c>
      <c r="BY41" s="187">
        <f t="shared" si="44"/>
        <v>0</v>
      </c>
      <c r="BZ41" s="187">
        <f t="shared" si="45"/>
        <v>0</v>
      </c>
      <c r="CA41" s="167">
        <f t="shared" si="46"/>
        <v>76</v>
      </c>
      <c r="CB41" s="167">
        <f t="shared" si="47"/>
        <v>88</v>
      </c>
      <c r="CC41" s="644">
        <f t="shared" si="48"/>
        <v>23</v>
      </c>
      <c r="CD41" s="644">
        <f t="shared" si="49"/>
        <v>19</v>
      </c>
      <c r="CE41" s="644">
        <f t="shared" si="50"/>
        <v>15</v>
      </c>
      <c r="CF41" s="644">
        <f t="shared" si="51"/>
        <v>0</v>
      </c>
      <c r="CG41" s="644">
        <f t="shared" si="52"/>
        <v>9</v>
      </c>
      <c r="CH41" s="644">
        <f t="shared" si="123"/>
        <v>7</v>
      </c>
      <c r="CI41" s="644">
        <f t="shared" si="54"/>
        <v>7</v>
      </c>
      <c r="CJ41" s="644">
        <f t="shared" si="55"/>
        <v>5</v>
      </c>
      <c r="CK41" s="644">
        <f t="shared" si="56"/>
        <v>0</v>
      </c>
      <c r="CL41" s="644">
        <f t="shared" si="57"/>
        <v>0</v>
      </c>
      <c r="CM41" s="644">
        <f t="shared" si="58"/>
        <v>0</v>
      </c>
      <c r="CN41" s="644">
        <f t="shared" si="59"/>
        <v>3</v>
      </c>
      <c r="CO41" s="644">
        <f t="shared" si="60"/>
        <v>0</v>
      </c>
      <c r="CP41" s="644">
        <f t="shared" si="61"/>
        <v>0</v>
      </c>
      <c r="CQ41" s="644">
        <f t="shared" si="62"/>
        <v>2</v>
      </c>
      <c r="CR41" s="644">
        <f t="shared" si="63"/>
        <v>2</v>
      </c>
      <c r="CS41" s="644">
        <f t="shared" si="64"/>
        <v>0</v>
      </c>
      <c r="CT41" s="644">
        <f t="shared" si="65"/>
        <v>0</v>
      </c>
      <c r="CU41" s="644">
        <f t="shared" si="66"/>
        <v>0</v>
      </c>
      <c r="CV41" s="644">
        <f t="shared" si="67"/>
        <v>0</v>
      </c>
      <c r="CW41" s="644">
        <f t="shared" si="68"/>
        <v>0</v>
      </c>
      <c r="CX41" s="644">
        <f t="shared" si="69"/>
        <v>0</v>
      </c>
      <c r="CY41" s="644">
        <f t="shared" si="70"/>
        <v>0</v>
      </c>
      <c r="CZ41" s="624" t="s">
        <v>756</v>
      </c>
      <c r="DA41" s="257"/>
    </row>
    <row r="42" spans="1:105">
      <c r="A42" s="249" t="s">
        <v>137</v>
      </c>
      <c r="B42" s="187"/>
      <c r="C42" s="644"/>
      <c r="D42" s="644">
        <v>1</v>
      </c>
      <c r="E42" s="644">
        <v>1</v>
      </c>
      <c r="F42" s="251">
        <v>1</v>
      </c>
      <c r="G42" s="251"/>
      <c r="H42" s="251"/>
      <c r="I42" s="251">
        <v>1</v>
      </c>
      <c r="J42" s="644"/>
      <c r="K42" s="644"/>
      <c r="L42" s="644"/>
      <c r="M42" s="644"/>
      <c r="N42" s="644"/>
      <c r="O42" s="644"/>
      <c r="P42" s="644"/>
      <c r="Q42" s="644"/>
      <c r="R42" s="644">
        <v>1</v>
      </c>
      <c r="S42" s="644"/>
      <c r="T42" s="644">
        <v>1</v>
      </c>
      <c r="U42" s="644">
        <v>1</v>
      </c>
      <c r="V42" s="644"/>
      <c r="W42" s="644"/>
      <c r="X42" s="644"/>
      <c r="Y42" s="644"/>
      <c r="Z42" s="644"/>
      <c r="AA42" s="644"/>
      <c r="AB42" s="644">
        <v>1</v>
      </c>
      <c r="AC42" s="258">
        <v>1</v>
      </c>
      <c r="AD42" s="258">
        <v>1</v>
      </c>
      <c r="AE42" s="644"/>
      <c r="AF42" s="644"/>
      <c r="AG42" s="644"/>
      <c r="AH42" s="644"/>
      <c r="AI42" s="644"/>
      <c r="AJ42" s="644"/>
      <c r="AK42" s="644"/>
      <c r="AL42" s="167">
        <v>10</v>
      </c>
      <c r="AM42" s="185" t="s">
        <v>1101</v>
      </c>
      <c r="AN42" s="186">
        <v>42008</v>
      </c>
      <c r="AO42" s="187"/>
      <c r="AP42" s="187">
        <f t="shared" si="13"/>
        <v>13</v>
      </c>
      <c r="AQ42" s="187">
        <f t="shared" si="14"/>
        <v>13</v>
      </c>
      <c r="AR42" s="187">
        <f t="shared" si="15"/>
        <v>13</v>
      </c>
      <c r="AS42" s="187">
        <f t="shared" si="16"/>
        <v>13</v>
      </c>
      <c r="AT42" s="187">
        <f t="shared" si="17"/>
        <v>9</v>
      </c>
      <c r="AU42" s="187">
        <f t="shared" si="18"/>
        <v>9</v>
      </c>
      <c r="AV42" s="187">
        <f t="shared" si="19"/>
        <v>9</v>
      </c>
      <c r="AW42" s="187">
        <f t="shared" si="20"/>
        <v>0</v>
      </c>
      <c r="AX42" s="187">
        <f t="shared" si="21"/>
        <v>7</v>
      </c>
      <c r="AY42" s="187">
        <f t="shared" si="22"/>
        <v>0</v>
      </c>
      <c r="AZ42" s="187">
        <f t="shared" si="23"/>
        <v>0</v>
      </c>
      <c r="BA42" s="187">
        <f t="shared" si="24"/>
        <v>7</v>
      </c>
      <c r="BB42" s="187">
        <f t="shared" si="25"/>
        <v>0</v>
      </c>
      <c r="BC42" s="187">
        <f t="shared" si="26"/>
        <v>4</v>
      </c>
      <c r="BD42" s="187">
        <f t="shared" si="27"/>
        <v>0</v>
      </c>
      <c r="BE42" s="187">
        <f t="shared" si="28"/>
        <v>0</v>
      </c>
      <c r="BF42" s="187">
        <f t="shared" si="29"/>
        <v>0</v>
      </c>
      <c r="BG42" s="187">
        <f t="shared" si="30"/>
        <v>0</v>
      </c>
      <c r="BH42" s="187">
        <f t="shared" si="31"/>
        <v>0</v>
      </c>
      <c r="BI42" s="187">
        <f t="shared" si="32"/>
        <v>0</v>
      </c>
      <c r="BJ42" s="187">
        <f t="shared" si="33"/>
        <v>0</v>
      </c>
      <c r="BK42" s="187">
        <f t="shared" si="34"/>
        <v>0</v>
      </c>
      <c r="BL42" s="187">
        <f t="shared" si="35"/>
        <v>0</v>
      </c>
      <c r="BM42" s="187">
        <f t="shared" si="36"/>
        <v>0</v>
      </c>
      <c r="BN42" s="188">
        <f t="shared" si="37"/>
        <v>0</v>
      </c>
      <c r="BO42" s="187">
        <f t="shared" si="38"/>
        <v>0</v>
      </c>
      <c r="BP42" s="187">
        <f t="shared" ref="BP42:BQ42" si="130">IF(G42=1,1,0)</f>
        <v>0</v>
      </c>
      <c r="BQ42" s="187">
        <f t="shared" si="130"/>
        <v>0</v>
      </c>
      <c r="BR42" s="187">
        <f t="shared" ref="BR42:BT42" si="131">IF(K42=1,1,0)</f>
        <v>0</v>
      </c>
      <c r="BS42" s="187">
        <f t="shared" si="131"/>
        <v>0</v>
      </c>
      <c r="BT42" s="187">
        <f t="shared" si="131"/>
        <v>0</v>
      </c>
      <c r="BU42" s="187">
        <f t="shared" ref="BU42:BV42" si="132">IF(P42=1,1,0)</f>
        <v>0</v>
      </c>
      <c r="BV42" s="187">
        <f t="shared" si="132"/>
        <v>0</v>
      </c>
      <c r="BW42" s="187">
        <f t="shared" si="42"/>
        <v>0</v>
      </c>
      <c r="BX42" s="187">
        <f t="shared" si="43"/>
        <v>0</v>
      </c>
      <c r="BY42" s="187">
        <f t="shared" si="44"/>
        <v>0</v>
      </c>
      <c r="BZ42" s="187">
        <f t="shared" si="45"/>
        <v>0</v>
      </c>
      <c r="CA42" s="167">
        <f t="shared" si="46"/>
        <v>97</v>
      </c>
      <c r="CB42" s="167">
        <f t="shared" si="47"/>
        <v>90</v>
      </c>
      <c r="CC42" s="644">
        <f t="shared" si="48"/>
        <v>23</v>
      </c>
      <c r="CD42" s="644">
        <f t="shared" si="49"/>
        <v>19</v>
      </c>
      <c r="CE42" s="644">
        <f t="shared" si="50"/>
        <v>0</v>
      </c>
      <c r="CF42" s="644">
        <f t="shared" si="51"/>
        <v>15</v>
      </c>
      <c r="CG42" s="644">
        <f t="shared" si="52"/>
        <v>9</v>
      </c>
      <c r="CH42" s="644">
        <f t="shared" si="123"/>
        <v>7</v>
      </c>
      <c r="CI42" s="644">
        <f t="shared" si="54"/>
        <v>7</v>
      </c>
      <c r="CJ42" s="644">
        <f t="shared" si="55"/>
        <v>5</v>
      </c>
      <c r="CK42" s="644">
        <f t="shared" si="56"/>
        <v>5</v>
      </c>
      <c r="CL42" s="644">
        <f t="shared" si="57"/>
        <v>5</v>
      </c>
      <c r="CM42" s="644">
        <f t="shared" si="58"/>
        <v>0</v>
      </c>
      <c r="CN42" s="644">
        <f t="shared" si="59"/>
        <v>3</v>
      </c>
      <c r="CO42" s="644">
        <f t="shared" si="60"/>
        <v>0</v>
      </c>
      <c r="CP42" s="644">
        <f t="shared" si="61"/>
        <v>0</v>
      </c>
      <c r="CQ42" s="644">
        <f t="shared" si="62"/>
        <v>0</v>
      </c>
      <c r="CR42" s="644">
        <f t="shared" si="63"/>
        <v>0</v>
      </c>
      <c r="CS42" s="644">
        <f t="shared" si="64"/>
        <v>0</v>
      </c>
      <c r="CT42" s="644">
        <f t="shared" si="65"/>
        <v>0</v>
      </c>
      <c r="CU42" s="644">
        <f t="shared" si="66"/>
        <v>0</v>
      </c>
      <c r="CV42" s="644">
        <f t="shared" si="67"/>
        <v>0</v>
      </c>
      <c r="CW42" s="644">
        <f t="shared" si="68"/>
        <v>0</v>
      </c>
      <c r="CX42" s="644">
        <f t="shared" si="69"/>
        <v>0</v>
      </c>
      <c r="CY42" s="644">
        <f t="shared" si="70"/>
        <v>0</v>
      </c>
      <c r="CZ42" s="624" t="s">
        <v>752</v>
      </c>
      <c r="DA42" s="257"/>
    </row>
    <row r="43" spans="1:105" ht="25.5">
      <c r="A43" s="260" t="s">
        <v>140</v>
      </c>
      <c r="B43" s="261"/>
      <c r="C43" s="251"/>
      <c r="D43" s="251">
        <v>1</v>
      </c>
      <c r="E43" s="251">
        <v>1</v>
      </c>
      <c r="F43" s="251"/>
      <c r="G43" s="251"/>
      <c r="H43" s="251"/>
      <c r="I43" s="251"/>
      <c r="J43" s="251"/>
      <c r="K43" s="251"/>
      <c r="L43" s="251"/>
      <c r="M43" s="251"/>
      <c r="N43" s="251"/>
      <c r="O43" s="251"/>
      <c r="P43" s="251"/>
      <c r="Q43" s="251"/>
      <c r="R43" s="638">
        <v>1</v>
      </c>
      <c r="S43" s="251"/>
      <c r="T43" s="251">
        <v>1</v>
      </c>
      <c r="U43" s="251">
        <v>1</v>
      </c>
      <c r="V43" s="251"/>
      <c r="W43" s="251"/>
      <c r="X43" s="251"/>
      <c r="Y43" s="251"/>
      <c r="Z43" s="251"/>
      <c r="AA43" s="251"/>
      <c r="AB43" s="251">
        <v>1</v>
      </c>
      <c r="AC43" s="251">
        <v>1</v>
      </c>
      <c r="AD43" s="250"/>
      <c r="AE43" s="251"/>
      <c r="AF43" s="251"/>
      <c r="AG43" s="251"/>
      <c r="AH43" s="251"/>
      <c r="AI43" s="251"/>
      <c r="AJ43" s="251"/>
      <c r="AK43" s="251"/>
      <c r="AL43" s="262">
        <v>7</v>
      </c>
      <c r="AM43" s="261" t="s">
        <v>1102</v>
      </c>
      <c r="AN43" s="263">
        <v>41975</v>
      </c>
      <c r="AO43" s="187"/>
      <c r="AP43" s="187">
        <f t="shared" si="13"/>
        <v>0</v>
      </c>
      <c r="AQ43" s="187">
        <f t="shared" si="14"/>
        <v>0</v>
      </c>
      <c r="AR43" s="187">
        <f t="shared" si="15"/>
        <v>13</v>
      </c>
      <c r="AS43" s="187">
        <f t="shared" si="16"/>
        <v>13</v>
      </c>
      <c r="AT43" s="187">
        <f t="shared" si="17"/>
        <v>9</v>
      </c>
      <c r="AU43" s="187">
        <f t="shared" si="18"/>
        <v>9</v>
      </c>
      <c r="AV43" s="187">
        <f t="shared" si="19"/>
        <v>9</v>
      </c>
      <c r="AW43" s="187">
        <f t="shared" si="20"/>
        <v>0</v>
      </c>
      <c r="AX43" s="187">
        <f t="shared" si="21"/>
        <v>0</v>
      </c>
      <c r="AY43" s="187">
        <f t="shared" si="22"/>
        <v>0</v>
      </c>
      <c r="AZ43" s="187">
        <f t="shared" si="23"/>
        <v>0</v>
      </c>
      <c r="BA43" s="187">
        <f t="shared" si="24"/>
        <v>7</v>
      </c>
      <c r="BB43" s="187">
        <f t="shared" si="25"/>
        <v>0</v>
      </c>
      <c r="BC43" s="187">
        <f t="shared" si="26"/>
        <v>4</v>
      </c>
      <c r="BD43" s="187">
        <f t="shared" si="27"/>
        <v>0</v>
      </c>
      <c r="BE43" s="187">
        <f t="shared" si="28"/>
        <v>0</v>
      </c>
      <c r="BF43" s="187">
        <f t="shared" si="29"/>
        <v>0</v>
      </c>
      <c r="BG43" s="187">
        <f t="shared" si="30"/>
        <v>0</v>
      </c>
      <c r="BH43" s="187">
        <f t="shared" si="31"/>
        <v>0</v>
      </c>
      <c r="BI43" s="187">
        <f t="shared" si="32"/>
        <v>0</v>
      </c>
      <c r="BJ43" s="187">
        <f t="shared" si="33"/>
        <v>0</v>
      </c>
      <c r="BK43" s="187">
        <f t="shared" si="34"/>
        <v>0</v>
      </c>
      <c r="BL43" s="187">
        <f t="shared" si="35"/>
        <v>0</v>
      </c>
      <c r="BM43" s="187">
        <f t="shared" si="36"/>
        <v>0</v>
      </c>
      <c r="BN43" s="188">
        <f t="shared" si="37"/>
        <v>3</v>
      </c>
      <c r="BO43" s="187">
        <f t="shared" si="38"/>
        <v>0</v>
      </c>
      <c r="BP43" s="187">
        <f t="shared" ref="BP43:BQ43" si="133">IF(G43=1,1,0)</f>
        <v>0</v>
      </c>
      <c r="BQ43" s="187">
        <f t="shared" si="133"/>
        <v>0</v>
      </c>
      <c r="BR43" s="187">
        <f t="shared" ref="BR43:BT43" si="134">IF(K43=1,1,0)</f>
        <v>0</v>
      </c>
      <c r="BS43" s="187">
        <f t="shared" si="134"/>
        <v>0</v>
      </c>
      <c r="BT43" s="187">
        <f t="shared" si="134"/>
        <v>0</v>
      </c>
      <c r="BU43" s="187">
        <f t="shared" ref="BU43:BV43" si="135">IF(P43=1,1,0)</f>
        <v>0</v>
      </c>
      <c r="BV43" s="187">
        <f t="shared" si="135"/>
        <v>0</v>
      </c>
      <c r="BW43" s="187">
        <f t="shared" si="42"/>
        <v>0</v>
      </c>
      <c r="BX43" s="187">
        <f t="shared" si="43"/>
        <v>0</v>
      </c>
      <c r="BY43" s="187">
        <f t="shared" si="44"/>
        <v>3</v>
      </c>
      <c r="BZ43" s="187">
        <f t="shared" si="45"/>
        <v>-9</v>
      </c>
      <c r="CA43" s="167">
        <f t="shared" si="46"/>
        <v>55</v>
      </c>
      <c r="CB43" s="167">
        <f t="shared" si="47"/>
        <v>76</v>
      </c>
      <c r="CC43" s="644">
        <f t="shared" si="48"/>
        <v>23</v>
      </c>
      <c r="CD43" s="644">
        <f t="shared" si="49"/>
        <v>19</v>
      </c>
      <c r="CE43" s="644">
        <f t="shared" si="50"/>
        <v>0</v>
      </c>
      <c r="CF43" s="644">
        <f t="shared" si="51"/>
        <v>15</v>
      </c>
      <c r="CG43" s="644">
        <f t="shared" si="52"/>
        <v>9</v>
      </c>
      <c r="CH43" s="644">
        <f t="shared" si="123"/>
        <v>0</v>
      </c>
      <c r="CI43" s="644">
        <f t="shared" si="54"/>
        <v>7</v>
      </c>
      <c r="CJ43" s="644">
        <f t="shared" si="55"/>
        <v>0</v>
      </c>
      <c r="CK43" s="644">
        <f t="shared" si="56"/>
        <v>0</v>
      </c>
      <c r="CL43" s="644">
        <f t="shared" si="57"/>
        <v>0</v>
      </c>
      <c r="CM43" s="644">
        <f t="shared" si="58"/>
        <v>0</v>
      </c>
      <c r="CN43" s="644">
        <f t="shared" si="59"/>
        <v>3</v>
      </c>
      <c r="CO43" s="644">
        <f t="shared" si="60"/>
        <v>0</v>
      </c>
      <c r="CP43" s="644">
        <f t="shared" si="61"/>
        <v>0</v>
      </c>
      <c r="CQ43" s="644">
        <f t="shared" si="62"/>
        <v>0</v>
      </c>
      <c r="CR43" s="644">
        <f t="shared" si="63"/>
        <v>0</v>
      </c>
      <c r="CS43" s="644">
        <f t="shared" si="64"/>
        <v>0</v>
      </c>
      <c r="CT43" s="644">
        <f t="shared" si="65"/>
        <v>0</v>
      </c>
      <c r="CU43" s="644">
        <f t="shared" si="66"/>
        <v>0</v>
      </c>
      <c r="CV43" s="644">
        <f t="shared" si="67"/>
        <v>0</v>
      </c>
      <c r="CW43" s="644">
        <f t="shared" si="68"/>
        <v>0</v>
      </c>
      <c r="CX43" s="644">
        <f t="shared" si="69"/>
        <v>0</v>
      </c>
      <c r="CY43" s="644">
        <f t="shared" si="70"/>
        <v>0</v>
      </c>
      <c r="CZ43" s="264" t="s">
        <v>740</v>
      </c>
      <c r="DA43" s="257"/>
    </row>
    <row r="44" spans="1:105">
      <c r="A44" s="249" t="s">
        <v>778</v>
      </c>
      <c r="B44" s="187"/>
      <c r="C44" s="644"/>
      <c r="D44" s="644"/>
      <c r="E44" s="644"/>
      <c r="F44" s="251"/>
      <c r="G44" s="251"/>
      <c r="H44" s="251"/>
      <c r="I44" s="251"/>
      <c r="J44" s="644"/>
      <c r="K44" s="644"/>
      <c r="L44" s="644"/>
      <c r="M44" s="644"/>
      <c r="N44" s="644"/>
      <c r="O44" s="644"/>
      <c r="P44" s="644"/>
      <c r="Q44" s="644"/>
      <c r="R44" s="644">
        <v>1</v>
      </c>
      <c r="S44" s="644"/>
      <c r="T44" s="644"/>
      <c r="U44" s="644">
        <v>1</v>
      </c>
      <c r="V44" s="644"/>
      <c r="W44" s="644"/>
      <c r="X44" s="644"/>
      <c r="Y44" s="644"/>
      <c r="Z44" s="644"/>
      <c r="AA44" s="644"/>
      <c r="AB44" s="644"/>
      <c r="AC44" s="258">
        <v>1</v>
      </c>
      <c r="AD44" s="644"/>
      <c r="AE44" s="644"/>
      <c r="AF44" s="644"/>
      <c r="AG44" s="644"/>
      <c r="AH44" s="644"/>
      <c r="AI44" s="644"/>
      <c r="AJ44" s="644"/>
      <c r="AK44" s="644"/>
      <c r="AL44" s="167">
        <v>3</v>
      </c>
      <c r="AM44" s="185" t="s">
        <v>1103</v>
      </c>
      <c r="AN44" s="186">
        <v>42008</v>
      </c>
      <c r="AO44" s="187"/>
      <c r="AP44" s="187">
        <f t="shared" si="13"/>
        <v>0</v>
      </c>
      <c r="AQ44" s="187">
        <f t="shared" si="14"/>
        <v>0</v>
      </c>
      <c r="AR44" s="187">
        <f t="shared" si="15"/>
        <v>13</v>
      </c>
      <c r="AS44" s="187">
        <f t="shared" si="16"/>
        <v>13</v>
      </c>
      <c r="AT44" s="187">
        <f t="shared" si="17"/>
        <v>0</v>
      </c>
      <c r="AU44" s="187">
        <f t="shared" si="18"/>
        <v>0</v>
      </c>
      <c r="AV44" s="187">
        <f t="shared" si="19"/>
        <v>9</v>
      </c>
      <c r="AW44" s="187">
        <f t="shared" si="20"/>
        <v>0</v>
      </c>
      <c r="AX44" s="187">
        <f t="shared" si="21"/>
        <v>0</v>
      </c>
      <c r="AY44" s="187">
        <f t="shared" si="22"/>
        <v>0</v>
      </c>
      <c r="AZ44" s="187">
        <f t="shared" si="23"/>
        <v>0</v>
      </c>
      <c r="BA44" s="187">
        <f t="shared" si="24"/>
        <v>0</v>
      </c>
      <c r="BB44" s="187">
        <f t="shared" si="25"/>
        <v>0</v>
      </c>
      <c r="BC44" s="187">
        <f t="shared" si="26"/>
        <v>0</v>
      </c>
      <c r="BD44" s="187">
        <f t="shared" si="27"/>
        <v>0</v>
      </c>
      <c r="BE44" s="187">
        <f t="shared" si="28"/>
        <v>0</v>
      </c>
      <c r="BF44" s="187">
        <f t="shared" si="29"/>
        <v>0</v>
      </c>
      <c r="BG44" s="187">
        <f t="shared" si="30"/>
        <v>0</v>
      </c>
      <c r="BH44" s="187">
        <f t="shared" si="31"/>
        <v>0</v>
      </c>
      <c r="BI44" s="187">
        <f t="shared" si="32"/>
        <v>0</v>
      </c>
      <c r="BJ44" s="187">
        <f t="shared" si="33"/>
        <v>0</v>
      </c>
      <c r="BK44" s="187">
        <f t="shared" si="34"/>
        <v>0</v>
      </c>
      <c r="BL44" s="187">
        <f t="shared" si="35"/>
        <v>0</v>
      </c>
      <c r="BM44" s="187">
        <f t="shared" si="36"/>
        <v>0</v>
      </c>
      <c r="BN44" s="188">
        <f t="shared" si="37"/>
        <v>7</v>
      </c>
      <c r="BO44" s="187">
        <f t="shared" si="38"/>
        <v>0</v>
      </c>
      <c r="BP44" s="187">
        <f t="shared" ref="BP44:BQ44" si="136">IF(G44=1,1,0)</f>
        <v>0</v>
      </c>
      <c r="BQ44" s="187">
        <f t="shared" si="136"/>
        <v>0</v>
      </c>
      <c r="BR44" s="187">
        <f t="shared" ref="BR44:BT44" si="137">IF(K44=1,1,0)</f>
        <v>0</v>
      </c>
      <c r="BS44" s="187">
        <f t="shared" si="137"/>
        <v>0</v>
      </c>
      <c r="BT44" s="187">
        <f t="shared" si="137"/>
        <v>0</v>
      </c>
      <c r="BU44" s="187">
        <f t="shared" ref="BU44:BV44" si="138">IF(P44=1,1,0)</f>
        <v>0</v>
      </c>
      <c r="BV44" s="187">
        <f t="shared" si="138"/>
        <v>0</v>
      </c>
      <c r="BW44" s="187">
        <f t="shared" si="42"/>
        <v>0</v>
      </c>
      <c r="BX44" s="187">
        <f t="shared" si="43"/>
        <v>0</v>
      </c>
      <c r="BY44" s="187">
        <f t="shared" si="44"/>
        <v>7</v>
      </c>
      <c r="BZ44" s="187">
        <f t="shared" si="45"/>
        <v>-49</v>
      </c>
      <c r="CA44" s="167">
        <f t="shared" si="46"/>
        <v>-14</v>
      </c>
      <c r="CB44" s="167">
        <f t="shared" si="47"/>
        <v>49</v>
      </c>
      <c r="CC44" s="644">
        <f t="shared" si="48"/>
        <v>23</v>
      </c>
      <c r="CD44" s="644">
        <f t="shared" si="49"/>
        <v>19</v>
      </c>
      <c r="CE44" s="644">
        <f t="shared" si="50"/>
        <v>0</v>
      </c>
      <c r="CF44" s="644">
        <f t="shared" si="51"/>
        <v>0</v>
      </c>
      <c r="CG44" s="644">
        <f t="shared" si="52"/>
        <v>0</v>
      </c>
      <c r="CH44" s="644">
        <f t="shared" si="123"/>
        <v>0</v>
      </c>
      <c r="CI44" s="644">
        <f t="shared" si="54"/>
        <v>7</v>
      </c>
      <c r="CJ44" s="644">
        <f t="shared" si="55"/>
        <v>0</v>
      </c>
      <c r="CK44" s="644">
        <f t="shared" si="56"/>
        <v>0</v>
      </c>
      <c r="CL44" s="644">
        <f t="shared" si="57"/>
        <v>0</v>
      </c>
      <c r="CM44" s="644">
        <f t="shared" si="58"/>
        <v>0</v>
      </c>
      <c r="CN44" s="644">
        <f t="shared" si="59"/>
        <v>0</v>
      </c>
      <c r="CO44" s="644">
        <f t="shared" si="60"/>
        <v>0</v>
      </c>
      <c r="CP44" s="644">
        <f t="shared" si="61"/>
        <v>0</v>
      </c>
      <c r="CQ44" s="644">
        <f t="shared" si="62"/>
        <v>0</v>
      </c>
      <c r="CR44" s="644">
        <f t="shared" si="63"/>
        <v>0</v>
      </c>
      <c r="CS44" s="644">
        <f t="shared" si="64"/>
        <v>0</v>
      </c>
      <c r="CT44" s="644">
        <f t="shared" si="65"/>
        <v>0</v>
      </c>
      <c r="CU44" s="644">
        <f t="shared" si="66"/>
        <v>0</v>
      </c>
      <c r="CV44" s="644">
        <f t="shared" si="67"/>
        <v>0</v>
      </c>
      <c r="CW44" s="644">
        <f t="shared" si="68"/>
        <v>0</v>
      </c>
      <c r="CX44" s="644">
        <f t="shared" si="69"/>
        <v>0</v>
      </c>
      <c r="CY44" s="644">
        <f t="shared" si="70"/>
        <v>0</v>
      </c>
      <c r="CZ44" s="624" t="s">
        <v>787</v>
      </c>
      <c r="DA44" s="257"/>
    </row>
    <row r="45" spans="1:105">
      <c r="A45" s="249" t="s">
        <v>142</v>
      </c>
      <c r="B45" s="187"/>
      <c r="C45" s="644"/>
      <c r="D45" s="644">
        <v>1</v>
      </c>
      <c r="E45" s="644">
        <v>1</v>
      </c>
      <c r="F45" s="251"/>
      <c r="G45" s="251"/>
      <c r="H45" s="251"/>
      <c r="I45" s="251"/>
      <c r="J45" s="644"/>
      <c r="K45" s="644"/>
      <c r="L45" s="644"/>
      <c r="M45" s="644"/>
      <c r="N45" s="644"/>
      <c r="O45" s="644"/>
      <c r="P45" s="644"/>
      <c r="Q45" s="644"/>
      <c r="R45" s="644">
        <v>1</v>
      </c>
      <c r="S45" s="644"/>
      <c r="T45" s="644">
        <v>1</v>
      </c>
      <c r="U45" s="644">
        <v>1</v>
      </c>
      <c r="V45" s="644"/>
      <c r="W45" s="644"/>
      <c r="X45" s="644"/>
      <c r="Y45" s="644"/>
      <c r="Z45" s="258">
        <v>1</v>
      </c>
      <c r="AA45" s="644"/>
      <c r="AB45" s="644">
        <v>1</v>
      </c>
      <c r="AC45" s="644">
        <v>1</v>
      </c>
      <c r="AD45" s="644">
        <v>1</v>
      </c>
      <c r="AE45" s="644"/>
      <c r="AF45" s="644"/>
      <c r="AG45" s="644"/>
      <c r="AH45" s="644">
        <v>1</v>
      </c>
      <c r="AI45" s="644"/>
      <c r="AJ45" s="644"/>
      <c r="AK45" s="644"/>
      <c r="AL45" s="167">
        <v>10</v>
      </c>
      <c r="AM45" s="185" t="s">
        <v>1104</v>
      </c>
      <c r="AN45" s="186">
        <v>41995</v>
      </c>
      <c r="AO45" s="187"/>
      <c r="AP45" s="187">
        <f t="shared" si="13"/>
        <v>0</v>
      </c>
      <c r="AQ45" s="187">
        <f t="shared" si="14"/>
        <v>0</v>
      </c>
      <c r="AR45" s="187">
        <f t="shared" si="15"/>
        <v>13</v>
      </c>
      <c r="AS45" s="187">
        <f t="shared" si="16"/>
        <v>13</v>
      </c>
      <c r="AT45" s="187">
        <f t="shared" si="17"/>
        <v>9</v>
      </c>
      <c r="AU45" s="187">
        <f t="shared" si="18"/>
        <v>9</v>
      </c>
      <c r="AV45" s="187">
        <f t="shared" si="19"/>
        <v>9</v>
      </c>
      <c r="AW45" s="187">
        <f t="shared" si="20"/>
        <v>0</v>
      </c>
      <c r="AX45" s="187">
        <f t="shared" si="21"/>
        <v>7</v>
      </c>
      <c r="AY45" s="187">
        <f t="shared" si="22"/>
        <v>7</v>
      </c>
      <c r="AZ45" s="187">
        <f t="shared" si="23"/>
        <v>7</v>
      </c>
      <c r="BA45" s="187">
        <f t="shared" si="24"/>
        <v>7</v>
      </c>
      <c r="BB45" s="187">
        <f t="shared" si="25"/>
        <v>0</v>
      </c>
      <c r="BC45" s="187">
        <f t="shared" si="26"/>
        <v>4</v>
      </c>
      <c r="BD45" s="187">
        <f t="shared" si="27"/>
        <v>0</v>
      </c>
      <c r="BE45" s="187">
        <f t="shared" si="28"/>
        <v>0</v>
      </c>
      <c r="BF45" s="187">
        <f t="shared" si="29"/>
        <v>0</v>
      </c>
      <c r="BG45" s="187">
        <f t="shared" si="30"/>
        <v>0</v>
      </c>
      <c r="BH45" s="187">
        <f t="shared" si="31"/>
        <v>0</v>
      </c>
      <c r="BI45" s="187">
        <f t="shared" si="32"/>
        <v>0</v>
      </c>
      <c r="BJ45" s="187">
        <f t="shared" si="33"/>
        <v>0</v>
      </c>
      <c r="BK45" s="187">
        <f t="shared" si="34"/>
        <v>0</v>
      </c>
      <c r="BL45" s="187">
        <f t="shared" si="35"/>
        <v>0</v>
      </c>
      <c r="BM45" s="187">
        <f t="shared" si="36"/>
        <v>0</v>
      </c>
      <c r="BN45" s="188">
        <f t="shared" si="37"/>
        <v>0</v>
      </c>
      <c r="BO45" s="187">
        <f t="shared" si="38"/>
        <v>0</v>
      </c>
      <c r="BP45" s="187">
        <f t="shared" ref="BP45:BQ45" si="139">IF(G45=1,1,0)</f>
        <v>0</v>
      </c>
      <c r="BQ45" s="187">
        <f t="shared" si="139"/>
        <v>0</v>
      </c>
      <c r="BR45" s="187">
        <f t="shared" ref="BR45:BT45" si="140">IF(K45=1,1,0)</f>
        <v>0</v>
      </c>
      <c r="BS45" s="187">
        <f t="shared" si="140"/>
        <v>0</v>
      </c>
      <c r="BT45" s="187">
        <f t="shared" si="140"/>
        <v>0</v>
      </c>
      <c r="BU45" s="187">
        <f t="shared" ref="BU45:BV45" si="141">IF(P45=1,1,0)</f>
        <v>0</v>
      </c>
      <c r="BV45" s="187">
        <f t="shared" si="141"/>
        <v>0</v>
      </c>
      <c r="BW45" s="187">
        <f t="shared" si="42"/>
        <v>0</v>
      </c>
      <c r="BX45" s="187">
        <f t="shared" si="43"/>
        <v>0</v>
      </c>
      <c r="BY45" s="187">
        <f t="shared" si="44"/>
        <v>0</v>
      </c>
      <c r="BZ45" s="187">
        <f t="shared" si="45"/>
        <v>0</v>
      </c>
      <c r="CA45" s="167">
        <f t="shared" si="46"/>
        <v>85</v>
      </c>
      <c r="CB45" s="167">
        <f t="shared" si="47"/>
        <v>100</v>
      </c>
      <c r="CC45" s="644">
        <f t="shared" si="48"/>
        <v>23</v>
      </c>
      <c r="CD45" s="644">
        <f t="shared" si="49"/>
        <v>19</v>
      </c>
      <c r="CE45" s="644">
        <f t="shared" si="50"/>
        <v>15</v>
      </c>
      <c r="CF45" s="644">
        <f t="shared" si="51"/>
        <v>15</v>
      </c>
      <c r="CG45" s="644">
        <f t="shared" si="52"/>
        <v>9</v>
      </c>
      <c r="CH45" s="644">
        <f t="shared" si="123"/>
        <v>7</v>
      </c>
      <c r="CI45" s="644">
        <f t="shared" si="54"/>
        <v>7</v>
      </c>
      <c r="CJ45" s="644">
        <f t="shared" si="55"/>
        <v>5</v>
      </c>
      <c r="CK45" s="644">
        <f t="shared" si="56"/>
        <v>0</v>
      </c>
      <c r="CL45" s="644">
        <f t="shared" si="57"/>
        <v>0</v>
      </c>
      <c r="CM45" s="644">
        <f t="shared" si="58"/>
        <v>0</v>
      </c>
      <c r="CN45" s="644">
        <f t="shared" si="59"/>
        <v>3</v>
      </c>
      <c r="CO45" s="644">
        <f t="shared" si="60"/>
        <v>0</v>
      </c>
      <c r="CP45" s="644">
        <f t="shared" si="61"/>
        <v>3</v>
      </c>
      <c r="CQ45" s="644">
        <f t="shared" si="62"/>
        <v>0</v>
      </c>
      <c r="CR45" s="644">
        <f t="shared" si="63"/>
        <v>0</v>
      </c>
      <c r="CS45" s="644">
        <f t="shared" si="64"/>
        <v>0</v>
      </c>
      <c r="CT45" s="644">
        <f t="shared" si="65"/>
        <v>0</v>
      </c>
      <c r="CU45" s="644">
        <f t="shared" si="66"/>
        <v>0</v>
      </c>
      <c r="CV45" s="644">
        <f t="shared" si="67"/>
        <v>0</v>
      </c>
      <c r="CW45" s="644">
        <f t="shared" si="68"/>
        <v>0</v>
      </c>
      <c r="CX45" s="644">
        <f t="shared" si="69"/>
        <v>0</v>
      </c>
      <c r="CY45" s="644">
        <f t="shared" si="70"/>
        <v>0</v>
      </c>
      <c r="CZ45" s="624" t="s">
        <v>740</v>
      </c>
      <c r="DA45" s="257"/>
    </row>
    <row r="46" spans="1:105">
      <c r="A46" s="249" t="s">
        <v>143</v>
      </c>
      <c r="B46" s="187"/>
      <c r="C46" s="644"/>
      <c r="D46" s="644">
        <v>1</v>
      </c>
      <c r="E46" s="644">
        <v>1</v>
      </c>
      <c r="F46" s="251"/>
      <c r="G46" s="251"/>
      <c r="H46" s="251"/>
      <c r="I46" s="251"/>
      <c r="J46" s="644"/>
      <c r="K46" s="644"/>
      <c r="L46" s="644"/>
      <c r="M46" s="644"/>
      <c r="N46" s="644"/>
      <c r="O46" s="644"/>
      <c r="P46" s="644"/>
      <c r="Q46" s="644"/>
      <c r="R46" s="644">
        <v>1</v>
      </c>
      <c r="S46" s="644">
        <v>1</v>
      </c>
      <c r="T46" s="644">
        <v>1</v>
      </c>
      <c r="U46" s="644">
        <v>1</v>
      </c>
      <c r="V46" s="644">
        <v>1</v>
      </c>
      <c r="W46" s="644"/>
      <c r="X46" s="644"/>
      <c r="Y46" s="644"/>
      <c r="Z46" s="644"/>
      <c r="AA46" s="644"/>
      <c r="AB46" s="644">
        <v>1</v>
      </c>
      <c r="AC46" s="644">
        <v>1</v>
      </c>
      <c r="AD46" s="644"/>
      <c r="AE46" s="644"/>
      <c r="AF46" s="644"/>
      <c r="AG46" s="644"/>
      <c r="AH46" s="644">
        <v>1</v>
      </c>
      <c r="AI46" s="644"/>
      <c r="AJ46" s="644"/>
      <c r="AK46" s="644"/>
      <c r="AL46" s="167">
        <v>10</v>
      </c>
      <c r="AM46" s="185" t="s">
        <v>1105</v>
      </c>
      <c r="AN46" s="186">
        <v>42010</v>
      </c>
      <c r="AO46" s="187"/>
      <c r="AP46" s="187">
        <f t="shared" si="13"/>
        <v>0</v>
      </c>
      <c r="AQ46" s="187">
        <f t="shared" si="14"/>
        <v>0</v>
      </c>
      <c r="AR46" s="187">
        <f t="shared" si="15"/>
        <v>13</v>
      </c>
      <c r="AS46" s="187">
        <f t="shared" si="16"/>
        <v>13</v>
      </c>
      <c r="AT46" s="187">
        <f t="shared" si="17"/>
        <v>9</v>
      </c>
      <c r="AU46" s="187">
        <f t="shared" si="18"/>
        <v>9</v>
      </c>
      <c r="AV46" s="187">
        <f t="shared" si="19"/>
        <v>9</v>
      </c>
      <c r="AW46" s="187">
        <f t="shared" si="20"/>
        <v>0</v>
      </c>
      <c r="AX46" s="187">
        <f t="shared" si="21"/>
        <v>0</v>
      </c>
      <c r="AY46" s="187">
        <f t="shared" si="22"/>
        <v>0</v>
      </c>
      <c r="AZ46" s="187">
        <f t="shared" si="23"/>
        <v>7</v>
      </c>
      <c r="BA46" s="187">
        <f t="shared" si="24"/>
        <v>7</v>
      </c>
      <c r="BB46" s="187">
        <f t="shared" si="25"/>
        <v>0</v>
      </c>
      <c r="BC46" s="187">
        <f t="shared" si="26"/>
        <v>4</v>
      </c>
      <c r="BD46" s="187">
        <f t="shared" si="27"/>
        <v>0</v>
      </c>
      <c r="BE46" s="187">
        <f t="shared" si="28"/>
        <v>0</v>
      </c>
      <c r="BF46" s="187">
        <f t="shared" si="29"/>
        <v>0</v>
      </c>
      <c r="BG46" s="187">
        <f t="shared" si="30"/>
        <v>0</v>
      </c>
      <c r="BH46" s="187">
        <f t="shared" si="31"/>
        <v>2</v>
      </c>
      <c r="BI46" s="187">
        <f t="shared" si="32"/>
        <v>1</v>
      </c>
      <c r="BJ46" s="187">
        <f t="shared" si="33"/>
        <v>0</v>
      </c>
      <c r="BK46" s="187">
        <f t="shared" si="34"/>
        <v>0</v>
      </c>
      <c r="BL46" s="187">
        <f t="shared" si="35"/>
        <v>0</v>
      </c>
      <c r="BM46" s="187">
        <f t="shared" si="36"/>
        <v>0</v>
      </c>
      <c r="BN46" s="188">
        <f t="shared" si="37"/>
        <v>0</v>
      </c>
      <c r="BO46" s="187">
        <f t="shared" si="38"/>
        <v>0</v>
      </c>
      <c r="BP46" s="187">
        <f t="shared" ref="BP46:BQ46" si="142">IF(G46=1,1,0)</f>
        <v>0</v>
      </c>
      <c r="BQ46" s="187">
        <f t="shared" si="142"/>
        <v>0</v>
      </c>
      <c r="BR46" s="187">
        <f t="shared" ref="BR46:BT46" si="143">IF(K46=1,1,0)</f>
        <v>0</v>
      </c>
      <c r="BS46" s="187">
        <f t="shared" si="143"/>
        <v>0</v>
      </c>
      <c r="BT46" s="187">
        <f t="shared" si="143"/>
        <v>0</v>
      </c>
      <c r="BU46" s="187">
        <f t="shared" ref="BU46:BV46" si="144">IF(P46=1,1,0)</f>
        <v>0</v>
      </c>
      <c r="BV46" s="187">
        <f t="shared" si="144"/>
        <v>0</v>
      </c>
      <c r="BW46" s="187">
        <f t="shared" si="42"/>
        <v>0</v>
      </c>
      <c r="BX46" s="187">
        <f t="shared" si="43"/>
        <v>0</v>
      </c>
      <c r="BY46" s="187">
        <f t="shared" si="44"/>
        <v>0</v>
      </c>
      <c r="BZ46" s="187">
        <f t="shared" si="45"/>
        <v>0</v>
      </c>
      <c r="CA46" s="167">
        <f t="shared" si="46"/>
        <v>74</v>
      </c>
      <c r="CB46" s="167">
        <f t="shared" si="47"/>
        <v>98</v>
      </c>
      <c r="CC46" s="644">
        <f t="shared" si="48"/>
        <v>23</v>
      </c>
      <c r="CD46" s="644">
        <f t="shared" si="49"/>
        <v>19</v>
      </c>
      <c r="CE46" s="644">
        <f t="shared" si="50"/>
        <v>15</v>
      </c>
      <c r="CF46" s="644">
        <f t="shared" si="51"/>
        <v>15</v>
      </c>
      <c r="CG46" s="644">
        <f t="shared" si="52"/>
        <v>9</v>
      </c>
      <c r="CH46" s="644">
        <f t="shared" si="123"/>
        <v>7</v>
      </c>
      <c r="CI46" s="644">
        <f t="shared" si="54"/>
        <v>7</v>
      </c>
      <c r="CJ46" s="644">
        <f t="shared" si="55"/>
        <v>0</v>
      </c>
      <c r="CK46" s="644">
        <f t="shared" si="56"/>
        <v>0</v>
      </c>
      <c r="CL46" s="644">
        <f t="shared" si="57"/>
        <v>0</v>
      </c>
      <c r="CM46" s="644">
        <f t="shared" si="58"/>
        <v>0</v>
      </c>
      <c r="CN46" s="644">
        <f t="shared" si="59"/>
        <v>3</v>
      </c>
      <c r="CO46" s="644">
        <f t="shared" si="60"/>
        <v>0</v>
      </c>
      <c r="CP46" s="644">
        <f t="shared" si="61"/>
        <v>0</v>
      </c>
      <c r="CQ46" s="644">
        <f t="shared" si="62"/>
        <v>2</v>
      </c>
      <c r="CR46" s="644">
        <f t="shared" si="63"/>
        <v>0</v>
      </c>
      <c r="CS46" s="644">
        <f t="shared" si="64"/>
        <v>0</v>
      </c>
      <c r="CT46" s="644">
        <f t="shared" si="65"/>
        <v>0</v>
      </c>
      <c r="CU46" s="644">
        <f t="shared" si="66"/>
        <v>0</v>
      </c>
      <c r="CV46" s="644">
        <f t="shared" si="67"/>
        <v>1</v>
      </c>
      <c r="CW46" s="644">
        <f t="shared" si="68"/>
        <v>0</v>
      </c>
      <c r="CX46" s="644">
        <f t="shared" si="69"/>
        <v>0</v>
      </c>
      <c r="CY46" s="644">
        <f t="shared" si="70"/>
        <v>0</v>
      </c>
      <c r="CZ46" s="624" t="s">
        <v>1106</v>
      </c>
      <c r="DA46" s="257"/>
    </row>
    <row r="47" spans="1:105">
      <c r="A47" s="249" t="s">
        <v>144</v>
      </c>
      <c r="B47" s="187"/>
      <c r="C47" s="644"/>
      <c r="D47" s="258">
        <v>1</v>
      </c>
      <c r="E47" s="644">
        <v>1</v>
      </c>
      <c r="F47" s="251">
        <v>1</v>
      </c>
      <c r="G47" s="251"/>
      <c r="H47" s="251"/>
      <c r="I47" s="251">
        <v>1</v>
      </c>
      <c r="J47" s="644"/>
      <c r="K47" s="644"/>
      <c r="L47" s="644"/>
      <c r="M47" s="644"/>
      <c r="N47" s="644"/>
      <c r="O47" s="644"/>
      <c r="P47" s="644"/>
      <c r="Q47" s="644"/>
      <c r="R47" s="644">
        <v>1</v>
      </c>
      <c r="S47" s="644">
        <v>1</v>
      </c>
      <c r="T47" s="644"/>
      <c r="U47" s="644">
        <v>1</v>
      </c>
      <c r="V47" s="644"/>
      <c r="W47" s="644"/>
      <c r="X47" s="644"/>
      <c r="Y47" s="644"/>
      <c r="Z47" s="644"/>
      <c r="AA47" s="644"/>
      <c r="AB47" s="644">
        <v>1</v>
      </c>
      <c r="AC47" s="644"/>
      <c r="AD47" s="644"/>
      <c r="AE47" s="644"/>
      <c r="AF47" s="644"/>
      <c r="AG47" s="644"/>
      <c r="AH47" s="644">
        <v>1</v>
      </c>
      <c r="AI47" s="644"/>
      <c r="AJ47" s="644">
        <v>1</v>
      </c>
      <c r="AK47" s="644"/>
      <c r="AL47" s="167">
        <v>10</v>
      </c>
      <c r="AM47" s="185" t="s">
        <v>1107</v>
      </c>
      <c r="AN47" s="186">
        <v>41996</v>
      </c>
      <c r="AO47" s="187"/>
      <c r="AP47" s="187">
        <f t="shared" si="13"/>
        <v>13</v>
      </c>
      <c r="AQ47" s="187">
        <f t="shared" si="14"/>
        <v>13</v>
      </c>
      <c r="AR47" s="187">
        <f t="shared" si="15"/>
        <v>13</v>
      </c>
      <c r="AS47" s="187">
        <f t="shared" si="16"/>
        <v>13</v>
      </c>
      <c r="AT47" s="187">
        <f t="shared" si="17"/>
        <v>9</v>
      </c>
      <c r="AU47" s="187">
        <f t="shared" si="18"/>
        <v>9</v>
      </c>
      <c r="AV47" s="187">
        <f t="shared" si="19"/>
        <v>0</v>
      </c>
      <c r="AW47" s="187">
        <f t="shared" si="20"/>
        <v>7</v>
      </c>
      <c r="AX47" s="187">
        <f t="shared" si="21"/>
        <v>0</v>
      </c>
      <c r="AY47" s="187">
        <f t="shared" si="22"/>
        <v>0</v>
      </c>
      <c r="AZ47" s="187">
        <f t="shared" si="23"/>
        <v>7</v>
      </c>
      <c r="BA47" s="187">
        <f t="shared" si="24"/>
        <v>7</v>
      </c>
      <c r="BB47" s="187">
        <f t="shared" si="25"/>
        <v>0</v>
      </c>
      <c r="BC47" s="187">
        <f t="shared" si="26"/>
        <v>0</v>
      </c>
      <c r="BD47" s="187">
        <f t="shared" si="27"/>
        <v>0</v>
      </c>
      <c r="BE47" s="187">
        <f t="shared" si="28"/>
        <v>0</v>
      </c>
      <c r="BF47" s="187">
        <f t="shared" si="29"/>
        <v>0</v>
      </c>
      <c r="BG47" s="187">
        <f t="shared" si="30"/>
        <v>0</v>
      </c>
      <c r="BH47" s="187">
        <f t="shared" si="31"/>
        <v>2</v>
      </c>
      <c r="BI47" s="187">
        <f t="shared" si="32"/>
        <v>0</v>
      </c>
      <c r="BJ47" s="187">
        <f t="shared" si="33"/>
        <v>0</v>
      </c>
      <c r="BK47" s="187">
        <f t="shared" si="34"/>
        <v>0</v>
      </c>
      <c r="BL47" s="187">
        <f t="shared" si="35"/>
        <v>0</v>
      </c>
      <c r="BM47" s="187">
        <f t="shared" si="36"/>
        <v>0</v>
      </c>
      <c r="BN47" s="188">
        <f t="shared" si="37"/>
        <v>0</v>
      </c>
      <c r="BO47" s="187">
        <f t="shared" si="38"/>
        <v>0</v>
      </c>
      <c r="BP47" s="187">
        <f t="shared" ref="BP47:BQ47" si="145">IF(G47=1,1,0)</f>
        <v>0</v>
      </c>
      <c r="BQ47" s="187">
        <f t="shared" si="145"/>
        <v>0</v>
      </c>
      <c r="BR47" s="187">
        <f t="shared" ref="BR47:BT47" si="146">IF(K47=1,1,0)</f>
        <v>0</v>
      </c>
      <c r="BS47" s="187">
        <f t="shared" si="146"/>
        <v>0</v>
      </c>
      <c r="BT47" s="187">
        <f t="shared" si="146"/>
        <v>0</v>
      </c>
      <c r="BU47" s="187">
        <f t="shared" ref="BU47:BV47" si="147">IF(P47=1,1,0)</f>
        <v>0</v>
      </c>
      <c r="BV47" s="187">
        <f t="shared" si="147"/>
        <v>0</v>
      </c>
      <c r="BW47" s="187">
        <f t="shared" si="42"/>
        <v>0</v>
      </c>
      <c r="BX47" s="187">
        <f t="shared" si="43"/>
        <v>0</v>
      </c>
      <c r="BY47" s="187">
        <f t="shared" si="44"/>
        <v>0</v>
      </c>
      <c r="BZ47" s="187">
        <f t="shared" si="45"/>
        <v>0</v>
      </c>
      <c r="CA47" s="167">
        <f t="shared" si="46"/>
        <v>93</v>
      </c>
      <c r="CB47" s="167">
        <f t="shared" si="47"/>
        <v>94</v>
      </c>
      <c r="CC47" s="644">
        <f t="shared" si="48"/>
        <v>23</v>
      </c>
      <c r="CD47" s="644">
        <f t="shared" si="49"/>
        <v>19</v>
      </c>
      <c r="CE47" s="644">
        <f t="shared" si="50"/>
        <v>15</v>
      </c>
      <c r="CF47" s="644">
        <f t="shared" si="51"/>
        <v>15</v>
      </c>
      <c r="CG47" s="644">
        <f t="shared" si="52"/>
        <v>9</v>
      </c>
      <c r="CH47" s="644">
        <f t="shared" si="123"/>
        <v>0</v>
      </c>
      <c r="CI47" s="644">
        <f t="shared" si="54"/>
        <v>0</v>
      </c>
      <c r="CJ47" s="644">
        <f t="shared" si="55"/>
        <v>0</v>
      </c>
      <c r="CK47" s="644">
        <f t="shared" si="56"/>
        <v>5</v>
      </c>
      <c r="CL47" s="644">
        <f t="shared" si="57"/>
        <v>5</v>
      </c>
      <c r="CM47" s="644">
        <f t="shared" si="58"/>
        <v>0</v>
      </c>
      <c r="CN47" s="644">
        <f t="shared" si="59"/>
        <v>0</v>
      </c>
      <c r="CO47" s="644">
        <f t="shared" si="60"/>
        <v>3</v>
      </c>
      <c r="CP47" s="644">
        <f t="shared" si="61"/>
        <v>0</v>
      </c>
      <c r="CQ47" s="644">
        <f t="shared" si="62"/>
        <v>2</v>
      </c>
      <c r="CR47" s="644">
        <f t="shared" si="63"/>
        <v>0</v>
      </c>
      <c r="CS47" s="644">
        <f t="shared" si="64"/>
        <v>0</v>
      </c>
      <c r="CT47" s="644">
        <f t="shared" si="65"/>
        <v>0</v>
      </c>
      <c r="CU47" s="644">
        <f t="shared" si="66"/>
        <v>0</v>
      </c>
      <c r="CV47" s="644">
        <f t="shared" si="67"/>
        <v>0</v>
      </c>
      <c r="CW47" s="644">
        <f t="shared" si="68"/>
        <v>0</v>
      </c>
      <c r="CX47" s="644">
        <f t="shared" si="69"/>
        <v>0</v>
      </c>
      <c r="CY47" s="644">
        <f t="shared" si="70"/>
        <v>0</v>
      </c>
      <c r="CZ47" s="624" t="s">
        <v>740</v>
      </c>
      <c r="DA47" s="257"/>
    </row>
    <row r="48" spans="1:105">
      <c r="A48" s="249" t="s">
        <v>146</v>
      </c>
      <c r="B48" s="187"/>
      <c r="C48" s="644"/>
      <c r="D48" s="644">
        <v>1</v>
      </c>
      <c r="E48" s="644">
        <v>1</v>
      </c>
      <c r="F48" s="251">
        <v>1</v>
      </c>
      <c r="G48" s="251"/>
      <c r="H48" s="251"/>
      <c r="I48" s="251">
        <v>1</v>
      </c>
      <c r="J48" s="644"/>
      <c r="K48" s="644"/>
      <c r="L48" s="644"/>
      <c r="M48" s="644"/>
      <c r="N48" s="644"/>
      <c r="O48" s="644"/>
      <c r="P48" s="644"/>
      <c r="Q48" s="644"/>
      <c r="R48" s="644">
        <v>1</v>
      </c>
      <c r="S48" s="644">
        <v>1</v>
      </c>
      <c r="T48" s="644"/>
      <c r="U48" s="644">
        <v>1</v>
      </c>
      <c r="V48" s="644"/>
      <c r="W48" s="644"/>
      <c r="X48" s="644"/>
      <c r="Y48" s="644"/>
      <c r="Z48" s="644"/>
      <c r="AA48" s="644"/>
      <c r="AB48" s="644">
        <v>1</v>
      </c>
      <c r="AC48" s="251"/>
      <c r="AD48" s="251">
        <v>1</v>
      </c>
      <c r="AE48" s="644"/>
      <c r="AF48" s="644"/>
      <c r="AG48" s="644"/>
      <c r="AH48" s="644">
        <v>1</v>
      </c>
      <c r="AI48" s="644"/>
      <c r="AJ48" s="644"/>
      <c r="AK48" s="644"/>
      <c r="AL48" s="167">
        <v>10</v>
      </c>
      <c r="AM48" s="185" t="s">
        <v>1108</v>
      </c>
      <c r="AN48" s="186">
        <v>42009</v>
      </c>
      <c r="AO48" s="187"/>
      <c r="AP48" s="187">
        <v>13</v>
      </c>
      <c r="AQ48" s="187">
        <v>13</v>
      </c>
      <c r="AR48" s="187">
        <v>13</v>
      </c>
      <c r="AS48" s="187">
        <v>13</v>
      </c>
      <c r="AT48" s="187">
        <v>9</v>
      </c>
      <c r="AU48" s="187">
        <v>9</v>
      </c>
      <c r="AV48" s="187">
        <v>9</v>
      </c>
      <c r="AW48" s="187">
        <v>0</v>
      </c>
      <c r="AX48" s="187">
        <v>0</v>
      </c>
      <c r="AY48" s="187">
        <v>0</v>
      </c>
      <c r="AZ48" s="187">
        <v>0</v>
      </c>
      <c r="BA48" s="187">
        <v>7</v>
      </c>
      <c r="BB48" s="187">
        <v>4</v>
      </c>
      <c r="BC48" s="187">
        <v>0</v>
      </c>
      <c r="BD48" s="187">
        <v>0</v>
      </c>
      <c r="BE48" s="187">
        <v>0</v>
      </c>
      <c r="BF48" s="187">
        <v>0</v>
      </c>
      <c r="BG48" s="187">
        <v>0</v>
      </c>
      <c r="BH48" s="187">
        <v>0</v>
      </c>
      <c r="BI48" s="187">
        <v>0</v>
      </c>
      <c r="BJ48" s="187">
        <v>0</v>
      </c>
      <c r="BK48" s="187">
        <v>0</v>
      </c>
      <c r="BL48" s="187">
        <v>1</v>
      </c>
      <c r="BM48" s="187">
        <v>0</v>
      </c>
      <c r="BN48" s="188">
        <v>0</v>
      </c>
      <c r="BO48" s="187">
        <v>0</v>
      </c>
      <c r="BP48" s="187">
        <v>0</v>
      </c>
      <c r="BQ48" s="187">
        <v>0</v>
      </c>
      <c r="BR48" s="187">
        <v>0</v>
      </c>
      <c r="BS48" s="187">
        <v>0</v>
      </c>
      <c r="BT48" s="187">
        <v>0</v>
      </c>
      <c r="BU48" s="187">
        <v>0</v>
      </c>
      <c r="BV48" s="187">
        <v>0</v>
      </c>
      <c r="BW48" s="187">
        <v>0</v>
      </c>
      <c r="BX48" s="187">
        <v>0</v>
      </c>
      <c r="BY48" s="187">
        <v>0</v>
      </c>
      <c r="BZ48" s="187">
        <v>0</v>
      </c>
      <c r="CA48" s="167">
        <v>91</v>
      </c>
      <c r="CB48" s="167">
        <f t="shared" si="47"/>
        <v>96</v>
      </c>
      <c r="CC48" s="644">
        <f t="shared" si="48"/>
        <v>23</v>
      </c>
      <c r="CD48" s="644">
        <f t="shared" si="49"/>
        <v>19</v>
      </c>
      <c r="CE48" s="644">
        <f t="shared" si="50"/>
        <v>15</v>
      </c>
      <c r="CF48" s="644">
        <f t="shared" si="51"/>
        <v>15</v>
      </c>
      <c r="CG48" s="644">
        <f t="shared" si="52"/>
        <v>9</v>
      </c>
      <c r="CH48" s="644">
        <f t="shared" si="123"/>
        <v>0</v>
      </c>
      <c r="CI48" s="644">
        <f t="shared" si="54"/>
        <v>0</v>
      </c>
      <c r="CJ48" s="644">
        <f t="shared" si="55"/>
        <v>5</v>
      </c>
      <c r="CK48" s="644">
        <f t="shared" si="56"/>
        <v>5</v>
      </c>
      <c r="CL48" s="644">
        <f t="shared" si="57"/>
        <v>5</v>
      </c>
      <c r="CM48" s="644">
        <f t="shared" si="58"/>
        <v>0</v>
      </c>
      <c r="CN48" s="644">
        <f t="shared" si="59"/>
        <v>0</v>
      </c>
      <c r="CO48" s="644">
        <f t="shared" si="60"/>
        <v>0</v>
      </c>
      <c r="CP48" s="644">
        <f t="shared" si="61"/>
        <v>0</v>
      </c>
      <c r="CQ48" s="644">
        <f t="shared" si="62"/>
        <v>2</v>
      </c>
      <c r="CR48" s="644">
        <f t="shared" si="63"/>
        <v>0</v>
      </c>
      <c r="CS48" s="644">
        <f t="shared" si="64"/>
        <v>0</v>
      </c>
      <c r="CT48" s="644">
        <f t="shared" si="65"/>
        <v>0</v>
      </c>
      <c r="CU48" s="644">
        <f t="shared" si="66"/>
        <v>0</v>
      </c>
      <c r="CV48" s="644">
        <f t="shared" si="67"/>
        <v>0</v>
      </c>
      <c r="CW48" s="644">
        <f t="shared" si="68"/>
        <v>0</v>
      </c>
      <c r="CX48" s="644">
        <f t="shared" si="69"/>
        <v>0</v>
      </c>
      <c r="CY48" s="644">
        <f t="shared" si="70"/>
        <v>0</v>
      </c>
      <c r="CZ48" s="624" t="s">
        <v>756</v>
      </c>
      <c r="DA48" s="257"/>
    </row>
    <row r="49" spans="1:105">
      <c r="A49" s="249" t="s">
        <v>1109</v>
      </c>
      <c r="B49" s="187"/>
      <c r="C49" s="644"/>
      <c r="D49" s="644">
        <v>1</v>
      </c>
      <c r="E49" s="644">
        <v>1</v>
      </c>
      <c r="F49" s="251">
        <v>1</v>
      </c>
      <c r="G49" s="251"/>
      <c r="H49" s="251"/>
      <c r="I49" s="251">
        <v>1</v>
      </c>
      <c r="J49" s="644"/>
      <c r="K49" s="644"/>
      <c r="L49" s="644"/>
      <c r="M49" s="644"/>
      <c r="N49" s="644"/>
      <c r="O49" s="644"/>
      <c r="P49" s="644"/>
      <c r="Q49" s="644"/>
      <c r="R49" s="644">
        <v>1</v>
      </c>
      <c r="S49" s="644">
        <v>1</v>
      </c>
      <c r="T49" s="644"/>
      <c r="U49" s="644">
        <v>1</v>
      </c>
      <c r="V49" s="644"/>
      <c r="W49" s="644"/>
      <c r="X49" s="644"/>
      <c r="Y49" s="644"/>
      <c r="Z49" s="258">
        <v>1</v>
      </c>
      <c r="AA49" s="644"/>
      <c r="AB49" s="644"/>
      <c r="AC49" s="644"/>
      <c r="AD49" s="644">
        <v>1</v>
      </c>
      <c r="AE49" s="644"/>
      <c r="AF49" s="644"/>
      <c r="AG49" s="644"/>
      <c r="AH49" s="644">
        <v>1</v>
      </c>
      <c r="AI49" s="644"/>
      <c r="AJ49" s="644"/>
      <c r="AK49" s="644"/>
      <c r="AL49" s="167">
        <v>10</v>
      </c>
      <c r="AM49" s="185" t="s">
        <v>1110</v>
      </c>
      <c r="AN49" s="186">
        <v>41997</v>
      </c>
      <c r="AO49" s="187"/>
      <c r="AP49" s="187">
        <f t="shared" ref="AP49:AP222" si="148">IF(F49=1,13,0)</f>
        <v>13</v>
      </c>
      <c r="AQ49" s="187">
        <f t="shared" ref="AQ49:AQ222" si="149">IF(I49=1,13,0)</f>
        <v>13</v>
      </c>
      <c r="AR49" s="187">
        <f t="shared" ref="AR49:AR222" si="150">IF(R49=1,13,0)</f>
        <v>13</v>
      </c>
      <c r="AS49" s="187">
        <f t="shared" ref="AS49:AS222" si="151">IF(U49=1,13,0)</f>
        <v>13</v>
      </c>
      <c r="AT49" s="187">
        <f t="shared" ref="AT49:AT222" si="152">IF(AB49=1, 9,0)</f>
        <v>0</v>
      </c>
      <c r="AU49" s="187">
        <f t="shared" ref="AU49:AU222" si="153">IF(D49=1, 9,0)</f>
        <v>9</v>
      </c>
      <c r="AV49" s="187">
        <f t="shared" ref="AV49:AV222" si="154">IF(AC49=1, 9,0)</f>
        <v>0</v>
      </c>
      <c r="AW49" s="187">
        <f t="shared" ref="AW49:AW222" si="155">IF(AJ49=1,7,0)</f>
        <v>0</v>
      </c>
      <c r="AX49" s="187">
        <f t="shared" ref="AX49:AX222" si="156">IF(AD49=1,7,0)</f>
        <v>7</v>
      </c>
      <c r="AY49" s="187">
        <f t="shared" ref="AY49:AY222" si="157">IF(Z49=1,7,0)</f>
        <v>7</v>
      </c>
      <c r="AZ49" s="187">
        <f t="shared" ref="AZ49:AZ222" si="158">IF(AH49=1,7,0)</f>
        <v>7</v>
      </c>
      <c r="BA49" s="187">
        <f t="shared" ref="BA49:BA222" si="159">IF(E49=1,7,0)</f>
        <v>7</v>
      </c>
      <c r="BB49" s="187">
        <f t="shared" ref="BB49:BB222" si="160">IF(AK49=1,4,0)</f>
        <v>0</v>
      </c>
      <c r="BC49" s="187">
        <f t="shared" ref="BC49:BC222" si="161">IF(T49=1,4,0)</f>
        <v>0</v>
      </c>
      <c r="BD49" s="187">
        <f t="shared" ref="BD49:BD222" si="162">IF(X49=1,4,0)</f>
        <v>0</v>
      </c>
      <c r="BE49" s="187">
        <f t="shared" ref="BE49:BE222" si="163">IF(AF49=1,3,0)</f>
        <v>0</v>
      </c>
      <c r="BF49" s="187">
        <f t="shared" ref="BF49:BF222" si="164">IF(W49=1,3,0)</f>
        <v>0</v>
      </c>
      <c r="BG49" s="187">
        <f t="shared" ref="BG49:BG222" si="165">IF(AI49=1,2,0)</f>
        <v>0</v>
      </c>
      <c r="BH49" s="187">
        <f t="shared" ref="BH49:BH222" si="166">IF(S49=1,2,0)</f>
        <v>2</v>
      </c>
      <c r="BI49" s="187">
        <f t="shared" ref="BI49:BI222" si="167">IF(V49=1,1,0)</f>
        <v>0</v>
      </c>
      <c r="BJ49" s="187">
        <f t="shared" ref="BJ49:BJ222" si="168">IF(AG49=1,1,0)</f>
        <v>0</v>
      </c>
      <c r="BK49" s="187">
        <f t="shared" ref="BK49:BK222" si="169">IF(O49=1,1,0)</f>
        <v>0</v>
      </c>
      <c r="BL49" s="187">
        <f t="shared" ref="BL49:BL222" si="170">IF(J49=1,1,0)</f>
        <v>0</v>
      </c>
      <c r="BM49" s="187">
        <f t="shared" ref="BM49:BM222" si="171">IF(N49=1,1,0)</f>
        <v>0</v>
      </c>
      <c r="BN49" s="188">
        <f t="shared" ref="BN49:BN222" si="172">10-AL49</f>
        <v>0</v>
      </c>
      <c r="BO49" s="187">
        <f t="shared" ref="BO49:BO222" si="173">IF(C49=1,1,0)</f>
        <v>0</v>
      </c>
      <c r="BP49" s="187">
        <f t="shared" ref="BP49:BQ49" si="174">IF(G49=1,1,0)</f>
        <v>0</v>
      </c>
      <c r="BQ49" s="187">
        <f t="shared" si="174"/>
        <v>0</v>
      </c>
      <c r="BR49" s="187">
        <f t="shared" ref="BR49:BT49" si="175">IF(K49=1,1,0)</f>
        <v>0</v>
      </c>
      <c r="BS49" s="187">
        <f t="shared" si="175"/>
        <v>0</v>
      </c>
      <c r="BT49" s="187">
        <f t="shared" si="175"/>
        <v>0</v>
      </c>
      <c r="BU49" s="187">
        <f t="shared" ref="BU49:BV49" si="176">IF(P49=1,1,0)</f>
        <v>0</v>
      </c>
      <c r="BV49" s="187">
        <f t="shared" si="176"/>
        <v>0</v>
      </c>
      <c r="BW49" s="187">
        <f t="shared" ref="BW49:BW222" si="177">IF(AA49=1,1,0)</f>
        <v>0</v>
      </c>
      <c r="BX49" s="187">
        <f t="shared" ref="BX49:BX222" si="178">IF(AE49=1,1,0)</f>
        <v>0</v>
      </c>
      <c r="BY49" s="187">
        <f t="shared" ref="BY49:BY222" si="179">SUM(BN49:BX49)</f>
        <v>0</v>
      </c>
      <c r="BZ49" s="187">
        <f t="shared" ref="BZ49:BZ222" si="180">(BY49*BY49)*-1</f>
        <v>0</v>
      </c>
      <c r="CA49" s="167">
        <f t="shared" ref="CA49:CA222" si="181">SUM(AP49:BM49)+BZ49</f>
        <v>91</v>
      </c>
      <c r="CB49" s="167">
        <f t="shared" si="47"/>
        <v>94</v>
      </c>
      <c r="CC49" s="644">
        <f t="shared" si="48"/>
        <v>23</v>
      </c>
      <c r="CD49" s="644">
        <f t="shared" si="49"/>
        <v>19</v>
      </c>
      <c r="CE49" s="644">
        <f t="shared" si="50"/>
        <v>15</v>
      </c>
      <c r="CF49" s="644">
        <f t="shared" si="51"/>
        <v>15</v>
      </c>
      <c r="CG49" s="644">
        <f t="shared" si="52"/>
        <v>0</v>
      </c>
      <c r="CH49" s="644">
        <f t="shared" si="123"/>
        <v>7</v>
      </c>
      <c r="CI49" s="644">
        <f t="shared" si="54"/>
        <v>0</v>
      </c>
      <c r="CJ49" s="644">
        <f t="shared" si="55"/>
        <v>5</v>
      </c>
      <c r="CK49" s="644">
        <f t="shared" si="56"/>
        <v>5</v>
      </c>
      <c r="CL49" s="644">
        <f t="shared" si="57"/>
        <v>5</v>
      </c>
      <c r="CM49" s="644">
        <f t="shared" si="58"/>
        <v>0</v>
      </c>
      <c r="CN49" s="644">
        <f t="shared" si="59"/>
        <v>0</v>
      </c>
      <c r="CO49" s="644">
        <f t="shared" si="60"/>
        <v>0</v>
      </c>
      <c r="CP49" s="644">
        <f t="shared" si="61"/>
        <v>3</v>
      </c>
      <c r="CQ49" s="644">
        <f t="shared" si="62"/>
        <v>2</v>
      </c>
      <c r="CR49" s="644">
        <f t="shared" si="63"/>
        <v>0</v>
      </c>
      <c r="CS49" s="644">
        <f t="shared" si="64"/>
        <v>0</v>
      </c>
      <c r="CT49" s="644">
        <f t="shared" si="65"/>
        <v>0</v>
      </c>
      <c r="CU49" s="644">
        <f t="shared" si="66"/>
        <v>0</v>
      </c>
      <c r="CV49" s="644">
        <f t="shared" si="67"/>
        <v>0</v>
      </c>
      <c r="CW49" s="644">
        <f t="shared" si="68"/>
        <v>0</v>
      </c>
      <c r="CX49" s="644">
        <f t="shared" si="69"/>
        <v>0</v>
      </c>
      <c r="CY49" s="644">
        <f t="shared" si="70"/>
        <v>0</v>
      </c>
      <c r="CZ49" s="624" t="s">
        <v>752</v>
      </c>
      <c r="DA49" s="257"/>
    </row>
    <row r="50" spans="1:105">
      <c r="A50" s="249" t="s">
        <v>149</v>
      </c>
      <c r="B50" s="187"/>
      <c r="C50" s="644"/>
      <c r="D50" s="644"/>
      <c r="E50" s="644">
        <v>1</v>
      </c>
      <c r="F50" s="251">
        <v>1</v>
      </c>
      <c r="G50" s="251"/>
      <c r="H50" s="251"/>
      <c r="I50" s="251">
        <v>1</v>
      </c>
      <c r="J50" s="644"/>
      <c r="K50" s="644"/>
      <c r="L50" s="644"/>
      <c r="M50" s="644"/>
      <c r="N50" s="644"/>
      <c r="O50" s="644"/>
      <c r="P50" s="644"/>
      <c r="Q50" s="644"/>
      <c r="R50" s="644">
        <v>1</v>
      </c>
      <c r="S50" s="644"/>
      <c r="T50" s="644">
        <v>1</v>
      </c>
      <c r="U50" s="644">
        <v>1</v>
      </c>
      <c r="V50" s="644"/>
      <c r="W50" s="644"/>
      <c r="X50" s="644"/>
      <c r="Y50" s="644"/>
      <c r="Z50" s="644"/>
      <c r="AA50" s="644"/>
      <c r="AB50" s="258">
        <v>1</v>
      </c>
      <c r="AC50" s="644">
        <v>1</v>
      </c>
      <c r="AD50" s="644"/>
      <c r="AE50" s="644"/>
      <c r="AF50" s="644"/>
      <c r="AG50" s="644"/>
      <c r="AH50" s="644">
        <v>1</v>
      </c>
      <c r="AI50" s="644"/>
      <c r="AJ50" s="644">
        <v>1</v>
      </c>
      <c r="AK50" s="644"/>
      <c r="AL50" s="167">
        <v>10</v>
      </c>
      <c r="AM50" s="185" t="s">
        <v>1103</v>
      </c>
      <c r="AN50" s="186">
        <v>42008</v>
      </c>
      <c r="AO50" s="187"/>
      <c r="AP50" s="187">
        <f t="shared" si="148"/>
        <v>13</v>
      </c>
      <c r="AQ50" s="187">
        <f t="shared" si="149"/>
        <v>13</v>
      </c>
      <c r="AR50" s="187">
        <f t="shared" si="150"/>
        <v>13</v>
      </c>
      <c r="AS50" s="187">
        <f t="shared" si="151"/>
        <v>13</v>
      </c>
      <c r="AT50" s="187">
        <f t="shared" si="152"/>
        <v>9</v>
      </c>
      <c r="AU50" s="187">
        <f t="shared" si="153"/>
        <v>0</v>
      </c>
      <c r="AV50" s="187">
        <f t="shared" si="154"/>
        <v>9</v>
      </c>
      <c r="AW50" s="187">
        <f t="shared" si="155"/>
        <v>7</v>
      </c>
      <c r="AX50" s="187">
        <f t="shared" si="156"/>
        <v>0</v>
      </c>
      <c r="AY50" s="187">
        <f t="shared" si="157"/>
        <v>0</v>
      </c>
      <c r="AZ50" s="187">
        <f t="shared" si="158"/>
        <v>7</v>
      </c>
      <c r="BA50" s="187">
        <f t="shared" si="159"/>
        <v>7</v>
      </c>
      <c r="BB50" s="187">
        <f t="shared" si="160"/>
        <v>0</v>
      </c>
      <c r="BC50" s="187">
        <f t="shared" si="161"/>
        <v>4</v>
      </c>
      <c r="BD50" s="187">
        <f t="shared" si="162"/>
        <v>0</v>
      </c>
      <c r="BE50" s="187">
        <f t="shared" si="163"/>
        <v>0</v>
      </c>
      <c r="BF50" s="187">
        <f t="shared" si="164"/>
        <v>0</v>
      </c>
      <c r="BG50" s="187">
        <f t="shared" si="165"/>
        <v>0</v>
      </c>
      <c r="BH50" s="187">
        <f t="shared" si="166"/>
        <v>0</v>
      </c>
      <c r="BI50" s="187">
        <f t="shared" si="167"/>
        <v>0</v>
      </c>
      <c r="BJ50" s="187">
        <f t="shared" si="168"/>
        <v>0</v>
      </c>
      <c r="BK50" s="187">
        <f t="shared" si="169"/>
        <v>0</v>
      </c>
      <c r="BL50" s="187">
        <f t="shared" si="170"/>
        <v>0</v>
      </c>
      <c r="BM50" s="187">
        <f t="shared" si="171"/>
        <v>0</v>
      </c>
      <c r="BN50" s="188">
        <f t="shared" si="172"/>
        <v>0</v>
      </c>
      <c r="BO50" s="187">
        <f t="shared" si="173"/>
        <v>0</v>
      </c>
      <c r="BP50" s="187">
        <f t="shared" ref="BP50:BQ50" si="182">IF(G50=1,1,0)</f>
        <v>0</v>
      </c>
      <c r="BQ50" s="187">
        <f t="shared" si="182"/>
        <v>0</v>
      </c>
      <c r="BR50" s="187">
        <f t="shared" ref="BR50:BT50" si="183">IF(K50=1,1,0)</f>
        <v>0</v>
      </c>
      <c r="BS50" s="187">
        <f t="shared" si="183"/>
        <v>0</v>
      </c>
      <c r="BT50" s="187">
        <f t="shared" si="183"/>
        <v>0</v>
      </c>
      <c r="BU50" s="187">
        <f t="shared" ref="BU50:BV50" si="184">IF(P50=1,1,0)</f>
        <v>0</v>
      </c>
      <c r="BV50" s="187">
        <f t="shared" si="184"/>
        <v>0</v>
      </c>
      <c r="BW50" s="187">
        <f t="shared" si="177"/>
        <v>0</v>
      </c>
      <c r="BX50" s="187">
        <f t="shared" si="178"/>
        <v>0</v>
      </c>
      <c r="BY50" s="187">
        <f t="shared" si="179"/>
        <v>0</v>
      </c>
      <c r="BZ50" s="187">
        <f t="shared" si="180"/>
        <v>0</v>
      </c>
      <c r="CA50" s="167">
        <f t="shared" si="181"/>
        <v>95</v>
      </c>
      <c r="CB50" s="167">
        <f t="shared" si="47"/>
        <v>100</v>
      </c>
      <c r="CC50" s="644">
        <f t="shared" si="48"/>
        <v>23</v>
      </c>
      <c r="CD50" s="644">
        <f t="shared" si="49"/>
        <v>19</v>
      </c>
      <c r="CE50" s="644">
        <f t="shared" si="50"/>
        <v>15</v>
      </c>
      <c r="CF50" s="644">
        <f t="shared" si="51"/>
        <v>15</v>
      </c>
      <c r="CG50" s="644">
        <f t="shared" si="52"/>
        <v>9</v>
      </c>
      <c r="CH50" s="644">
        <f t="shared" si="123"/>
        <v>7</v>
      </c>
      <c r="CI50" s="644">
        <f t="shared" si="54"/>
        <v>7</v>
      </c>
      <c r="CJ50" s="644">
        <f t="shared" si="55"/>
        <v>0</v>
      </c>
      <c r="CK50" s="644">
        <f t="shared" si="56"/>
        <v>5</v>
      </c>
      <c r="CL50" s="644">
        <f t="shared" si="57"/>
        <v>5</v>
      </c>
      <c r="CM50" s="644">
        <f t="shared" si="58"/>
        <v>0</v>
      </c>
      <c r="CN50" s="644">
        <f t="shared" si="59"/>
        <v>3</v>
      </c>
      <c r="CO50" s="644">
        <f t="shared" si="60"/>
        <v>3</v>
      </c>
      <c r="CP50" s="644">
        <f t="shared" si="61"/>
        <v>0</v>
      </c>
      <c r="CQ50" s="644">
        <f t="shared" si="62"/>
        <v>0</v>
      </c>
      <c r="CR50" s="644">
        <f t="shared" si="63"/>
        <v>0</v>
      </c>
      <c r="CS50" s="644">
        <f t="shared" si="64"/>
        <v>0</v>
      </c>
      <c r="CT50" s="644">
        <f t="shared" si="65"/>
        <v>0</v>
      </c>
      <c r="CU50" s="644">
        <f t="shared" si="66"/>
        <v>0</v>
      </c>
      <c r="CV50" s="644">
        <f t="shared" si="67"/>
        <v>0</v>
      </c>
      <c r="CW50" s="644">
        <f t="shared" si="68"/>
        <v>0</v>
      </c>
      <c r="CX50" s="644">
        <f t="shared" si="69"/>
        <v>0</v>
      </c>
      <c r="CY50" s="644">
        <f t="shared" si="70"/>
        <v>0</v>
      </c>
      <c r="CZ50" s="624" t="s">
        <v>787</v>
      </c>
      <c r="DA50" s="257"/>
    </row>
    <row r="51" spans="1:105">
      <c r="A51" s="249" t="s">
        <v>150</v>
      </c>
      <c r="B51" s="187"/>
      <c r="C51" s="644"/>
      <c r="D51" s="644"/>
      <c r="E51" s="258">
        <v>1</v>
      </c>
      <c r="F51" s="251"/>
      <c r="G51" s="251"/>
      <c r="H51" s="251"/>
      <c r="I51" s="251"/>
      <c r="J51" s="644"/>
      <c r="K51" s="644"/>
      <c r="L51" s="644"/>
      <c r="M51" s="644"/>
      <c r="N51" s="644"/>
      <c r="O51" s="644"/>
      <c r="P51" s="644"/>
      <c r="Q51" s="644"/>
      <c r="R51" s="644">
        <v>1</v>
      </c>
      <c r="S51" s="644"/>
      <c r="T51" s="644"/>
      <c r="U51" s="644">
        <v>1</v>
      </c>
      <c r="V51" s="644"/>
      <c r="W51" s="644">
        <v>1</v>
      </c>
      <c r="X51" s="644"/>
      <c r="Y51" s="644"/>
      <c r="Z51" s="258">
        <v>1</v>
      </c>
      <c r="AA51" s="644"/>
      <c r="AB51" s="644"/>
      <c r="AC51" s="644">
        <v>1</v>
      </c>
      <c r="AD51" s="258">
        <v>1</v>
      </c>
      <c r="AE51" s="644"/>
      <c r="AF51" s="644"/>
      <c r="AG51" s="644">
        <v>1</v>
      </c>
      <c r="AH51" s="644">
        <v>1</v>
      </c>
      <c r="AI51" s="644"/>
      <c r="AJ51" s="644">
        <v>1</v>
      </c>
      <c r="AK51" s="644"/>
      <c r="AL51" s="167">
        <v>10</v>
      </c>
      <c r="AM51" s="185" t="s">
        <v>1111</v>
      </c>
      <c r="AN51" s="186">
        <v>42009</v>
      </c>
      <c r="AO51" s="187"/>
      <c r="AP51" s="187">
        <f t="shared" si="148"/>
        <v>0</v>
      </c>
      <c r="AQ51" s="187">
        <f t="shared" si="149"/>
        <v>0</v>
      </c>
      <c r="AR51" s="187">
        <f t="shared" si="150"/>
        <v>13</v>
      </c>
      <c r="AS51" s="187">
        <f t="shared" si="151"/>
        <v>13</v>
      </c>
      <c r="AT51" s="187">
        <f t="shared" si="152"/>
        <v>0</v>
      </c>
      <c r="AU51" s="187">
        <f t="shared" si="153"/>
        <v>0</v>
      </c>
      <c r="AV51" s="187">
        <f t="shared" si="154"/>
        <v>9</v>
      </c>
      <c r="AW51" s="187">
        <f t="shared" si="155"/>
        <v>7</v>
      </c>
      <c r="AX51" s="187">
        <f t="shared" si="156"/>
        <v>7</v>
      </c>
      <c r="AY51" s="187">
        <f t="shared" si="157"/>
        <v>7</v>
      </c>
      <c r="AZ51" s="187">
        <f t="shared" si="158"/>
        <v>7</v>
      </c>
      <c r="BA51" s="187">
        <f t="shared" si="159"/>
        <v>7</v>
      </c>
      <c r="BB51" s="187">
        <f t="shared" si="160"/>
        <v>0</v>
      </c>
      <c r="BC51" s="187">
        <f t="shared" si="161"/>
        <v>0</v>
      </c>
      <c r="BD51" s="187">
        <f t="shared" si="162"/>
        <v>0</v>
      </c>
      <c r="BE51" s="187">
        <f t="shared" si="163"/>
        <v>0</v>
      </c>
      <c r="BF51" s="187">
        <f t="shared" si="164"/>
        <v>3</v>
      </c>
      <c r="BG51" s="187">
        <f t="shared" si="165"/>
        <v>0</v>
      </c>
      <c r="BH51" s="187">
        <f t="shared" si="166"/>
        <v>0</v>
      </c>
      <c r="BI51" s="187">
        <f t="shared" si="167"/>
        <v>0</v>
      </c>
      <c r="BJ51" s="187">
        <f t="shared" si="168"/>
        <v>1</v>
      </c>
      <c r="BK51" s="187">
        <f t="shared" si="169"/>
        <v>0</v>
      </c>
      <c r="BL51" s="187">
        <f t="shared" si="170"/>
        <v>0</v>
      </c>
      <c r="BM51" s="187">
        <f t="shared" si="171"/>
        <v>0</v>
      </c>
      <c r="BN51" s="188">
        <f t="shared" si="172"/>
        <v>0</v>
      </c>
      <c r="BO51" s="187">
        <f t="shared" si="173"/>
        <v>0</v>
      </c>
      <c r="BP51" s="187">
        <f t="shared" ref="BP51:BQ51" si="185">IF(G51=1,1,0)</f>
        <v>0</v>
      </c>
      <c r="BQ51" s="187">
        <f t="shared" si="185"/>
        <v>0</v>
      </c>
      <c r="BR51" s="187">
        <f t="shared" ref="BR51:BT51" si="186">IF(K51=1,1,0)</f>
        <v>0</v>
      </c>
      <c r="BS51" s="187">
        <f t="shared" si="186"/>
        <v>0</v>
      </c>
      <c r="BT51" s="187">
        <f t="shared" si="186"/>
        <v>0</v>
      </c>
      <c r="BU51" s="187">
        <f t="shared" ref="BU51:BV51" si="187">IF(P51=1,1,0)</f>
        <v>0</v>
      </c>
      <c r="BV51" s="187">
        <f t="shared" si="187"/>
        <v>0</v>
      </c>
      <c r="BW51" s="187">
        <f t="shared" si="177"/>
        <v>0</v>
      </c>
      <c r="BX51" s="187">
        <f t="shared" si="178"/>
        <v>0</v>
      </c>
      <c r="BY51" s="187">
        <f t="shared" si="179"/>
        <v>0</v>
      </c>
      <c r="BZ51" s="187">
        <f t="shared" si="180"/>
        <v>0</v>
      </c>
      <c r="CA51" s="167">
        <f t="shared" si="181"/>
        <v>74</v>
      </c>
      <c r="CB51" s="167">
        <f t="shared" si="47"/>
        <v>94</v>
      </c>
      <c r="CC51" s="644">
        <f t="shared" si="48"/>
        <v>23</v>
      </c>
      <c r="CD51" s="644">
        <f t="shared" si="49"/>
        <v>19</v>
      </c>
      <c r="CE51" s="644">
        <f t="shared" si="50"/>
        <v>15</v>
      </c>
      <c r="CF51" s="644">
        <f t="shared" si="51"/>
        <v>15</v>
      </c>
      <c r="CG51" s="644">
        <f t="shared" si="52"/>
        <v>0</v>
      </c>
      <c r="CH51" s="644">
        <f t="shared" si="123"/>
        <v>7</v>
      </c>
      <c r="CI51" s="644">
        <f t="shared" si="54"/>
        <v>7</v>
      </c>
      <c r="CJ51" s="644">
        <f t="shared" si="55"/>
        <v>5</v>
      </c>
      <c r="CK51" s="644">
        <f t="shared" si="56"/>
        <v>0</v>
      </c>
      <c r="CL51" s="644">
        <f t="shared" si="57"/>
        <v>0</v>
      </c>
      <c r="CM51" s="644">
        <f t="shared" si="58"/>
        <v>3</v>
      </c>
      <c r="CN51" s="644">
        <f t="shared" si="59"/>
        <v>0</v>
      </c>
      <c r="CO51" s="644">
        <f t="shared" si="60"/>
        <v>3</v>
      </c>
      <c r="CP51" s="644">
        <f t="shared" si="61"/>
        <v>3</v>
      </c>
      <c r="CQ51" s="644">
        <f t="shared" si="62"/>
        <v>0</v>
      </c>
      <c r="CR51" s="644">
        <f t="shared" si="63"/>
        <v>2</v>
      </c>
      <c r="CS51" s="644">
        <f t="shared" si="64"/>
        <v>0</v>
      </c>
      <c r="CT51" s="644">
        <f t="shared" si="65"/>
        <v>0</v>
      </c>
      <c r="CU51" s="644">
        <f t="shared" si="66"/>
        <v>0</v>
      </c>
      <c r="CV51" s="644">
        <f t="shared" si="67"/>
        <v>0</v>
      </c>
      <c r="CW51" s="644">
        <f t="shared" si="68"/>
        <v>0</v>
      </c>
      <c r="CX51" s="644">
        <f t="shared" si="69"/>
        <v>0</v>
      </c>
      <c r="CY51" s="644">
        <f t="shared" si="70"/>
        <v>0</v>
      </c>
      <c r="CZ51" s="624" t="s">
        <v>789</v>
      </c>
      <c r="DA51" s="257"/>
    </row>
    <row r="52" spans="1:105">
      <c r="A52" s="249" t="s">
        <v>1112</v>
      </c>
      <c r="B52" s="187"/>
      <c r="C52" s="644"/>
      <c r="D52" s="251">
        <v>1</v>
      </c>
      <c r="E52" s="251">
        <v>1</v>
      </c>
      <c r="F52" s="251"/>
      <c r="G52" s="251"/>
      <c r="H52" s="251"/>
      <c r="I52" s="251"/>
      <c r="J52" s="251"/>
      <c r="K52" s="251"/>
      <c r="L52" s="251"/>
      <c r="M52" s="251"/>
      <c r="N52" s="251"/>
      <c r="O52" s="251"/>
      <c r="P52" s="251"/>
      <c r="Q52" s="251"/>
      <c r="R52" s="251">
        <v>1</v>
      </c>
      <c r="S52" s="251"/>
      <c r="T52" s="251"/>
      <c r="U52" s="251">
        <v>1</v>
      </c>
      <c r="V52" s="251"/>
      <c r="W52" s="251">
        <v>1</v>
      </c>
      <c r="X52" s="251"/>
      <c r="Y52" s="251"/>
      <c r="Z52" s="251"/>
      <c r="AA52" s="251"/>
      <c r="AB52" s="251">
        <v>1</v>
      </c>
      <c r="AC52" s="251"/>
      <c r="AD52" s="251">
        <v>1</v>
      </c>
      <c r="AE52" s="251"/>
      <c r="AF52" s="251"/>
      <c r="AG52" s="251">
        <v>1</v>
      </c>
      <c r="AH52" s="251">
        <v>1</v>
      </c>
      <c r="AI52" s="251"/>
      <c r="AJ52" s="251"/>
      <c r="AK52" s="251"/>
      <c r="AL52" s="167">
        <v>9</v>
      </c>
      <c r="AM52" s="185" t="str">
        <f>HYPERLINK("http://bit.ly/1K4vL1Z", "10 with Rose Write-in")</f>
        <v>10 with Rose Write-in</v>
      </c>
      <c r="AN52" s="186">
        <v>42005</v>
      </c>
      <c r="AO52" s="187"/>
      <c r="AP52" s="187">
        <f t="shared" si="148"/>
        <v>0</v>
      </c>
      <c r="AQ52" s="187">
        <f t="shared" si="149"/>
        <v>0</v>
      </c>
      <c r="AR52" s="187">
        <f t="shared" si="150"/>
        <v>13</v>
      </c>
      <c r="AS52" s="187">
        <f t="shared" si="151"/>
        <v>13</v>
      </c>
      <c r="AT52" s="187">
        <f t="shared" si="152"/>
        <v>9</v>
      </c>
      <c r="AU52" s="187">
        <f t="shared" si="153"/>
        <v>9</v>
      </c>
      <c r="AV52" s="187">
        <f t="shared" si="154"/>
        <v>0</v>
      </c>
      <c r="AW52" s="187">
        <f t="shared" si="155"/>
        <v>0</v>
      </c>
      <c r="AX52" s="187">
        <f t="shared" si="156"/>
        <v>7</v>
      </c>
      <c r="AY52" s="187">
        <f t="shared" si="157"/>
        <v>0</v>
      </c>
      <c r="AZ52" s="187">
        <f t="shared" si="158"/>
        <v>7</v>
      </c>
      <c r="BA52" s="187">
        <f t="shared" si="159"/>
        <v>7</v>
      </c>
      <c r="BB52" s="187">
        <f t="shared" si="160"/>
        <v>0</v>
      </c>
      <c r="BC52" s="187">
        <f t="shared" si="161"/>
        <v>0</v>
      </c>
      <c r="BD52" s="187">
        <f t="shared" si="162"/>
        <v>0</v>
      </c>
      <c r="BE52" s="187">
        <f t="shared" si="163"/>
        <v>0</v>
      </c>
      <c r="BF52" s="187">
        <f t="shared" si="164"/>
        <v>3</v>
      </c>
      <c r="BG52" s="187">
        <f t="shared" si="165"/>
        <v>0</v>
      </c>
      <c r="BH52" s="187">
        <f t="shared" si="166"/>
        <v>0</v>
      </c>
      <c r="BI52" s="187">
        <f t="shared" si="167"/>
        <v>0</v>
      </c>
      <c r="BJ52" s="187">
        <f t="shared" si="168"/>
        <v>1</v>
      </c>
      <c r="BK52" s="187">
        <f t="shared" si="169"/>
        <v>0</v>
      </c>
      <c r="BL52" s="187">
        <f t="shared" si="170"/>
        <v>0</v>
      </c>
      <c r="BM52" s="187">
        <f t="shared" si="171"/>
        <v>0</v>
      </c>
      <c r="BN52" s="188">
        <f t="shared" si="172"/>
        <v>1</v>
      </c>
      <c r="BO52" s="187">
        <f t="shared" si="173"/>
        <v>0</v>
      </c>
      <c r="BP52" s="187">
        <f t="shared" ref="BP52:BQ52" si="188">IF(G52=1,1,0)</f>
        <v>0</v>
      </c>
      <c r="BQ52" s="187">
        <f t="shared" si="188"/>
        <v>0</v>
      </c>
      <c r="BR52" s="187">
        <f t="shared" ref="BR52:BT52" si="189">IF(K52=1,1,0)</f>
        <v>0</v>
      </c>
      <c r="BS52" s="187">
        <f t="shared" si="189"/>
        <v>0</v>
      </c>
      <c r="BT52" s="187">
        <f t="shared" si="189"/>
        <v>0</v>
      </c>
      <c r="BU52" s="187">
        <f t="shared" ref="BU52:BV52" si="190">IF(P52=1,1,0)</f>
        <v>0</v>
      </c>
      <c r="BV52" s="187">
        <f t="shared" si="190"/>
        <v>0</v>
      </c>
      <c r="BW52" s="187">
        <f t="shared" si="177"/>
        <v>0</v>
      </c>
      <c r="BX52" s="187">
        <f t="shared" si="178"/>
        <v>0</v>
      </c>
      <c r="BY52" s="187">
        <f t="shared" si="179"/>
        <v>1</v>
      </c>
      <c r="BZ52" s="187">
        <f t="shared" si="180"/>
        <v>-1</v>
      </c>
      <c r="CA52" s="167">
        <f t="shared" si="181"/>
        <v>68</v>
      </c>
      <c r="CB52" s="167">
        <f t="shared" si="47"/>
        <v>96</v>
      </c>
      <c r="CC52" s="644">
        <f t="shared" si="48"/>
        <v>23</v>
      </c>
      <c r="CD52" s="644">
        <f t="shared" si="49"/>
        <v>19</v>
      </c>
      <c r="CE52" s="644">
        <f t="shared" si="50"/>
        <v>15</v>
      </c>
      <c r="CF52" s="644">
        <f t="shared" si="51"/>
        <v>15</v>
      </c>
      <c r="CG52" s="644">
        <f t="shared" si="52"/>
        <v>9</v>
      </c>
      <c r="CH52" s="644">
        <f t="shared" si="123"/>
        <v>7</v>
      </c>
      <c r="CI52" s="644">
        <f t="shared" si="54"/>
        <v>0</v>
      </c>
      <c r="CJ52" s="644">
        <f t="shared" si="55"/>
        <v>5</v>
      </c>
      <c r="CK52" s="644">
        <f t="shared" si="56"/>
        <v>0</v>
      </c>
      <c r="CL52" s="644">
        <f t="shared" si="57"/>
        <v>0</v>
      </c>
      <c r="CM52" s="644">
        <f t="shared" si="58"/>
        <v>3</v>
      </c>
      <c r="CN52" s="644">
        <f t="shared" si="59"/>
        <v>0</v>
      </c>
      <c r="CO52" s="644">
        <f t="shared" si="60"/>
        <v>0</v>
      </c>
      <c r="CP52" s="644">
        <f t="shared" si="61"/>
        <v>0</v>
      </c>
      <c r="CQ52" s="644">
        <f t="shared" si="62"/>
        <v>0</v>
      </c>
      <c r="CR52" s="644">
        <f t="shared" si="63"/>
        <v>2</v>
      </c>
      <c r="CS52" s="644">
        <f t="shared" si="64"/>
        <v>0</v>
      </c>
      <c r="CT52" s="644">
        <f t="shared" si="65"/>
        <v>0</v>
      </c>
      <c r="CU52" s="644">
        <f t="shared" si="66"/>
        <v>0</v>
      </c>
      <c r="CV52" s="644">
        <f t="shared" si="67"/>
        <v>0</v>
      </c>
      <c r="CW52" s="644">
        <f t="shared" si="68"/>
        <v>0</v>
      </c>
      <c r="CX52" s="644">
        <f t="shared" si="69"/>
        <v>0</v>
      </c>
      <c r="CY52" s="644">
        <f t="shared" si="70"/>
        <v>0</v>
      </c>
      <c r="CZ52" s="624" t="s">
        <v>1113</v>
      </c>
      <c r="DA52" s="257"/>
    </row>
    <row r="53" spans="1:105">
      <c r="A53" s="249" t="s">
        <v>1114</v>
      </c>
      <c r="B53" s="187"/>
      <c r="C53" s="644"/>
      <c r="D53" s="644">
        <v>1</v>
      </c>
      <c r="E53" s="644">
        <v>1</v>
      </c>
      <c r="F53" s="251"/>
      <c r="G53" s="251"/>
      <c r="H53" s="251"/>
      <c r="I53" s="251"/>
      <c r="J53" s="644"/>
      <c r="K53" s="644"/>
      <c r="L53" s="644"/>
      <c r="M53" s="644"/>
      <c r="N53" s="644"/>
      <c r="O53" s="644"/>
      <c r="P53" s="644"/>
      <c r="Q53" s="644"/>
      <c r="R53" s="644">
        <v>1</v>
      </c>
      <c r="S53" s="644"/>
      <c r="T53" s="644"/>
      <c r="U53" s="644">
        <v>1</v>
      </c>
      <c r="V53" s="644"/>
      <c r="W53" s="644">
        <v>1</v>
      </c>
      <c r="X53" s="644"/>
      <c r="Y53" s="644"/>
      <c r="Z53" s="644">
        <v>1</v>
      </c>
      <c r="AA53" s="644"/>
      <c r="AB53" s="644">
        <v>1</v>
      </c>
      <c r="AC53" s="644">
        <v>1</v>
      </c>
      <c r="AD53" s="644">
        <v>1</v>
      </c>
      <c r="AE53" s="644"/>
      <c r="AF53" s="644"/>
      <c r="AG53" s="644"/>
      <c r="AH53" s="644"/>
      <c r="AI53" s="644"/>
      <c r="AJ53" s="644"/>
      <c r="AK53" s="644">
        <v>1</v>
      </c>
      <c r="AL53" s="167">
        <v>10</v>
      </c>
      <c r="AM53" s="187" t="s">
        <v>138</v>
      </c>
      <c r="AN53" s="186">
        <v>41997</v>
      </c>
      <c r="AO53" s="187"/>
      <c r="AP53" s="187">
        <f t="shared" si="148"/>
        <v>0</v>
      </c>
      <c r="AQ53" s="187">
        <f t="shared" si="149"/>
        <v>0</v>
      </c>
      <c r="AR53" s="187">
        <f t="shared" si="150"/>
        <v>13</v>
      </c>
      <c r="AS53" s="187">
        <f t="shared" si="151"/>
        <v>13</v>
      </c>
      <c r="AT53" s="187">
        <f t="shared" si="152"/>
        <v>9</v>
      </c>
      <c r="AU53" s="187">
        <f t="shared" si="153"/>
        <v>9</v>
      </c>
      <c r="AV53" s="187">
        <f t="shared" si="154"/>
        <v>9</v>
      </c>
      <c r="AW53" s="187">
        <f t="shared" si="155"/>
        <v>0</v>
      </c>
      <c r="AX53" s="187">
        <f t="shared" si="156"/>
        <v>7</v>
      </c>
      <c r="AY53" s="187">
        <f t="shared" si="157"/>
        <v>7</v>
      </c>
      <c r="AZ53" s="187">
        <f t="shared" si="158"/>
        <v>0</v>
      </c>
      <c r="BA53" s="187">
        <f t="shared" si="159"/>
        <v>7</v>
      </c>
      <c r="BB53" s="187">
        <f t="shared" si="160"/>
        <v>4</v>
      </c>
      <c r="BC53" s="187">
        <f t="shared" si="161"/>
        <v>0</v>
      </c>
      <c r="BD53" s="187">
        <f t="shared" si="162"/>
        <v>0</v>
      </c>
      <c r="BE53" s="187">
        <f t="shared" si="163"/>
        <v>0</v>
      </c>
      <c r="BF53" s="187">
        <f t="shared" si="164"/>
        <v>3</v>
      </c>
      <c r="BG53" s="187">
        <f t="shared" si="165"/>
        <v>0</v>
      </c>
      <c r="BH53" s="187">
        <f t="shared" si="166"/>
        <v>0</v>
      </c>
      <c r="BI53" s="187">
        <f t="shared" si="167"/>
        <v>0</v>
      </c>
      <c r="BJ53" s="187">
        <f t="shared" si="168"/>
        <v>0</v>
      </c>
      <c r="BK53" s="187">
        <f t="shared" si="169"/>
        <v>0</v>
      </c>
      <c r="BL53" s="187">
        <f t="shared" si="170"/>
        <v>0</v>
      </c>
      <c r="BM53" s="187">
        <f t="shared" si="171"/>
        <v>0</v>
      </c>
      <c r="BN53" s="188">
        <f t="shared" si="172"/>
        <v>0</v>
      </c>
      <c r="BO53" s="187">
        <f t="shared" si="173"/>
        <v>0</v>
      </c>
      <c r="BP53" s="187">
        <f t="shared" ref="BP53:BQ53" si="191">IF(G53=1,1,0)</f>
        <v>0</v>
      </c>
      <c r="BQ53" s="187">
        <f t="shared" si="191"/>
        <v>0</v>
      </c>
      <c r="BR53" s="187">
        <f t="shared" ref="BR53:BT53" si="192">IF(K53=1,1,0)</f>
        <v>0</v>
      </c>
      <c r="BS53" s="187">
        <f t="shared" si="192"/>
        <v>0</v>
      </c>
      <c r="BT53" s="187">
        <f t="shared" si="192"/>
        <v>0</v>
      </c>
      <c r="BU53" s="187">
        <f t="shared" ref="BU53:BV53" si="193">IF(P53=1,1,0)</f>
        <v>0</v>
      </c>
      <c r="BV53" s="187">
        <f t="shared" si="193"/>
        <v>0</v>
      </c>
      <c r="BW53" s="187">
        <f t="shared" si="177"/>
        <v>0</v>
      </c>
      <c r="BX53" s="187">
        <f t="shared" si="178"/>
        <v>0</v>
      </c>
      <c r="BY53" s="187">
        <f t="shared" si="179"/>
        <v>0</v>
      </c>
      <c r="BZ53" s="187">
        <f t="shared" si="180"/>
        <v>0</v>
      </c>
      <c r="CA53" s="167">
        <f t="shared" si="181"/>
        <v>81</v>
      </c>
      <c r="CB53" s="167">
        <f t="shared" si="47"/>
        <v>88</v>
      </c>
      <c r="CC53" s="644">
        <f t="shared" si="48"/>
        <v>23</v>
      </c>
      <c r="CD53" s="644">
        <f t="shared" si="49"/>
        <v>19</v>
      </c>
      <c r="CE53" s="644">
        <f t="shared" si="50"/>
        <v>0</v>
      </c>
      <c r="CF53" s="644">
        <f t="shared" si="51"/>
        <v>15</v>
      </c>
      <c r="CG53" s="644">
        <f t="shared" si="52"/>
        <v>9</v>
      </c>
      <c r="CH53" s="644">
        <f t="shared" si="123"/>
        <v>7</v>
      </c>
      <c r="CI53" s="644">
        <f t="shared" si="54"/>
        <v>7</v>
      </c>
      <c r="CJ53" s="644">
        <f t="shared" si="55"/>
        <v>5</v>
      </c>
      <c r="CK53" s="644">
        <f t="shared" si="56"/>
        <v>0</v>
      </c>
      <c r="CL53" s="644">
        <f t="shared" si="57"/>
        <v>0</v>
      </c>
      <c r="CM53" s="644">
        <f t="shared" si="58"/>
        <v>0</v>
      </c>
      <c r="CN53" s="644">
        <f t="shared" si="59"/>
        <v>0</v>
      </c>
      <c r="CO53" s="644">
        <f t="shared" si="60"/>
        <v>0</v>
      </c>
      <c r="CP53" s="644">
        <f t="shared" si="61"/>
        <v>3</v>
      </c>
      <c r="CQ53" s="644">
        <f t="shared" si="62"/>
        <v>0</v>
      </c>
      <c r="CR53" s="644">
        <f t="shared" si="63"/>
        <v>2</v>
      </c>
      <c r="CS53" s="644">
        <f t="shared" si="64"/>
        <v>2</v>
      </c>
      <c r="CT53" s="644">
        <f t="shared" si="65"/>
        <v>0</v>
      </c>
      <c r="CU53" s="644">
        <f t="shared" si="66"/>
        <v>0</v>
      </c>
      <c r="CV53" s="644">
        <f t="shared" si="67"/>
        <v>0</v>
      </c>
      <c r="CW53" s="644">
        <f t="shared" si="68"/>
        <v>0</v>
      </c>
      <c r="CX53" s="644">
        <f t="shared" si="69"/>
        <v>0</v>
      </c>
      <c r="CY53" s="644">
        <f t="shared" si="70"/>
        <v>0</v>
      </c>
      <c r="CZ53" s="624" t="s">
        <v>1106</v>
      </c>
      <c r="DA53" s="257"/>
    </row>
    <row r="54" spans="1:105" ht="25.5">
      <c r="A54" s="249" t="s">
        <v>796</v>
      </c>
      <c r="B54" s="187"/>
      <c r="C54" s="644"/>
      <c r="D54" s="644">
        <v>1</v>
      </c>
      <c r="E54" s="644">
        <v>1</v>
      </c>
      <c r="F54" s="251"/>
      <c r="G54" s="251"/>
      <c r="H54" s="251"/>
      <c r="I54" s="251"/>
      <c r="J54" s="644"/>
      <c r="K54" s="644"/>
      <c r="L54" s="644"/>
      <c r="M54" s="644"/>
      <c r="N54" s="644"/>
      <c r="O54" s="644"/>
      <c r="P54" s="644"/>
      <c r="Q54" s="644"/>
      <c r="R54" s="644">
        <v>1</v>
      </c>
      <c r="S54" s="644">
        <v>1</v>
      </c>
      <c r="T54" s="644"/>
      <c r="U54" s="644">
        <v>1</v>
      </c>
      <c r="V54" s="644"/>
      <c r="W54" s="644">
        <v>1</v>
      </c>
      <c r="X54" s="644"/>
      <c r="Y54" s="644"/>
      <c r="Z54" s="644">
        <v>1</v>
      </c>
      <c r="AA54" s="644"/>
      <c r="AB54" s="258">
        <v>1</v>
      </c>
      <c r="AC54" s="644">
        <v>1</v>
      </c>
      <c r="AD54" s="644"/>
      <c r="AE54" s="644"/>
      <c r="AF54" s="644"/>
      <c r="AG54" s="644"/>
      <c r="AH54" s="644">
        <v>1</v>
      </c>
      <c r="AI54" s="644"/>
      <c r="AJ54" s="644"/>
      <c r="AK54" s="644"/>
      <c r="AL54" s="167">
        <v>10</v>
      </c>
      <c r="AM54" s="185" t="str">
        <f>HYPERLINK("http://bit.ly/1DGrocH", "http://bit.ly/1DGrocH + email")</f>
        <v>http://bit.ly/1DGrocH + email</v>
      </c>
      <c r="AN54" s="186">
        <v>41989</v>
      </c>
      <c r="AO54" s="187"/>
      <c r="AP54" s="187">
        <f t="shared" si="148"/>
        <v>0</v>
      </c>
      <c r="AQ54" s="187">
        <f t="shared" si="149"/>
        <v>0</v>
      </c>
      <c r="AR54" s="187">
        <f t="shared" si="150"/>
        <v>13</v>
      </c>
      <c r="AS54" s="187">
        <f t="shared" si="151"/>
        <v>13</v>
      </c>
      <c r="AT54" s="187">
        <f t="shared" si="152"/>
        <v>9</v>
      </c>
      <c r="AU54" s="187">
        <f t="shared" si="153"/>
        <v>9</v>
      </c>
      <c r="AV54" s="187">
        <f t="shared" si="154"/>
        <v>9</v>
      </c>
      <c r="AW54" s="187">
        <f t="shared" si="155"/>
        <v>0</v>
      </c>
      <c r="AX54" s="187">
        <f t="shared" si="156"/>
        <v>0</v>
      </c>
      <c r="AY54" s="187">
        <f t="shared" si="157"/>
        <v>7</v>
      </c>
      <c r="AZ54" s="187">
        <f t="shared" si="158"/>
        <v>7</v>
      </c>
      <c r="BA54" s="187">
        <f t="shared" si="159"/>
        <v>7</v>
      </c>
      <c r="BB54" s="187">
        <f t="shared" si="160"/>
        <v>0</v>
      </c>
      <c r="BC54" s="187">
        <f t="shared" si="161"/>
        <v>0</v>
      </c>
      <c r="BD54" s="187">
        <f t="shared" si="162"/>
        <v>0</v>
      </c>
      <c r="BE54" s="187">
        <f t="shared" si="163"/>
        <v>0</v>
      </c>
      <c r="BF54" s="187">
        <f t="shared" si="164"/>
        <v>3</v>
      </c>
      <c r="BG54" s="187">
        <f t="shared" si="165"/>
        <v>0</v>
      </c>
      <c r="BH54" s="187">
        <f t="shared" si="166"/>
        <v>2</v>
      </c>
      <c r="BI54" s="187">
        <f t="shared" si="167"/>
        <v>0</v>
      </c>
      <c r="BJ54" s="187">
        <f t="shared" si="168"/>
        <v>0</v>
      </c>
      <c r="BK54" s="187">
        <f t="shared" si="169"/>
        <v>0</v>
      </c>
      <c r="BL54" s="187">
        <f t="shared" si="170"/>
        <v>0</v>
      </c>
      <c r="BM54" s="187">
        <f t="shared" si="171"/>
        <v>0</v>
      </c>
      <c r="BN54" s="188">
        <f t="shared" si="172"/>
        <v>0</v>
      </c>
      <c r="BO54" s="187">
        <f t="shared" si="173"/>
        <v>0</v>
      </c>
      <c r="BP54" s="187">
        <f t="shared" ref="BP54:BQ54" si="194">IF(G54=1,1,0)</f>
        <v>0</v>
      </c>
      <c r="BQ54" s="187">
        <f t="shared" si="194"/>
        <v>0</v>
      </c>
      <c r="BR54" s="187">
        <f t="shared" ref="BR54:BT54" si="195">IF(K54=1,1,0)</f>
        <v>0</v>
      </c>
      <c r="BS54" s="187">
        <f t="shared" si="195"/>
        <v>0</v>
      </c>
      <c r="BT54" s="187">
        <f t="shared" si="195"/>
        <v>0</v>
      </c>
      <c r="BU54" s="187">
        <f t="shared" ref="BU54:BV54" si="196">IF(P54=1,1,0)</f>
        <v>0</v>
      </c>
      <c r="BV54" s="187">
        <f t="shared" si="196"/>
        <v>0</v>
      </c>
      <c r="BW54" s="187">
        <f t="shared" si="177"/>
        <v>0</v>
      </c>
      <c r="BX54" s="187">
        <f t="shared" si="178"/>
        <v>0</v>
      </c>
      <c r="BY54" s="187">
        <f t="shared" si="179"/>
        <v>0</v>
      </c>
      <c r="BZ54" s="187">
        <f t="shared" si="180"/>
        <v>0</v>
      </c>
      <c r="CA54" s="167">
        <f t="shared" si="181"/>
        <v>79</v>
      </c>
      <c r="CB54" s="167">
        <f t="shared" si="47"/>
        <v>98</v>
      </c>
      <c r="CC54" s="644">
        <f t="shared" si="48"/>
        <v>23</v>
      </c>
      <c r="CD54" s="644">
        <f t="shared" si="49"/>
        <v>19</v>
      </c>
      <c r="CE54" s="644">
        <f t="shared" si="50"/>
        <v>15</v>
      </c>
      <c r="CF54" s="644">
        <f t="shared" si="51"/>
        <v>15</v>
      </c>
      <c r="CG54" s="644">
        <f t="shared" si="52"/>
        <v>9</v>
      </c>
      <c r="CH54" s="644">
        <f t="shared" si="123"/>
        <v>7</v>
      </c>
      <c r="CI54" s="644">
        <f t="shared" si="54"/>
        <v>7</v>
      </c>
      <c r="CJ54" s="644">
        <f t="shared" si="55"/>
        <v>0</v>
      </c>
      <c r="CK54" s="644">
        <f t="shared" si="56"/>
        <v>0</v>
      </c>
      <c r="CL54" s="644">
        <f t="shared" si="57"/>
        <v>0</v>
      </c>
      <c r="CM54" s="644">
        <f t="shared" si="58"/>
        <v>0</v>
      </c>
      <c r="CN54" s="644">
        <f t="shared" si="59"/>
        <v>0</v>
      </c>
      <c r="CO54" s="644">
        <f t="shared" si="60"/>
        <v>0</v>
      </c>
      <c r="CP54" s="644">
        <f t="shared" si="61"/>
        <v>3</v>
      </c>
      <c r="CQ54" s="644">
        <f t="shared" si="62"/>
        <v>2</v>
      </c>
      <c r="CR54" s="644">
        <f t="shared" si="63"/>
        <v>2</v>
      </c>
      <c r="CS54" s="644">
        <f t="shared" si="64"/>
        <v>0</v>
      </c>
      <c r="CT54" s="644">
        <f t="shared" si="65"/>
        <v>0</v>
      </c>
      <c r="CU54" s="644">
        <f t="shared" si="66"/>
        <v>0</v>
      </c>
      <c r="CV54" s="644">
        <f t="shared" si="67"/>
        <v>0</v>
      </c>
      <c r="CW54" s="644">
        <f t="shared" si="68"/>
        <v>0</v>
      </c>
      <c r="CX54" s="644">
        <f t="shared" si="69"/>
        <v>0</v>
      </c>
      <c r="CY54" s="644">
        <f t="shared" si="70"/>
        <v>0</v>
      </c>
      <c r="CZ54" s="624" t="s">
        <v>740</v>
      </c>
      <c r="DA54" s="257"/>
    </row>
    <row r="55" spans="1:105">
      <c r="A55" s="249" t="s">
        <v>156</v>
      </c>
      <c r="B55" s="187"/>
      <c r="C55" s="644"/>
      <c r="D55" s="644">
        <v>1</v>
      </c>
      <c r="E55" s="644">
        <v>1</v>
      </c>
      <c r="F55" s="251">
        <v>1</v>
      </c>
      <c r="G55" s="251"/>
      <c r="H55" s="251"/>
      <c r="I55" s="251">
        <v>1</v>
      </c>
      <c r="J55" s="644"/>
      <c r="K55" s="644"/>
      <c r="L55" s="644"/>
      <c r="M55" s="644"/>
      <c r="N55" s="644"/>
      <c r="O55" s="644"/>
      <c r="P55" s="644"/>
      <c r="Q55" s="644"/>
      <c r="R55" s="644">
        <v>1</v>
      </c>
      <c r="S55" s="644"/>
      <c r="T55" s="644">
        <v>1</v>
      </c>
      <c r="U55" s="644">
        <v>1</v>
      </c>
      <c r="V55" s="644"/>
      <c r="W55" s="644"/>
      <c r="X55" s="644"/>
      <c r="Y55" s="644"/>
      <c r="Z55" s="644"/>
      <c r="AA55" s="644"/>
      <c r="AB55" s="644">
        <v>1</v>
      </c>
      <c r="AC55" s="644"/>
      <c r="AD55" s="644"/>
      <c r="AE55" s="644"/>
      <c r="AF55" s="644">
        <v>1</v>
      </c>
      <c r="AG55" s="644"/>
      <c r="AH55" s="644">
        <v>1</v>
      </c>
      <c r="AI55" s="644"/>
      <c r="AJ55" s="644"/>
      <c r="AK55" s="644"/>
      <c r="AL55" s="167">
        <v>10</v>
      </c>
      <c r="AM55" s="185" t="s">
        <v>1115</v>
      </c>
      <c r="AN55" s="186">
        <v>42009</v>
      </c>
      <c r="AO55" s="187"/>
      <c r="AP55" s="187">
        <f t="shared" si="148"/>
        <v>13</v>
      </c>
      <c r="AQ55" s="187">
        <f t="shared" si="149"/>
        <v>13</v>
      </c>
      <c r="AR55" s="187">
        <f t="shared" si="150"/>
        <v>13</v>
      </c>
      <c r="AS55" s="187">
        <f t="shared" si="151"/>
        <v>13</v>
      </c>
      <c r="AT55" s="187">
        <f t="shared" si="152"/>
        <v>9</v>
      </c>
      <c r="AU55" s="187">
        <f t="shared" si="153"/>
        <v>9</v>
      </c>
      <c r="AV55" s="187">
        <f t="shared" si="154"/>
        <v>0</v>
      </c>
      <c r="AW55" s="187">
        <f t="shared" si="155"/>
        <v>0</v>
      </c>
      <c r="AX55" s="187">
        <f t="shared" si="156"/>
        <v>0</v>
      </c>
      <c r="AY55" s="187">
        <f t="shared" si="157"/>
        <v>0</v>
      </c>
      <c r="AZ55" s="187">
        <f t="shared" si="158"/>
        <v>7</v>
      </c>
      <c r="BA55" s="187">
        <f t="shared" si="159"/>
        <v>7</v>
      </c>
      <c r="BB55" s="187">
        <f t="shared" si="160"/>
        <v>0</v>
      </c>
      <c r="BC55" s="187">
        <f t="shared" si="161"/>
        <v>4</v>
      </c>
      <c r="BD55" s="187">
        <f t="shared" si="162"/>
        <v>0</v>
      </c>
      <c r="BE55" s="187">
        <f t="shared" si="163"/>
        <v>3</v>
      </c>
      <c r="BF55" s="187">
        <f t="shared" si="164"/>
        <v>0</v>
      </c>
      <c r="BG55" s="187">
        <f t="shared" si="165"/>
        <v>0</v>
      </c>
      <c r="BH55" s="187">
        <f t="shared" si="166"/>
        <v>0</v>
      </c>
      <c r="BI55" s="187">
        <f t="shared" si="167"/>
        <v>0</v>
      </c>
      <c r="BJ55" s="187">
        <f t="shared" si="168"/>
        <v>0</v>
      </c>
      <c r="BK55" s="187">
        <f t="shared" si="169"/>
        <v>0</v>
      </c>
      <c r="BL55" s="187">
        <f t="shared" si="170"/>
        <v>0</v>
      </c>
      <c r="BM55" s="187">
        <f t="shared" si="171"/>
        <v>0</v>
      </c>
      <c r="BN55" s="188">
        <f t="shared" si="172"/>
        <v>0</v>
      </c>
      <c r="BO55" s="187">
        <f t="shared" si="173"/>
        <v>0</v>
      </c>
      <c r="BP55" s="187">
        <f t="shared" ref="BP55:BQ55" si="197">IF(G55=1,1,0)</f>
        <v>0</v>
      </c>
      <c r="BQ55" s="187">
        <f t="shared" si="197"/>
        <v>0</v>
      </c>
      <c r="BR55" s="187">
        <f t="shared" ref="BR55:BT55" si="198">IF(K55=1,1,0)</f>
        <v>0</v>
      </c>
      <c r="BS55" s="187">
        <f t="shared" si="198"/>
        <v>0</v>
      </c>
      <c r="BT55" s="187">
        <f t="shared" si="198"/>
        <v>0</v>
      </c>
      <c r="BU55" s="187">
        <f t="shared" ref="BU55:BV55" si="199">IF(P55=1,1,0)</f>
        <v>0</v>
      </c>
      <c r="BV55" s="187">
        <f t="shared" si="199"/>
        <v>0</v>
      </c>
      <c r="BW55" s="187">
        <f t="shared" si="177"/>
        <v>0</v>
      </c>
      <c r="BX55" s="187">
        <f t="shared" si="178"/>
        <v>0</v>
      </c>
      <c r="BY55" s="187">
        <f t="shared" si="179"/>
        <v>0</v>
      </c>
      <c r="BZ55" s="187">
        <f t="shared" si="180"/>
        <v>0</v>
      </c>
      <c r="CA55" s="167">
        <f t="shared" si="181"/>
        <v>91</v>
      </c>
      <c r="CB55" s="167">
        <f t="shared" si="47"/>
        <v>98</v>
      </c>
      <c r="CC55" s="644">
        <f t="shared" si="48"/>
        <v>23</v>
      </c>
      <c r="CD55" s="644">
        <f t="shared" si="49"/>
        <v>19</v>
      </c>
      <c r="CE55" s="644">
        <f t="shared" si="50"/>
        <v>15</v>
      </c>
      <c r="CF55" s="644">
        <f t="shared" si="51"/>
        <v>15</v>
      </c>
      <c r="CG55" s="644">
        <f t="shared" si="52"/>
        <v>9</v>
      </c>
      <c r="CH55" s="644">
        <f t="shared" si="123"/>
        <v>7</v>
      </c>
      <c r="CI55" s="644">
        <f t="shared" si="54"/>
        <v>0</v>
      </c>
      <c r="CJ55" s="644">
        <f t="shared" si="55"/>
        <v>0</v>
      </c>
      <c r="CK55" s="644">
        <f t="shared" si="56"/>
        <v>5</v>
      </c>
      <c r="CL55" s="644">
        <f t="shared" si="57"/>
        <v>5</v>
      </c>
      <c r="CM55" s="644">
        <f t="shared" si="58"/>
        <v>0</v>
      </c>
      <c r="CN55" s="644">
        <f t="shared" si="59"/>
        <v>3</v>
      </c>
      <c r="CO55" s="644">
        <f t="shared" si="60"/>
        <v>0</v>
      </c>
      <c r="CP55" s="644">
        <f t="shared" si="61"/>
        <v>0</v>
      </c>
      <c r="CQ55" s="644">
        <f t="shared" si="62"/>
        <v>0</v>
      </c>
      <c r="CR55" s="644">
        <f t="shared" si="63"/>
        <v>0</v>
      </c>
      <c r="CS55" s="644">
        <f t="shared" si="64"/>
        <v>0</v>
      </c>
      <c r="CT55" s="644">
        <f t="shared" si="65"/>
        <v>2</v>
      </c>
      <c r="CU55" s="644">
        <f t="shared" si="66"/>
        <v>0</v>
      </c>
      <c r="CV55" s="644">
        <f t="shared" si="67"/>
        <v>0</v>
      </c>
      <c r="CW55" s="644">
        <f t="shared" si="68"/>
        <v>0</v>
      </c>
      <c r="CX55" s="644">
        <f t="shared" si="69"/>
        <v>0</v>
      </c>
      <c r="CY55" s="644">
        <f t="shared" si="70"/>
        <v>0</v>
      </c>
      <c r="CZ55" s="624" t="s">
        <v>805</v>
      </c>
      <c r="DA55" s="257"/>
    </row>
    <row r="56" spans="1:105">
      <c r="A56" s="259" t="s">
        <v>159</v>
      </c>
      <c r="B56" s="187"/>
      <c r="C56" s="644"/>
      <c r="D56" s="256">
        <v>1</v>
      </c>
      <c r="E56" s="256">
        <v>1</v>
      </c>
      <c r="F56" s="255"/>
      <c r="G56" s="251"/>
      <c r="H56" s="251"/>
      <c r="I56" s="255"/>
      <c r="J56" s="644"/>
      <c r="K56" s="644"/>
      <c r="L56" s="644"/>
      <c r="M56" s="644"/>
      <c r="N56" s="644"/>
      <c r="O56" s="644"/>
      <c r="P56" s="644"/>
      <c r="Q56" s="644"/>
      <c r="R56" s="644">
        <v>1</v>
      </c>
      <c r="S56" s="644"/>
      <c r="T56" s="644"/>
      <c r="U56" s="644">
        <v>1</v>
      </c>
      <c r="V56" s="644"/>
      <c r="W56" s="644"/>
      <c r="X56" s="644"/>
      <c r="Y56" s="644"/>
      <c r="Z56" s="256">
        <v>1</v>
      </c>
      <c r="AA56" s="644"/>
      <c r="AB56" s="256">
        <v>1</v>
      </c>
      <c r="AC56" s="256">
        <v>1</v>
      </c>
      <c r="AD56" s="256">
        <v>1</v>
      </c>
      <c r="AE56" s="644"/>
      <c r="AF56" s="644"/>
      <c r="AG56" s="644"/>
      <c r="AH56" s="644">
        <v>1</v>
      </c>
      <c r="AI56" s="644"/>
      <c r="AJ56" s="644"/>
      <c r="AK56" s="644"/>
      <c r="AL56" s="167">
        <v>9</v>
      </c>
      <c r="AM56" s="185" t="s">
        <v>1116</v>
      </c>
      <c r="AN56" s="186">
        <v>41990</v>
      </c>
      <c r="AO56" s="187"/>
      <c r="AP56" s="187">
        <f t="shared" si="148"/>
        <v>0</v>
      </c>
      <c r="AQ56" s="187">
        <f t="shared" si="149"/>
        <v>0</v>
      </c>
      <c r="AR56" s="187">
        <f t="shared" si="150"/>
        <v>13</v>
      </c>
      <c r="AS56" s="187">
        <f t="shared" si="151"/>
        <v>13</v>
      </c>
      <c r="AT56" s="187">
        <f t="shared" si="152"/>
        <v>9</v>
      </c>
      <c r="AU56" s="187">
        <f t="shared" si="153"/>
        <v>9</v>
      </c>
      <c r="AV56" s="187">
        <f t="shared" si="154"/>
        <v>9</v>
      </c>
      <c r="AW56" s="187">
        <f t="shared" si="155"/>
        <v>0</v>
      </c>
      <c r="AX56" s="187">
        <f t="shared" si="156"/>
        <v>7</v>
      </c>
      <c r="AY56" s="187">
        <f t="shared" si="157"/>
        <v>7</v>
      </c>
      <c r="AZ56" s="187">
        <f t="shared" si="158"/>
        <v>7</v>
      </c>
      <c r="BA56" s="187">
        <f t="shared" si="159"/>
        <v>7</v>
      </c>
      <c r="BB56" s="187">
        <f t="shared" si="160"/>
        <v>0</v>
      </c>
      <c r="BC56" s="187">
        <f t="shared" si="161"/>
        <v>0</v>
      </c>
      <c r="BD56" s="187">
        <f t="shared" si="162"/>
        <v>0</v>
      </c>
      <c r="BE56" s="187">
        <f t="shared" si="163"/>
        <v>0</v>
      </c>
      <c r="BF56" s="187">
        <f t="shared" si="164"/>
        <v>0</v>
      </c>
      <c r="BG56" s="187">
        <f t="shared" si="165"/>
        <v>0</v>
      </c>
      <c r="BH56" s="187">
        <f t="shared" si="166"/>
        <v>0</v>
      </c>
      <c r="BI56" s="187">
        <f t="shared" si="167"/>
        <v>0</v>
      </c>
      <c r="BJ56" s="187">
        <f t="shared" si="168"/>
        <v>0</v>
      </c>
      <c r="BK56" s="187">
        <f t="shared" si="169"/>
        <v>0</v>
      </c>
      <c r="BL56" s="187">
        <f t="shared" si="170"/>
        <v>0</v>
      </c>
      <c r="BM56" s="187">
        <f t="shared" si="171"/>
        <v>0</v>
      </c>
      <c r="BN56" s="188">
        <f t="shared" si="172"/>
        <v>1</v>
      </c>
      <c r="BO56" s="187">
        <f t="shared" si="173"/>
        <v>0</v>
      </c>
      <c r="BP56" s="187">
        <f t="shared" ref="BP56:BQ56" si="200">IF(G56=1,1,0)</f>
        <v>0</v>
      </c>
      <c r="BQ56" s="187">
        <f t="shared" si="200"/>
        <v>0</v>
      </c>
      <c r="BR56" s="187">
        <f t="shared" ref="BR56:BT56" si="201">IF(K56=1,1,0)</f>
        <v>0</v>
      </c>
      <c r="BS56" s="187">
        <f t="shared" si="201"/>
        <v>0</v>
      </c>
      <c r="BT56" s="187">
        <f t="shared" si="201"/>
        <v>0</v>
      </c>
      <c r="BU56" s="187">
        <f t="shared" ref="BU56:BV56" si="202">IF(P56=1,1,0)</f>
        <v>0</v>
      </c>
      <c r="BV56" s="187">
        <f t="shared" si="202"/>
        <v>0</v>
      </c>
      <c r="BW56" s="187">
        <f t="shared" si="177"/>
        <v>0</v>
      </c>
      <c r="BX56" s="187">
        <f t="shared" si="178"/>
        <v>0</v>
      </c>
      <c r="BY56" s="187">
        <f t="shared" si="179"/>
        <v>1</v>
      </c>
      <c r="BZ56" s="187">
        <f t="shared" si="180"/>
        <v>-1</v>
      </c>
      <c r="CA56" s="167">
        <f t="shared" si="181"/>
        <v>80</v>
      </c>
      <c r="CB56" s="167">
        <f t="shared" si="47"/>
        <v>100</v>
      </c>
      <c r="CC56" s="644">
        <f t="shared" si="48"/>
        <v>23</v>
      </c>
      <c r="CD56" s="644">
        <f t="shared" si="49"/>
        <v>19</v>
      </c>
      <c r="CE56" s="644">
        <f t="shared" si="50"/>
        <v>15</v>
      </c>
      <c r="CF56" s="644">
        <f t="shared" si="51"/>
        <v>15</v>
      </c>
      <c r="CG56" s="644">
        <f t="shared" si="52"/>
        <v>9</v>
      </c>
      <c r="CH56" s="644">
        <f t="shared" si="123"/>
        <v>7</v>
      </c>
      <c r="CI56" s="644">
        <f t="shared" si="54"/>
        <v>7</v>
      </c>
      <c r="CJ56" s="644">
        <f t="shared" si="55"/>
        <v>5</v>
      </c>
      <c r="CK56" s="644">
        <f t="shared" si="56"/>
        <v>0</v>
      </c>
      <c r="CL56" s="644">
        <f t="shared" si="57"/>
        <v>0</v>
      </c>
      <c r="CM56" s="644">
        <f t="shared" si="58"/>
        <v>0</v>
      </c>
      <c r="CN56" s="644">
        <f t="shared" si="59"/>
        <v>0</v>
      </c>
      <c r="CO56" s="644">
        <f t="shared" si="60"/>
        <v>0</v>
      </c>
      <c r="CP56" s="644">
        <f t="shared" si="61"/>
        <v>3</v>
      </c>
      <c r="CQ56" s="644">
        <f t="shared" si="62"/>
        <v>0</v>
      </c>
      <c r="CR56" s="644">
        <f t="shared" si="63"/>
        <v>0</v>
      </c>
      <c r="CS56" s="644">
        <f t="shared" si="64"/>
        <v>0</v>
      </c>
      <c r="CT56" s="644">
        <f t="shared" si="65"/>
        <v>0</v>
      </c>
      <c r="CU56" s="644">
        <f t="shared" si="66"/>
        <v>0</v>
      </c>
      <c r="CV56" s="644">
        <f t="shared" si="67"/>
        <v>0</v>
      </c>
      <c r="CW56" s="644">
        <f t="shared" si="68"/>
        <v>0</v>
      </c>
      <c r="CX56" s="644">
        <f t="shared" si="69"/>
        <v>0</v>
      </c>
      <c r="CY56" s="644">
        <f t="shared" si="70"/>
        <v>0</v>
      </c>
      <c r="CZ56" s="624" t="s">
        <v>1113</v>
      </c>
      <c r="DA56" s="257"/>
    </row>
    <row r="57" spans="1:105">
      <c r="A57" s="254" t="s">
        <v>160</v>
      </c>
      <c r="B57" s="187"/>
      <c r="C57" s="644"/>
      <c r="D57" s="255"/>
      <c r="E57" s="256">
        <v>1</v>
      </c>
      <c r="F57" s="256">
        <v>1</v>
      </c>
      <c r="G57" s="251"/>
      <c r="H57" s="251"/>
      <c r="I57" s="256">
        <v>1</v>
      </c>
      <c r="J57" s="644"/>
      <c r="K57" s="644"/>
      <c r="L57" s="644"/>
      <c r="M57" s="644"/>
      <c r="N57" s="644"/>
      <c r="O57" s="644"/>
      <c r="P57" s="644"/>
      <c r="Q57" s="644"/>
      <c r="R57" s="644">
        <v>1</v>
      </c>
      <c r="S57" s="644"/>
      <c r="T57" s="644"/>
      <c r="U57" s="644">
        <v>1</v>
      </c>
      <c r="V57" s="644"/>
      <c r="W57" s="644"/>
      <c r="X57" s="644">
        <v>1</v>
      </c>
      <c r="Y57" s="644"/>
      <c r="Z57" s="255"/>
      <c r="AA57" s="644"/>
      <c r="AB57" s="256">
        <v>1</v>
      </c>
      <c r="AC57" s="255"/>
      <c r="AD57" s="256">
        <v>1</v>
      </c>
      <c r="AE57" s="644"/>
      <c r="AF57" s="644"/>
      <c r="AG57" s="644"/>
      <c r="AH57" s="644">
        <v>1</v>
      </c>
      <c r="AI57" s="644">
        <v>1</v>
      </c>
      <c r="AJ57" s="644"/>
      <c r="AK57" s="644"/>
      <c r="AL57" s="167">
        <v>10</v>
      </c>
      <c r="AM57" s="185" t="s">
        <v>1117</v>
      </c>
      <c r="AN57" s="186">
        <v>41999</v>
      </c>
      <c r="AO57" s="187"/>
      <c r="AP57" s="187">
        <f t="shared" si="148"/>
        <v>13</v>
      </c>
      <c r="AQ57" s="187">
        <f t="shared" si="149"/>
        <v>13</v>
      </c>
      <c r="AR57" s="187">
        <f t="shared" si="150"/>
        <v>13</v>
      </c>
      <c r="AS57" s="187">
        <f t="shared" si="151"/>
        <v>13</v>
      </c>
      <c r="AT57" s="187">
        <f t="shared" si="152"/>
        <v>9</v>
      </c>
      <c r="AU57" s="187">
        <f t="shared" si="153"/>
        <v>0</v>
      </c>
      <c r="AV57" s="187">
        <f t="shared" si="154"/>
        <v>0</v>
      </c>
      <c r="AW57" s="187">
        <f t="shared" si="155"/>
        <v>0</v>
      </c>
      <c r="AX57" s="187">
        <f t="shared" si="156"/>
        <v>7</v>
      </c>
      <c r="AY57" s="187">
        <f t="shared" si="157"/>
        <v>0</v>
      </c>
      <c r="AZ57" s="187">
        <f t="shared" si="158"/>
        <v>7</v>
      </c>
      <c r="BA57" s="187">
        <f t="shared" si="159"/>
        <v>7</v>
      </c>
      <c r="BB57" s="187">
        <f t="shared" si="160"/>
        <v>0</v>
      </c>
      <c r="BC57" s="187">
        <f t="shared" si="161"/>
        <v>0</v>
      </c>
      <c r="BD57" s="187">
        <f t="shared" si="162"/>
        <v>4</v>
      </c>
      <c r="BE57" s="187">
        <f t="shared" si="163"/>
        <v>0</v>
      </c>
      <c r="BF57" s="187">
        <f t="shared" si="164"/>
        <v>0</v>
      </c>
      <c r="BG57" s="187">
        <f t="shared" si="165"/>
        <v>2</v>
      </c>
      <c r="BH57" s="187">
        <f t="shared" si="166"/>
        <v>0</v>
      </c>
      <c r="BI57" s="187">
        <f t="shared" si="167"/>
        <v>0</v>
      </c>
      <c r="BJ57" s="187">
        <f t="shared" si="168"/>
        <v>0</v>
      </c>
      <c r="BK57" s="187">
        <f t="shared" si="169"/>
        <v>0</v>
      </c>
      <c r="BL57" s="187">
        <f t="shared" si="170"/>
        <v>0</v>
      </c>
      <c r="BM57" s="187">
        <f t="shared" si="171"/>
        <v>0</v>
      </c>
      <c r="BN57" s="188">
        <f t="shared" si="172"/>
        <v>0</v>
      </c>
      <c r="BO57" s="187">
        <f t="shared" si="173"/>
        <v>0</v>
      </c>
      <c r="BP57" s="187">
        <f t="shared" ref="BP57:BQ57" si="203">IF(G57=1,1,0)</f>
        <v>0</v>
      </c>
      <c r="BQ57" s="187">
        <f t="shared" si="203"/>
        <v>0</v>
      </c>
      <c r="BR57" s="187">
        <f t="shared" ref="BR57:BT57" si="204">IF(K57=1,1,0)</f>
        <v>0</v>
      </c>
      <c r="BS57" s="187">
        <f t="shared" si="204"/>
        <v>0</v>
      </c>
      <c r="BT57" s="187">
        <f t="shared" si="204"/>
        <v>0</v>
      </c>
      <c r="BU57" s="187">
        <f t="shared" ref="BU57:BV57" si="205">IF(P57=1,1,0)</f>
        <v>0</v>
      </c>
      <c r="BV57" s="187">
        <f t="shared" si="205"/>
        <v>0</v>
      </c>
      <c r="BW57" s="187">
        <f t="shared" si="177"/>
        <v>0</v>
      </c>
      <c r="BX57" s="187">
        <f t="shared" si="178"/>
        <v>0</v>
      </c>
      <c r="BY57" s="187">
        <f t="shared" si="179"/>
        <v>0</v>
      </c>
      <c r="BZ57" s="187">
        <f t="shared" si="180"/>
        <v>0</v>
      </c>
      <c r="CA57" s="167">
        <f t="shared" si="181"/>
        <v>88</v>
      </c>
      <c r="CB57" s="167">
        <f t="shared" si="47"/>
        <v>96</v>
      </c>
      <c r="CC57" s="644">
        <f t="shared" si="48"/>
        <v>23</v>
      </c>
      <c r="CD57" s="644">
        <f t="shared" si="49"/>
        <v>19</v>
      </c>
      <c r="CE57" s="644">
        <f t="shared" si="50"/>
        <v>15</v>
      </c>
      <c r="CF57" s="644">
        <f t="shared" si="51"/>
        <v>15</v>
      </c>
      <c r="CG57" s="644">
        <f t="shared" si="52"/>
        <v>9</v>
      </c>
      <c r="CH57" s="644">
        <f t="shared" si="123"/>
        <v>0</v>
      </c>
      <c r="CI57" s="644">
        <f t="shared" si="54"/>
        <v>0</v>
      </c>
      <c r="CJ57" s="644">
        <f t="shared" si="55"/>
        <v>5</v>
      </c>
      <c r="CK57" s="644">
        <f t="shared" si="56"/>
        <v>5</v>
      </c>
      <c r="CL57" s="644">
        <f t="shared" si="57"/>
        <v>5</v>
      </c>
      <c r="CM57" s="644">
        <f t="shared" si="58"/>
        <v>0</v>
      </c>
      <c r="CN57" s="644">
        <f t="shared" si="59"/>
        <v>0</v>
      </c>
      <c r="CO57" s="644">
        <f t="shared" si="60"/>
        <v>0</v>
      </c>
      <c r="CP57" s="644">
        <f t="shared" si="61"/>
        <v>0</v>
      </c>
      <c r="CQ57" s="644">
        <f t="shared" si="62"/>
        <v>0</v>
      </c>
      <c r="CR57" s="644">
        <f t="shared" si="63"/>
        <v>0</v>
      </c>
      <c r="CS57" s="644">
        <f t="shared" si="64"/>
        <v>0</v>
      </c>
      <c r="CT57" s="644">
        <f t="shared" si="65"/>
        <v>0</v>
      </c>
      <c r="CU57" s="644">
        <f t="shared" si="66"/>
        <v>1</v>
      </c>
      <c r="CV57" s="644">
        <f t="shared" si="67"/>
        <v>0</v>
      </c>
      <c r="CW57" s="644">
        <f t="shared" si="68"/>
        <v>1</v>
      </c>
      <c r="CX57" s="644">
        <f t="shared" si="69"/>
        <v>0</v>
      </c>
      <c r="CY57" s="644">
        <f t="shared" si="70"/>
        <v>0</v>
      </c>
      <c r="CZ57" s="624" t="s">
        <v>756</v>
      </c>
      <c r="DA57" s="257"/>
    </row>
    <row r="58" spans="1:105">
      <c r="A58" s="249" t="s">
        <v>162</v>
      </c>
      <c r="B58" s="187"/>
      <c r="C58" s="644"/>
      <c r="D58" s="644">
        <v>1</v>
      </c>
      <c r="E58" s="258">
        <v>1</v>
      </c>
      <c r="F58" s="251">
        <v>1</v>
      </c>
      <c r="G58" s="251"/>
      <c r="H58" s="251"/>
      <c r="I58" s="251">
        <v>1</v>
      </c>
      <c r="J58" s="644"/>
      <c r="K58" s="644"/>
      <c r="L58" s="644"/>
      <c r="M58" s="644"/>
      <c r="N58" s="644">
        <v>1</v>
      </c>
      <c r="O58" s="644"/>
      <c r="P58" s="644"/>
      <c r="Q58" s="644"/>
      <c r="R58" s="644">
        <v>1</v>
      </c>
      <c r="S58" s="644"/>
      <c r="T58" s="644"/>
      <c r="U58" s="644">
        <v>1</v>
      </c>
      <c r="V58" s="644"/>
      <c r="W58" s="644"/>
      <c r="X58" s="644"/>
      <c r="Y58" s="644"/>
      <c r="Z58" s="258">
        <v>1</v>
      </c>
      <c r="AA58" s="644"/>
      <c r="AB58" s="644"/>
      <c r="AC58" s="644"/>
      <c r="AD58" s="644"/>
      <c r="AE58" s="644"/>
      <c r="AF58" s="644">
        <v>1</v>
      </c>
      <c r="AG58" s="644"/>
      <c r="AH58" s="644">
        <v>1</v>
      </c>
      <c r="AI58" s="644"/>
      <c r="AJ58" s="644"/>
      <c r="AK58" s="644"/>
      <c r="AL58" s="167">
        <v>10</v>
      </c>
      <c r="AM58" s="185" t="s">
        <v>1118</v>
      </c>
      <c r="AN58" s="186">
        <v>42010</v>
      </c>
      <c r="AO58" s="187"/>
      <c r="AP58" s="187">
        <f t="shared" si="148"/>
        <v>13</v>
      </c>
      <c r="AQ58" s="187">
        <f t="shared" si="149"/>
        <v>13</v>
      </c>
      <c r="AR58" s="187">
        <f t="shared" si="150"/>
        <v>13</v>
      </c>
      <c r="AS58" s="187">
        <f t="shared" si="151"/>
        <v>13</v>
      </c>
      <c r="AT58" s="187">
        <f t="shared" si="152"/>
        <v>0</v>
      </c>
      <c r="AU58" s="187">
        <f t="shared" si="153"/>
        <v>9</v>
      </c>
      <c r="AV58" s="187">
        <f t="shared" si="154"/>
        <v>0</v>
      </c>
      <c r="AW58" s="187">
        <f t="shared" si="155"/>
        <v>0</v>
      </c>
      <c r="AX58" s="187">
        <f t="shared" si="156"/>
        <v>0</v>
      </c>
      <c r="AY58" s="187">
        <f t="shared" si="157"/>
        <v>7</v>
      </c>
      <c r="AZ58" s="187">
        <f t="shared" si="158"/>
        <v>7</v>
      </c>
      <c r="BA58" s="187">
        <f t="shared" si="159"/>
        <v>7</v>
      </c>
      <c r="BB58" s="187">
        <f t="shared" si="160"/>
        <v>0</v>
      </c>
      <c r="BC58" s="187">
        <f t="shared" si="161"/>
        <v>0</v>
      </c>
      <c r="BD58" s="187">
        <f t="shared" si="162"/>
        <v>0</v>
      </c>
      <c r="BE58" s="187">
        <f t="shared" si="163"/>
        <v>3</v>
      </c>
      <c r="BF58" s="187">
        <f t="shared" si="164"/>
        <v>0</v>
      </c>
      <c r="BG58" s="187">
        <f t="shared" si="165"/>
        <v>0</v>
      </c>
      <c r="BH58" s="187">
        <f t="shared" si="166"/>
        <v>0</v>
      </c>
      <c r="BI58" s="187">
        <f t="shared" si="167"/>
        <v>0</v>
      </c>
      <c r="BJ58" s="187">
        <f t="shared" si="168"/>
        <v>0</v>
      </c>
      <c r="BK58" s="187">
        <f t="shared" si="169"/>
        <v>0</v>
      </c>
      <c r="BL58" s="187">
        <f t="shared" si="170"/>
        <v>0</v>
      </c>
      <c r="BM58" s="187">
        <f t="shared" si="171"/>
        <v>1</v>
      </c>
      <c r="BN58" s="188">
        <f t="shared" si="172"/>
        <v>0</v>
      </c>
      <c r="BO58" s="187">
        <f t="shared" si="173"/>
        <v>0</v>
      </c>
      <c r="BP58" s="187">
        <f t="shared" ref="BP58:BQ58" si="206">IF(G58=1,1,0)</f>
        <v>0</v>
      </c>
      <c r="BQ58" s="187">
        <f t="shared" si="206"/>
        <v>0</v>
      </c>
      <c r="BR58" s="187">
        <f t="shared" ref="BR58:BT58" si="207">IF(K58=1,1,0)</f>
        <v>0</v>
      </c>
      <c r="BS58" s="187">
        <f t="shared" si="207"/>
        <v>0</v>
      </c>
      <c r="BT58" s="187">
        <f t="shared" si="207"/>
        <v>0</v>
      </c>
      <c r="BU58" s="187">
        <f t="shared" ref="BU58:BV58" si="208">IF(P58=1,1,0)</f>
        <v>0</v>
      </c>
      <c r="BV58" s="187">
        <f t="shared" si="208"/>
        <v>0</v>
      </c>
      <c r="BW58" s="187">
        <f t="shared" si="177"/>
        <v>0</v>
      </c>
      <c r="BX58" s="187">
        <f t="shared" si="178"/>
        <v>0</v>
      </c>
      <c r="BY58" s="187">
        <f t="shared" si="179"/>
        <v>0</v>
      </c>
      <c r="BZ58" s="187">
        <f t="shared" si="180"/>
        <v>0</v>
      </c>
      <c r="CA58" s="167">
        <f t="shared" si="181"/>
        <v>86</v>
      </c>
      <c r="CB58" s="167">
        <f t="shared" si="47"/>
        <v>87</v>
      </c>
      <c r="CC58" s="644">
        <f t="shared" si="48"/>
        <v>23</v>
      </c>
      <c r="CD58" s="644">
        <f t="shared" si="49"/>
        <v>19</v>
      </c>
      <c r="CE58" s="644">
        <f t="shared" si="50"/>
        <v>15</v>
      </c>
      <c r="CF58" s="644">
        <f t="shared" si="51"/>
        <v>15</v>
      </c>
      <c r="CG58" s="644">
        <f t="shared" si="52"/>
        <v>0</v>
      </c>
      <c r="CH58" s="644">
        <f t="shared" si="123"/>
        <v>0</v>
      </c>
      <c r="CI58" s="644">
        <f t="shared" si="54"/>
        <v>0</v>
      </c>
      <c r="CJ58" s="644">
        <f t="shared" si="55"/>
        <v>0</v>
      </c>
      <c r="CK58" s="644">
        <f t="shared" si="56"/>
        <v>5</v>
      </c>
      <c r="CL58" s="644">
        <f t="shared" si="57"/>
        <v>5</v>
      </c>
      <c r="CM58" s="644">
        <f t="shared" si="58"/>
        <v>0</v>
      </c>
      <c r="CN58" s="644">
        <f t="shared" si="59"/>
        <v>0</v>
      </c>
      <c r="CO58" s="644">
        <f t="shared" si="60"/>
        <v>0</v>
      </c>
      <c r="CP58" s="644">
        <f t="shared" si="61"/>
        <v>3</v>
      </c>
      <c r="CQ58" s="644">
        <f t="shared" si="62"/>
        <v>0</v>
      </c>
      <c r="CR58" s="644">
        <f t="shared" si="63"/>
        <v>0</v>
      </c>
      <c r="CS58" s="644">
        <f t="shared" si="64"/>
        <v>0</v>
      </c>
      <c r="CT58" s="644">
        <f t="shared" si="65"/>
        <v>2</v>
      </c>
      <c r="CU58" s="644">
        <f t="shared" si="66"/>
        <v>0</v>
      </c>
      <c r="CV58" s="644">
        <f t="shared" si="67"/>
        <v>0</v>
      </c>
      <c r="CW58" s="644">
        <f t="shared" si="68"/>
        <v>0</v>
      </c>
      <c r="CX58" s="644">
        <f t="shared" si="69"/>
        <v>1</v>
      </c>
      <c r="CY58" s="644">
        <f t="shared" si="70"/>
        <v>0</v>
      </c>
      <c r="CZ58" s="624" t="s">
        <v>805</v>
      </c>
      <c r="DA58" s="257"/>
    </row>
    <row r="59" spans="1:105">
      <c r="A59" s="249" t="s">
        <v>163</v>
      </c>
      <c r="B59" s="187"/>
      <c r="C59" s="644"/>
      <c r="D59" s="644">
        <v>1</v>
      </c>
      <c r="E59" s="644">
        <v>1</v>
      </c>
      <c r="F59" s="251">
        <v>1</v>
      </c>
      <c r="G59" s="251"/>
      <c r="H59" s="251"/>
      <c r="I59" s="251">
        <v>1</v>
      </c>
      <c r="J59" s="644"/>
      <c r="K59" s="644"/>
      <c r="L59" s="644"/>
      <c r="M59" s="644"/>
      <c r="N59" s="644"/>
      <c r="O59" s="644"/>
      <c r="P59" s="644"/>
      <c r="Q59" s="644"/>
      <c r="R59" s="644">
        <v>1</v>
      </c>
      <c r="S59" s="644"/>
      <c r="T59" s="644">
        <v>1</v>
      </c>
      <c r="U59" s="644">
        <v>1</v>
      </c>
      <c r="V59" s="644"/>
      <c r="W59" s="644"/>
      <c r="X59" s="644"/>
      <c r="Y59" s="644"/>
      <c r="Z59" s="644"/>
      <c r="AA59" s="644"/>
      <c r="AB59" s="644">
        <v>1</v>
      </c>
      <c r="AC59" s="644">
        <v>1</v>
      </c>
      <c r="AD59" s="644"/>
      <c r="AE59" s="644"/>
      <c r="AF59" s="644"/>
      <c r="AG59" s="644"/>
      <c r="AH59" s="644">
        <v>1</v>
      </c>
      <c r="AI59" s="644"/>
      <c r="AJ59" s="644"/>
      <c r="AK59" s="644"/>
      <c r="AL59" s="167">
        <v>10</v>
      </c>
      <c r="AM59" s="185" t="s">
        <v>1119</v>
      </c>
      <c r="AN59" s="186">
        <v>42007</v>
      </c>
      <c r="AO59" s="187"/>
      <c r="AP59" s="187">
        <f t="shared" si="148"/>
        <v>13</v>
      </c>
      <c r="AQ59" s="187">
        <f t="shared" si="149"/>
        <v>13</v>
      </c>
      <c r="AR59" s="187">
        <f t="shared" si="150"/>
        <v>13</v>
      </c>
      <c r="AS59" s="187">
        <f t="shared" si="151"/>
        <v>13</v>
      </c>
      <c r="AT59" s="187">
        <f t="shared" si="152"/>
        <v>9</v>
      </c>
      <c r="AU59" s="187">
        <f t="shared" si="153"/>
        <v>9</v>
      </c>
      <c r="AV59" s="187">
        <f t="shared" si="154"/>
        <v>9</v>
      </c>
      <c r="AW59" s="187">
        <f t="shared" si="155"/>
        <v>0</v>
      </c>
      <c r="AX59" s="187">
        <f t="shared" si="156"/>
        <v>0</v>
      </c>
      <c r="AY59" s="187">
        <f t="shared" si="157"/>
        <v>0</v>
      </c>
      <c r="AZ59" s="187">
        <f t="shared" si="158"/>
        <v>7</v>
      </c>
      <c r="BA59" s="187">
        <f t="shared" si="159"/>
        <v>7</v>
      </c>
      <c r="BB59" s="187">
        <f t="shared" si="160"/>
        <v>0</v>
      </c>
      <c r="BC59" s="187">
        <f t="shared" si="161"/>
        <v>4</v>
      </c>
      <c r="BD59" s="187">
        <f t="shared" si="162"/>
        <v>0</v>
      </c>
      <c r="BE59" s="187">
        <f t="shared" si="163"/>
        <v>0</v>
      </c>
      <c r="BF59" s="187">
        <f t="shared" si="164"/>
        <v>0</v>
      </c>
      <c r="BG59" s="187">
        <f t="shared" si="165"/>
        <v>0</v>
      </c>
      <c r="BH59" s="187">
        <f t="shared" si="166"/>
        <v>0</v>
      </c>
      <c r="BI59" s="187">
        <f t="shared" si="167"/>
        <v>0</v>
      </c>
      <c r="BJ59" s="187">
        <f t="shared" si="168"/>
        <v>0</v>
      </c>
      <c r="BK59" s="187">
        <f t="shared" si="169"/>
        <v>0</v>
      </c>
      <c r="BL59" s="187">
        <f t="shared" si="170"/>
        <v>0</v>
      </c>
      <c r="BM59" s="187">
        <f t="shared" si="171"/>
        <v>0</v>
      </c>
      <c r="BN59" s="188">
        <f t="shared" si="172"/>
        <v>0</v>
      </c>
      <c r="BO59" s="187">
        <f t="shared" si="173"/>
        <v>0</v>
      </c>
      <c r="BP59" s="187">
        <f t="shared" ref="BP59:BQ59" si="209">IF(G59=1,1,0)</f>
        <v>0</v>
      </c>
      <c r="BQ59" s="187">
        <f t="shared" si="209"/>
        <v>0</v>
      </c>
      <c r="BR59" s="187">
        <f t="shared" ref="BR59:BT59" si="210">IF(K59=1,1,0)</f>
        <v>0</v>
      </c>
      <c r="BS59" s="187">
        <f t="shared" si="210"/>
        <v>0</v>
      </c>
      <c r="BT59" s="187">
        <f t="shared" si="210"/>
        <v>0</v>
      </c>
      <c r="BU59" s="187">
        <f t="shared" ref="BU59:BV59" si="211">IF(P59=1,1,0)</f>
        <v>0</v>
      </c>
      <c r="BV59" s="187">
        <f t="shared" si="211"/>
        <v>0</v>
      </c>
      <c r="BW59" s="187">
        <f t="shared" si="177"/>
        <v>0</v>
      </c>
      <c r="BX59" s="187">
        <f t="shared" si="178"/>
        <v>0</v>
      </c>
      <c r="BY59" s="187">
        <f t="shared" si="179"/>
        <v>0</v>
      </c>
      <c r="BZ59" s="187">
        <f t="shared" si="180"/>
        <v>0</v>
      </c>
      <c r="CA59" s="167">
        <f t="shared" si="181"/>
        <v>97</v>
      </c>
      <c r="CB59" s="167">
        <f t="shared" si="47"/>
        <v>100</v>
      </c>
      <c r="CC59" s="644">
        <f t="shared" si="48"/>
        <v>23</v>
      </c>
      <c r="CD59" s="644">
        <f t="shared" si="49"/>
        <v>19</v>
      </c>
      <c r="CE59" s="644">
        <f t="shared" si="50"/>
        <v>15</v>
      </c>
      <c r="CF59" s="644">
        <f t="shared" si="51"/>
        <v>15</v>
      </c>
      <c r="CG59" s="644">
        <f t="shared" si="52"/>
        <v>9</v>
      </c>
      <c r="CH59" s="644">
        <f t="shared" si="123"/>
        <v>7</v>
      </c>
      <c r="CI59" s="644">
        <f t="shared" si="54"/>
        <v>7</v>
      </c>
      <c r="CJ59" s="644">
        <f t="shared" si="55"/>
        <v>0</v>
      </c>
      <c r="CK59" s="644">
        <f t="shared" si="56"/>
        <v>5</v>
      </c>
      <c r="CL59" s="644">
        <f t="shared" si="57"/>
        <v>5</v>
      </c>
      <c r="CM59" s="644">
        <f t="shared" si="58"/>
        <v>0</v>
      </c>
      <c r="CN59" s="644">
        <f t="shared" si="59"/>
        <v>3</v>
      </c>
      <c r="CO59" s="644">
        <f t="shared" si="60"/>
        <v>0</v>
      </c>
      <c r="CP59" s="644">
        <f t="shared" si="61"/>
        <v>0</v>
      </c>
      <c r="CQ59" s="644">
        <f t="shared" si="62"/>
        <v>0</v>
      </c>
      <c r="CR59" s="644">
        <f t="shared" si="63"/>
        <v>0</v>
      </c>
      <c r="CS59" s="644">
        <f t="shared" si="64"/>
        <v>0</v>
      </c>
      <c r="CT59" s="644">
        <f t="shared" si="65"/>
        <v>0</v>
      </c>
      <c r="CU59" s="644">
        <f t="shared" si="66"/>
        <v>0</v>
      </c>
      <c r="CV59" s="644">
        <f t="shared" si="67"/>
        <v>0</v>
      </c>
      <c r="CW59" s="644">
        <f t="shared" si="68"/>
        <v>0</v>
      </c>
      <c r="CX59" s="644">
        <f t="shared" si="69"/>
        <v>0</v>
      </c>
      <c r="CY59" s="644">
        <f t="shared" si="70"/>
        <v>0</v>
      </c>
      <c r="CZ59" s="624" t="s">
        <v>746</v>
      </c>
      <c r="DA59" s="257"/>
    </row>
    <row r="60" spans="1:105">
      <c r="A60" s="249" t="s">
        <v>165</v>
      </c>
      <c r="B60" s="187"/>
      <c r="C60" s="644"/>
      <c r="D60" s="644">
        <v>1</v>
      </c>
      <c r="E60" s="644">
        <v>1</v>
      </c>
      <c r="F60" s="251"/>
      <c r="G60" s="251"/>
      <c r="H60" s="251"/>
      <c r="I60" s="251"/>
      <c r="J60" s="644"/>
      <c r="K60" s="644"/>
      <c r="L60" s="644"/>
      <c r="M60" s="644"/>
      <c r="N60" s="644"/>
      <c r="O60" s="644"/>
      <c r="P60" s="644"/>
      <c r="Q60" s="644"/>
      <c r="R60" s="644">
        <v>1</v>
      </c>
      <c r="S60" s="644"/>
      <c r="T60" s="644">
        <v>1</v>
      </c>
      <c r="U60" s="644">
        <v>1</v>
      </c>
      <c r="V60" s="644"/>
      <c r="W60" s="644"/>
      <c r="X60" s="644"/>
      <c r="Y60" s="644"/>
      <c r="Z60" s="644">
        <v>1</v>
      </c>
      <c r="AA60" s="644"/>
      <c r="AB60" s="644">
        <v>1</v>
      </c>
      <c r="AC60" s="644">
        <v>1</v>
      </c>
      <c r="AD60" s="644">
        <v>1</v>
      </c>
      <c r="AE60" s="644"/>
      <c r="AF60" s="644"/>
      <c r="AG60" s="644"/>
      <c r="AH60" s="644">
        <v>1</v>
      </c>
      <c r="AI60" s="644"/>
      <c r="AJ60" s="644"/>
      <c r="AK60" s="644"/>
      <c r="AL60" s="167">
        <v>10</v>
      </c>
      <c r="AM60" s="185" t="s">
        <v>1120</v>
      </c>
      <c r="AN60" s="186">
        <v>41997</v>
      </c>
      <c r="AO60" s="187"/>
      <c r="AP60" s="187">
        <f t="shared" si="148"/>
        <v>0</v>
      </c>
      <c r="AQ60" s="187">
        <f t="shared" si="149"/>
        <v>0</v>
      </c>
      <c r="AR60" s="187">
        <f t="shared" si="150"/>
        <v>13</v>
      </c>
      <c r="AS60" s="187">
        <f t="shared" si="151"/>
        <v>13</v>
      </c>
      <c r="AT60" s="187">
        <f t="shared" si="152"/>
        <v>9</v>
      </c>
      <c r="AU60" s="187">
        <f t="shared" si="153"/>
        <v>9</v>
      </c>
      <c r="AV60" s="187">
        <f t="shared" si="154"/>
        <v>9</v>
      </c>
      <c r="AW60" s="187">
        <f t="shared" si="155"/>
        <v>0</v>
      </c>
      <c r="AX60" s="187">
        <f t="shared" si="156"/>
        <v>7</v>
      </c>
      <c r="AY60" s="187">
        <f t="shared" si="157"/>
        <v>7</v>
      </c>
      <c r="AZ60" s="187">
        <f t="shared" si="158"/>
        <v>7</v>
      </c>
      <c r="BA60" s="187">
        <f t="shared" si="159"/>
        <v>7</v>
      </c>
      <c r="BB60" s="187">
        <f t="shared" si="160"/>
        <v>0</v>
      </c>
      <c r="BC60" s="187">
        <f t="shared" si="161"/>
        <v>4</v>
      </c>
      <c r="BD60" s="187">
        <f t="shared" si="162"/>
        <v>0</v>
      </c>
      <c r="BE60" s="187">
        <f t="shared" si="163"/>
        <v>0</v>
      </c>
      <c r="BF60" s="187">
        <f t="shared" si="164"/>
        <v>0</v>
      </c>
      <c r="BG60" s="187">
        <f t="shared" si="165"/>
        <v>0</v>
      </c>
      <c r="BH60" s="187">
        <f t="shared" si="166"/>
        <v>0</v>
      </c>
      <c r="BI60" s="187">
        <f t="shared" si="167"/>
        <v>0</v>
      </c>
      <c r="BJ60" s="187">
        <f t="shared" si="168"/>
        <v>0</v>
      </c>
      <c r="BK60" s="187">
        <f t="shared" si="169"/>
        <v>0</v>
      </c>
      <c r="BL60" s="187">
        <f t="shared" si="170"/>
        <v>0</v>
      </c>
      <c r="BM60" s="187">
        <f t="shared" si="171"/>
        <v>0</v>
      </c>
      <c r="BN60" s="188">
        <f t="shared" si="172"/>
        <v>0</v>
      </c>
      <c r="BO60" s="187">
        <f t="shared" si="173"/>
        <v>0</v>
      </c>
      <c r="BP60" s="187">
        <f t="shared" ref="BP60:BQ60" si="212">IF(G60=1,1,0)</f>
        <v>0</v>
      </c>
      <c r="BQ60" s="187">
        <f t="shared" si="212"/>
        <v>0</v>
      </c>
      <c r="BR60" s="187">
        <f t="shared" ref="BR60:BT60" si="213">IF(K60=1,1,0)</f>
        <v>0</v>
      </c>
      <c r="BS60" s="187">
        <f t="shared" si="213"/>
        <v>0</v>
      </c>
      <c r="BT60" s="187">
        <f t="shared" si="213"/>
        <v>0</v>
      </c>
      <c r="BU60" s="187">
        <f t="shared" ref="BU60:BV60" si="214">IF(P60=1,1,0)</f>
        <v>0</v>
      </c>
      <c r="BV60" s="187">
        <f t="shared" si="214"/>
        <v>0</v>
      </c>
      <c r="BW60" s="187">
        <f t="shared" si="177"/>
        <v>0</v>
      </c>
      <c r="BX60" s="187">
        <f t="shared" si="178"/>
        <v>0</v>
      </c>
      <c r="BY60" s="187">
        <f t="shared" si="179"/>
        <v>0</v>
      </c>
      <c r="BZ60" s="187">
        <f t="shared" si="180"/>
        <v>0</v>
      </c>
      <c r="CA60" s="167">
        <f t="shared" si="181"/>
        <v>85</v>
      </c>
      <c r="CB60" s="167">
        <f t="shared" si="47"/>
        <v>100</v>
      </c>
      <c r="CC60" s="644">
        <f t="shared" si="48"/>
        <v>23</v>
      </c>
      <c r="CD60" s="644">
        <f t="shared" si="49"/>
        <v>19</v>
      </c>
      <c r="CE60" s="644">
        <f t="shared" si="50"/>
        <v>15</v>
      </c>
      <c r="CF60" s="644">
        <f t="shared" si="51"/>
        <v>15</v>
      </c>
      <c r="CG60" s="644">
        <f t="shared" si="52"/>
        <v>9</v>
      </c>
      <c r="CH60" s="644">
        <f t="shared" si="123"/>
        <v>7</v>
      </c>
      <c r="CI60" s="644">
        <f t="shared" si="54"/>
        <v>7</v>
      </c>
      <c r="CJ60" s="644">
        <f t="shared" si="55"/>
        <v>5</v>
      </c>
      <c r="CK60" s="644">
        <f t="shared" si="56"/>
        <v>0</v>
      </c>
      <c r="CL60" s="644">
        <f t="shared" si="57"/>
        <v>0</v>
      </c>
      <c r="CM60" s="644">
        <f t="shared" si="58"/>
        <v>0</v>
      </c>
      <c r="CN60" s="644">
        <f t="shared" si="59"/>
        <v>3</v>
      </c>
      <c r="CO60" s="644">
        <f t="shared" si="60"/>
        <v>0</v>
      </c>
      <c r="CP60" s="644">
        <f t="shared" si="61"/>
        <v>3</v>
      </c>
      <c r="CQ60" s="644">
        <f t="shared" si="62"/>
        <v>0</v>
      </c>
      <c r="CR60" s="644">
        <f t="shared" si="63"/>
        <v>0</v>
      </c>
      <c r="CS60" s="644">
        <f t="shared" si="64"/>
        <v>0</v>
      </c>
      <c r="CT60" s="644">
        <f t="shared" si="65"/>
        <v>0</v>
      </c>
      <c r="CU60" s="644">
        <f t="shared" si="66"/>
        <v>0</v>
      </c>
      <c r="CV60" s="644">
        <f t="shared" si="67"/>
        <v>0</v>
      </c>
      <c r="CW60" s="644">
        <f t="shared" si="68"/>
        <v>0</v>
      </c>
      <c r="CX60" s="644">
        <f t="shared" si="69"/>
        <v>0</v>
      </c>
      <c r="CY60" s="644">
        <f t="shared" si="70"/>
        <v>0</v>
      </c>
      <c r="CZ60" s="624" t="s">
        <v>1113</v>
      </c>
      <c r="DA60" s="257"/>
    </row>
    <row r="61" spans="1:105">
      <c r="A61" s="249" t="s">
        <v>167</v>
      </c>
      <c r="B61" s="187"/>
      <c r="C61" s="644"/>
      <c r="D61" s="644">
        <v>1</v>
      </c>
      <c r="E61" s="644">
        <v>1</v>
      </c>
      <c r="F61" s="251"/>
      <c r="G61" s="251"/>
      <c r="H61" s="251"/>
      <c r="I61" s="251"/>
      <c r="J61" s="644"/>
      <c r="K61" s="644"/>
      <c r="L61" s="644"/>
      <c r="M61" s="644"/>
      <c r="N61" s="644"/>
      <c r="O61" s="644"/>
      <c r="P61" s="644"/>
      <c r="Q61" s="644"/>
      <c r="R61" s="644">
        <v>1</v>
      </c>
      <c r="S61" s="644"/>
      <c r="T61" s="644">
        <v>1</v>
      </c>
      <c r="U61" s="644">
        <v>1</v>
      </c>
      <c r="V61" s="644"/>
      <c r="W61" s="644"/>
      <c r="X61" s="644"/>
      <c r="Y61" s="644"/>
      <c r="Z61" s="644">
        <v>1</v>
      </c>
      <c r="AA61" s="644"/>
      <c r="AB61" s="644">
        <v>1</v>
      </c>
      <c r="AC61" s="644">
        <v>1</v>
      </c>
      <c r="AD61" s="644">
        <v>1</v>
      </c>
      <c r="AE61" s="644"/>
      <c r="AF61" s="644"/>
      <c r="AG61" s="644"/>
      <c r="AH61" s="644">
        <v>1</v>
      </c>
      <c r="AI61" s="644"/>
      <c r="AJ61" s="644"/>
      <c r="AK61" s="644"/>
      <c r="AL61" s="167">
        <v>10</v>
      </c>
      <c r="AM61" s="185" t="s">
        <v>1121</v>
      </c>
      <c r="AN61" s="186">
        <v>42009</v>
      </c>
      <c r="AO61" s="187"/>
      <c r="AP61" s="187">
        <f t="shared" si="148"/>
        <v>0</v>
      </c>
      <c r="AQ61" s="187">
        <f t="shared" si="149"/>
        <v>0</v>
      </c>
      <c r="AR61" s="187">
        <f t="shared" si="150"/>
        <v>13</v>
      </c>
      <c r="AS61" s="187">
        <f t="shared" si="151"/>
        <v>13</v>
      </c>
      <c r="AT61" s="187">
        <f t="shared" si="152"/>
        <v>9</v>
      </c>
      <c r="AU61" s="187">
        <f t="shared" si="153"/>
        <v>9</v>
      </c>
      <c r="AV61" s="187">
        <f t="shared" si="154"/>
        <v>9</v>
      </c>
      <c r="AW61" s="187">
        <f t="shared" si="155"/>
        <v>0</v>
      </c>
      <c r="AX61" s="187">
        <f t="shared" si="156"/>
        <v>7</v>
      </c>
      <c r="AY61" s="187">
        <f t="shared" si="157"/>
        <v>7</v>
      </c>
      <c r="AZ61" s="187">
        <f t="shared" si="158"/>
        <v>7</v>
      </c>
      <c r="BA61" s="187">
        <f t="shared" si="159"/>
        <v>7</v>
      </c>
      <c r="BB61" s="187">
        <f t="shared" si="160"/>
        <v>0</v>
      </c>
      <c r="BC61" s="187">
        <f t="shared" si="161"/>
        <v>4</v>
      </c>
      <c r="BD61" s="187">
        <f t="shared" si="162"/>
        <v>0</v>
      </c>
      <c r="BE61" s="187">
        <f t="shared" si="163"/>
        <v>0</v>
      </c>
      <c r="BF61" s="187">
        <f t="shared" si="164"/>
        <v>0</v>
      </c>
      <c r="BG61" s="187">
        <f t="shared" si="165"/>
        <v>0</v>
      </c>
      <c r="BH61" s="187">
        <f t="shared" si="166"/>
        <v>0</v>
      </c>
      <c r="BI61" s="187">
        <f t="shared" si="167"/>
        <v>0</v>
      </c>
      <c r="BJ61" s="187">
        <f t="shared" si="168"/>
        <v>0</v>
      </c>
      <c r="BK61" s="187">
        <f t="shared" si="169"/>
        <v>0</v>
      </c>
      <c r="BL61" s="187">
        <f t="shared" si="170"/>
        <v>0</v>
      </c>
      <c r="BM61" s="187">
        <f t="shared" si="171"/>
        <v>0</v>
      </c>
      <c r="BN61" s="188">
        <f t="shared" si="172"/>
        <v>0</v>
      </c>
      <c r="BO61" s="187">
        <f t="shared" si="173"/>
        <v>0</v>
      </c>
      <c r="BP61" s="187">
        <f t="shared" ref="BP61:BQ61" si="215">IF(G61=1,1,0)</f>
        <v>0</v>
      </c>
      <c r="BQ61" s="187">
        <f t="shared" si="215"/>
        <v>0</v>
      </c>
      <c r="BR61" s="187">
        <f t="shared" ref="BR61:BT61" si="216">IF(K61=1,1,0)</f>
        <v>0</v>
      </c>
      <c r="BS61" s="187">
        <f t="shared" si="216"/>
        <v>0</v>
      </c>
      <c r="BT61" s="187">
        <f t="shared" si="216"/>
        <v>0</v>
      </c>
      <c r="BU61" s="187">
        <f t="shared" ref="BU61:BV61" si="217">IF(P61=1,1,0)</f>
        <v>0</v>
      </c>
      <c r="BV61" s="187">
        <f t="shared" si="217"/>
        <v>0</v>
      </c>
      <c r="BW61" s="187">
        <f t="shared" si="177"/>
        <v>0</v>
      </c>
      <c r="BX61" s="187">
        <f t="shared" si="178"/>
        <v>0</v>
      </c>
      <c r="BY61" s="187">
        <f t="shared" si="179"/>
        <v>0</v>
      </c>
      <c r="BZ61" s="187">
        <f t="shared" si="180"/>
        <v>0</v>
      </c>
      <c r="CA61" s="167">
        <f t="shared" si="181"/>
        <v>85</v>
      </c>
      <c r="CB61" s="167">
        <f t="shared" si="47"/>
        <v>100</v>
      </c>
      <c r="CC61" s="644">
        <f t="shared" si="48"/>
        <v>23</v>
      </c>
      <c r="CD61" s="644">
        <f t="shared" si="49"/>
        <v>19</v>
      </c>
      <c r="CE61" s="644">
        <f t="shared" si="50"/>
        <v>15</v>
      </c>
      <c r="CF61" s="644">
        <f t="shared" si="51"/>
        <v>15</v>
      </c>
      <c r="CG61" s="644">
        <f t="shared" si="52"/>
        <v>9</v>
      </c>
      <c r="CH61" s="644">
        <f t="shared" si="123"/>
        <v>7</v>
      </c>
      <c r="CI61" s="644">
        <f t="shared" si="54"/>
        <v>7</v>
      </c>
      <c r="CJ61" s="644">
        <f t="shared" si="55"/>
        <v>5</v>
      </c>
      <c r="CK61" s="644">
        <f t="shared" si="56"/>
        <v>0</v>
      </c>
      <c r="CL61" s="644">
        <f t="shared" si="57"/>
        <v>0</v>
      </c>
      <c r="CM61" s="644">
        <f t="shared" si="58"/>
        <v>0</v>
      </c>
      <c r="CN61" s="644">
        <f t="shared" si="59"/>
        <v>3</v>
      </c>
      <c r="CO61" s="644">
        <f t="shared" si="60"/>
        <v>0</v>
      </c>
      <c r="CP61" s="644">
        <f t="shared" si="61"/>
        <v>3</v>
      </c>
      <c r="CQ61" s="644">
        <f t="shared" si="62"/>
        <v>0</v>
      </c>
      <c r="CR61" s="644">
        <f t="shared" si="63"/>
        <v>0</v>
      </c>
      <c r="CS61" s="644">
        <f t="shared" si="64"/>
        <v>0</v>
      </c>
      <c r="CT61" s="644">
        <f t="shared" si="65"/>
        <v>0</v>
      </c>
      <c r="CU61" s="644">
        <f t="shared" si="66"/>
        <v>0</v>
      </c>
      <c r="CV61" s="644">
        <f t="shared" si="67"/>
        <v>0</v>
      </c>
      <c r="CW61" s="644">
        <f t="shared" si="68"/>
        <v>0</v>
      </c>
      <c r="CX61" s="644">
        <f t="shared" si="69"/>
        <v>0</v>
      </c>
      <c r="CY61" s="644">
        <f t="shared" si="70"/>
        <v>0</v>
      </c>
      <c r="CZ61" s="624" t="s">
        <v>756</v>
      </c>
      <c r="DA61" s="257"/>
    </row>
    <row r="62" spans="1:105">
      <c r="A62" s="249" t="s">
        <v>1122</v>
      </c>
      <c r="B62" s="187"/>
      <c r="C62" s="644"/>
      <c r="D62" s="644">
        <v>1</v>
      </c>
      <c r="E62" s="644">
        <v>1</v>
      </c>
      <c r="F62" s="251"/>
      <c r="G62" s="251"/>
      <c r="H62" s="251"/>
      <c r="I62" s="251"/>
      <c r="J62" s="644"/>
      <c r="K62" s="644"/>
      <c r="L62" s="644"/>
      <c r="M62" s="644"/>
      <c r="N62" s="644"/>
      <c r="O62" s="644"/>
      <c r="P62" s="644"/>
      <c r="Q62" s="644"/>
      <c r="R62" s="644">
        <v>1</v>
      </c>
      <c r="S62" s="644"/>
      <c r="T62" s="644">
        <v>1</v>
      </c>
      <c r="U62" s="644">
        <v>1</v>
      </c>
      <c r="V62" s="644"/>
      <c r="W62" s="644"/>
      <c r="X62" s="644"/>
      <c r="Y62" s="644"/>
      <c r="Z62" s="258">
        <v>1</v>
      </c>
      <c r="AA62" s="644"/>
      <c r="AB62" s="644">
        <v>1</v>
      </c>
      <c r="AC62" s="644">
        <v>1</v>
      </c>
      <c r="AD62" s="644"/>
      <c r="AE62" s="644"/>
      <c r="AF62" s="644"/>
      <c r="AG62" s="644"/>
      <c r="AH62" s="644">
        <v>1</v>
      </c>
      <c r="AI62" s="644"/>
      <c r="AJ62" s="644"/>
      <c r="AK62" s="644"/>
      <c r="AL62" s="167">
        <v>9</v>
      </c>
      <c r="AM62" s="185" t="s">
        <v>1123</v>
      </c>
      <c r="AN62" s="186">
        <v>42010</v>
      </c>
      <c r="AO62" s="187"/>
      <c r="AP62" s="187">
        <f t="shared" si="148"/>
        <v>0</v>
      </c>
      <c r="AQ62" s="187">
        <f t="shared" si="149"/>
        <v>0</v>
      </c>
      <c r="AR62" s="187">
        <f t="shared" si="150"/>
        <v>13</v>
      </c>
      <c r="AS62" s="187">
        <f t="shared" si="151"/>
        <v>13</v>
      </c>
      <c r="AT62" s="187">
        <f t="shared" si="152"/>
        <v>9</v>
      </c>
      <c r="AU62" s="187">
        <f t="shared" si="153"/>
        <v>9</v>
      </c>
      <c r="AV62" s="187">
        <f t="shared" si="154"/>
        <v>9</v>
      </c>
      <c r="AW62" s="187">
        <f t="shared" si="155"/>
        <v>0</v>
      </c>
      <c r="AX62" s="187">
        <f t="shared" si="156"/>
        <v>0</v>
      </c>
      <c r="AY62" s="187">
        <f t="shared" si="157"/>
        <v>7</v>
      </c>
      <c r="AZ62" s="187">
        <f t="shared" si="158"/>
        <v>7</v>
      </c>
      <c r="BA62" s="187">
        <f t="shared" si="159"/>
        <v>7</v>
      </c>
      <c r="BB62" s="187">
        <f t="shared" si="160"/>
        <v>0</v>
      </c>
      <c r="BC62" s="187">
        <f t="shared" si="161"/>
        <v>4</v>
      </c>
      <c r="BD62" s="187">
        <f t="shared" si="162"/>
        <v>0</v>
      </c>
      <c r="BE62" s="187">
        <f t="shared" si="163"/>
        <v>0</v>
      </c>
      <c r="BF62" s="187">
        <f t="shared" si="164"/>
        <v>0</v>
      </c>
      <c r="BG62" s="187">
        <f t="shared" si="165"/>
        <v>0</v>
      </c>
      <c r="BH62" s="187">
        <f t="shared" si="166"/>
        <v>0</v>
      </c>
      <c r="BI62" s="187">
        <f t="shared" si="167"/>
        <v>0</v>
      </c>
      <c r="BJ62" s="187">
        <f t="shared" si="168"/>
        <v>0</v>
      </c>
      <c r="BK62" s="187">
        <f t="shared" si="169"/>
        <v>0</v>
      </c>
      <c r="BL62" s="187">
        <f t="shared" si="170"/>
        <v>0</v>
      </c>
      <c r="BM62" s="187">
        <f t="shared" si="171"/>
        <v>0</v>
      </c>
      <c r="BN62" s="188">
        <f t="shared" si="172"/>
        <v>1</v>
      </c>
      <c r="BO62" s="187">
        <f t="shared" si="173"/>
        <v>0</v>
      </c>
      <c r="BP62" s="187">
        <f t="shared" ref="BP62:BQ62" si="218">IF(G62=1,1,0)</f>
        <v>0</v>
      </c>
      <c r="BQ62" s="187">
        <f t="shared" si="218"/>
        <v>0</v>
      </c>
      <c r="BR62" s="187">
        <f t="shared" ref="BR62:BT62" si="219">IF(K62=1,1,0)</f>
        <v>0</v>
      </c>
      <c r="BS62" s="187">
        <f t="shared" si="219"/>
        <v>0</v>
      </c>
      <c r="BT62" s="187">
        <f t="shared" si="219"/>
        <v>0</v>
      </c>
      <c r="BU62" s="187">
        <f t="shared" ref="BU62:BV62" si="220">IF(P62=1,1,0)</f>
        <v>0</v>
      </c>
      <c r="BV62" s="187">
        <f t="shared" si="220"/>
        <v>0</v>
      </c>
      <c r="BW62" s="187">
        <f t="shared" si="177"/>
        <v>0</v>
      </c>
      <c r="BX62" s="187">
        <f t="shared" si="178"/>
        <v>0</v>
      </c>
      <c r="BY62" s="187">
        <f t="shared" si="179"/>
        <v>1</v>
      </c>
      <c r="BZ62" s="187">
        <f t="shared" si="180"/>
        <v>-1</v>
      </c>
      <c r="CA62" s="167">
        <f t="shared" si="181"/>
        <v>77</v>
      </c>
      <c r="CB62" s="167">
        <f t="shared" si="47"/>
        <v>94</v>
      </c>
      <c r="CC62" s="644">
        <f t="shared" si="48"/>
        <v>23</v>
      </c>
      <c r="CD62" s="644">
        <f t="shared" si="49"/>
        <v>19</v>
      </c>
      <c r="CE62" s="644">
        <f t="shared" si="50"/>
        <v>15</v>
      </c>
      <c r="CF62" s="644">
        <f t="shared" si="51"/>
        <v>15</v>
      </c>
      <c r="CG62" s="644">
        <f t="shared" si="52"/>
        <v>9</v>
      </c>
      <c r="CH62" s="644">
        <f t="shared" si="123"/>
        <v>0</v>
      </c>
      <c r="CI62" s="644">
        <f t="shared" si="54"/>
        <v>7</v>
      </c>
      <c r="CJ62" s="644">
        <f t="shared" si="55"/>
        <v>0</v>
      </c>
      <c r="CK62" s="644">
        <f t="shared" si="56"/>
        <v>0</v>
      </c>
      <c r="CL62" s="644">
        <f t="shared" si="57"/>
        <v>0</v>
      </c>
      <c r="CM62" s="644">
        <f t="shared" si="58"/>
        <v>0</v>
      </c>
      <c r="CN62" s="644">
        <f t="shared" si="59"/>
        <v>3</v>
      </c>
      <c r="CO62" s="644">
        <f t="shared" si="60"/>
        <v>0</v>
      </c>
      <c r="CP62" s="644">
        <f t="shared" si="61"/>
        <v>3</v>
      </c>
      <c r="CQ62" s="644">
        <f t="shared" si="62"/>
        <v>0</v>
      </c>
      <c r="CR62" s="644">
        <f t="shared" si="63"/>
        <v>0</v>
      </c>
      <c r="CS62" s="644">
        <f t="shared" si="64"/>
        <v>0</v>
      </c>
      <c r="CT62" s="644">
        <f t="shared" si="65"/>
        <v>0</v>
      </c>
      <c r="CU62" s="644">
        <f t="shared" si="66"/>
        <v>0</v>
      </c>
      <c r="CV62" s="644">
        <f t="shared" si="67"/>
        <v>0</v>
      </c>
      <c r="CW62" s="644">
        <f t="shared" si="68"/>
        <v>0</v>
      </c>
      <c r="CX62" s="644">
        <f t="shared" si="69"/>
        <v>0</v>
      </c>
      <c r="CY62" s="644">
        <f t="shared" si="70"/>
        <v>0</v>
      </c>
      <c r="CZ62" s="624" t="s">
        <v>743</v>
      </c>
      <c r="DA62" s="257"/>
    </row>
    <row r="63" spans="1:105">
      <c r="A63" s="249" t="s">
        <v>168</v>
      </c>
      <c r="B63" s="187"/>
      <c r="C63" s="644"/>
      <c r="D63" s="644"/>
      <c r="E63" s="644">
        <v>1</v>
      </c>
      <c r="F63" s="251"/>
      <c r="G63" s="251"/>
      <c r="H63" s="251"/>
      <c r="I63" s="251"/>
      <c r="J63" s="644"/>
      <c r="K63" s="644"/>
      <c r="L63" s="644"/>
      <c r="M63" s="644"/>
      <c r="N63" s="644"/>
      <c r="O63" s="644"/>
      <c r="P63" s="644"/>
      <c r="Q63" s="644"/>
      <c r="R63" s="644">
        <v>1</v>
      </c>
      <c r="S63" s="644"/>
      <c r="T63" s="644"/>
      <c r="U63" s="644">
        <v>1</v>
      </c>
      <c r="V63" s="644"/>
      <c r="W63" s="644"/>
      <c r="X63" s="644"/>
      <c r="Y63" s="644"/>
      <c r="Z63" s="644">
        <v>1</v>
      </c>
      <c r="AA63" s="644"/>
      <c r="AB63" s="644">
        <v>1</v>
      </c>
      <c r="AC63" s="644">
        <v>1</v>
      </c>
      <c r="AD63" s="644">
        <v>1</v>
      </c>
      <c r="AE63" s="644"/>
      <c r="AF63" s="644"/>
      <c r="AG63" s="644"/>
      <c r="AH63" s="644">
        <v>1</v>
      </c>
      <c r="AI63" s="644"/>
      <c r="AJ63" s="644"/>
      <c r="AK63" s="644"/>
      <c r="AL63" s="167">
        <v>8</v>
      </c>
      <c r="AM63" s="185" t="s">
        <v>1124</v>
      </c>
      <c r="AN63" s="186">
        <v>41993</v>
      </c>
      <c r="AO63" s="187"/>
      <c r="AP63" s="187">
        <f t="shared" si="148"/>
        <v>0</v>
      </c>
      <c r="AQ63" s="187">
        <f t="shared" si="149"/>
        <v>0</v>
      </c>
      <c r="AR63" s="187">
        <f t="shared" si="150"/>
        <v>13</v>
      </c>
      <c r="AS63" s="187">
        <f t="shared" si="151"/>
        <v>13</v>
      </c>
      <c r="AT63" s="187">
        <f t="shared" si="152"/>
        <v>9</v>
      </c>
      <c r="AU63" s="187">
        <f t="shared" si="153"/>
        <v>0</v>
      </c>
      <c r="AV63" s="187">
        <f t="shared" si="154"/>
        <v>9</v>
      </c>
      <c r="AW63" s="187">
        <f t="shared" si="155"/>
        <v>0</v>
      </c>
      <c r="AX63" s="187">
        <f t="shared" si="156"/>
        <v>7</v>
      </c>
      <c r="AY63" s="187">
        <f t="shared" si="157"/>
        <v>7</v>
      </c>
      <c r="AZ63" s="187">
        <f t="shared" si="158"/>
        <v>7</v>
      </c>
      <c r="BA63" s="187">
        <f t="shared" si="159"/>
        <v>7</v>
      </c>
      <c r="BB63" s="187">
        <f t="shared" si="160"/>
        <v>0</v>
      </c>
      <c r="BC63" s="187">
        <f t="shared" si="161"/>
        <v>0</v>
      </c>
      <c r="BD63" s="187">
        <f t="shared" si="162"/>
        <v>0</v>
      </c>
      <c r="BE63" s="187">
        <f t="shared" si="163"/>
        <v>0</v>
      </c>
      <c r="BF63" s="187">
        <f t="shared" si="164"/>
        <v>0</v>
      </c>
      <c r="BG63" s="187">
        <f t="shared" si="165"/>
        <v>0</v>
      </c>
      <c r="BH63" s="187">
        <f t="shared" si="166"/>
        <v>0</v>
      </c>
      <c r="BI63" s="187">
        <f t="shared" si="167"/>
        <v>0</v>
      </c>
      <c r="BJ63" s="187">
        <f t="shared" si="168"/>
        <v>0</v>
      </c>
      <c r="BK63" s="187">
        <f t="shared" si="169"/>
        <v>0</v>
      </c>
      <c r="BL63" s="187">
        <f t="shared" si="170"/>
        <v>0</v>
      </c>
      <c r="BM63" s="187">
        <f t="shared" si="171"/>
        <v>0</v>
      </c>
      <c r="BN63" s="188">
        <f t="shared" si="172"/>
        <v>2</v>
      </c>
      <c r="BO63" s="187">
        <f t="shared" si="173"/>
        <v>0</v>
      </c>
      <c r="BP63" s="187">
        <f t="shared" ref="BP63:BQ63" si="221">IF(G63=1,1,0)</f>
        <v>0</v>
      </c>
      <c r="BQ63" s="187">
        <f t="shared" si="221"/>
        <v>0</v>
      </c>
      <c r="BR63" s="187">
        <f t="shared" ref="BR63:BT63" si="222">IF(K63=1,1,0)</f>
        <v>0</v>
      </c>
      <c r="BS63" s="187">
        <f t="shared" si="222"/>
        <v>0</v>
      </c>
      <c r="BT63" s="187">
        <f t="shared" si="222"/>
        <v>0</v>
      </c>
      <c r="BU63" s="187">
        <f t="shared" ref="BU63:BV63" si="223">IF(P63=1,1,0)</f>
        <v>0</v>
      </c>
      <c r="BV63" s="187">
        <f t="shared" si="223"/>
        <v>0</v>
      </c>
      <c r="BW63" s="187">
        <f t="shared" si="177"/>
        <v>0</v>
      </c>
      <c r="BX63" s="187">
        <f t="shared" si="178"/>
        <v>0</v>
      </c>
      <c r="BY63" s="187">
        <f t="shared" si="179"/>
        <v>2</v>
      </c>
      <c r="BZ63" s="187">
        <f t="shared" si="180"/>
        <v>-4</v>
      </c>
      <c r="CA63" s="167">
        <f t="shared" si="181"/>
        <v>68</v>
      </c>
      <c r="CB63" s="167">
        <f t="shared" si="47"/>
        <v>100</v>
      </c>
      <c r="CC63" s="644">
        <f t="shared" si="48"/>
        <v>23</v>
      </c>
      <c r="CD63" s="644">
        <f t="shared" si="49"/>
        <v>19</v>
      </c>
      <c r="CE63" s="644">
        <f t="shared" si="50"/>
        <v>15</v>
      </c>
      <c r="CF63" s="644">
        <f t="shared" si="51"/>
        <v>15</v>
      </c>
      <c r="CG63" s="644">
        <f t="shared" si="52"/>
        <v>9</v>
      </c>
      <c r="CH63" s="644">
        <f t="shared" si="123"/>
        <v>7</v>
      </c>
      <c r="CI63" s="644">
        <f t="shared" si="54"/>
        <v>7</v>
      </c>
      <c r="CJ63" s="644">
        <f t="shared" si="55"/>
        <v>5</v>
      </c>
      <c r="CK63" s="644">
        <f t="shared" si="56"/>
        <v>0</v>
      </c>
      <c r="CL63" s="644">
        <f t="shared" si="57"/>
        <v>0</v>
      </c>
      <c r="CM63" s="644">
        <f t="shared" si="58"/>
        <v>0</v>
      </c>
      <c r="CN63" s="644">
        <f t="shared" si="59"/>
        <v>0</v>
      </c>
      <c r="CO63" s="644">
        <f t="shared" si="60"/>
        <v>0</v>
      </c>
      <c r="CP63" s="644">
        <f t="shared" si="61"/>
        <v>3</v>
      </c>
      <c r="CQ63" s="644">
        <f t="shared" si="62"/>
        <v>0</v>
      </c>
      <c r="CR63" s="644">
        <f t="shared" si="63"/>
        <v>0</v>
      </c>
      <c r="CS63" s="644">
        <f t="shared" si="64"/>
        <v>0</v>
      </c>
      <c r="CT63" s="644">
        <f t="shared" si="65"/>
        <v>0</v>
      </c>
      <c r="CU63" s="644">
        <f t="shared" si="66"/>
        <v>0</v>
      </c>
      <c r="CV63" s="644">
        <f t="shared" si="67"/>
        <v>0</v>
      </c>
      <c r="CW63" s="644">
        <f t="shared" si="68"/>
        <v>0</v>
      </c>
      <c r="CX63" s="644">
        <f t="shared" si="69"/>
        <v>0</v>
      </c>
      <c r="CY63" s="644">
        <f t="shared" si="70"/>
        <v>0</v>
      </c>
      <c r="CZ63" s="624" t="s">
        <v>805</v>
      </c>
      <c r="DA63" s="257"/>
    </row>
    <row r="64" spans="1:105">
      <c r="A64" s="249" t="s">
        <v>169</v>
      </c>
      <c r="B64" s="187"/>
      <c r="C64" s="644"/>
      <c r="D64" s="258">
        <v>1</v>
      </c>
      <c r="E64" s="644">
        <v>1</v>
      </c>
      <c r="F64" s="251"/>
      <c r="G64" s="251"/>
      <c r="H64" s="251"/>
      <c r="I64" s="251"/>
      <c r="J64" s="644"/>
      <c r="K64" s="644"/>
      <c r="L64" s="644"/>
      <c r="M64" s="644"/>
      <c r="N64" s="644"/>
      <c r="O64" s="644"/>
      <c r="P64" s="644"/>
      <c r="Q64" s="644"/>
      <c r="R64" s="644">
        <v>1</v>
      </c>
      <c r="S64" s="644"/>
      <c r="T64" s="644"/>
      <c r="U64" s="644">
        <v>1</v>
      </c>
      <c r="V64" s="644"/>
      <c r="W64" s="644"/>
      <c r="X64" s="644"/>
      <c r="Y64" s="644"/>
      <c r="Z64" s="258">
        <v>1</v>
      </c>
      <c r="AA64" s="644"/>
      <c r="AB64" s="258">
        <v>1</v>
      </c>
      <c r="AC64" s="258">
        <v>1</v>
      </c>
      <c r="AD64" s="258">
        <v>1</v>
      </c>
      <c r="AE64" s="644"/>
      <c r="AF64" s="644"/>
      <c r="AG64" s="644"/>
      <c r="AH64" s="644"/>
      <c r="AI64" s="644"/>
      <c r="AJ64" s="644"/>
      <c r="AK64" s="644"/>
      <c r="AL64" s="167">
        <v>8</v>
      </c>
      <c r="AM64" s="185" t="s">
        <v>1125</v>
      </c>
      <c r="AN64" s="186">
        <v>42010</v>
      </c>
      <c r="AO64" s="187"/>
      <c r="AP64" s="187">
        <f t="shared" si="148"/>
        <v>0</v>
      </c>
      <c r="AQ64" s="187">
        <f t="shared" si="149"/>
        <v>0</v>
      </c>
      <c r="AR64" s="187">
        <f t="shared" si="150"/>
        <v>13</v>
      </c>
      <c r="AS64" s="187">
        <f t="shared" si="151"/>
        <v>13</v>
      </c>
      <c r="AT64" s="187">
        <f t="shared" si="152"/>
        <v>9</v>
      </c>
      <c r="AU64" s="187">
        <f t="shared" si="153"/>
        <v>9</v>
      </c>
      <c r="AV64" s="187">
        <f t="shared" si="154"/>
        <v>9</v>
      </c>
      <c r="AW64" s="187">
        <f t="shared" si="155"/>
        <v>0</v>
      </c>
      <c r="AX64" s="187">
        <f t="shared" si="156"/>
        <v>7</v>
      </c>
      <c r="AY64" s="187">
        <f t="shared" si="157"/>
        <v>7</v>
      </c>
      <c r="AZ64" s="187">
        <f t="shared" si="158"/>
        <v>0</v>
      </c>
      <c r="BA64" s="187">
        <f t="shared" si="159"/>
        <v>7</v>
      </c>
      <c r="BB64" s="187">
        <f t="shared" si="160"/>
        <v>0</v>
      </c>
      <c r="BC64" s="187">
        <f t="shared" si="161"/>
        <v>0</v>
      </c>
      <c r="BD64" s="187">
        <f t="shared" si="162"/>
        <v>0</v>
      </c>
      <c r="BE64" s="187">
        <f t="shared" si="163"/>
        <v>0</v>
      </c>
      <c r="BF64" s="187">
        <f t="shared" si="164"/>
        <v>0</v>
      </c>
      <c r="BG64" s="187">
        <f t="shared" si="165"/>
        <v>0</v>
      </c>
      <c r="BH64" s="187">
        <f t="shared" si="166"/>
        <v>0</v>
      </c>
      <c r="BI64" s="187">
        <f t="shared" si="167"/>
        <v>0</v>
      </c>
      <c r="BJ64" s="187">
        <f t="shared" si="168"/>
        <v>0</v>
      </c>
      <c r="BK64" s="187">
        <f t="shared" si="169"/>
        <v>0</v>
      </c>
      <c r="BL64" s="187">
        <f t="shared" si="170"/>
        <v>0</v>
      </c>
      <c r="BM64" s="187">
        <f t="shared" si="171"/>
        <v>0</v>
      </c>
      <c r="BN64" s="188">
        <f t="shared" si="172"/>
        <v>2</v>
      </c>
      <c r="BO64" s="187">
        <f t="shared" si="173"/>
        <v>0</v>
      </c>
      <c r="BP64" s="187">
        <f t="shared" ref="BP64:BQ64" si="224">IF(G64=1,1,0)</f>
        <v>0</v>
      </c>
      <c r="BQ64" s="187">
        <f t="shared" si="224"/>
        <v>0</v>
      </c>
      <c r="BR64" s="187">
        <f t="shared" ref="BR64:BT64" si="225">IF(K64=1,1,0)</f>
        <v>0</v>
      </c>
      <c r="BS64" s="187">
        <f t="shared" si="225"/>
        <v>0</v>
      </c>
      <c r="BT64" s="187">
        <f t="shared" si="225"/>
        <v>0</v>
      </c>
      <c r="BU64" s="187">
        <f t="shared" ref="BU64:BV64" si="226">IF(P64=1,1,0)</f>
        <v>0</v>
      </c>
      <c r="BV64" s="187">
        <f t="shared" si="226"/>
        <v>0</v>
      </c>
      <c r="BW64" s="187">
        <f t="shared" si="177"/>
        <v>0</v>
      </c>
      <c r="BX64" s="187">
        <f t="shared" si="178"/>
        <v>0</v>
      </c>
      <c r="BY64" s="187">
        <f t="shared" si="179"/>
        <v>2</v>
      </c>
      <c r="BZ64" s="187">
        <f t="shared" si="180"/>
        <v>-4</v>
      </c>
      <c r="CA64" s="167">
        <f t="shared" si="181"/>
        <v>70</v>
      </c>
      <c r="CB64" s="167">
        <f t="shared" si="47"/>
        <v>88</v>
      </c>
      <c r="CC64" s="644">
        <f t="shared" si="48"/>
        <v>23</v>
      </c>
      <c r="CD64" s="644">
        <f t="shared" si="49"/>
        <v>19</v>
      </c>
      <c r="CE64" s="644">
        <f t="shared" si="50"/>
        <v>0</v>
      </c>
      <c r="CF64" s="644">
        <f t="shared" si="51"/>
        <v>15</v>
      </c>
      <c r="CG64" s="644">
        <f t="shared" si="52"/>
        <v>9</v>
      </c>
      <c r="CH64" s="644">
        <f t="shared" si="123"/>
        <v>7</v>
      </c>
      <c r="CI64" s="644">
        <f t="shared" si="54"/>
        <v>7</v>
      </c>
      <c r="CJ64" s="644">
        <f t="shared" si="55"/>
        <v>5</v>
      </c>
      <c r="CK64" s="644">
        <f t="shared" si="56"/>
        <v>0</v>
      </c>
      <c r="CL64" s="644">
        <f t="shared" si="57"/>
        <v>0</v>
      </c>
      <c r="CM64" s="644">
        <f t="shared" si="58"/>
        <v>0</v>
      </c>
      <c r="CN64" s="644">
        <f t="shared" si="59"/>
        <v>0</v>
      </c>
      <c r="CO64" s="644">
        <f t="shared" si="60"/>
        <v>0</v>
      </c>
      <c r="CP64" s="644">
        <f t="shared" si="61"/>
        <v>3</v>
      </c>
      <c r="CQ64" s="644">
        <f t="shared" si="62"/>
        <v>0</v>
      </c>
      <c r="CR64" s="644">
        <f t="shared" si="63"/>
        <v>0</v>
      </c>
      <c r="CS64" s="644">
        <f t="shared" si="64"/>
        <v>0</v>
      </c>
      <c r="CT64" s="644">
        <f t="shared" si="65"/>
        <v>0</v>
      </c>
      <c r="CU64" s="644">
        <f t="shared" si="66"/>
        <v>0</v>
      </c>
      <c r="CV64" s="644">
        <f t="shared" si="67"/>
        <v>0</v>
      </c>
      <c r="CW64" s="644">
        <f t="shared" si="68"/>
        <v>0</v>
      </c>
      <c r="CX64" s="644">
        <f t="shared" si="69"/>
        <v>0</v>
      </c>
      <c r="CY64" s="644">
        <f t="shared" si="70"/>
        <v>0</v>
      </c>
      <c r="CZ64" s="624" t="s">
        <v>1126</v>
      </c>
      <c r="DA64" s="257"/>
    </row>
    <row r="65" spans="1:105">
      <c r="A65" s="249" t="s">
        <v>170</v>
      </c>
      <c r="B65" s="187"/>
      <c r="C65" s="644"/>
      <c r="D65" s="644"/>
      <c r="E65" s="644">
        <v>1</v>
      </c>
      <c r="F65" s="251">
        <v>1</v>
      </c>
      <c r="G65" s="251"/>
      <c r="H65" s="251"/>
      <c r="I65" s="251">
        <v>1</v>
      </c>
      <c r="J65" s="644"/>
      <c r="K65" s="644"/>
      <c r="L65" s="644"/>
      <c r="M65" s="644"/>
      <c r="N65" s="644"/>
      <c r="O65" s="644"/>
      <c r="P65" s="644"/>
      <c r="Q65" s="644"/>
      <c r="R65" s="644">
        <v>1</v>
      </c>
      <c r="S65" s="644">
        <v>1</v>
      </c>
      <c r="T65" s="644"/>
      <c r="U65" s="644">
        <v>1</v>
      </c>
      <c r="V65" s="644"/>
      <c r="W65" s="644"/>
      <c r="X65" s="644"/>
      <c r="Y65" s="644"/>
      <c r="Z65" s="644"/>
      <c r="AA65" s="644"/>
      <c r="AB65" s="644"/>
      <c r="AC65" s="644">
        <v>1</v>
      </c>
      <c r="AD65" s="644"/>
      <c r="AE65" s="644"/>
      <c r="AF65" s="644"/>
      <c r="AG65" s="644"/>
      <c r="AH65" s="644">
        <v>1</v>
      </c>
      <c r="AI65" s="644"/>
      <c r="AJ65" s="644">
        <v>1</v>
      </c>
      <c r="AK65" s="644">
        <v>1</v>
      </c>
      <c r="AL65" s="167">
        <v>10</v>
      </c>
      <c r="AM65" s="185" t="s">
        <v>1127</v>
      </c>
      <c r="AN65" s="186">
        <v>42010</v>
      </c>
      <c r="AO65" s="187"/>
      <c r="AP65" s="187">
        <f t="shared" si="148"/>
        <v>13</v>
      </c>
      <c r="AQ65" s="187">
        <f t="shared" si="149"/>
        <v>13</v>
      </c>
      <c r="AR65" s="187">
        <f t="shared" si="150"/>
        <v>13</v>
      </c>
      <c r="AS65" s="187">
        <f t="shared" si="151"/>
        <v>13</v>
      </c>
      <c r="AT65" s="187">
        <f t="shared" si="152"/>
        <v>0</v>
      </c>
      <c r="AU65" s="187">
        <f t="shared" si="153"/>
        <v>0</v>
      </c>
      <c r="AV65" s="187">
        <f t="shared" si="154"/>
        <v>9</v>
      </c>
      <c r="AW65" s="187">
        <f t="shared" si="155"/>
        <v>7</v>
      </c>
      <c r="AX65" s="187">
        <f t="shared" si="156"/>
        <v>0</v>
      </c>
      <c r="AY65" s="187">
        <f t="shared" si="157"/>
        <v>0</v>
      </c>
      <c r="AZ65" s="187">
        <f t="shared" si="158"/>
        <v>7</v>
      </c>
      <c r="BA65" s="187">
        <f t="shared" si="159"/>
        <v>7</v>
      </c>
      <c r="BB65" s="187">
        <f t="shared" si="160"/>
        <v>4</v>
      </c>
      <c r="BC65" s="187">
        <f t="shared" si="161"/>
        <v>0</v>
      </c>
      <c r="BD65" s="187">
        <f t="shared" si="162"/>
        <v>0</v>
      </c>
      <c r="BE65" s="187">
        <f t="shared" si="163"/>
        <v>0</v>
      </c>
      <c r="BF65" s="187">
        <f t="shared" si="164"/>
        <v>0</v>
      </c>
      <c r="BG65" s="187">
        <f t="shared" si="165"/>
        <v>0</v>
      </c>
      <c r="BH65" s="187">
        <f t="shared" si="166"/>
        <v>2</v>
      </c>
      <c r="BI65" s="187">
        <f t="shared" si="167"/>
        <v>0</v>
      </c>
      <c r="BJ65" s="187">
        <f t="shared" si="168"/>
        <v>0</v>
      </c>
      <c r="BK65" s="187">
        <f t="shared" si="169"/>
        <v>0</v>
      </c>
      <c r="BL65" s="187">
        <f t="shared" si="170"/>
        <v>0</v>
      </c>
      <c r="BM65" s="187">
        <f t="shared" si="171"/>
        <v>0</v>
      </c>
      <c r="BN65" s="188">
        <f t="shared" si="172"/>
        <v>0</v>
      </c>
      <c r="BO65" s="187">
        <f t="shared" si="173"/>
        <v>0</v>
      </c>
      <c r="BP65" s="187">
        <f t="shared" ref="BP65:BQ65" si="227">IF(G65=1,1,0)</f>
        <v>0</v>
      </c>
      <c r="BQ65" s="187">
        <f t="shared" si="227"/>
        <v>0</v>
      </c>
      <c r="BR65" s="187">
        <f t="shared" ref="BR65:BT65" si="228">IF(K65=1,1,0)</f>
        <v>0</v>
      </c>
      <c r="BS65" s="187">
        <f t="shared" si="228"/>
        <v>0</v>
      </c>
      <c r="BT65" s="187">
        <f t="shared" si="228"/>
        <v>0</v>
      </c>
      <c r="BU65" s="187">
        <f t="shared" ref="BU65:BV65" si="229">IF(P65=1,1,0)</f>
        <v>0</v>
      </c>
      <c r="BV65" s="187">
        <f t="shared" si="229"/>
        <v>0</v>
      </c>
      <c r="BW65" s="187">
        <f t="shared" si="177"/>
        <v>0</v>
      </c>
      <c r="BX65" s="187">
        <f t="shared" si="178"/>
        <v>0</v>
      </c>
      <c r="BY65" s="187">
        <f t="shared" si="179"/>
        <v>0</v>
      </c>
      <c r="BZ65" s="187">
        <f t="shared" si="180"/>
        <v>0</v>
      </c>
      <c r="CA65" s="167">
        <f t="shared" si="181"/>
        <v>88</v>
      </c>
      <c r="CB65" s="167">
        <f t="shared" si="47"/>
        <v>96</v>
      </c>
      <c r="CC65" s="644">
        <f t="shared" si="48"/>
        <v>23</v>
      </c>
      <c r="CD65" s="644">
        <f t="shared" si="49"/>
        <v>19</v>
      </c>
      <c r="CE65" s="644">
        <f t="shared" si="50"/>
        <v>15</v>
      </c>
      <c r="CF65" s="644">
        <f t="shared" si="51"/>
        <v>15</v>
      </c>
      <c r="CG65" s="644">
        <f t="shared" si="52"/>
        <v>0</v>
      </c>
      <c r="CH65" s="644">
        <f t="shared" si="123"/>
        <v>7</v>
      </c>
      <c r="CI65" s="644">
        <f t="shared" si="54"/>
        <v>7</v>
      </c>
      <c r="CJ65" s="644">
        <f t="shared" si="55"/>
        <v>0</v>
      </c>
      <c r="CK65" s="644">
        <f t="shared" si="56"/>
        <v>5</v>
      </c>
      <c r="CL65" s="644">
        <f t="shared" si="57"/>
        <v>5</v>
      </c>
      <c r="CM65" s="644">
        <f t="shared" si="58"/>
        <v>0</v>
      </c>
      <c r="CN65" s="644">
        <f t="shared" si="59"/>
        <v>0</v>
      </c>
      <c r="CO65" s="644">
        <f t="shared" si="60"/>
        <v>3</v>
      </c>
      <c r="CP65" s="644">
        <f t="shared" si="61"/>
        <v>0</v>
      </c>
      <c r="CQ65" s="644">
        <f t="shared" si="62"/>
        <v>2</v>
      </c>
      <c r="CR65" s="644">
        <f t="shared" si="63"/>
        <v>0</v>
      </c>
      <c r="CS65" s="644">
        <f t="shared" si="64"/>
        <v>2</v>
      </c>
      <c r="CT65" s="644">
        <f t="shared" si="65"/>
        <v>0</v>
      </c>
      <c r="CU65" s="644">
        <f t="shared" si="66"/>
        <v>0</v>
      </c>
      <c r="CV65" s="644">
        <f t="shared" si="67"/>
        <v>0</v>
      </c>
      <c r="CW65" s="644">
        <f t="shared" si="68"/>
        <v>0</v>
      </c>
      <c r="CX65" s="644">
        <f t="shared" si="69"/>
        <v>0</v>
      </c>
      <c r="CY65" s="644">
        <f t="shared" si="70"/>
        <v>0</v>
      </c>
      <c r="CZ65" s="624" t="s">
        <v>809</v>
      </c>
      <c r="DA65" s="257"/>
    </row>
    <row r="66" spans="1:105">
      <c r="A66" s="249" t="s">
        <v>172</v>
      </c>
      <c r="B66" s="187"/>
      <c r="C66" s="644"/>
      <c r="D66" s="644">
        <v>1</v>
      </c>
      <c r="E66" s="644"/>
      <c r="F66" s="251">
        <v>1</v>
      </c>
      <c r="G66" s="251"/>
      <c r="H66" s="251"/>
      <c r="I66" s="251">
        <v>1</v>
      </c>
      <c r="J66" s="644"/>
      <c r="K66" s="644"/>
      <c r="L66" s="644"/>
      <c r="M66" s="644"/>
      <c r="N66" s="644"/>
      <c r="O66" s="644"/>
      <c r="P66" s="644"/>
      <c r="Q66" s="644"/>
      <c r="R66" s="644">
        <v>1</v>
      </c>
      <c r="S66" s="644"/>
      <c r="T66" s="644"/>
      <c r="U66" s="644">
        <v>1</v>
      </c>
      <c r="V66" s="644"/>
      <c r="W66" s="644"/>
      <c r="X66" s="644"/>
      <c r="Y66" s="644"/>
      <c r="Z66" s="644">
        <v>1</v>
      </c>
      <c r="AA66" s="644"/>
      <c r="AB66" s="644">
        <v>1</v>
      </c>
      <c r="AC66" s="644"/>
      <c r="AD66" s="644">
        <v>1</v>
      </c>
      <c r="AE66" s="644"/>
      <c r="AF66" s="644"/>
      <c r="AG66" s="644"/>
      <c r="AH66" s="644"/>
      <c r="AI66" s="644"/>
      <c r="AJ66" s="644">
        <v>1</v>
      </c>
      <c r="AK66" s="644">
        <v>1</v>
      </c>
      <c r="AL66" s="167">
        <v>10</v>
      </c>
      <c r="AM66" s="185" t="s">
        <v>1128</v>
      </c>
      <c r="AN66" s="186">
        <v>42007</v>
      </c>
      <c r="AO66" s="187"/>
      <c r="AP66" s="187">
        <f t="shared" si="148"/>
        <v>13</v>
      </c>
      <c r="AQ66" s="187">
        <f t="shared" si="149"/>
        <v>13</v>
      </c>
      <c r="AR66" s="187">
        <f t="shared" si="150"/>
        <v>13</v>
      </c>
      <c r="AS66" s="187">
        <f t="shared" si="151"/>
        <v>13</v>
      </c>
      <c r="AT66" s="187">
        <f t="shared" si="152"/>
        <v>9</v>
      </c>
      <c r="AU66" s="187">
        <f t="shared" si="153"/>
        <v>9</v>
      </c>
      <c r="AV66" s="187">
        <f t="shared" si="154"/>
        <v>0</v>
      </c>
      <c r="AW66" s="187">
        <f t="shared" si="155"/>
        <v>7</v>
      </c>
      <c r="AX66" s="187">
        <f t="shared" si="156"/>
        <v>7</v>
      </c>
      <c r="AY66" s="187">
        <f t="shared" si="157"/>
        <v>7</v>
      </c>
      <c r="AZ66" s="187">
        <f t="shared" si="158"/>
        <v>0</v>
      </c>
      <c r="BA66" s="187">
        <f t="shared" si="159"/>
        <v>0</v>
      </c>
      <c r="BB66" s="187">
        <f t="shared" si="160"/>
        <v>4</v>
      </c>
      <c r="BC66" s="187">
        <f t="shared" si="161"/>
        <v>0</v>
      </c>
      <c r="BD66" s="187">
        <f t="shared" si="162"/>
        <v>0</v>
      </c>
      <c r="BE66" s="187">
        <f t="shared" si="163"/>
        <v>0</v>
      </c>
      <c r="BF66" s="187">
        <f t="shared" si="164"/>
        <v>0</v>
      </c>
      <c r="BG66" s="187">
        <f t="shared" si="165"/>
        <v>0</v>
      </c>
      <c r="BH66" s="187">
        <f t="shared" si="166"/>
        <v>0</v>
      </c>
      <c r="BI66" s="187">
        <f t="shared" si="167"/>
        <v>0</v>
      </c>
      <c r="BJ66" s="187">
        <f t="shared" si="168"/>
        <v>0</v>
      </c>
      <c r="BK66" s="187">
        <f t="shared" si="169"/>
        <v>0</v>
      </c>
      <c r="BL66" s="187">
        <f t="shared" si="170"/>
        <v>0</v>
      </c>
      <c r="BM66" s="187">
        <f t="shared" si="171"/>
        <v>0</v>
      </c>
      <c r="BN66" s="188">
        <f t="shared" si="172"/>
        <v>0</v>
      </c>
      <c r="BO66" s="187">
        <f t="shared" si="173"/>
        <v>0</v>
      </c>
      <c r="BP66" s="187">
        <f t="shared" ref="BP66:BQ66" si="230">IF(G66=1,1,0)</f>
        <v>0</v>
      </c>
      <c r="BQ66" s="187">
        <f t="shared" si="230"/>
        <v>0</v>
      </c>
      <c r="BR66" s="187">
        <f t="shared" ref="BR66:BT66" si="231">IF(K66=1,1,0)</f>
        <v>0</v>
      </c>
      <c r="BS66" s="187">
        <f t="shared" si="231"/>
        <v>0</v>
      </c>
      <c r="BT66" s="187">
        <f t="shared" si="231"/>
        <v>0</v>
      </c>
      <c r="BU66" s="187">
        <f t="shared" ref="BU66:BV66" si="232">IF(P66=1,1,0)</f>
        <v>0</v>
      </c>
      <c r="BV66" s="187">
        <f t="shared" si="232"/>
        <v>0</v>
      </c>
      <c r="BW66" s="187">
        <f t="shared" si="177"/>
        <v>0</v>
      </c>
      <c r="BX66" s="187">
        <f t="shared" si="178"/>
        <v>0</v>
      </c>
      <c r="BY66" s="187">
        <f t="shared" si="179"/>
        <v>0</v>
      </c>
      <c r="BZ66" s="187">
        <f t="shared" si="180"/>
        <v>0</v>
      </c>
      <c r="CA66" s="167">
        <f t="shared" si="181"/>
        <v>95</v>
      </c>
      <c r="CB66" s="167">
        <f t="shared" si="47"/>
        <v>76</v>
      </c>
      <c r="CC66" s="644">
        <f t="shared" si="48"/>
        <v>23</v>
      </c>
      <c r="CD66" s="644">
        <f t="shared" si="49"/>
        <v>19</v>
      </c>
      <c r="CE66" s="644">
        <f t="shared" si="50"/>
        <v>0</v>
      </c>
      <c r="CF66" s="644">
        <f t="shared" si="51"/>
        <v>0</v>
      </c>
      <c r="CG66" s="644">
        <f t="shared" si="52"/>
        <v>9</v>
      </c>
      <c r="CH66" s="644">
        <f t="shared" si="123"/>
        <v>7</v>
      </c>
      <c r="CI66" s="644">
        <f t="shared" si="54"/>
        <v>0</v>
      </c>
      <c r="CJ66" s="644">
        <f t="shared" si="55"/>
        <v>5</v>
      </c>
      <c r="CK66" s="644">
        <f t="shared" si="56"/>
        <v>5</v>
      </c>
      <c r="CL66" s="644">
        <f t="shared" si="57"/>
        <v>5</v>
      </c>
      <c r="CM66" s="644">
        <f t="shared" si="58"/>
        <v>0</v>
      </c>
      <c r="CN66" s="644">
        <f t="shared" si="59"/>
        <v>0</v>
      </c>
      <c r="CO66" s="644">
        <f t="shared" si="60"/>
        <v>3</v>
      </c>
      <c r="CP66" s="644">
        <f t="shared" si="61"/>
        <v>3</v>
      </c>
      <c r="CQ66" s="644">
        <f t="shared" si="62"/>
        <v>0</v>
      </c>
      <c r="CR66" s="644">
        <f t="shared" si="63"/>
        <v>0</v>
      </c>
      <c r="CS66" s="644">
        <f t="shared" si="64"/>
        <v>2</v>
      </c>
      <c r="CT66" s="644">
        <f t="shared" si="65"/>
        <v>0</v>
      </c>
      <c r="CU66" s="644">
        <f t="shared" si="66"/>
        <v>0</v>
      </c>
      <c r="CV66" s="644">
        <f t="shared" si="67"/>
        <v>0</v>
      </c>
      <c r="CW66" s="644">
        <f t="shared" si="68"/>
        <v>0</v>
      </c>
      <c r="CX66" s="644">
        <f t="shared" si="69"/>
        <v>0</v>
      </c>
      <c r="CY66" s="644">
        <f t="shared" si="70"/>
        <v>0</v>
      </c>
      <c r="CZ66" s="624" t="s">
        <v>756</v>
      </c>
      <c r="DA66" s="257"/>
    </row>
    <row r="67" spans="1:105">
      <c r="A67" s="249" t="s">
        <v>175</v>
      </c>
      <c r="B67" s="187"/>
      <c r="C67" s="644"/>
      <c r="D67" s="644">
        <v>1</v>
      </c>
      <c r="E67" s="644">
        <v>1</v>
      </c>
      <c r="F67" s="251"/>
      <c r="G67" s="251"/>
      <c r="H67" s="251"/>
      <c r="I67" s="251"/>
      <c r="J67" s="644"/>
      <c r="K67" s="644"/>
      <c r="L67" s="644"/>
      <c r="M67" s="644"/>
      <c r="N67" s="644"/>
      <c r="O67" s="644"/>
      <c r="P67" s="644"/>
      <c r="Q67" s="644"/>
      <c r="R67" s="644">
        <v>1</v>
      </c>
      <c r="S67" s="644"/>
      <c r="T67" s="644">
        <v>1</v>
      </c>
      <c r="U67" s="644">
        <v>1</v>
      </c>
      <c r="V67" s="644"/>
      <c r="W67" s="644"/>
      <c r="X67" s="644"/>
      <c r="Y67" s="644"/>
      <c r="Z67" s="644">
        <v>1</v>
      </c>
      <c r="AA67" s="644"/>
      <c r="AB67" s="644">
        <v>1</v>
      </c>
      <c r="AC67" s="644">
        <v>1</v>
      </c>
      <c r="AD67" s="644"/>
      <c r="AE67" s="644"/>
      <c r="AF67" s="644"/>
      <c r="AG67" s="644">
        <v>1</v>
      </c>
      <c r="AH67" s="644">
        <v>1</v>
      </c>
      <c r="AI67" s="644"/>
      <c r="AJ67" s="644"/>
      <c r="AK67" s="644"/>
      <c r="AL67" s="167">
        <v>10</v>
      </c>
      <c r="AM67" s="185" t="s">
        <v>1129</v>
      </c>
      <c r="AN67" s="186">
        <v>42000</v>
      </c>
      <c r="AO67" s="187"/>
      <c r="AP67" s="187">
        <f t="shared" si="148"/>
        <v>0</v>
      </c>
      <c r="AQ67" s="187">
        <f t="shared" si="149"/>
        <v>0</v>
      </c>
      <c r="AR67" s="187">
        <f t="shared" si="150"/>
        <v>13</v>
      </c>
      <c r="AS67" s="187">
        <f t="shared" si="151"/>
        <v>13</v>
      </c>
      <c r="AT67" s="187">
        <f t="shared" si="152"/>
        <v>9</v>
      </c>
      <c r="AU67" s="187">
        <f t="shared" si="153"/>
        <v>9</v>
      </c>
      <c r="AV67" s="187">
        <f t="shared" si="154"/>
        <v>9</v>
      </c>
      <c r="AW67" s="187">
        <f t="shared" si="155"/>
        <v>0</v>
      </c>
      <c r="AX67" s="187">
        <f t="shared" si="156"/>
        <v>0</v>
      </c>
      <c r="AY67" s="187">
        <f t="shared" si="157"/>
        <v>7</v>
      </c>
      <c r="AZ67" s="187">
        <f t="shared" si="158"/>
        <v>7</v>
      </c>
      <c r="BA67" s="187">
        <f t="shared" si="159"/>
        <v>7</v>
      </c>
      <c r="BB67" s="187">
        <f t="shared" si="160"/>
        <v>0</v>
      </c>
      <c r="BC67" s="187">
        <f t="shared" si="161"/>
        <v>4</v>
      </c>
      <c r="BD67" s="187">
        <f t="shared" si="162"/>
        <v>0</v>
      </c>
      <c r="BE67" s="187">
        <f t="shared" si="163"/>
        <v>0</v>
      </c>
      <c r="BF67" s="187">
        <f t="shared" si="164"/>
        <v>0</v>
      </c>
      <c r="BG67" s="187">
        <f t="shared" si="165"/>
        <v>0</v>
      </c>
      <c r="BH67" s="187">
        <f t="shared" si="166"/>
        <v>0</v>
      </c>
      <c r="BI67" s="187">
        <f t="shared" si="167"/>
        <v>0</v>
      </c>
      <c r="BJ67" s="187">
        <f t="shared" si="168"/>
        <v>1</v>
      </c>
      <c r="BK67" s="187">
        <f t="shared" si="169"/>
        <v>0</v>
      </c>
      <c r="BL67" s="187">
        <f t="shared" si="170"/>
        <v>0</v>
      </c>
      <c r="BM67" s="187">
        <f t="shared" si="171"/>
        <v>0</v>
      </c>
      <c r="BN67" s="188">
        <f t="shared" si="172"/>
        <v>0</v>
      </c>
      <c r="BO67" s="187">
        <f t="shared" si="173"/>
        <v>0</v>
      </c>
      <c r="BP67" s="187">
        <f t="shared" ref="BP67:BQ67" si="233">IF(G67=1,1,0)</f>
        <v>0</v>
      </c>
      <c r="BQ67" s="187">
        <f t="shared" si="233"/>
        <v>0</v>
      </c>
      <c r="BR67" s="187">
        <f t="shared" ref="BR67:BT67" si="234">IF(K67=1,1,0)</f>
        <v>0</v>
      </c>
      <c r="BS67" s="187">
        <f t="shared" si="234"/>
        <v>0</v>
      </c>
      <c r="BT67" s="187">
        <f t="shared" si="234"/>
        <v>0</v>
      </c>
      <c r="BU67" s="187">
        <f t="shared" ref="BU67:BV67" si="235">IF(P67=1,1,0)</f>
        <v>0</v>
      </c>
      <c r="BV67" s="187">
        <f t="shared" si="235"/>
        <v>0</v>
      </c>
      <c r="BW67" s="187">
        <f t="shared" si="177"/>
        <v>0</v>
      </c>
      <c r="BX67" s="187">
        <f t="shared" si="178"/>
        <v>0</v>
      </c>
      <c r="BY67" s="187">
        <f t="shared" si="179"/>
        <v>0</v>
      </c>
      <c r="BZ67" s="187">
        <f t="shared" si="180"/>
        <v>0</v>
      </c>
      <c r="CA67" s="167">
        <f t="shared" si="181"/>
        <v>79</v>
      </c>
      <c r="CB67" s="167">
        <f t="shared" si="47"/>
        <v>98</v>
      </c>
      <c r="CC67" s="644">
        <f t="shared" si="48"/>
        <v>23</v>
      </c>
      <c r="CD67" s="644">
        <f t="shared" si="49"/>
        <v>19</v>
      </c>
      <c r="CE67" s="644">
        <f t="shared" si="50"/>
        <v>15</v>
      </c>
      <c r="CF67" s="644">
        <f t="shared" si="51"/>
        <v>15</v>
      </c>
      <c r="CG67" s="644">
        <f t="shared" si="52"/>
        <v>9</v>
      </c>
      <c r="CH67" s="644">
        <f t="shared" si="123"/>
        <v>7</v>
      </c>
      <c r="CI67" s="644">
        <f t="shared" si="54"/>
        <v>7</v>
      </c>
      <c r="CJ67" s="644">
        <f t="shared" si="55"/>
        <v>0</v>
      </c>
      <c r="CK67" s="644">
        <f t="shared" si="56"/>
        <v>0</v>
      </c>
      <c r="CL67" s="644">
        <f t="shared" si="57"/>
        <v>0</v>
      </c>
      <c r="CM67" s="644">
        <f t="shared" si="58"/>
        <v>3</v>
      </c>
      <c r="CN67" s="644">
        <f t="shared" si="59"/>
        <v>3</v>
      </c>
      <c r="CO67" s="644">
        <f t="shared" si="60"/>
        <v>0</v>
      </c>
      <c r="CP67" s="644">
        <f t="shared" si="61"/>
        <v>3</v>
      </c>
      <c r="CQ67" s="644">
        <f t="shared" si="62"/>
        <v>0</v>
      </c>
      <c r="CR67" s="644">
        <f t="shared" si="63"/>
        <v>0</v>
      </c>
      <c r="CS67" s="644">
        <f t="shared" si="64"/>
        <v>0</v>
      </c>
      <c r="CT67" s="644">
        <f t="shared" si="65"/>
        <v>0</v>
      </c>
      <c r="CU67" s="644">
        <f t="shared" si="66"/>
        <v>0</v>
      </c>
      <c r="CV67" s="644">
        <f t="shared" si="67"/>
        <v>0</v>
      </c>
      <c r="CW67" s="644">
        <f t="shared" si="68"/>
        <v>0</v>
      </c>
      <c r="CX67" s="644">
        <f t="shared" si="69"/>
        <v>0</v>
      </c>
      <c r="CY67" s="644">
        <f t="shared" si="70"/>
        <v>0</v>
      </c>
      <c r="CZ67" s="624" t="s">
        <v>756</v>
      </c>
      <c r="DA67" s="257"/>
    </row>
    <row r="68" spans="1:105">
      <c r="A68" s="249" t="s">
        <v>176</v>
      </c>
      <c r="B68" s="187"/>
      <c r="C68" s="644"/>
      <c r="D68" s="644"/>
      <c r="E68" s="644">
        <v>1</v>
      </c>
      <c r="F68" s="251">
        <v>1</v>
      </c>
      <c r="G68" s="251"/>
      <c r="H68" s="251"/>
      <c r="I68" s="251">
        <v>1</v>
      </c>
      <c r="J68" s="644"/>
      <c r="K68" s="644"/>
      <c r="L68" s="644"/>
      <c r="M68" s="644"/>
      <c r="N68" s="644"/>
      <c r="O68" s="644"/>
      <c r="P68" s="644"/>
      <c r="Q68" s="644"/>
      <c r="R68" s="644">
        <v>1</v>
      </c>
      <c r="S68" s="644"/>
      <c r="T68" s="644"/>
      <c r="U68" s="644">
        <v>1</v>
      </c>
      <c r="V68" s="644"/>
      <c r="W68" s="644"/>
      <c r="X68" s="644"/>
      <c r="Y68" s="644"/>
      <c r="Z68" s="644"/>
      <c r="AA68" s="644"/>
      <c r="AB68" s="644">
        <v>1</v>
      </c>
      <c r="AC68" s="644"/>
      <c r="AD68" s="644"/>
      <c r="AE68" s="644"/>
      <c r="AF68" s="644"/>
      <c r="AG68" s="644"/>
      <c r="AH68" s="644">
        <v>1</v>
      </c>
      <c r="AI68" s="644">
        <v>1</v>
      </c>
      <c r="AJ68" s="644"/>
      <c r="AK68" s="644"/>
      <c r="AL68" s="167">
        <v>8</v>
      </c>
      <c r="AM68" s="185" t="s">
        <v>1130</v>
      </c>
      <c r="AN68" s="186">
        <v>41997</v>
      </c>
      <c r="AO68" s="187"/>
      <c r="AP68" s="187">
        <f t="shared" si="148"/>
        <v>13</v>
      </c>
      <c r="AQ68" s="187">
        <f t="shared" si="149"/>
        <v>13</v>
      </c>
      <c r="AR68" s="187">
        <f t="shared" si="150"/>
        <v>13</v>
      </c>
      <c r="AS68" s="187">
        <f t="shared" si="151"/>
        <v>13</v>
      </c>
      <c r="AT68" s="187">
        <f t="shared" si="152"/>
        <v>9</v>
      </c>
      <c r="AU68" s="187">
        <f t="shared" si="153"/>
        <v>0</v>
      </c>
      <c r="AV68" s="187">
        <f t="shared" si="154"/>
        <v>0</v>
      </c>
      <c r="AW68" s="187">
        <f t="shared" si="155"/>
        <v>0</v>
      </c>
      <c r="AX68" s="187">
        <f t="shared" si="156"/>
        <v>0</v>
      </c>
      <c r="AY68" s="187">
        <f t="shared" si="157"/>
        <v>0</v>
      </c>
      <c r="AZ68" s="187">
        <f t="shared" si="158"/>
        <v>7</v>
      </c>
      <c r="BA68" s="187">
        <f t="shared" si="159"/>
        <v>7</v>
      </c>
      <c r="BB68" s="187">
        <f t="shared" si="160"/>
        <v>0</v>
      </c>
      <c r="BC68" s="187">
        <f t="shared" si="161"/>
        <v>0</v>
      </c>
      <c r="BD68" s="187">
        <f t="shared" si="162"/>
        <v>0</v>
      </c>
      <c r="BE68" s="187">
        <f t="shared" si="163"/>
        <v>0</v>
      </c>
      <c r="BF68" s="187">
        <f t="shared" si="164"/>
        <v>0</v>
      </c>
      <c r="BG68" s="187">
        <f t="shared" si="165"/>
        <v>2</v>
      </c>
      <c r="BH68" s="187">
        <f t="shared" si="166"/>
        <v>0</v>
      </c>
      <c r="BI68" s="187">
        <f t="shared" si="167"/>
        <v>0</v>
      </c>
      <c r="BJ68" s="187">
        <f t="shared" si="168"/>
        <v>0</v>
      </c>
      <c r="BK68" s="187">
        <f t="shared" si="169"/>
        <v>0</v>
      </c>
      <c r="BL68" s="187">
        <f t="shared" si="170"/>
        <v>0</v>
      </c>
      <c r="BM68" s="187">
        <f t="shared" si="171"/>
        <v>0</v>
      </c>
      <c r="BN68" s="188">
        <f t="shared" si="172"/>
        <v>2</v>
      </c>
      <c r="BO68" s="187">
        <f t="shared" si="173"/>
        <v>0</v>
      </c>
      <c r="BP68" s="187">
        <f t="shared" ref="BP68:BQ68" si="236">IF(G68=1,1,0)</f>
        <v>0</v>
      </c>
      <c r="BQ68" s="187">
        <f t="shared" si="236"/>
        <v>0</v>
      </c>
      <c r="BR68" s="187">
        <f t="shared" ref="BR68:BT68" si="237">IF(K68=1,1,0)</f>
        <v>0</v>
      </c>
      <c r="BS68" s="187">
        <f t="shared" si="237"/>
        <v>0</v>
      </c>
      <c r="BT68" s="187">
        <f t="shared" si="237"/>
        <v>0</v>
      </c>
      <c r="BU68" s="187">
        <f t="shared" ref="BU68:BV68" si="238">IF(P68=1,1,0)</f>
        <v>0</v>
      </c>
      <c r="BV68" s="187">
        <f t="shared" si="238"/>
        <v>0</v>
      </c>
      <c r="BW68" s="187">
        <f t="shared" si="177"/>
        <v>0</v>
      </c>
      <c r="BX68" s="187">
        <f t="shared" si="178"/>
        <v>0</v>
      </c>
      <c r="BY68" s="187">
        <f t="shared" si="179"/>
        <v>2</v>
      </c>
      <c r="BZ68" s="187">
        <f t="shared" si="180"/>
        <v>-4</v>
      </c>
      <c r="CA68" s="167">
        <f t="shared" si="181"/>
        <v>73</v>
      </c>
      <c r="CB68" s="167">
        <f t="shared" si="47"/>
        <v>92</v>
      </c>
      <c r="CC68" s="644">
        <f t="shared" si="48"/>
        <v>23</v>
      </c>
      <c r="CD68" s="644">
        <f t="shared" si="49"/>
        <v>19</v>
      </c>
      <c r="CE68" s="644">
        <f t="shared" si="50"/>
        <v>15</v>
      </c>
      <c r="CF68" s="644">
        <f t="shared" si="51"/>
        <v>15</v>
      </c>
      <c r="CG68" s="644">
        <f t="shared" si="52"/>
        <v>9</v>
      </c>
      <c r="CH68" s="644">
        <f t="shared" si="123"/>
        <v>0</v>
      </c>
      <c r="CI68" s="644">
        <f t="shared" si="54"/>
        <v>0</v>
      </c>
      <c r="CJ68" s="644">
        <f t="shared" si="55"/>
        <v>0</v>
      </c>
      <c r="CK68" s="644">
        <f t="shared" si="56"/>
        <v>5</v>
      </c>
      <c r="CL68" s="644">
        <f t="shared" si="57"/>
        <v>5</v>
      </c>
      <c r="CM68" s="644">
        <f t="shared" si="58"/>
        <v>0</v>
      </c>
      <c r="CN68" s="644">
        <f t="shared" si="59"/>
        <v>0</v>
      </c>
      <c r="CO68" s="644">
        <f t="shared" si="60"/>
        <v>0</v>
      </c>
      <c r="CP68" s="644">
        <f t="shared" si="61"/>
        <v>0</v>
      </c>
      <c r="CQ68" s="644">
        <f t="shared" si="62"/>
        <v>0</v>
      </c>
      <c r="CR68" s="644">
        <f t="shared" si="63"/>
        <v>0</v>
      </c>
      <c r="CS68" s="644">
        <f t="shared" si="64"/>
        <v>0</v>
      </c>
      <c r="CT68" s="644">
        <f t="shared" si="65"/>
        <v>0</v>
      </c>
      <c r="CU68" s="644">
        <f t="shared" si="66"/>
        <v>0</v>
      </c>
      <c r="CV68" s="644">
        <f t="shared" si="67"/>
        <v>0</v>
      </c>
      <c r="CW68" s="644">
        <f t="shared" si="68"/>
        <v>1</v>
      </c>
      <c r="CX68" s="644">
        <f t="shared" si="69"/>
        <v>0</v>
      </c>
      <c r="CY68" s="644">
        <f t="shared" si="70"/>
        <v>0</v>
      </c>
      <c r="CZ68" s="624" t="s">
        <v>814</v>
      </c>
      <c r="DA68" s="257"/>
    </row>
    <row r="69" spans="1:105">
      <c r="A69" s="249" t="s">
        <v>177</v>
      </c>
      <c r="B69" s="187"/>
      <c r="C69" s="644"/>
      <c r="D69" s="644"/>
      <c r="E69" s="644">
        <v>1</v>
      </c>
      <c r="F69" s="251"/>
      <c r="G69" s="251"/>
      <c r="H69" s="251"/>
      <c r="I69" s="251"/>
      <c r="J69" s="644"/>
      <c r="K69" s="644"/>
      <c r="L69" s="644"/>
      <c r="M69" s="644"/>
      <c r="N69" s="644"/>
      <c r="O69" s="644"/>
      <c r="P69" s="644"/>
      <c r="Q69" s="644"/>
      <c r="R69" s="644">
        <v>1</v>
      </c>
      <c r="S69" s="644">
        <v>1</v>
      </c>
      <c r="T69" s="644"/>
      <c r="U69" s="644">
        <v>1</v>
      </c>
      <c r="V69" s="644"/>
      <c r="W69" s="644"/>
      <c r="X69" s="644"/>
      <c r="Y69" s="644"/>
      <c r="Z69" s="644">
        <v>1</v>
      </c>
      <c r="AA69" s="644"/>
      <c r="AB69" s="644"/>
      <c r="AC69" s="644">
        <v>1</v>
      </c>
      <c r="AD69" s="258">
        <v>1</v>
      </c>
      <c r="AE69" s="644"/>
      <c r="AF69" s="644"/>
      <c r="AG69" s="644">
        <v>1</v>
      </c>
      <c r="AH69" s="644">
        <v>1</v>
      </c>
      <c r="AI69" s="644"/>
      <c r="AJ69" s="644">
        <v>1</v>
      </c>
      <c r="AK69" s="644"/>
      <c r="AL69" s="167">
        <v>10</v>
      </c>
      <c r="AM69" s="185" t="s">
        <v>1131</v>
      </c>
      <c r="AN69" s="186">
        <v>42010</v>
      </c>
      <c r="AO69" s="187"/>
      <c r="AP69" s="187">
        <f t="shared" si="148"/>
        <v>0</v>
      </c>
      <c r="AQ69" s="187">
        <f t="shared" si="149"/>
        <v>0</v>
      </c>
      <c r="AR69" s="187">
        <f t="shared" si="150"/>
        <v>13</v>
      </c>
      <c r="AS69" s="187">
        <f t="shared" si="151"/>
        <v>13</v>
      </c>
      <c r="AT69" s="187">
        <f t="shared" si="152"/>
        <v>0</v>
      </c>
      <c r="AU69" s="187">
        <f t="shared" si="153"/>
        <v>0</v>
      </c>
      <c r="AV69" s="187">
        <f t="shared" si="154"/>
        <v>9</v>
      </c>
      <c r="AW69" s="187">
        <f t="shared" si="155"/>
        <v>7</v>
      </c>
      <c r="AX69" s="187">
        <f t="shared" si="156"/>
        <v>7</v>
      </c>
      <c r="AY69" s="187">
        <f t="shared" si="157"/>
        <v>7</v>
      </c>
      <c r="AZ69" s="187">
        <f t="shared" si="158"/>
        <v>7</v>
      </c>
      <c r="BA69" s="187">
        <f t="shared" si="159"/>
        <v>7</v>
      </c>
      <c r="BB69" s="187">
        <f t="shared" si="160"/>
        <v>0</v>
      </c>
      <c r="BC69" s="187">
        <f t="shared" si="161"/>
        <v>0</v>
      </c>
      <c r="BD69" s="187">
        <f t="shared" si="162"/>
        <v>0</v>
      </c>
      <c r="BE69" s="187">
        <f t="shared" si="163"/>
        <v>0</v>
      </c>
      <c r="BF69" s="187">
        <f t="shared" si="164"/>
        <v>0</v>
      </c>
      <c r="BG69" s="187">
        <f t="shared" si="165"/>
        <v>0</v>
      </c>
      <c r="BH69" s="187">
        <f t="shared" si="166"/>
        <v>2</v>
      </c>
      <c r="BI69" s="187">
        <f t="shared" si="167"/>
        <v>0</v>
      </c>
      <c r="BJ69" s="187">
        <f t="shared" si="168"/>
        <v>1</v>
      </c>
      <c r="BK69" s="187">
        <f t="shared" si="169"/>
        <v>0</v>
      </c>
      <c r="BL69" s="187">
        <f t="shared" si="170"/>
        <v>0</v>
      </c>
      <c r="BM69" s="187">
        <f t="shared" si="171"/>
        <v>0</v>
      </c>
      <c r="BN69" s="188">
        <f t="shared" si="172"/>
        <v>0</v>
      </c>
      <c r="BO69" s="187">
        <f t="shared" si="173"/>
        <v>0</v>
      </c>
      <c r="BP69" s="187">
        <f t="shared" ref="BP69:BQ69" si="239">IF(G69=1,1,0)</f>
        <v>0</v>
      </c>
      <c r="BQ69" s="187">
        <f t="shared" si="239"/>
        <v>0</v>
      </c>
      <c r="BR69" s="187">
        <f t="shared" ref="BR69:BT69" si="240">IF(K69=1,1,0)</f>
        <v>0</v>
      </c>
      <c r="BS69" s="187">
        <f t="shared" si="240"/>
        <v>0</v>
      </c>
      <c r="BT69" s="187">
        <f t="shared" si="240"/>
        <v>0</v>
      </c>
      <c r="BU69" s="187">
        <f t="shared" ref="BU69:BV69" si="241">IF(P69=1,1,0)</f>
        <v>0</v>
      </c>
      <c r="BV69" s="187">
        <f t="shared" si="241"/>
        <v>0</v>
      </c>
      <c r="BW69" s="187">
        <f t="shared" si="177"/>
        <v>0</v>
      </c>
      <c r="BX69" s="187">
        <f t="shared" si="178"/>
        <v>0</v>
      </c>
      <c r="BY69" s="187">
        <f t="shared" si="179"/>
        <v>0</v>
      </c>
      <c r="BZ69" s="187">
        <f t="shared" si="180"/>
        <v>0</v>
      </c>
      <c r="CA69" s="167">
        <f t="shared" si="181"/>
        <v>73</v>
      </c>
      <c r="CB69" s="167">
        <f t="shared" si="47"/>
        <v>90</v>
      </c>
      <c r="CC69" s="644">
        <f t="shared" si="48"/>
        <v>23</v>
      </c>
      <c r="CD69" s="644">
        <f t="shared" si="49"/>
        <v>19</v>
      </c>
      <c r="CE69" s="644">
        <f t="shared" si="50"/>
        <v>15</v>
      </c>
      <c r="CF69" s="644">
        <f t="shared" si="51"/>
        <v>15</v>
      </c>
      <c r="CG69" s="644">
        <f t="shared" si="52"/>
        <v>0</v>
      </c>
      <c r="CH69" s="644">
        <f t="shared" si="123"/>
        <v>0</v>
      </c>
      <c r="CI69" s="644">
        <f t="shared" si="54"/>
        <v>7</v>
      </c>
      <c r="CJ69" s="644">
        <f t="shared" si="55"/>
        <v>5</v>
      </c>
      <c r="CK69" s="644">
        <f t="shared" si="56"/>
        <v>0</v>
      </c>
      <c r="CL69" s="644">
        <f t="shared" si="57"/>
        <v>0</v>
      </c>
      <c r="CM69" s="644">
        <f t="shared" si="58"/>
        <v>3</v>
      </c>
      <c r="CN69" s="644">
        <f t="shared" si="59"/>
        <v>0</v>
      </c>
      <c r="CO69" s="644">
        <f t="shared" si="60"/>
        <v>3</v>
      </c>
      <c r="CP69" s="644">
        <f t="shared" si="61"/>
        <v>3</v>
      </c>
      <c r="CQ69" s="644">
        <f t="shared" si="62"/>
        <v>2</v>
      </c>
      <c r="CR69" s="644">
        <f t="shared" si="63"/>
        <v>0</v>
      </c>
      <c r="CS69" s="644">
        <f t="shared" si="64"/>
        <v>0</v>
      </c>
      <c r="CT69" s="644">
        <f t="shared" si="65"/>
        <v>0</v>
      </c>
      <c r="CU69" s="644">
        <f t="shared" si="66"/>
        <v>0</v>
      </c>
      <c r="CV69" s="644">
        <f t="shared" si="67"/>
        <v>0</v>
      </c>
      <c r="CW69" s="644">
        <f t="shared" si="68"/>
        <v>0</v>
      </c>
      <c r="CX69" s="644">
        <f t="shared" si="69"/>
        <v>0</v>
      </c>
      <c r="CY69" s="644">
        <f t="shared" si="70"/>
        <v>0</v>
      </c>
      <c r="CZ69" s="624" t="s">
        <v>766</v>
      </c>
      <c r="DA69" s="257"/>
    </row>
    <row r="70" spans="1:105">
      <c r="A70" s="249" t="s">
        <v>558</v>
      </c>
      <c r="B70" s="187"/>
      <c r="C70" s="644"/>
      <c r="D70" s="644">
        <v>1</v>
      </c>
      <c r="E70" s="644">
        <v>1</v>
      </c>
      <c r="F70" s="251">
        <v>1</v>
      </c>
      <c r="G70" s="251"/>
      <c r="H70" s="251"/>
      <c r="I70" s="251">
        <v>1</v>
      </c>
      <c r="J70" s="644"/>
      <c r="K70" s="644"/>
      <c r="L70" s="644"/>
      <c r="M70" s="644"/>
      <c r="N70" s="644"/>
      <c r="O70" s="644"/>
      <c r="P70" s="644"/>
      <c r="Q70" s="644"/>
      <c r="R70" s="644">
        <v>1</v>
      </c>
      <c r="S70" s="644"/>
      <c r="T70" s="644"/>
      <c r="U70" s="644">
        <v>1</v>
      </c>
      <c r="V70" s="644"/>
      <c r="W70" s="644"/>
      <c r="X70" s="644"/>
      <c r="Y70" s="644"/>
      <c r="Z70" s="644"/>
      <c r="AA70" s="644"/>
      <c r="AB70" s="644">
        <v>1</v>
      </c>
      <c r="AC70" s="644">
        <v>1</v>
      </c>
      <c r="AD70" s="644">
        <v>1</v>
      </c>
      <c r="AE70" s="644"/>
      <c r="AF70" s="644"/>
      <c r="AG70" s="644"/>
      <c r="AH70" s="644">
        <v>1</v>
      </c>
      <c r="AI70" s="644"/>
      <c r="AJ70" s="644"/>
      <c r="AK70" s="644"/>
      <c r="AL70" s="167">
        <v>10</v>
      </c>
      <c r="AM70" s="185" t="s">
        <v>1132</v>
      </c>
      <c r="AN70" s="186">
        <v>42009</v>
      </c>
      <c r="AO70" s="187"/>
      <c r="AP70" s="187">
        <f t="shared" si="148"/>
        <v>13</v>
      </c>
      <c r="AQ70" s="187">
        <f t="shared" si="149"/>
        <v>13</v>
      </c>
      <c r="AR70" s="187">
        <f t="shared" si="150"/>
        <v>13</v>
      </c>
      <c r="AS70" s="187">
        <f t="shared" si="151"/>
        <v>13</v>
      </c>
      <c r="AT70" s="187">
        <f t="shared" si="152"/>
        <v>9</v>
      </c>
      <c r="AU70" s="187">
        <f t="shared" si="153"/>
        <v>9</v>
      </c>
      <c r="AV70" s="187">
        <f t="shared" si="154"/>
        <v>9</v>
      </c>
      <c r="AW70" s="187">
        <f t="shared" si="155"/>
        <v>0</v>
      </c>
      <c r="AX70" s="187">
        <f t="shared" si="156"/>
        <v>7</v>
      </c>
      <c r="AY70" s="187">
        <f t="shared" si="157"/>
        <v>0</v>
      </c>
      <c r="AZ70" s="187">
        <f t="shared" si="158"/>
        <v>7</v>
      </c>
      <c r="BA70" s="187">
        <f t="shared" si="159"/>
        <v>7</v>
      </c>
      <c r="BB70" s="187">
        <f t="shared" si="160"/>
        <v>0</v>
      </c>
      <c r="BC70" s="187">
        <f t="shared" si="161"/>
        <v>0</v>
      </c>
      <c r="BD70" s="187">
        <f t="shared" si="162"/>
        <v>0</v>
      </c>
      <c r="BE70" s="187">
        <f t="shared" si="163"/>
        <v>0</v>
      </c>
      <c r="BF70" s="187">
        <f t="shared" si="164"/>
        <v>0</v>
      </c>
      <c r="BG70" s="187">
        <f t="shared" si="165"/>
        <v>0</v>
      </c>
      <c r="BH70" s="187">
        <f t="shared" si="166"/>
        <v>0</v>
      </c>
      <c r="BI70" s="187">
        <f t="shared" si="167"/>
        <v>0</v>
      </c>
      <c r="BJ70" s="187">
        <f t="shared" si="168"/>
        <v>0</v>
      </c>
      <c r="BK70" s="187">
        <f t="shared" si="169"/>
        <v>0</v>
      </c>
      <c r="BL70" s="187">
        <f t="shared" si="170"/>
        <v>0</v>
      </c>
      <c r="BM70" s="187">
        <f t="shared" si="171"/>
        <v>0</v>
      </c>
      <c r="BN70" s="188">
        <f t="shared" si="172"/>
        <v>0</v>
      </c>
      <c r="BO70" s="187">
        <f t="shared" si="173"/>
        <v>0</v>
      </c>
      <c r="BP70" s="187">
        <f t="shared" ref="BP70:BQ70" si="242">IF(G70=1,1,0)</f>
        <v>0</v>
      </c>
      <c r="BQ70" s="187">
        <f t="shared" si="242"/>
        <v>0</v>
      </c>
      <c r="BR70" s="187">
        <f t="shared" ref="BR70:BT70" si="243">IF(K70=1,1,0)</f>
        <v>0</v>
      </c>
      <c r="BS70" s="187">
        <f t="shared" si="243"/>
        <v>0</v>
      </c>
      <c r="BT70" s="187">
        <f t="shared" si="243"/>
        <v>0</v>
      </c>
      <c r="BU70" s="187">
        <f t="shared" ref="BU70:BV70" si="244">IF(P70=1,1,0)</f>
        <v>0</v>
      </c>
      <c r="BV70" s="187">
        <f t="shared" si="244"/>
        <v>0</v>
      </c>
      <c r="BW70" s="187">
        <f t="shared" si="177"/>
        <v>0</v>
      </c>
      <c r="BX70" s="187">
        <f t="shared" si="178"/>
        <v>0</v>
      </c>
      <c r="BY70" s="187">
        <f t="shared" si="179"/>
        <v>0</v>
      </c>
      <c r="BZ70" s="187">
        <f t="shared" si="180"/>
        <v>0</v>
      </c>
      <c r="CA70" s="167">
        <f t="shared" si="181"/>
        <v>100</v>
      </c>
      <c r="CB70" s="167">
        <f t="shared" si="47"/>
        <v>100</v>
      </c>
      <c r="CC70" s="644">
        <f t="shared" si="48"/>
        <v>23</v>
      </c>
      <c r="CD70" s="644">
        <f t="shared" si="49"/>
        <v>19</v>
      </c>
      <c r="CE70" s="644">
        <f t="shared" si="50"/>
        <v>15</v>
      </c>
      <c r="CF70" s="644">
        <f t="shared" si="51"/>
        <v>15</v>
      </c>
      <c r="CG70" s="644">
        <f t="shared" si="52"/>
        <v>9</v>
      </c>
      <c r="CH70" s="644">
        <f t="shared" si="123"/>
        <v>7</v>
      </c>
      <c r="CI70" s="644">
        <f t="shared" si="54"/>
        <v>7</v>
      </c>
      <c r="CJ70" s="644">
        <f t="shared" si="55"/>
        <v>5</v>
      </c>
      <c r="CK70" s="644">
        <f t="shared" si="56"/>
        <v>5</v>
      </c>
      <c r="CL70" s="644">
        <f t="shared" si="57"/>
        <v>5</v>
      </c>
      <c r="CM70" s="644">
        <f t="shared" si="58"/>
        <v>0</v>
      </c>
      <c r="CN70" s="644">
        <f t="shared" si="59"/>
        <v>0</v>
      </c>
      <c r="CO70" s="644">
        <f t="shared" si="60"/>
        <v>0</v>
      </c>
      <c r="CP70" s="644">
        <f t="shared" si="61"/>
        <v>0</v>
      </c>
      <c r="CQ70" s="644">
        <f t="shared" si="62"/>
        <v>0</v>
      </c>
      <c r="CR70" s="644">
        <f t="shared" si="63"/>
        <v>0</v>
      </c>
      <c r="CS70" s="644">
        <f t="shared" si="64"/>
        <v>0</v>
      </c>
      <c r="CT70" s="644">
        <f t="shared" si="65"/>
        <v>0</v>
      </c>
      <c r="CU70" s="644">
        <f t="shared" si="66"/>
        <v>0</v>
      </c>
      <c r="CV70" s="644">
        <f t="shared" si="67"/>
        <v>0</v>
      </c>
      <c r="CW70" s="644">
        <f t="shared" si="68"/>
        <v>0</v>
      </c>
      <c r="CX70" s="644">
        <f t="shared" si="69"/>
        <v>0</v>
      </c>
      <c r="CY70" s="644">
        <f t="shared" si="70"/>
        <v>0</v>
      </c>
      <c r="CZ70" s="624" t="s">
        <v>740</v>
      </c>
      <c r="DA70" s="257"/>
    </row>
    <row r="71" spans="1:105">
      <c r="A71" s="249" t="s">
        <v>181</v>
      </c>
      <c r="B71" s="187"/>
      <c r="C71" s="644"/>
      <c r="D71" s="644">
        <v>1</v>
      </c>
      <c r="E71" s="644">
        <v>1</v>
      </c>
      <c r="F71" s="251">
        <v>1</v>
      </c>
      <c r="G71" s="251"/>
      <c r="H71" s="251"/>
      <c r="I71" s="251">
        <v>1</v>
      </c>
      <c r="J71" s="644"/>
      <c r="K71" s="644"/>
      <c r="L71" s="644"/>
      <c r="M71" s="644"/>
      <c r="N71" s="644"/>
      <c r="O71" s="644"/>
      <c r="P71" s="644"/>
      <c r="Q71" s="644"/>
      <c r="R71" s="644">
        <v>1</v>
      </c>
      <c r="S71" s="644"/>
      <c r="T71" s="644"/>
      <c r="U71" s="644">
        <v>1</v>
      </c>
      <c r="V71" s="644"/>
      <c r="W71" s="644"/>
      <c r="X71" s="644"/>
      <c r="Y71" s="644"/>
      <c r="Z71" s="250"/>
      <c r="AA71" s="644"/>
      <c r="AB71" s="644">
        <v>1</v>
      </c>
      <c r="AC71" s="644">
        <v>1</v>
      </c>
      <c r="AD71" s="644">
        <v>1</v>
      </c>
      <c r="AE71" s="644"/>
      <c r="AF71" s="644"/>
      <c r="AG71" s="644"/>
      <c r="AH71" s="644">
        <v>1</v>
      </c>
      <c r="AI71" s="644"/>
      <c r="AJ71" s="644"/>
      <c r="AK71" s="644"/>
      <c r="AL71" s="167">
        <v>10</v>
      </c>
      <c r="AM71" s="185" t="s">
        <v>1133</v>
      </c>
      <c r="AN71" s="186">
        <v>41999</v>
      </c>
      <c r="AO71" s="187"/>
      <c r="AP71" s="187">
        <f t="shared" si="148"/>
        <v>13</v>
      </c>
      <c r="AQ71" s="187">
        <f t="shared" si="149"/>
        <v>13</v>
      </c>
      <c r="AR71" s="187">
        <f t="shared" si="150"/>
        <v>13</v>
      </c>
      <c r="AS71" s="187">
        <f t="shared" si="151"/>
        <v>13</v>
      </c>
      <c r="AT71" s="187">
        <f t="shared" si="152"/>
        <v>9</v>
      </c>
      <c r="AU71" s="187">
        <f t="shared" si="153"/>
        <v>9</v>
      </c>
      <c r="AV71" s="187">
        <f t="shared" si="154"/>
        <v>9</v>
      </c>
      <c r="AW71" s="187">
        <f t="shared" si="155"/>
        <v>0</v>
      </c>
      <c r="AX71" s="187">
        <f t="shared" si="156"/>
        <v>7</v>
      </c>
      <c r="AY71" s="187">
        <f t="shared" si="157"/>
        <v>0</v>
      </c>
      <c r="AZ71" s="187">
        <f t="shared" si="158"/>
        <v>7</v>
      </c>
      <c r="BA71" s="187">
        <f t="shared" si="159"/>
        <v>7</v>
      </c>
      <c r="BB71" s="187">
        <f t="shared" si="160"/>
        <v>0</v>
      </c>
      <c r="BC71" s="187">
        <f t="shared" si="161"/>
        <v>0</v>
      </c>
      <c r="BD71" s="187">
        <f t="shared" si="162"/>
        <v>0</v>
      </c>
      <c r="BE71" s="187">
        <f t="shared" si="163"/>
        <v>0</v>
      </c>
      <c r="BF71" s="187">
        <f t="shared" si="164"/>
        <v>0</v>
      </c>
      <c r="BG71" s="187">
        <f t="shared" si="165"/>
        <v>0</v>
      </c>
      <c r="BH71" s="187">
        <f t="shared" si="166"/>
        <v>0</v>
      </c>
      <c r="BI71" s="187">
        <f t="shared" si="167"/>
        <v>0</v>
      </c>
      <c r="BJ71" s="187">
        <f t="shared" si="168"/>
        <v>0</v>
      </c>
      <c r="BK71" s="187">
        <f t="shared" si="169"/>
        <v>0</v>
      </c>
      <c r="BL71" s="187">
        <f t="shared" si="170"/>
        <v>0</v>
      </c>
      <c r="BM71" s="187">
        <f t="shared" si="171"/>
        <v>0</v>
      </c>
      <c r="BN71" s="188">
        <f t="shared" si="172"/>
        <v>0</v>
      </c>
      <c r="BO71" s="187">
        <f t="shared" si="173"/>
        <v>0</v>
      </c>
      <c r="BP71" s="187">
        <f t="shared" ref="BP71:BQ71" si="245">IF(G71=1,1,0)</f>
        <v>0</v>
      </c>
      <c r="BQ71" s="187">
        <f t="shared" si="245"/>
        <v>0</v>
      </c>
      <c r="BR71" s="187">
        <f t="shared" ref="BR71:BT71" si="246">IF(K71=1,1,0)</f>
        <v>0</v>
      </c>
      <c r="BS71" s="187">
        <f t="shared" si="246"/>
        <v>0</v>
      </c>
      <c r="BT71" s="187">
        <f t="shared" si="246"/>
        <v>0</v>
      </c>
      <c r="BU71" s="187">
        <f t="shared" ref="BU71:BV71" si="247">IF(P71=1,1,0)</f>
        <v>0</v>
      </c>
      <c r="BV71" s="187">
        <f t="shared" si="247"/>
        <v>0</v>
      </c>
      <c r="BW71" s="187">
        <f t="shared" si="177"/>
        <v>0</v>
      </c>
      <c r="BX71" s="187">
        <f t="shared" si="178"/>
        <v>0</v>
      </c>
      <c r="BY71" s="187">
        <f t="shared" si="179"/>
        <v>0</v>
      </c>
      <c r="BZ71" s="187">
        <f t="shared" si="180"/>
        <v>0</v>
      </c>
      <c r="CA71" s="167">
        <f t="shared" si="181"/>
        <v>100</v>
      </c>
      <c r="CB71" s="167">
        <f t="shared" si="47"/>
        <v>100</v>
      </c>
      <c r="CC71" s="644">
        <f t="shared" si="48"/>
        <v>23</v>
      </c>
      <c r="CD71" s="644">
        <f t="shared" si="49"/>
        <v>19</v>
      </c>
      <c r="CE71" s="644">
        <f t="shared" si="50"/>
        <v>15</v>
      </c>
      <c r="CF71" s="644">
        <f t="shared" si="51"/>
        <v>15</v>
      </c>
      <c r="CG71" s="644">
        <f t="shared" si="52"/>
        <v>9</v>
      </c>
      <c r="CH71" s="644">
        <f t="shared" si="123"/>
        <v>7</v>
      </c>
      <c r="CI71" s="644">
        <f t="shared" si="54"/>
        <v>7</v>
      </c>
      <c r="CJ71" s="644">
        <f t="shared" si="55"/>
        <v>5</v>
      </c>
      <c r="CK71" s="644">
        <f t="shared" si="56"/>
        <v>5</v>
      </c>
      <c r="CL71" s="644">
        <f t="shared" si="57"/>
        <v>5</v>
      </c>
      <c r="CM71" s="644">
        <f t="shared" si="58"/>
        <v>0</v>
      </c>
      <c r="CN71" s="644">
        <f t="shared" si="59"/>
        <v>0</v>
      </c>
      <c r="CO71" s="644">
        <f t="shared" si="60"/>
        <v>0</v>
      </c>
      <c r="CP71" s="644">
        <f t="shared" si="61"/>
        <v>0</v>
      </c>
      <c r="CQ71" s="644">
        <f t="shared" si="62"/>
        <v>0</v>
      </c>
      <c r="CR71" s="644">
        <f t="shared" si="63"/>
        <v>0</v>
      </c>
      <c r="CS71" s="644">
        <f t="shared" si="64"/>
        <v>0</v>
      </c>
      <c r="CT71" s="644">
        <f t="shared" si="65"/>
        <v>0</v>
      </c>
      <c r="CU71" s="644">
        <f t="shared" si="66"/>
        <v>0</v>
      </c>
      <c r="CV71" s="644">
        <f t="shared" si="67"/>
        <v>0</v>
      </c>
      <c r="CW71" s="644">
        <f t="shared" si="68"/>
        <v>0</v>
      </c>
      <c r="CX71" s="644">
        <f t="shared" si="69"/>
        <v>0</v>
      </c>
      <c r="CY71" s="644">
        <f t="shared" si="70"/>
        <v>0</v>
      </c>
      <c r="CZ71" s="624" t="s">
        <v>752</v>
      </c>
      <c r="DA71" s="257"/>
    </row>
    <row r="72" spans="1:105">
      <c r="A72" s="249" t="s">
        <v>182</v>
      </c>
      <c r="B72" s="187"/>
      <c r="C72" s="644"/>
      <c r="D72" s="250"/>
      <c r="E72" s="644">
        <v>1</v>
      </c>
      <c r="F72" s="251"/>
      <c r="G72" s="251"/>
      <c r="H72" s="251"/>
      <c r="I72" s="251"/>
      <c r="J72" s="644"/>
      <c r="K72" s="644"/>
      <c r="L72" s="644"/>
      <c r="M72" s="644"/>
      <c r="N72" s="644">
        <v>1</v>
      </c>
      <c r="O72" s="644"/>
      <c r="P72" s="644"/>
      <c r="Q72" s="644"/>
      <c r="R72" s="644">
        <v>1</v>
      </c>
      <c r="S72" s="644"/>
      <c r="T72" s="644"/>
      <c r="U72" s="644">
        <v>1</v>
      </c>
      <c r="V72" s="644"/>
      <c r="W72" s="644">
        <v>1</v>
      </c>
      <c r="X72" s="644"/>
      <c r="Y72" s="644"/>
      <c r="Z72" s="644"/>
      <c r="AA72" s="644"/>
      <c r="AB72" s="644">
        <v>1</v>
      </c>
      <c r="AC72" s="250"/>
      <c r="AD72" s="644">
        <v>1</v>
      </c>
      <c r="AE72" s="644"/>
      <c r="AF72" s="644">
        <v>1</v>
      </c>
      <c r="AG72" s="644">
        <v>1</v>
      </c>
      <c r="AH72" s="644">
        <v>1</v>
      </c>
      <c r="AI72" s="644"/>
      <c r="AJ72" s="644"/>
      <c r="AK72" s="644"/>
      <c r="AL72" s="167">
        <v>10</v>
      </c>
      <c r="AM72" s="185" t="s">
        <v>1134</v>
      </c>
      <c r="AN72" s="186">
        <v>41976</v>
      </c>
      <c r="AO72" s="187"/>
      <c r="AP72" s="187">
        <f t="shared" si="148"/>
        <v>0</v>
      </c>
      <c r="AQ72" s="187">
        <f t="shared" si="149"/>
        <v>0</v>
      </c>
      <c r="AR72" s="187">
        <f t="shared" si="150"/>
        <v>13</v>
      </c>
      <c r="AS72" s="187">
        <f t="shared" si="151"/>
        <v>13</v>
      </c>
      <c r="AT72" s="187">
        <f t="shared" si="152"/>
        <v>9</v>
      </c>
      <c r="AU72" s="187">
        <f t="shared" si="153"/>
        <v>0</v>
      </c>
      <c r="AV72" s="187">
        <f t="shared" si="154"/>
        <v>0</v>
      </c>
      <c r="AW72" s="187">
        <f t="shared" si="155"/>
        <v>0</v>
      </c>
      <c r="AX72" s="187">
        <f t="shared" si="156"/>
        <v>7</v>
      </c>
      <c r="AY72" s="187">
        <f t="shared" si="157"/>
        <v>0</v>
      </c>
      <c r="AZ72" s="187">
        <f t="shared" si="158"/>
        <v>7</v>
      </c>
      <c r="BA72" s="187">
        <f t="shared" si="159"/>
        <v>7</v>
      </c>
      <c r="BB72" s="187">
        <f t="shared" si="160"/>
        <v>0</v>
      </c>
      <c r="BC72" s="187">
        <f t="shared" si="161"/>
        <v>0</v>
      </c>
      <c r="BD72" s="187">
        <f t="shared" si="162"/>
        <v>0</v>
      </c>
      <c r="BE72" s="187">
        <f t="shared" si="163"/>
        <v>3</v>
      </c>
      <c r="BF72" s="187">
        <f t="shared" si="164"/>
        <v>3</v>
      </c>
      <c r="BG72" s="187">
        <f t="shared" si="165"/>
        <v>0</v>
      </c>
      <c r="BH72" s="187">
        <f t="shared" si="166"/>
        <v>0</v>
      </c>
      <c r="BI72" s="187">
        <f t="shared" si="167"/>
        <v>0</v>
      </c>
      <c r="BJ72" s="187">
        <f t="shared" si="168"/>
        <v>1</v>
      </c>
      <c r="BK72" s="187">
        <f t="shared" si="169"/>
        <v>0</v>
      </c>
      <c r="BL72" s="187">
        <f t="shared" si="170"/>
        <v>0</v>
      </c>
      <c r="BM72" s="187">
        <f t="shared" si="171"/>
        <v>1</v>
      </c>
      <c r="BN72" s="188">
        <f t="shared" si="172"/>
        <v>0</v>
      </c>
      <c r="BO72" s="187">
        <f t="shared" si="173"/>
        <v>0</v>
      </c>
      <c r="BP72" s="187">
        <f t="shared" ref="BP72:BQ72" si="248">IF(G72=1,1,0)</f>
        <v>0</v>
      </c>
      <c r="BQ72" s="187">
        <f t="shared" si="248"/>
        <v>0</v>
      </c>
      <c r="BR72" s="187">
        <f t="shared" ref="BR72:BT72" si="249">IF(K72=1,1,0)</f>
        <v>0</v>
      </c>
      <c r="BS72" s="187">
        <f t="shared" si="249"/>
        <v>0</v>
      </c>
      <c r="BT72" s="187">
        <f t="shared" si="249"/>
        <v>0</v>
      </c>
      <c r="BU72" s="187">
        <f t="shared" ref="BU72:BV72" si="250">IF(P72=1,1,0)</f>
        <v>0</v>
      </c>
      <c r="BV72" s="187">
        <f t="shared" si="250"/>
        <v>0</v>
      </c>
      <c r="BW72" s="187">
        <f t="shared" si="177"/>
        <v>0</v>
      </c>
      <c r="BX72" s="187">
        <f t="shared" si="178"/>
        <v>0</v>
      </c>
      <c r="BY72" s="187">
        <f t="shared" si="179"/>
        <v>0</v>
      </c>
      <c r="BZ72" s="187">
        <f t="shared" si="180"/>
        <v>0</v>
      </c>
      <c r="CA72" s="167">
        <f t="shared" si="181"/>
        <v>64</v>
      </c>
      <c r="CB72" s="167">
        <f t="shared" si="47"/>
        <v>96</v>
      </c>
      <c r="CC72" s="644">
        <f t="shared" si="48"/>
        <v>23</v>
      </c>
      <c r="CD72" s="644">
        <f t="shared" si="49"/>
        <v>19</v>
      </c>
      <c r="CE72" s="644">
        <f t="shared" si="50"/>
        <v>15</v>
      </c>
      <c r="CF72" s="644">
        <f t="shared" si="51"/>
        <v>15</v>
      </c>
      <c r="CG72" s="644">
        <f t="shared" si="52"/>
        <v>9</v>
      </c>
      <c r="CH72" s="644">
        <f t="shared" si="123"/>
        <v>7</v>
      </c>
      <c r="CI72" s="644">
        <f t="shared" si="54"/>
        <v>0</v>
      </c>
      <c r="CJ72" s="644">
        <f t="shared" si="55"/>
        <v>5</v>
      </c>
      <c r="CK72" s="644">
        <f t="shared" si="56"/>
        <v>0</v>
      </c>
      <c r="CL72" s="644">
        <f t="shared" si="57"/>
        <v>0</v>
      </c>
      <c r="CM72" s="644">
        <f t="shared" si="58"/>
        <v>3</v>
      </c>
      <c r="CN72" s="644">
        <f t="shared" si="59"/>
        <v>0</v>
      </c>
      <c r="CO72" s="644">
        <f t="shared" si="60"/>
        <v>0</v>
      </c>
      <c r="CP72" s="644">
        <f t="shared" si="61"/>
        <v>0</v>
      </c>
      <c r="CQ72" s="644">
        <f t="shared" si="62"/>
        <v>0</v>
      </c>
      <c r="CR72" s="644">
        <f t="shared" si="63"/>
        <v>2</v>
      </c>
      <c r="CS72" s="644">
        <f t="shared" si="64"/>
        <v>0</v>
      </c>
      <c r="CT72" s="644">
        <f t="shared" si="65"/>
        <v>2</v>
      </c>
      <c r="CU72" s="644">
        <f t="shared" si="66"/>
        <v>0</v>
      </c>
      <c r="CV72" s="644">
        <f t="shared" si="67"/>
        <v>0</v>
      </c>
      <c r="CW72" s="644">
        <f t="shared" si="68"/>
        <v>0</v>
      </c>
      <c r="CX72" s="644">
        <f t="shared" si="69"/>
        <v>1</v>
      </c>
      <c r="CY72" s="644">
        <f t="shared" si="70"/>
        <v>0</v>
      </c>
      <c r="CZ72" s="624" t="s">
        <v>756</v>
      </c>
      <c r="DA72" s="257"/>
    </row>
    <row r="73" spans="1:105" ht="25.5">
      <c r="A73" s="249" t="s">
        <v>1135</v>
      </c>
      <c r="B73" s="187"/>
      <c r="C73" s="644"/>
      <c r="D73" s="265">
        <v>1</v>
      </c>
      <c r="E73" s="644"/>
      <c r="F73" s="251">
        <v>1</v>
      </c>
      <c r="G73" s="251"/>
      <c r="H73" s="251"/>
      <c r="I73" s="251">
        <v>1</v>
      </c>
      <c r="J73" s="644"/>
      <c r="K73" s="644"/>
      <c r="L73" s="644"/>
      <c r="M73" s="644"/>
      <c r="N73" s="644"/>
      <c r="O73" s="644"/>
      <c r="P73" s="644"/>
      <c r="Q73" s="644"/>
      <c r="R73" s="644">
        <v>1</v>
      </c>
      <c r="S73" s="644"/>
      <c r="T73" s="644"/>
      <c r="U73" s="644">
        <v>1</v>
      </c>
      <c r="V73" s="644"/>
      <c r="W73" s="644"/>
      <c r="X73" s="644"/>
      <c r="Y73" s="644"/>
      <c r="Z73" s="644"/>
      <c r="AA73" s="644"/>
      <c r="AB73" s="644">
        <v>1</v>
      </c>
      <c r="AC73" s="644">
        <v>1</v>
      </c>
      <c r="AD73" s="644"/>
      <c r="AE73" s="644"/>
      <c r="AF73" s="644"/>
      <c r="AG73" s="644"/>
      <c r="AH73" s="644"/>
      <c r="AI73" s="644">
        <v>1</v>
      </c>
      <c r="AJ73" s="644">
        <v>1</v>
      </c>
      <c r="AK73" s="644">
        <v>1</v>
      </c>
      <c r="AL73" s="167">
        <v>10</v>
      </c>
      <c r="AM73" s="185" t="s">
        <v>1136</v>
      </c>
      <c r="AN73" s="186">
        <v>41968</v>
      </c>
      <c r="AO73" s="187"/>
      <c r="AP73" s="187">
        <f t="shared" si="148"/>
        <v>13</v>
      </c>
      <c r="AQ73" s="187">
        <f t="shared" si="149"/>
        <v>13</v>
      </c>
      <c r="AR73" s="187">
        <f t="shared" si="150"/>
        <v>13</v>
      </c>
      <c r="AS73" s="187">
        <f t="shared" si="151"/>
        <v>13</v>
      </c>
      <c r="AT73" s="187">
        <f t="shared" si="152"/>
        <v>9</v>
      </c>
      <c r="AU73" s="187">
        <f t="shared" si="153"/>
        <v>9</v>
      </c>
      <c r="AV73" s="187">
        <f t="shared" si="154"/>
        <v>9</v>
      </c>
      <c r="AW73" s="187">
        <f t="shared" si="155"/>
        <v>7</v>
      </c>
      <c r="AX73" s="187">
        <f t="shared" si="156"/>
        <v>0</v>
      </c>
      <c r="AY73" s="187">
        <f t="shared" si="157"/>
        <v>0</v>
      </c>
      <c r="AZ73" s="187">
        <f t="shared" si="158"/>
        <v>0</v>
      </c>
      <c r="BA73" s="187">
        <f t="shared" si="159"/>
        <v>0</v>
      </c>
      <c r="BB73" s="187">
        <f t="shared" si="160"/>
        <v>4</v>
      </c>
      <c r="BC73" s="187">
        <f t="shared" si="161"/>
        <v>0</v>
      </c>
      <c r="BD73" s="187">
        <f t="shared" si="162"/>
        <v>0</v>
      </c>
      <c r="BE73" s="187">
        <f t="shared" si="163"/>
        <v>0</v>
      </c>
      <c r="BF73" s="187">
        <f t="shared" si="164"/>
        <v>0</v>
      </c>
      <c r="BG73" s="187">
        <f t="shared" si="165"/>
        <v>2</v>
      </c>
      <c r="BH73" s="187">
        <f t="shared" si="166"/>
        <v>0</v>
      </c>
      <c r="BI73" s="187">
        <f t="shared" si="167"/>
        <v>0</v>
      </c>
      <c r="BJ73" s="187">
        <f t="shared" si="168"/>
        <v>0</v>
      </c>
      <c r="BK73" s="187">
        <f t="shared" si="169"/>
        <v>0</v>
      </c>
      <c r="BL73" s="187">
        <f t="shared" si="170"/>
        <v>0</v>
      </c>
      <c r="BM73" s="187">
        <f t="shared" si="171"/>
        <v>0</v>
      </c>
      <c r="BN73" s="188">
        <f t="shared" si="172"/>
        <v>0</v>
      </c>
      <c r="BO73" s="187">
        <f t="shared" si="173"/>
        <v>0</v>
      </c>
      <c r="BP73" s="187">
        <f t="shared" ref="BP73:BQ73" si="251">IF(G73=1,1,0)</f>
        <v>0</v>
      </c>
      <c r="BQ73" s="187">
        <f t="shared" si="251"/>
        <v>0</v>
      </c>
      <c r="BR73" s="187">
        <f t="shared" ref="BR73:BT73" si="252">IF(K73=1,1,0)</f>
        <v>0</v>
      </c>
      <c r="BS73" s="187">
        <f t="shared" si="252"/>
        <v>0</v>
      </c>
      <c r="BT73" s="187">
        <f t="shared" si="252"/>
        <v>0</v>
      </c>
      <c r="BU73" s="187">
        <f t="shared" ref="BU73:BV73" si="253">IF(P73=1,1,0)</f>
        <v>0</v>
      </c>
      <c r="BV73" s="187">
        <f t="shared" si="253"/>
        <v>0</v>
      </c>
      <c r="BW73" s="187">
        <f t="shared" si="177"/>
        <v>0</v>
      </c>
      <c r="BX73" s="187">
        <f t="shared" si="178"/>
        <v>0</v>
      </c>
      <c r="BY73" s="187">
        <f t="shared" si="179"/>
        <v>0</v>
      </c>
      <c r="BZ73" s="187">
        <f t="shared" si="180"/>
        <v>0</v>
      </c>
      <c r="CA73" s="167">
        <f t="shared" si="181"/>
        <v>92</v>
      </c>
      <c r="CB73" s="167">
        <f t="shared" si="47"/>
        <v>78</v>
      </c>
      <c r="CC73" s="644">
        <f t="shared" si="48"/>
        <v>23</v>
      </c>
      <c r="CD73" s="644">
        <f t="shared" si="49"/>
        <v>19</v>
      </c>
      <c r="CE73" s="644">
        <f t="shared" si="50"/>
        <v>0</v>
      </c>
      <c r="CF73" s="644">
        <f t="shared" si="51"/>
        <v>0</v>
      </c>
      <c r="CG73" s="644">
        <f t="shared" si="52"/>
        <v>9</v>
      </c>
      <c r="CH73" s="644">
        <f t="shared" si="123"/>
        <v>7</v>
      </c>
      <c r="CI73" s="644">
        <f t="shared" si="54"/>
        <v>7</v>
      </c>
      <c r="CJ73" s="644">
        <f t="shared" si="55"/>
        <v>0</v>
      </c>
      <c r="CK73" s="644">
        <f t="shared" si="56"/>
        <v>5</v>
      </c>
      <c r="CL73" s="644">
        <f t="shared" si="57"/>
        <v>5</v>
      </c>
      <c r="CM73" s="644">
        <f t="shared" si="58"/>
        <v>0</v>
      </c>
      <c r="CN73" s="644">
        <f t="shared" si="59"/>
        <v>0</v>
      </c>
      <c r="CO73" s="644">
        <f t="shared" si="60"/>
        <v>3</v>
      </c>
      <c r="CP73" s="644">
        <f t="shared" si="61"/>
        <v>0</v>
      </c>
      <c r="CQ73" s="644">
        <f t="shared" si="62"/>
        <v>0</v>
      </c>
      <c r="CR73" s="644">
        <f t="shared" si="63"/>
        <v>0</v>
      </c>
      <c r="CS73" s="644">
        <f t="shared" si="64"/>
        <v>2</v>
      </c>
      <c r="CT73" s="644">
        <f t="shared" si="65"/>
        <v>0</v>
      </c>
      <c r="CU73" s="644">
        <f t="shared" si="66"/>
        <v>0</v>
      </c>
      <c r="CV73" s="644">
        <f t="shared" si="67"/>
        <v>0</v>
      </c>
      <c r="CW73" s="644">
        <f t="shared" si="68"/>
        <v>1</v>
      </c>
      <c r="CX73" s="644">
        <f t="shared" si="69"/>
        <v>0</v>
      </c>
      <c r="CY73" s="644">
        <f t="shared" si="70"/>
        <v>0</v>
      </c>
      <c r="CZ73" s="624" t="s">
        <v>756</v>
      </c>
      <c r="DA73" s="257"/>
    </row>
    <row r="74" spans="1:105">
      <c r="A74" s="249" t="s">
        <v>183</v>
      </c>
      <c r="B74" s="187"/>
      <c r="C74" s="644"/>
      <c r="D74" s="644"/>
      <c r="E74" s="644">
        <v>1</v>
      </c>
      <c r="F74" s="251"/>
      <c r="G74" s="251"/>
      <c r="H74" s="251"/>
      <c r="I74" s="251"/>
      <c r="J74" s="644"/>
      <c r="K74" s="644"/>
      <c r="L74" s="644"/>
      <c r="M74" s="644"/>
      <c r="N74" s="644"/>
      <c r="O74" s="644"/>
      <c r="P74" s="644"/>
      <c r="Q74" s="644"/>
      <c r="R74" s="644">
        <v>1</v>
      </c>
      <c r="S74" s="644"/>
      <c r="T74" s="644"/>
      <c r="U74" s="644">
        <v>1</v>
      </c>
      <c r="V74" s="644"/>
      <c r="W74" s="644"/>
      <c r="X74" s="644"/>
      <c r="Y74" s="644"/>
      <c r="Z74" s="644"/>
      <c r="AA74" s="644"/>
      <c r="AB74" s="644">
        <v>1</v>
      </c>
      <c r="AC74" s="644"/>
      <c r="AD74" s="644"/>
      <c r="AE74" s="644"/>
      <c r="AF74" s="644"/>
      <c r="AG74" s="644"/>
      <c r="AH74" s="644">
        <v>1</v>
      </c>
      <c r="AI74" s="644"/>
      <c r="AJ74" s="644"/>
      <c r="AK74" s="644"/>
      <c r="AL74" s="167">
        <v>5</v>
      </c>
      <c r="AM74" s="187" t="s">
        <v>1137</v>
      </c>
      <c r="AN74" s="186">
        <v>41998</v>
      </c>
      <c r="AO74" s="187"/>
      <c r="AP74" s="187">
        <f t="shared" si="148"/>
        <v>0</v>
      </c>
      <c r="AQ74" s="187">
        <f t="shared" si="149"/>
        <v>0</v>
      </c>
      <c r="AR74" s="187">
        <f t="shared" si="150"/>
        <v>13</v>
      </c>
      <c r="AS74" s="187">
        <f t="shared" si="151"/>
        <v>13</v>
      </c>
      <c r="AT74" s="187">
        <f t="shared" si="152"/>
        <v>9</v>
      </c>
      <c r="AU74" s="187">
        <f t="shared" si="153"/>
        <v>0</v>
      </c>
      <c r="AV74" s="187">
        <f t="shared" si="154"/>
        <v>0</v>
      </c>
      <c r="AW74" s="187">
        <f t="shared" si="155"/>
        <v>0</v>
      </c>
      <c r="AX74" s="187">
        <f t="shared" si="156"/>
        <v>0</v>
      </c>
      <c r="AY74" s="187">
        <f t="shared" si="157"/>
        <v>0</v>
      </c>
      <c r="AZ74" s="187">
        <f t="shared" si="158"/>
        <v>7</v>
      </c>
      <c r="BA74" s="187">
        <f t="shared" si="159"/>
        <v>7</v>
      </c>
      <c r="BB74" s="187">
        <f t="shared" si="160"/>
        <v>0</v>
      </c>
      <c r="BC74" s="187">
        <f t="shared" si="161"/>
        <v>0</v>
      </c>
      <c r="BD74" s="187">
        <f t="shared" si="162"/>
        <v>0</v>
      </c>
      <c r="BE74" s="187">
        <f t="shared" si="163"/>
        <v>0</v>
      </c>
      <c r="BF74" s="187">
        <f t="shared" si="164"/>
        <v>0</v>
      </c>
      <c r="BG74" s="187">
        <f t="shared" si="165"/>
        <v>0</v>
      </c>
      <c r="BH74" s="187">
        <f t="shared" si="166"/>
        <v>0</v>
      </c>
      <c r="BI74" s="187">
        <f t="shared" si="167"/>
        <v>0</v>
      </c>
      <c r="BJ74" s="187">
        <f t="shared" si="168"/>
        <v>0</v>
      </c>
      <c r="BK74" s="187">
        <f t="shared" si="169"/>
        <v>0</v>
      </c>
      <c r="BL74" s="187">
        <f t="shared" si="170"/>
        <v>0</v>
      </c>
      <c r="BM74" s="187">
        <f t="shared" si="171"/>
        <v>0</v>
      </c>
      <c r="BN74" s="188">
        <f t="shared" si="172"/>
        <v>5</v>
      </c>
      <c r="BO74" s="187">
        <f t="shared" si="173"/>
        <v>0</v>
      </c>
      <c r="BP74" s="187">
        <f t="shared" ref="BP74:BQ74" si="254">IF(G74=1,1,0)</f>
        <v>0</v>
      </c>
      <c r="BQ74" s="187">
        <f t="shared" si="254"/>
        <v>0</v>
      </c>
      <c r="BR74" s="187">
        <f t="shared" ref="BR74:BT74" si="255">IF(K74=1,1,0)</f>
        <v>0</v>
      </c>
      <c r="BS74" s="187">
        <f t="shared" si="255"/>
        <v>0</v>
      </c>
      <c r="BT74" s="187">
        <f t="shared" si="255"/>
        <v>0</v>
      </c>
      <c r="BU74" s="187">
        <f t="shared" ref="BU74:BV74" si="256">IF(P74=1,1,0)</f>
        <v>0</v>
      </c>
      <c r="BV74" s="187">
        <f t="shared" si="256"/>
        <v>0</v>
      </c>
      <c r="BW74" s="187">
        <f t="shared" si="177"/>
        <v>0</v>
      </c>
      <c r="BX74" s="187">
        <f t="shared" si="178"/>
        <v>0</v>
      </c>
      <c r="BY74" s="187">
        <f t="shared" si="179"/>
        <v>5</v>
      </c>
      <c r="BZ74" s="187">
        <f t="shared" si="180"/>
        <v>-25</v>
      </c>
      <c r="CA74" s="167">
        <f t="shared" si="181"/>
        <v>24</v>
      </c>
      <c r="CB74" s="167">
        <f t="shared" si="47"/>
        <v>88</v>
      </c>
      <c r="CC74" s="644">
        <f t="shared" si="48"/>
        <v>23</v>
      </c>
      <c r="CD74" s="644">
        <f t="shared" si="49"/>
        <v>19</v>
      </c>
      <c r="CE74" s="644">
        <f t="shared" si="50"/>
        <v>15</v>
      </c>
      <c r="CF74" s="644">
        <f t="shared" si="51"/>
        <v>15</v>
      </c>
      <c r="CG74" s="644">
        <f t="shared" si="52"/>
        <v>9</v>
      </c>
      <c r="CH74" s="644">
        <f t="shared" si="123"/>
        <v>7</v>
      </c>
      <c r="CI74" s="644">
        <f t="shared" si="54"/>
        <v>0</v>
      </c>
      <c r="CJ74" s="644">
        <f t="shared" si="55"/>
        <v>0</v>
      </c>
      <c r="CK74" s="644">
        <f t="shared" si="56"/>
        <v>0</v>
      </c>
      <c r="CL74" s="644">
        <f t="shared" si="57"/>
        <v>0</v>
      </c>
      <c r="CM74" s="644">
        <f t="shared" si="58"/>
        <v>0</v>
      </c>
      <c r="CN74" s="644">
        <f t="shared" si="59"/>
        <v>0</v>
      </c>
      <c r="CO74" s="644">
        <f t="shared" si="60"/>
        <v>0</v>
      </c>
      <c r="CP74" s="644">
        <f t="shared" si="61"/>
        <v>0</v>
      </c>
      <c r="CQ74" s="644">
        <f t="shared" si="62"/>
        <v>0</v>
      </c>
      <c r="CR74" s="644">
        <f t="shared" si="63"/>
        <v>0</v>
      </c>
      <c r="CS74" s="644">
        <f t="shared" si="64"/>
        <v>0</v>
      </c>
      <c r="CT74" s="644">
        <f t="shared" si="65"/>
        <v>0</v>
      </c>
      <c r="CU74" s="644">
        <f t="shared" si="66"/>
        <v>0</v>
      </c>
      <c r="CV74" s="644">
        <f t="shared" si="67"/>
        <v>0</v>
      </c>
      <c r="CW74" s="644">
        <f t="shared" si="68"/>
        <v>0</v>
      </c>
      <c r="CX74" s="644">
        <f t="shared" si="69"/>
        <v>0</v>
      </c>
      <c r="CY74" s="644">
        <f t="shared" si="70"/>
        <v>0</v>
      </c>
      <c r="CZ74" s="624" t="s">
        <v>805</v>
      </c>
      <c r="DA74" s="257"/>
    </row>
    <row r="75" spans="1:105">
      <c r="A75" s="249" t="s">
        <v>1138</v>
      </c>
      <c r="B75" s="187"/>
      <c r="C75" s="644"/>
      <c r="D75" s="644">
        <v>1</v>
      </c>
      <c r="E75" s="258">
        <v>1</v>
      </c>
      <c r="F75" s="251">
        <v>1</v>
      </c>
      <c r="G75" s="251"/>
      <c r="H75" s="251"/>
      <c r="I75" s="251">
        <v>1</v>
      </c>
      <c r="J75" s="644"/>
      <c r="K75" s="644"/>
      <c r="L75" s="644"/>
      <c r="M75" s="644"/>
      <c r="N75" s="644"/>
      <c r="O75" s="644"/>
      <c r="P75" s="644"/>
      <c r="Q75" s="644"/>
      <c r="R75" s="644">
        <v>1</v>
      </c>
      <c r="S75" s="644"/>
      <c r="T75" s="644">
        <v>1</v>
      </c>
      <c r="U75" s="644">
        <v>1</v>
      </c>
      <c r="V75" s="644"/>
      <c r="W75" s="644"/>
      <c r="X75" s="644"/>
      <c r="Y75" s="644"/>
      <c r="Z75" s="644"/>
      <c r="AA75" s="644"/>
      <c r="AB75" s="644">
        <v>1</v>
      </c>
      <c r="AC75" s="644">
        <v>1</v>
      </c>
      <c r="AD75" s="644">
        <v>1</v>
      </c>
      <c r="AE75" s="644"/>
      <c r="AF75" s="644"/>
      <c r="AG75" s="644"/>
      <c r="AH75" s="644"/>
      <c r="AI75" s="644"/>
      <c r="AJ75" s="644"/>
      <c r="AK75" s="644"/>
      <c r="AL75" s="167">
        <v>10</v>
      </c>
      <c r="AM75" s="185" t="s">
        <v>1139</v>
      </c>
      <c r="AN75" s="186">
        <v>42000</v>
      </c>
      <c r="AO75" s="187"/>
      <c r="AP75" s="187">
        <f t="shared" si="148"/>
        <v>13</v>
      </c>
      <c r="AQ75" s="187">
        <f t="shared" si="149"/>
        <v>13</v>
      </c>
      <c r="AR75" s="187">
        <f t="shared" si="150"/>
        <v>13</v>
      </c>
      <c r="AS75" s="187">
        <f t="shared" si="151"/>
        <v>13</v>
      </c>
      <c r="AT75" s="187">
        <f t="shared" si="152"/>
        <v>9</v>
      </c>
      <c r="AU75" s="187">
        <f t="shared" si="153"/>
        <v>9</v>
      </c>
      <c r="AV75" s="187">
        <f t="shared" si="154"/>
        <v>9</v>
      </c>
      <c r="AW75" s="187">
        <f t="shared" si="155"/>
        <v>0</v>
      </c>
      <c r="AX75" s="187">
        <f t="shared" si="156"/>
        <v>7</v>
      </c>
      <c r="AY75" s="187">
        <f t="shared" si="157"/>
        <v>0</v>
      </c>
      <c r="AZ75" s="187">
        <f t="shared" si="158"/>
        <v>0</v>
      </c>
      <c r="BA75" s="187">
        <f t="shared" si="159"/>
        <v>7</v>
      </c>
      <c r="BB75" s="187">
        <f t="shared" si="160"/>
        <v>0</v>
      </c>
      <c r="BC75" s="187">
        <f t="shared" si="161"/>
        <v>4</v>
      </c>
      <c r="BD75" s="187">
        <f t="shared" si="162"/>
        <v>0</v>
      </c>
      <c r="BE75" s="187">
        <f t="shared" si="163"/>
        <v>0</v>
      </c>
      <c r="BF75" s="187">
        <f t="shared" si="164"/>
        <v>0</v>
      </c>
      <c r="BG75" s="187">
        <f t="shared" si="165"/>
        <v>0</v>
      </c>
      <c r="BH75" s="187">
        <f t="shared" si="166"/>
        <v>0</v>
      </c>
      <c r="BI75" s="187">
        <f t="shared" si="167"/>
        <v>0</v>
      </c>
      <c r="BJ75" s="187">
        <f t="shared" si="168"/>
        <v>0</v>
      </c>
      <c r="BK75" s="187">
        <f t="shared" si="169"/>
        <v>0</v>
      </c>
      <c r="BL75" s="187">
        <f t="shared" si="170"/>
        <v>0</v>
      </c>
      <c r="BM75" s="187">
        <f t="shared" si="171"/>
        <v>0</v>
      </c>
      <c r="BN75" s="188">
        <f t="shared" si="172"/>
        <v>0</v>
      </c>
      <c r="BO75" s="187">
        <f t="shared" si="173"/>
        <v>0</v>
      </c>
      <c r="BP75" s="187">
        <f t="shared" ref="BP75:BQ75" si="257">IF(G75=1,1,0)</f>
        <v>0</v>
      </c>
      <c r="BQ75" s="187">
        <f t="shared" si="257"/>
        <v>0</v>
      </c>
      <c r="BR75" s="187">
        <f t="shared" ref="BR75:BT75" si="258">IF(K75=1,1,0)</f>
        <v>0</v>
      </c>
      <c r="BS75" s="187">
        <f t="shared" si="258"/>
        <v>0</v>
      </c>
      <c r="BT75" s="187">
        <f t="shared" si="258"/>
        <v>0</v>
      </c>
      <c r="BU75" s="187">
        <f t="shared" ref="BU75:BV75" si="259">IF(P75=1,1,0)</f>
        <v>0</v>
      </c>
      <c r="BV75" s="187">
        <f t="shared" si="259"/>
        <v>0</v>
      </c>
      <c r="BW75" s="187">
        <f t="shared" si="177"/>
        <v>0</v>
      </c>
      <c r="BX75" s="187">
        <f t="shared" si="178"/>
        <v>0</v>
      </c>
      <c r="BY75" s="187">
        <f t="shared" si="179"/>
        <v>0</v>
      </c>
      <c r="BZ75" s="187">
        <f t="shared" si="180"/>
        <v>0</v>
      </c>
      <c r="CA75" s="167">
        <f t="shared" si="181"/>
        <v>97</v>
      </c>
      <c r="CB75" s="167">
        <f t="shared" si="47"/>
        <v>88</v>
      </c>
      <c r="CC75" s="644">
        <f t="shared" si="48"/>
        <v>23</v>
      </c>
      <c r="CD75" s="644">
        <f t="shared" si="49"/>
        <v>19</v>
      </c>
      <c r="CE75" s="644">
        <f t="shared" si="50"/>
        <v>0</v>
      </c>
      <c r="CF75" s="644">
        <f t="shared" si="51"/>
        <v>15</v>
      </c>
      <c r="CG75" s="644">
        <f t="shared" si="52"/>
        <v>9</v>
      </c>
      <c r="CH75" s="644">
        <f t="shared" si="123"/>
        <v>0</v>
      </c>
      <c r="CI75" s="644">
        <f t="shared" si="54"/>
        <v>7</v>
      </c>
      <c r="CJ75" s="644">
        <f t="shared" si="55"/>
        <v>5</v>
      </c>
      <c r="CK75" s="644">
        <f t="shared" si="56"/>
        <v>5</v>
      </c>
      <c r="CL75" s="644">
        <f t="shared" si="57"/>
        <v>5</v>
      </c>
      <c r="CM75" s="644">
        <f t="shared" si="58"/>
        <v>0</v>
      </c>
      <c r="CN75" s="644">
        <f t="shared" si="59"/>
        <v>3</v>
      </c>
      <c r="CO75" s="644">
        <f t="shared" si="60"/>
        <v>0</v>
      </c>
      <c r="CP75" s="644">
        <f t="shared" si="61"/>
        <v>0</v>
      </c>
      <c r="CQ75" s="644">
        <f t="shared" si="62"/>
        <v>0</v>
      </c>
      <c r="CR75" s="644">
        <f t="shared" si="63"/>
        <v>0</v>
      </c>
      <c r="CS75" s="644">
        <f t="shared" si="64"/>
        <v>0</v>
      </c>
      <c r="CT75" s="644">
        <f t="shared" si="65"/>
        <v>0</v>
      </c>
      <c r="CU75" s="644">
        <f t="shared" si="66"/>
        <v>0</v>
      </c>
      <c r="CV75" s="644">
        <f t="shared" si="67"/>
        <v>0</v>
      </c>
      <c r="CW75" s="644">
        <f t="shared" si="68"/>
        <v>0</v>
      </c>
      <c r="CX75" s="644">
        <f t="shared" si="69"/>
        <v>0</v>
      </c>
      <c r="CY75" s="644">
        <f t="shared" si="70"/>
        <v>0</v>
      </c>
      <c r="CZ75" s="624" t="s">
        <v>740</v>
      </c>
      <c r="DA75" s="257"/>
    </row>
    <row r="76" spans="1:105">
      <c r="A76" s="249" t="s">
        <v>818</v>
      </c>
      <c r="B76" s="187"/>
      <c r="C76" s="644"/>
      <c r="D76" s="644">
        <v>1</v>
      </c>
      <c r="E76" s="644">
        <v>1</v>
      </c>
      <c r="F76" s="251"/>
      <c r="G76" s="251"/>
      <c r="H76" s="251"/>
      <c r="I76" s="251"/>
      <c r="J76" s="644"/>
      <c r="K76" s="644"/>
      <c r="L76" s="644"/>
      <c r="M76" s="644"/>
      <c r="N76" s="644"/>
      <c r="O76" s="644"/>
      <c r="P76" s="644"/>
      <c r="Q76" s="644"/>
      <c r="R76" s="644">
        <v>1</v>
      </c>
      <c r="S76" s="644"/>
      <c r="T76" s="644">
        <v>1</v>
      </c>
      <c r="U76" s="644"/>
      <c r="V76" s="644">
        <v>1</v>
      </c>
      <c r="W76" s="644">
        <v>1</v>
      </c>
      <c r="X76" s="644">
        <v>1</v>
      </c>
      <c r="Y76" s="644"/>
      <c r="Z76" s="644"/>
      <c r="AA76" s="644"/>
      <c r="AB76" s="644">
        <v>1</v>
      </c>
      <c r="AC76" s="644">
        <v>1</v>
      </c>
      <c r="AD76" s="644"/>
      <c r="AE76" s="644"/>
      <c r="AF76" s="644"/>
      <c r="AG76" s="644">
        <v>1</v>
      </c>
      <c r="AH76" s="644"/>
      <c r="AI76" s="644"/>
      <c r="AJ76" s="644"/>
      <c r="AK76" s="644"/>
      <c r="AL76" s="167">
        <v>10</v>
      </c>
      <c r="AM76" s="187" t="s">
        <v>138</v>
      </c>
      <c r="AN76" s="186">
        <v>42010</v>
      </c>
      <c r="AO76" s="187"/>
      <c r="AP76" s="187">
        <f t="shared" si="148"/>
        <v>0</v>
      </c>
      <c r="AQ76" s="187">
        <f t="shared" si="149"/>
        <v>0</v>
      </c>
      <c r="AR76" s="187">
        <f t="shared" si="150"/>
        <v>13</v>
      </c>
      <c r="AS76" s="187">
        <f t="shared" si="151"/>
        <v>0</v>
      </c>
      <c r="AT76" s="187">
        <f t="shared" si="152"/>
        <v>9</v>
      </c>
      <c r="AU76" s="187">
        <f t="shared" si="153"/>
        <v>9</v>
      </c>
      <c r="AV76" s="187">
        <f t="shared" si="154"/>
        <v>9</v>
      </c>
      <c r="AW76" s="187">
        <f t="shared" si="155"/>
        <v>0</v>
      </c>
      <c r="AX76" s="187">
        <f t="shared" si="156"/>
        <v>0</v>
      </c>
      <c r="AY76" s="187">
        <f t="shared" si="157"/>
        <v>0</v>
      </c>
      <c r="AZ76" s="187">
        <f t="shared" si="158"/>
        <v>0</v>
      </c>
      <c r="BA76" s="187">
        <f t="shared" si="159"/>
        <v>7</v>
      </c>
      <c r="BB76" s="187">
        <f t="shared" si="160"/>
        <v>0</v>
      </c>
      <c r="BC76" s="187">
        <f t="shared" si="161"/>
        <v>4</v>
      </c>
      <c r="BD76" s="187">
        <f t="shared" si="162"/>
        <v>4</v>
      </c>
      <c r="BE76" s="187">
        <f t="shared" si="163"/>
        <v>0</v>
      </c>
      <c r="BF76" s="187">
        <f t="shared" si="164"/>
        <v>3</v>
      </c>
      <c r="BG76" s="187">
        <f t="shared" si="165"/>
        <v>0</v>
      </c>
      <c r="BH76" s="187">
        <f t="shared" si="166"/>
        <v>0</v>
      </c>
      <c r="BI76" s="187">
        <f t="shared" si="167"/>
        <v>1</v>
      </c>
      <c r="BJ76" s="187">
        <f t="shared" si="168"/>
        <v>1</v>
      </c>
      <c r="BK76" s="187">
        <f t="shared" si="169"/>
        <v>0</v>
      </c>
      <c r="BL76" s="187">
        <f t="shared" si="170"/>
        <v>0</v>
      </c>
      <c r="BM76" s="187">
        <f t="shared" si="171"/>
        <v>0</v>
      </c>
      <c r="BN76" s="188">
        <f t="shared" si="172"/>
        <v>0</v>
      </c>
      <c r="BO76" s="187">
        <f t="shared" si="173"/>
        <v>0</v>
      </c>
      <c r="BP76" s="187">
        <f t="shared" ref="BP76:BQ76" si="260">IF(G76=1,1,0)</f>
        <v>0</v>
      </c>
      <c r="BQ76" s="187">
        <f t="shared" si="260"/>
        <v>0</v>
      </c>
      <c r="BR76" s="187">
        <f t="shared" ref="BR76:BT76" si="261">IF(K76=1,1,0)</f>
        <v>0</v>
      </c>
      <c r="BS76" s="187">
        <f t="shared" si="261"/>
        <v>0</v>
      </c>
      <c r="BT76" s="187">
        <f t="shared" si="261"/>
        <v>0</v>
      </c>
      <c r="BU76" s="187">
        <f t="shared" ref="BU76:BV76" si="262">IF(P76=1,1,0)</f>
        <v>0</v>
      </c>
      <c r="BV76" s="187">
        <f t="shared" si="262"/>
        <v>0</v>
      </c>
      <c r="BW76" s="187">
        <f t="shared" si="177"/>
        <v>0</v>
      </c>
      <c r="BX76" s="187">
        <f t="shared" si="178"/>
        <v>0</v>
      </c>
      <c r="BY76" s="187">
        <f t="shared" si="179"/>
        <v>0</v>
      </c>
      <c r="BZ76" s="187">
        <f t="shared" si="180"/>
        <v>0</v>
      </c>
      <c r="CA76" s="167">
        <f t="shared" si="181"/>
        <v>60</v>
      </c>
      <c r="CB76" s="167">
        <f t="shared" si="47"/>
        <v>69</v>
      </c>
      <c r="CC76" s="644">
        <f t="shared" si="48"/>
        <v>23</v>
      </c>
      <c r="CD76" s="644">
        <f t="shared" si="49"/>
        <v>0</v>
      </c>
      <c r="CE76" s="644">
        <f t="shared" si="50"/>
        <v>0</v>
      </c>
      <c r="CF76" s="644">
        <f t="shared" si="51"/>
        <v>15</v>
      </c>
      <c r="CG76" s="644">
        <f t="shared" si="52"/>
        <v>9</v>
      </c>
      <c r="CH76" s="644">
        <f t="shared" si="123"/>
        <v>7</v>
      </c>
      <c r="CI76" s="644">
        <f t="shared" si="54"/>
        <v>7</v>
      </c>
      <c r="CJ76" s="644">
        <f t="shared" si="55"/>
        <v>0</v>
      </c>
      <c r="CK76" s="644">
        <f t="shared" si="56"/>
        <v>0</v>
      </c>
      <c r="CL76" s="644">
        <f t="shared" si="57"/>
        <v>0</v>
      </c>
      <c r="CM76" s="644">
        <f t="shared" si="58"/>
        <v>3</v>
      </c>
      <c r="CN76" s="644">
        <f t="shared" si="59"/>
        <v>3</v>
      </c>
      <c r="CO76" s="644">
        <f t="shared" si="60"/>
        <v>0</v>
      </c>
      <c r="CP76" s="644">
        <f t="shared" si="61"/>
        <v>0</v>
      </c>
      <c r="CQ76" s="644">
        <f t="shared" si="62"/>
        <v>0</v>
      </c>
      <c r="CR76" s="644">
        <f t="shared" si="63"/>
        <v>2</v>
      </c>
      <c r="CS76" s="644">
        <f t="shared" si="64"/>
        <v>0</v>
      </c>
      <c r="CT76" s="644">
        <f t="shared" si="65"/>
        <v>0</v>
      </c>
      <c r="CU76" s="644">
        <f t="shared" si="66"/>
        <v>1</v>
      </c>
      <c r="CV76" s="644">
        <f t="shared" si="67"/>
        <v>1</v>
      </c>
      <c r="CW76" s="644">
        <f t="shared" si="68"/>
        <v>0</v>
      </c>
      <c r="CX76" s="644">
        <f t="shared" si="69"/>
        <v>0</v>
      </c>
      <c r="CY76" s="644">
        <f t="shared" si="70"/>
        <v>0</v>
      </c>
      <c r="CZ76" s="624" t="s">
        <v>756</v>
      </c>
      <c r="DA76" s="257"/>
    </row>
    <row r="77" spans="1:105">
      <c r="A77" s="249" t="s">
        <v>187</v>
      </c>
      <c r="B77" s="187"/>
      <c r="C77" s="644"/>
      <c r="D77" s="644">
        <v>1</v>
      </c>
      <c r="E77" s="644">
        <v>1</v>
      </c>
      <c r="F77" s="251"/>
      <c r="G77" s="251"/>
      <c r="H77" s="251"/>
      <c r="I77" s="251"/>
      <c r="J77" s="644"/>
      <c r="K77" s="644"/>
      <c r="L77" s="644"/>
      <c r="M77" s="644"/>
      <c r="N77" s="644"/>
      <c r="O77" s="644"/>
      <c r="P77" s="644"/>
      <c r="Q77" s="644"/>
      <c r="R77" s="644">
        <v>1</v>
      </c>
      <c r="S77" s="644"/>
      <c r="T77" s="644">
        <v>1</v>
      </c>
      <c r="U77" s="644">
        <v>1</v>
      </c>
      <c r="V77" s="644"/>
      <c r="W77" s="644"/>
      <c r="X77" s="644"/>
      <c r="Y77" s="644"/>
      <c r="Z77" s="258">
        <v>1</v>
      </c>
      <c r="AA77" s="644"/>
      <c r="AB77" s="644">
        <v>1</v>
      </c>
      <c r="AC77" s="644">
        <v>1</v>
      </c>
      <c r="AD77" s="644">
        <v>1</v>
      </c>
      <c r="AE77" s="644"/>
      <c r="AF77" s="644"/>
      <c r="AG77" s="644"/>
      <c r="AH77" s="644">
        <v>1</v>
      </c>
      <c r="AI77" s="644"/>
      <c r="AJ77" s="644"/>
      <c r="AK77" s="644"/>
      <c r="AL77" s="167">
        <v>10</v>
      </c>
      <c r="AM77" s="185" t="s">
        <v>1140</v>
      </c>
      <c r="AN77" s="186">
        <v>41993</v>
      </c>
      <c r="AO77" s="187"/>
      <c r="AP77" s="187">
        <f t="shared" si="148"/>
        <v>0</v>
      </c>
      <c r="AQ77" s="187">
        <f t="shared" si="149"/>
        <v>0</v>
      </c>
      <c r="AR77" s="187">
        <f t="shared" si="150"/>
        <v>13</v>
      </c>
      <c r="AS77" s="187">
        <f t="shared" si="151"/>
        <v>13</v>
      </c>
      <c r="AT77" s="187">
        <f t="shared" si="152"/>
        <v>9</v>
      </c>
      <c r="AU77" s="187">
        <f t="shared" si="153"/>
        <v>9</v>
      </c>
      <c r="AV77" s="187">
        <f t="shared" si="154"/>
        <v>9</v>
      </c>
      <c r="AW77" s="187">
        <f t="shared" si="155"/>
        <v>0</v>
      </c>
      <c r="AX77" s="187">
        <f t="shared" si="156"/>
        <v>7</v>
      </c>
      <c r="AY77" s="187">
        <f t="shared" si="157"/>
        <v>7</v>
      </c>
      <c r="AZ77" s="187">
        <f t="shared" si="158"/>
        <v>7</v>
      </c>
      <c r="BA77" s="187">
        <f t="shared" si="159"/>
        <v>7</v>
      </c>
      <c r="BB77" s="187">
        <f t="shared" si="160"/>
        <v>0</v>
      </c>
      <c r="BC77" s="187">
        <f t="shared" si="161"/>
        <v>4</v>
      </c>
      <c r="BD77" s="187">
        <f t="shared" si="162"/>
        <v>0</v>
      </c>
      <c r="BE77" s="187">
        <f t="shared" si="163"/>
        <v>0</v>
      </c>
      <c r="BF77" s="187">
        <f t="shared" si="164"/>
        <v>0</v>
      </c>
      <c r="BG77" s="187">
        <f t="shared" si="165"/>
        <v>0</v>
      </c>
      <c r="BH77" s="187">
        <f t="shared" si="166"/>
        <v>0</v>
      </c>
      <c r="BI77" s="187">
        <f t="shared" si="167"/>
        <v>0</v>
      </c>
      <c r="BJ77" s="187">
        <f t="shared" si="168"/>
        <v>0</v>
      </c>
      <c r="BK77" s="187">
        <f t="shared" si="169"/>
        <v>0</v>
      </c>
      <c r="BL77" s="187">
        <f t="shared" si="170"/>
        <v>0</v>
      </c>
      <c r="BM77" s="187">
        <f t="shared" si="171"/>
        <v>0</v>
      </c>
      <c r="BN77" s="188">
        <f t="shared" si="172"/>
        <v>0</v>
      </c>
      <c r="BO77" s="187">
        <f t="shared" si="173"/>
        <v>0</v>
      </c>
      <c r="BP77" s="187">
        <f t="shared" ref="BP77:BQ77" si="263">IF(G77=1,1,0)</f>
        <v>0</v>
      </c>
      <c r="BQ77" s="187">
        <f t="shared" si="263"/>
        <v>0</v>
      </c>
      <c r="BR77" s="187">
        <f t="shared" ref="BR77:BT77" si="264">IF(K77=1,1,0)</f>
        <v>0</v>
      </c>
      <c r="BS77" s="187">
        <f t="shared" si="264"/>
        <v>0</v>
      </c>
      <c r="BT77" s="187">
        <f t="shared" si="264"/>
        <v>0</v>
      </c>
      <c r="BU77" s="187">
        <f t="shared" ref="BU77:BV77" si="265">IF(P77=1,1,0)</f>
        <v>0</v>
      </c>
      <c r="BV77" s="187">
        <f t="shared" si="265"/>
        <v>0</v>
      </c>
      <c r="BW77" s="187">
        <f t="shared" si="177"/>
        <v>0</v>
      </c>
      <c r="BX77" s="187">
        <f t="shared" si="178"/>
        <v>0</v>
      </c>
      <c r="BY77" s="187">
        <f t="shared" si="179"/>
        <v>0</v>
      </c>
      <c r="BZ77" s="187">
        <f t="shared" si="180"/>
        <v>0</v>
      </c>
      <c r="CA77" s="167">
        <f t="shared" si="181"/>
        <v>85</v>
      </c>
      <c r="CB77" s="167">
        <f t="shared" si="47"/>
        <v>100</v>
      </c>
      <c r="CC77" s="644">
        <f t="shared" si="48"/>
        <v>23</v>
      </c>
      <c r="CD77" s="644">
        <f t="shared" si="49"/>
        <v>19</v>
      </c>
      <c r="CE77" s="644">
        <f t="shared" si="50"/>
        <v>15</v>
      </c>
      <c r="CF77" s="644">
        <f t="shared" si="51"/>
        <v>15</v>
      </c>
      <c r="CG77" s="644">
        <f t="shared" si="52"/>
        <v>9</v>
      </c>
      <c r="CH77" s="644">
        <f t="shared" si="123"/>
        <v>7</v>
      </c>
      <c r="CI77" s="644">
        <f t="shared" si="54"/>
        <v>7</v>
      </c>
      <c r="CJ77" s="644">
        <f t="shared" si="55"/>
        <v>5</v>
      </c>
      <c r="CK77" s="644">
        <f t="shared" si="56"/>
        <v>0</v>
      </c>
      <c r="CL77" s="644">
        <f t="shared" si="57"/>
        <v>0</v>
      </c>
      <c r="CM77" s="644">
        <f t="shared" si="58"/>
        <v>0</v>
      </c>
      <c r="CN77" s="644">
        <f t="shared" si="59"/>
        <v>3</v>
      </c>
      <c r="CO77" s="644">
        <f t="shared" si="60"/>
        <v>0</v>
      </c>
      <c r="CP77" s="644">
        <f t="shared" si="61"/>
        <v>3</v>
      </c>
      <c r="CQ77" s="644">
        <f t="shared" si="62"/>
        <v>0</v>
      </c>
      <c r="CR77" s="644">
        <f t="shared" si="63"/>
        <v>0</v>
      </c>
      <c r="CS77" s="644">
        <f t="shared" si="64"/>
        <v>0</v>
      </c>
      <c r="CT77" s="644">
        <f t="shared" si="65"/>
        <v>0</v>
      </c>
      <c r="CU77" s="644">
        <f t="shared" si="66"/>
        <v>0</v>
      </c>
      <c r="CV77" s="644">
        <f t="shared" si="67"/>
        <v>0</v>
      </c>
      <c r="CW77" s="644">
        <f t="shared" si="68"/>
        <v>0</v>
      </c>
      <c r="CX77" s="644">
        <f t="shared" si="69"/>
        <v>0</v>
      </c>
      <c r="CY77" s="644">
        <f t="shared" si="70"/>
        <v>0</v>
      </c>
      <c r="CZ77" s="624" t="s">
        <v>766</v>
      </c>
      <c r="DA77" s="257"/>
    </row>
    <row r="78" spans="1:105">
      <c r="A78" s="249" t="s">
        <v>191</v>
      </c>
      <c r="B78" s="187"/>
      <c r="C78" s="644"/>
      <c r="D78" s="250"/>
      <c r="E78" s="644"/>
      <c r="F78" s="251">
        <v>1</v>
      </c>
      <c r="G78" s="251"/>
      <c r="H78" s="251"/>
      <c r="I78" s="251">
        <v>1</v>
      </c>
      <c r="J78" s="644"/>
      <c r="K78" s="644"/>
      <c r="L78" s="644"/>
      <c r="M78" s="644"/>
      <c r="N78" s="644"/>
      <c r="O78" s="644"/>
      <c r="P78" s="644"/>
      <c r="Q78" s="644"/>
      <c r="R78" s="644">
        <v>1</v>
      </c>
      <c r="S78" s="644"/>
      <c r="T78" s="644"/>
      <c r="U78" s="644">
        <v>1</v>
      </c>
      <c r="V78" s="644"/>
      <c r="W78" s="644"/>
      <c r="X78" s="644">
        <v>1</v>
      </c>
      <c r="Y78" s="644"/>
      <c r="Z78" s="644"/>
      <c r="AA78" s="644"/>
      <c r="AB78" s="644">
        <v>1</v>
      </c>
      <c r="AC78" s="644">
        <v>1</v>
      </c>
      <c r="AD78" s="644"/>
      <c r="AE78" s="644"/>
      <c r="AF78" s="644"/>
      <c r="AG78" s="644">
        <v>1</v>
      </c>
      <c r="AH78" s="644">
        <v>1</v>
      </c>
      <c r="AI78" s="644">
        <v>1</v>
      </c>
      <c r="AJ78" s="644"/>
      <c r="AK78" s="644"/>
      <c r="AL78" s="167">
        <v>10</v>
      </c>
      <c r="AM78" s="185" t="s">
        <v>1141</v>
      </c>
      <c r="AN78" s="186">
        <v>41997</v>
      </c>
      <c r="AO78" s="187"/>
      <c r="AP78" s="187">
        <f t="shared" si="148"/>
        <v>13</v>
      </c>
      <c r="AQ78" s="187">
        <f t="shared" si="149"/>
        <v>13</v>
      </c>
      <c r="AR78" s="187">
        <f t="shared" si="150"/>
        <v>13</v>
      </c>
      <c r="AS78" s="187">
        <f t="shared" si="151"/>
        <v>13</v>
      </c>
      <c r="AT78" s="187">
        <f t="shared" si="152"/>
        <v>9</v>
      </c>
      <c r="AU78" s="187">
        <f t="shared" si="153"/>
        <v>0</v>
      </c>
      <c r="AV78" s="187">
        <f t="shared" si="154"/>
        <v>9</v>
      </c>
      <c r="AW78" s="187">
        <f t="shared" si="155"/>
        <v>0</v>
      </c>
      <c r="AX78" s="187">
        <f t="shared" si="156"/>
        <v>0</v>
      </c>
      <c r="AY78" s="187">
        <f t="shared" si="157"/>
        <v>0</v>
      </c>
      <c r="AZ78" s="187">
        <f t="shared" si="158"/>
        <v>7</v>
      </c>
      <c r="BA78" s="187">
        <f t="shared" si="159"/>
        <v>0</v>
      </c>
      <c r="BB78" s="187">
        <f t="shared" si="160"/>
        <v>0</v>
      </c>
      <c r="BC78" s="187">
        <f t="shared" si="161"/>
        <v>0</v>
      </c>
      <c r="BD78" s="187">
        <f t="shared" si="162"/>
        <v>4</v>
      </c>
      <c r="BE78" s="187">
        <f t="shared" si="163"/>
        <v>0</v>
      </c>
      <c r="BF78" s="187">
        <f t="shared" si="164"/>
        <v>0</v>
      </c>
      <c r="BG78" s="187">
        <f t="shared" si="165"/>
        <v>2</v>
      </c>
      <c r="BH78" s="187">
        <f t="shared" si="166"/>
        <v>0</v>
      </c>
      <c r="BI78" s="187">
        <f t="shared" si="167"/>
        <v>0</v>
      </c>
      <c r="BJ78" s="187">
        <f t="shared" si="168"/>
        <v>1</v>
      </c>
      <c r="BK78" s="187">
        <f t="shared" si="169"/>
        <v>0</v>
      </c>
      <c r="BL78" s="187">
        <f t="shared" si="170"/>
        <v>0</v>
      </c>
      <c r="BM78" s="187">
        <f t="shared" si="171"/>
        <v>0</v>
      </c>
      <c r="BN78" s="188">
        <f t="shared" si="172"/>
        <v>0</v>
      </c>
      <c r="BO78" s="187">
        <f t="shared" si="173"/>
        <v>0</v>
      </c>
      <c r="BP78" s="187">
        <f t="shared" ref="BP78:BQ78" si="266">IF(G78=1,1,0)</f>
        <v>0</v>
      </c>
      <c r="BQ78" s="187">
        <f t="shared" si="266"/>
        <v>0</v>
      </c>
      <c r="BR78" s="187">
        <f t="shared" ref="BR78:BT78" si="267">IF(K78=1,1,0)</f>
        <v>0</v>
      </c>
      <c r="BS78" s="187">
        <f t="shared" si="267"/>
        <v>0</v>
      </c>
      <c r="BT78" s="187">
        <f t="shared" si="267"/>
        <v>0</v>
      </c>
      <c r="BU78" s="187">
        <f t="shared" ref="BU78:BV78" si="268">IF(P78=1,1,0)</f>
        <v>0</v>
      </c>
      <c r="BV78" s="187">
        <f t="shared" si="268"/>
        <v>0</v>
      </c>
      <c r="BW78" s="187">
        <f t="shared" si="177"/>
        <v>0</v>
      </c>
      <c r="BX78" s="187">
        <f t="shared" si="178"/>
        <v>0</v>
      </c>
      <c r="BY78" s="187">
        <f t="shared" si="179"/>
        <v>0</v>
      </c>
      <c r="BZ78" s="187">
        <f t="shared" si="180"/>
        <v>0</v>
      </c>
      <c r="CA78" s="167">
        <f t="shared" si="181"/>
        <v>84</v>
      </c>
      <c r="CB78" s="167">
        <f t="shared" si="47"/>
        <v>90</v>
      </c>
      <c r="CC78" s="644">
        <f t="shared" si="48"/>
        <v>23</v>
      </c>
      <c r="CD78" s="644">
        <f t="shared" si="49"/>
        <v>19</v>
      </c>
      <c r="CE78" s="644">
        <f t="shared" si="50"/>
        <v>15</v>
      </c>
      <c r="CF78" s="644">
        <f t="shared" si="51"/>
        <v>0</v>
      </c>
      <c r="CG78" s="644">
        <f t="shared" si="52"/>
        <v>9</v>
      </c>
      <c r="CH78" s="644">
        <f t="shared" si="123"/>
        <v>7</v>
      </c>
      <c r="CI78" s="644">
        <f t="shared" si="54"/>
        <v>7</v>
      </c>
      <c r="CJ78" s="644">
        <f t="shared" si="55"/>
        <v>0</v>
      </c>
      <c r="CK78" s="644">
        <f t="shared" si="56"/>
        <v>5</v>
      </c>
      <c r="CL78" s="644">
        <f t="shared" si="57"/>
        <v>5</v>
      </c>
      <c r="CM78" s="644">
        <f t="shared" si="58"/>
        <v>3</v>
      </c>
      <c r="CN78" s="644">
        <f t="shared" si="59"/>
        <v>0</v>
      </c>
      <c r="CO78" s="644">
        <f t="shared" si="60"/>
        <v>0</v>
      </c>
      <c r="CP78" s="644">
        <f t="shared" si="61"/>
        <v>0</v>
      </c>
      <c r="CQ78" s="644">
        <f t="shared" si="62"/>
        <v>0</v>
      </c>
      <c r="CR78" s="644">
        <f t="shared" si="63"/>
        <v>0</v>
      </c>
      <c r="CS78" s="644">
        <f t="shared" si="64"/>
        <v>0</v>
      </c>
      <c r="CT78" s="644">
        <f t="shared" si="65"/>
        <v>0</v>
      </c>
      <c r="CU78" s="644">
        <f t="shared" si="66"/>
        <v>1</v>
      </c>
      <c r="CV78" s="644">
        <f t="shared" si="67"/>
        <v>0</v>
      </c>
      <c r="CW78" s="644">
        <f t="shared" si="68"/>
        <v>1</v>
      </c>
      <c r="CX78" s="644">
        <f t="shared" si="69"/>
        <v>0</v>
      </c>
      <c r="CY78" s="644">
        <f t="shared" si="70"/>
        <v>0</v>
      </c>
      <c r="CZ78" s="624" t="s">
        <v>821</v>
      </c>
      <c r="DA78" s="257"/>
    </row>
    <row r="79" spans="1:105">
      <c r="A79" s="249" t="s">
        <v>192</v>
      </c>
      <c r="B79" s="187"/>
      <c r="C79" s="644"/>
      <c r="D79" s="644">
        <v>1</v>
      </c>
      <c r="E79" s="644"/>
      <c r="F79" s="251">
        <v>1</v>
      </c>
      <c r="G79" s="251"/>
      <c r="H79" s="251"/>
      <c r="I79" s="251">
        <v>1</v>
      </c>
      <c r="J79" s="644"/>
      <c r="K79" s="644"/>
      <c r="L79" s="644"/>
      <c r="M79" s="644"/>
      <c r="N79" s="644"/>
      <c r="O79" s="644"/>
      <c r="P79" s="644"/>
      <c r="Q79" s="644"/>
      <c r="R79" s="644">
        <v>1</v>
      </c>
      <c r="S79" s="644"/>
      <c r="T79" s="644"/>
      <c r="U79" s="644">
        <v>1</v>
      </c>
      <c r="V79" s="644"/>
      <c r="W79" s="644"/>
      <c r="X79" s="644"/>
      <c r="Y79" s="644"/>
      <c r="Z79" s="644"/>
      <c r="AA79" s="644"/>
      <c r="AB79" s="644">
        <v>1</v>
      </c>
      <c r="AC79" s="644">
        <v>1</v>
      </c>
      <c r="AD79" s="644">
        <v>1</v>
      </c>
      <c r="AE79" s="644"/>
      <c r="AF79" s="644">
        <v>1</v>
      </c>
      <c r="AG79" s="644"/>
      <c r="AH79" s="644">
        <v>1</v>
      </c>
      <c r="AI79" s="644"/>
      <c r="AJ79" s="644"/>
      <c r="AK79" s="644"/>
      <c r="AL79" s="167">
        <v>10</v>
      </c>
      <c r="AM79" s="185" t="s">
        <v>1142</v>
      </c>
      <c r="AN79" s="186">
        <v>42010</v>
      </c>
      <c r="AO79" s="187"/>
      <c r="AP79" s="187">
        <f t="shared" si="148"/>
        <v>13</v>
      </c>
      <c r="AQ79" s="187">
        <f t="shared" si="149"/>
        <v>13</v>
      </c>
      <c r="AR79" s="187">
        <f t="shared" si="150"/>
        <v>13</v>
      </c>
      <c r="AS79" s="187">
        <f t="shared" si="151"/>
        <v>13</v>
      </c>
      <c r="AT79" s="187">
        <f t="shared" si="152"/>
        <v>9</v>
      </c>
      <c r="AU79" s="187">
        <f t="shared" si="153"/>
        <v>9</v>
      </c>
      <c r="AV79" s="187">
        <f t="shared" si="154"/>
        <v>9</v>
      </c>
      <c r="AW79" s="187">
        <f t="shared" si="155"/>
        <v>0</v>
      </c>
      <c r="AX79" s="187">
        <f t="shared" si="156"/>
        <v>7</v>
      </c>
      <c r="AY79" s="187">
        <f t="shared" si="157"/>
        <v>0</v>
      </c>
      <c r="AZ79" s="187">
        <f t="shared" si="158"/>
        <v>7</v>
      </c>
      <c r="BA79" s="187">
        <f t="shared" si="159"/>
        <v>0</v>
      </c>
      <c r="BB79" s="187">
        <f t="shared" si="160"/>
        <v>0</v>
      </c>
      <c r="BC79" s="187">
        <f t="shared" si="161"/>
        <v>0</v>
      </c>
      <c r="BD79" s="187">
        <f t="shared" si="162"/>
        <v>0</v>
      </c>
      <c r="BE79" s="187">
        <f t="shared" si="163"/>
        <v>3</v>
      </c>
      <c r="BF79" s="187">
        <f t="shared" si="164"/>
        <v>0</v>
      </c>
      <c r="BG79" s="187">
        <f t="shared" si="165"/>
        <v>0</v>
      </c>
      <c r="BH79" s="187">
        <f t="shared" si="166"/>
        <v>0</v>
      </c>
      <c r="BI79" s="187">
        <f t="shared" si="167"/>
        <v>0</v>
      </c>
      <c r="BJ79" s="187">
        <f t="shared" si="168"/>
        <v>0</v>
      </c>
      <c r="BK79" s="187">
        <f t="shared" si="169"/>
        <v>0</v>
      </c>
      <c r="BL79" s="187">
        <f t="shared" si="170"/>
        <v>0</v>
      </c>
      <c r="BM79" s="187">
        <f t="shared" si="171"/>
        <v>0</v>
      </c>
      <c r="BN79" s="188">
        <f t="shared" si="172"/>
        <v>0</v>
      </c>
      <c r="BO79" s="187">
        <f t="shared" si="173"/>
        <v>0</v>
      </c>
      <c r="BP79" s="187">
        <f t="shared" ref="BP79:BQ79" si="269">IF(G79=1,1,0)</f>
        <v>0</v>
      </c>
      <c r="BQ79" s="187">
        <f t="shared" si="269"/>
        <v>0</v>
      </c>
      <c r="BR79" s="187">
        <f t="shared" ref="BR79:BT79" si="270">IF(K79=1,1,0)</f>
        <v>0</v>
      </c>
      <c r="BS79" s="187">
        <f t="shared" si="270"/>
        <v>0</v>
      </c>
      <c r="BT79" s="187">
        <f t="shared" si="270"/>
        <v>0</v>
      </c>
      <c r="BU79" s="187">
        <f t="shared" ref="BU79:BV79" si="271">IF(P79=1,1,0)</f>
        <v>0</v>
      </c>
      <c r="BV79" s="187">
        <f t="shared" si="271"/>
        <v>0</v>
      </c>
      <c r="BW79" s="187">
        <f t="shared" si="177"/>
        <v>0</v>
      </c>
      <c r="BX79" s="187">
        <f t="shared" si="178"/>
        <v>0</v>
      </c>
      <c r="BY79" s="187">
        <f t="shared" si="179"/>
        <v>0</v>
      </c>
      <c r="BZ79" s="187">
        <f t="shared" si="180"/>
        <v>0</v>
      </c>
      <c r="CA79" s="167">
        <f t="shared" si="181"/>
        <v>96</v>
      </c>
      <c r="CB79" s="167">
        <f t="shared" si="47"/>
        <v>90</v>
      </c>
      <c r="CC79" s="644">
        <f t="shared" si="48"/>
        <v>23</v>
      </c>
      <c r="CD79" s="644">
        <f t="shared" si="49"/>
        <v>19</v>
      </c>
      <c r="CE79" s="644">
        <f t="shared" si="50"/>
        <v>15</v>
      </c>
      <c r="CF79" s="644">
        <f t="shared" si="51"/>
        <v>0</v>
      </c>
      <c r="CG79" s="644">
        <f t="shared" si="52"/>
        <v>9</v>
      </c>
      <c r="CH79" s="644">
        <f t="shared" si="123"/>
        <v>7</v>
      </c>
      <c r="CI79" s="644">
        <f t="shared" si="54"/>
        <v>7</v>
      </c>
      <c r="CJ79" s="644">
        <f t="shared" si="55"/>
        <v>5</v>
      </c>
      <c r="CK79" s="644">
        <f t="shared" si="56"/>
        <v>5</v>
      </c>
      <c r="CL79" s="644">
        <f t="shared" si="57"/>
        <v>5</v>
      </c>
      <c r="CM79" s="644">
        <f t="shared" si="58"/>
        <v>0</v>
      </c>
      <c r="CN79" s="644">
        <f t="shared" si="59"/>
        <v>0</v>
      </c>
      <c r="CO79" s="644">
        <f t="shared" si="60"/>
        <v>0</v>
      </c>
      <c r="CP79" s="644">
        <f t="shared" si="61"/>
        <v>0</v>
      </c>
      <c r="CQ79" s="644">
        <f t="shared" si="62"/>
        <v>0</v>
      </c>
      <c r="CR79" s="644">
        <f t="shared" si="63"/>
        <v>0</v>
      </c>
      <c r="CS79" s="644">
        <f t="shared" si="64"/>
        <v>0</v>
      </c>
      <c r="CT79" s="644">
        <f t="shared" si="65"/>
        <v>2</v>
      </c>
      <c r="CU79" s="644">
        <f t="shared" si="66"/>
        <v>0</v>
      </c>
      <c r="CV79" s="644">
        <f t="shared" si="67"/>
        <v>0</v>
      </c>
      <c r="CW79" s="644">
        <f t="shared" si="68"/>
        <v>0</v>
      </c>
      <c r="CX79" s="644">
        <f t="shared" si="69"/>
        <v>0</v>
      </c>
      <c r="CY79" s="644">
        <f t="shared" si="70"/>
        <v>0</v>
      </c>
      <c r="CZ79" s="624" t="s">
        <v>768</v>
      </c>
      <c r="DA79" s="257"/>
    </row>
    <row r="80" spans="1:105">
      <c r="A80" s="260" t="s">
        <v>193</v>
      </c>
      <c r="B80" s="261"/>
      <c r="C80" s="251"/>
      <c r="D80" s="251">
        <v>1</v>
      </c>
      <c r="E80" s="251">
        <v>1</v>
      </c>
      <c r="F80" s="251"/>
      <c r="G80" s="251"/>
      <c r="H80" s="251"/>
      <c r="I80" s="251"/>
      <c r="J80" s="251"/>
      <c r="K80" s="251"/>
      <c r="L80" s="251"/>
      <c r="M80" s="251"/>
      <c r="N80" s="251"/>
      <c r="O80" s="251"/>
      <c r="P80" s="251"/>
      <c r="Q80" s="251"/>
      <c r="R80" s="251">
        <v>1</v>
      </c>
      <c r="S80" s="251"/>
      <c r="T80" s="251">
        <v>1</v>
      </c>
      <c r="U80" s="251">
        <v>1</v>
      </c>
      <c r="V80" s="251"/>
      <c r="W80" s="251"/>
      <c r="X80" s="251"/>
      <c r="Y80" s="251"/>
      <c r="Z80" s="251"/>
      <c r="AA80" s="251"/>
      <c r="AB80" s="251">
        <v>1</v>
      </c>
      <c r="AC80" s="251">
        <v>1</v>
      </c>
      <c r="AD80" s="251"/>
      <c r="AE80" s="644"/>
      <c r="AF80" s="644"/>
      <c r="AG80" s="644"/>
      <c r="AH80" s="644">
        <v>1</v>
      </c>
      <c r="AI80" s="644"/>
      <c r="AJ80" s="644"/>
      <c r="AK80" s="644"/>
      <c r="AL80" s="167">
        <v>8</v>
      </c>
      <c r="AM80" s="185" t="s">
        <v>1143</v>
      </c>
      <c r="AN80" s="186">
        <v>41997</v>
      </c>
      <c r="AO80" s="187"/>
      <c r="AP80" s="187">
        <f t="shared" si="148"/>
        <v>0</v>
      </c>
      <c r="AQ80" s="187">
        <f t="shared" si="149"/>
        <v>0</v>
      </c>
      <c r="AR80" s="187">
        <f t="shared" si="150"/>
        <v>13</v>
      </c>
      <c r="AS80" s="187">
        <f t="shared" si="151"/>
        <v>13</v>
      </c>
      <c r="AT80" s="187">
        <f t="shared" si="152"/>
        <v>9</v>
      </c>
      <c r="AU80" s="187">
        <f t="shared" si="153"/>
        <v>9</v>
      </c>
      <c r="AV80" s="187">
        <f t="shared" si="154"/>
        <v>9</v>
      </c>
      <c r="AW80" s="187">
        <f t="shared" si="155"/>
        <v>0</v>
      </c>
      <c r="AX80" s="187">
        <f t="shared" si="156"/>
        <v>0</v>
      </c>
      <c r="AY80" s="187">
        <f t="shared" si="157"/>
        <v>0</v>
      </c>
      <c r="AZ80" s="187">
        <f t="shared" si="158"/>
        <v>7</v>
      </c>
      <c r="BA80" s="187">
        <f t="shared" si="159"/>
        <v>7</v>
      </c>
      <c r="BB80" s="187">
        <f t="shared" si="160"/>
        <v>0</v>
      </c>
      <c r="BC80" s="187">
        <f t="shared" si="161"/>
        <v>4</v>
      </c>
      <c r="BD80" s="187">
        <f t="shared" si="162"/>
        <v>0</v>
      </c>
      <c r="BE80" s="187">
        <f t="shared" si="163"/>
        <v>0</v>
      </c>
      <c r="BF80" s="187">
        <f t="shared" si="164"/>
        <v>0</v>
      </c>
      <c r="BG80" s="187">
        <f t="shared" si="165"/>
        <v>0</v>
      </c>
      <c r="BH80" s="187">
        <f t="shared" si="166"/>
        <v>0</v>
      </c>
      <c r="BI80" s="187">
        <f t="shared" si="167"/>
        <v>0</v>
      </c>
      <c r="BJ80" s="187">
        <f t="shared" si="168"/>
        <v>0</v>
      </c>
      <c r="BK80" s="187">
        <f t="shared" si="169"/>
        <v>0</v>
      </c>
      <c r="BL80" s="187">
        <f t="shared" si="170"/>
        <v>0</v>
      </c>
      <c r="BM80" s="187">
        <f t="shared" si="171"/>
        <v>0</v>
      </c>
      <c r="BN80" s="188">
        <f t="shared" si="172"/>
        <v>2</v>
      </c>
      <c r="BO80" s="187">
        <f t="shared" si="173"/>
        <v>0</v>
      </c>
      <c r="BP80" s="187">
        <f t="shared" ref="BP80:BQ80" si="272">IF(G80=1,1,0)</f>
        <v>0</v>
      </c>
      <c r="BQ80" s="187">
        <f t="shared" si="272"/>
        <v>0</v>
      </c>
      <c r="BR80" s="187">
        <f t="shared" ref="BR80:BT80" si="273">IF(K80=1,1,0)</f>
        <v>0</v>
      </c>
      <c r="BS80" s="187">
        <f t="shared" si="273"/>
        <v>0</v>
      </c>
      <c r="BT80" s="187">
        <f t="shared" si="273"/>
        <v>0</v>
      </c>
      <c r="BU80" s="187">
        <f t="shared" ref="BU80:BV80" si="274">IF(P80=1,1,0)</f>
        <v>0</v>
      </c>
      <c r="BV80" s="187">
        <f t="shared" si="274"/>
        <v>0</v>
      </c>
      <c r="BW80" s="187">
        <f t="shared" si="177"/>
        <v>0</v>
      </c>
      <c r="BX80" s="187">
        <f t="shared" si="178"/>
        <v>0</v>
      </c>
      <c r="BY80" s="187">
        <f t="shared" si="179"/>
        <v>2</v>
      </c>
      <c r="BZ80" s="187">
        <f t="shared" si="180"/>
        <v>-4</v>
      </c>
      <c r="CA80" s="167">
        <f t="shared" si="181"/>
        <v>67</v>
      </c>
      <c r="CB80" s="167">
        <f t="shared" si="47"/>
        <v>98</v>
      </c>
      <c r="CC80" s="644">
        <f t="shared" si="48"/>
        <v>23</v>
      </c>
      <c r="CD80" s="644">
        <f t="shared" si="49"/>
        <v>19</v>
      </c>
      <c r="CE80" s="644">
        <f t="shared" si="50"/>
        <v>15</v>
      </c>
      <c r="CF80" s="644">
        <f t="shared" si="51"/>
        <v>15</v>
      </c>
      <c r="CG80" s="644">
        <f t="shared" si="52"/>
        <v>9</v>
      </c>
      <c r="CH80" s="644">
        <f t="shared" si="123"/>
        <v>7</v>
      </c>
      <c r="CI80" s="644">
        <f t="shared" si="54"/>
        <v>7</v>
      </c>
      <c r="CJ80" s="644">
        <f t="shared" si="55"/>
        <v>0</v>
      </c>
      <c r="CK80" s="644">
        <f t="shared" si="56"/>
        <v>0</v>
      </c>
      <c r="CL80" s="644">
        <f t="shared" si="57"/>
        <v>0</v>
      </c>
      <c r="CM80" s="644">
        <f t="shared" si="58"/>
        <v>0</v>
      </c>
      <c r="CN80" s="644">
        <f t="shared" si="59"/>
        <v>3</v>
      </c>
      <c r="CO80" s="644">
        <f t="shared" si="60"/>
        <v>0</v>
      </c>
      <c r="CP80" s="644">
        <f t="shared" si="61"/>
        <v>0</v>
      </c>
      <c r="CQ80" s="644">
        <f t="shared" si="62"/>
        <v>0</v>
      </c>
      <c r="CR80" s="644">
        <f t="shared" si="63"/>
        <v>0</v>
      </c>
      <c r="CS80" s="644">
        <f t="shared" si="64"/>
        <v>0</v>
      </c>
      <c r="CT80" s="644">
        <f t="shared" si="65"/>
        <v>0</v>
      </c>
      <c r="CU80" s="644">
        <f t="shared" si="66"/>
        <v>0</v>
      </c>
      <c r="CV80" s="644">
        <f t="shared" si="67"/>
        <v>0</v>
      </c>
      <c r="CW80" s="644">
        <f t="shared" si="68"/>
        <v>0</v>
      </c>
      <c r="CX80" s="644">
        <f t="shared" si="69"/>
        <v>0</v>
      </c>
      <c r="CY80" s="644">
        <f t="shared" si="70"/>
        <v>0</v>
      </c>
      <c r="CZ80" s="624" t="s">
        <v>805</v>
      </c>
      <c r="DA80" s="257"/>
    </row>
    <row r="81" spans="1:105">
      <c r="A81" s="249" t="s">
        <v>196</v>
      </c>
      <c r="B81" s="187"/>
      <c r="C81" s="644"/>
      <c r="D81" s="644">
        <v>1</v>
      </c>
      <c r="E81" s="644">
        <v>1</v>
      </c>
      <c r="F81" s="251"/>
      <c r="G81" s="251"/>
      <c r="H81" s="251"/>
      <c r="I81" s="251"/>
      <c r="J81" s="644"/>
      <c r="K81" s="644"/>
      <c r="L81" s="644"/>
      <c r="M81" s="644"/>
      <c r="N81" s="644"/>
      <c r="O81" s="644"/>
      <c r="P81" s="644"/>
      <c r="Q81" s="644"/>
      <c r="R81" s="644">
        <v>1</v>
      </c>
      <c r="S81" s="644"/>
      <c r="T81" s="644"/>
      <c r="U81" s="644">
        <v>1</v>
      </c>
      <c r="V81" s="644"/>
      <c r="W81" s="644">
        <v>1</v>
      </c>
      <c r="X81" s="644"/>
      <c r="Y81" s="644"/>
      <c r="Z81" s="644">
        <v>1</v>
      </c>
      <c r="AA81" s="644"/>
      <c r="AB81" s="644">
        <v>1</v>
      </c>
      <c r="AC81" s="644">
        <v>1</v>
      </c>
      <c r="AD81" s="644">
        <v>1</v>
      </c>
      <c r="AE81" s="644"/>
      <c r="AF81" s="644"/>
      <c r="AG81" s="644"/>
      <c r="AH81" s="644">
        <v>1</v>
      </c>
      <c r="AI81" s="644"/>
      <c r="AJ81" s="644"/>
      <c r="AK81" s="644"/>
      <c r="AL81" s="167">
        <v>10</v>
      </c>
      <c r="AM81" s="185" t="s">
        <v>1144</v>
      </c>
      <c r="AN81" s="186">
        <v>42003</v>
      </c>
      <c r="AO81" s="187"/>
      <c r="AP81" s="187">
        <f t="shared" si="148"/>
        <v>0</v>
      </c>
      <c r="AQ81" s="187">
        <f t="shared" si="149"/>
        <v>0</v>
      </c>
      <c r="AR81" s="187">
        <f t="shared" si="150"/>
        <v>13</v>
      </c>
      <c r="AS81" s="187">
        <f t="shared" si="151"/>
        <v>13</v>
      </c>
      <c r="AT81" s="187">
        <f t="shared" si="152"/>
        <v>9</v>
      </c>
      <c r="AU81" s="187">
        <f t="shared" si="153"/>
        <v>9</v>
      </c>
      <c r="AV81" s="187">
        <f t="shared" si="154"/>
        <v>9</v>
      </c>
      <c r="AW81" s="187">
        <f t="shared" si="155"/>
        <v>0</v>
      </c>
      <c r="AX81" s="187">
        <f t="shared" si="156"/>
        <v>7</v>
      </c>
      <c r="AY81" s="187">
        <f t="shared" si="157"/>
        <v>7</v>
      </c>
      <c r="AZ81" s="187">
        <f t="shared" si="158"/>
        <v>7</v>
      </c>
      <c r="BA81" s="187">
        <f t="shared" si="159"/>
        <v>7</v>
      </c>
      <c r="BB81" s="187">
        <f t="shared" si="160"/>
        <v>0</v>
      </c>
      <c r="BC81" s="187">
        <f t="shared" si="161"/>
        <v>0</v>
      </c>
      <c r="BD81" s="187">
        <f t="shared" si="162"/>
        <v>0</v>
      </c>
      <c r="BE81" s="187">
        <f t="shared" si="163"/>
        <v>0</v>
      </c>
      <c r="BF81" s="187">
        <f t="shared" si="164"/>
        <v>3</v>
      </c>
      <c r="BG81" s="187">
        <f t="shared" si="165"/>
        <v>0</v>
      </c>
      <c r="BH81" s="187">
        <f t="shared" si="166"/>
        <v>0</v>
      </c>
      <c r="BI81" s="187">
        <f t="shared" si="167"/>
        <v>0</v>
      </c>
      <c r="BJ81" s="187">
        <f t="shared" si="168"/>
        <v>0</v>
      </c>
      <c r="BK81" s="187">
        <f t="shared" si="169"/>
        <v>0</v>
      </c>
      <c r="BL81" s="187">
        <f t="shared" si="170"/>
        <v>0</v>
      </c>
      <c r="BM81" s="187">
        <f t="shared" si="171"/>
        <v>0</v>
      </c>
      <c r="BN81" s="188">
        <f t="shared" si="172"/>
        <v>0</v>
      </c>
      <c r="BO81" s="187">
        <f t="shared" si="173"/>
        <v>0</v>
      </c>
      <c r="BP81" s="187">
        <f t="shared" ref="BP81:BQ81" si="275">IF(G81=1,1,0)</f>
        <v>0</v>
      </c>
      <c r="BQ81" s="187">
        <f t="shared" si="275"/>
        <v>0</v>
      </c>
      <c r="BR81" s="187">
        <f t="shared" ref="BR81:BT81" si="276">IF(K81=1,1,0)</f>
        <v>0</v>
      </c>
      <c r="BS81" s="187">
        <f t="shared" si="276"/>
        <v>0</v>
      </c>
      <c r="BT81" s="187">
        <f t="shared" si="276"/>
        <v>0</v>
      </c>
      <c r="BU81" s="187">
        <f t="shared" ref="BU81:BV81" si="277">IF(P81=1,1,0)</f>
        <v>0</v>
      </c>
      <c r="BV81" s="187">
        <f t="shared" si="277"/>
        <v>0</v>
      </c>
      <c r="BW81" s="187">
        <f t="shared" si="177"/>
        <v>0</v>
      </c>
      <c r="BX81" s="187">
        <f t="shared" si="178"/>
        <v>0</v>
      </c>
      <c r="BY81" s="187">
        <f t="shared" si="179"/>
        <v>0</v>
      </c>
      <c r="BZ81" s="187">
        <f t="shared" si="180"/>
        <v>0</v>
      </c>
      <c r="CA81" s="167">
        <f t="shared" si="181"/>
        <v>84</v>
      </c>
      <c r="CB81" s="167">
        <f t="shared" si="47"/>
        <v>96</v>
      </c>
      <c r="CC81" s="644">
        <f t="shared" si="48"/>
        <v>23</v>
      </c>
      <c r="CD81" s="644">
        <f t="shared" si="49"/>
        <v>19</v>
      </c>
      <c r="CE81" s="644">
        <f t="shared" si="50"/>
        <v>15</v>
      </c>
      <c r="CF81" s="644">
        <f t="shared" si="51"/>
        <v>15</v>
      </c>
      <c r="CG81" s="644">
        <f t="shared" si="52"/>
        <v>9</v>
      </c>
      <c r="CH81" s="644">
        <f t="shared" si="123"/>
        <v>0</v>
      </c>
      <c r="CI81" s="644">
        <f t="shared" si="54"/>
        <v>7</v>
      </c>
      <c r="CJ81" s="644">
        <f t="shared" si="55"/>
        <v>5</v>
      </c>
      <c r="CK81" s="644">
        <f t="shared" si="56"/>
        <v>0</v>
      </c>
      <c r="CL81" s="644">
        <f t="shared" si="57"/>
        <v>0</v>
      </c>
      <c r="CM81" s="644">
        <f t="shared" si="58"/>
        <v>0</v>
      </c>
      <c r="CN81" s="644">
        <f t="shared" si="59"/>
        <v>0</v>
      </c>
      <c r="CO81" s="644">
        <f t="shared" si="60"/>
        <v>0</v>
      </c>
      <c r="CP81" s="644">
        <f t="shared" si="61"/>
        <v>3</v>
      </c>
      <c r="CQ81" s="644">
        <f t="shared" si="62"/>
        <v>0</v>
      </c>
      <c r="CR81" s="644">
        <f t="shared" si="63"/>
        <v>2</v>
      </c>
      <c r="CS81" s="644">
        <f t="shared" si="64"/>
        <v>0</v>
      </c>
      <c r="CT81" s="644">
        <f t="shared" si="65"/>
        <v>0</v>
      </c>
      <c r="CU81" s="644">
        <f t="shared" si="66"/>
        <v>0</v>
      </c>
      <c r="CV81" s="644">
        <f t="shared" si="67"/>
        <v>0</v>
      </c>
      <c r="CW81" s="644">
        <f t="shared" si="68"/>
        <v>0</v>
      </c>
      <c r="CX81" s="644">
        <f t="shared" si="69"/>
        <v>0</v>
      </c>
      <c r="CY81" s="644">
        <f t="shared" si="70"/>
        <v>0</v>
      </c>
      <c r="CZ81" s="624" t="s">
        <v>740</v>
      </c>
      <c r="DA81" s="257"/>
    </row>
    <row r="82" spans="1:105">
      <c r="A82" s="249" t="s">
        <v>1145</v>
      </c>
      <c r="B82" s="187"/>
      <c r="C82" s="644"/>
      <c r="D82" s="644">
        <v>1</v>
      </c>
      <c r="E82" s="644">
        <v>1</v>
      </c>
      <c r="F82" s="251">
        <v>1</v>
      </c>
      <c r="G82" s="251"/>
      <c r="H82" s="251"/>
      <c r="I82" s="251">
        <v>1</v>
      </c>
      <c r="J82" s="644"/>
      <c r="K82" s="644"/>
      <c r="L82" s="644"/>
      <c r="M82" s="644"/>
      <c r="N82" s="644"/>
      <c r="O82" s="644"/>
      <c r="P82" s="644"/>
      <c r="Q82" s="644"/>
      <c r="R82" s="644">
        <v>1</v>
      </c>
      <c r="S82" s="644"/>
      <c r="T82" s="644"/>
      <c r="U82" s="644">
        <v>1</v>
      </c>
      <c r="V82" s="644"/>
      <c r="W82" s="644"/>
      <c r="X82" s="644"/>
      <c r="Y82" s="644"/>
      <c r="Z82" s="644"/>
      <c r="AA82" s="644"/>
      <c r="AB82" s="644">
        <v>1</v>
      </c>
      <c r="AC82" s="644">
        <v>1</v>
      </c>
      <c r="AD82" s="644">
        <v>1</v>
      </c>
      <c r="AE82" s="644"/>
      <c r="AF82" s="644"/>
      <c r="AG82" s="644"/>
      <c r="AH82" s="644">
        <v>1</v>
      </c>
      <c r="AI82" s="644"/>
      <c r="AJ82" s="644"/>
      <c r="AK82" s="644"/>
      <c r="AL82" s="167">
        <v>10</v>
      </c>
      <c r="AM82" s="185" t="s">
        <v>1146</v>
      </c>
      <c r="AN82" s="186">
        <v>41985</v>
      </c>
      <c r="AO82" s="187"/>
      <c r="AP82" s="187">
        <f t="shared" si="148"/>
        <v>13</v>
      </c>
      <c r="AQ82" s="187">
        <f t="shared" si="149"/>
        <v>13</v>
      </c>
      <c r="AR82" s="187">
        <f t="shared" si="150"/>
        <v>13</v>
      </c>
      <c r="AS82" s="187">
        <f t="shared" si="151"/>
        <v>13</v>
      </c>
      <c r="AT82" s="187">
        <f t="shared" si="152"/>
        <v>9</v>
      </c>
      <c r="AU82" s="187">
        <f t="shared" si="153"/>
        <v>9</v>
      </c>
      <c r="AV82" s="187">
        <f t="shared" si="154"/>
        <v>9</v>
      </c>
      <c r="AW82" s="187">
        <f t="shared" si="155"/>
        <v>0</v>
      </c>
      <c r="AX82" s="187">
        <f t="shared" si="156"/>
        <v>7</v>
      </c>
      <c r="AY82" s="187">
        <f t="shared" si="157"/>
        <v>0</v>
      </c>
      <c r="AZ82" s="187">
        <f t="shared" si="158"/>
        <v>7</v>
      </c>
      <c r="BA82" s="187">
        <f t="shared" si="159"/>
        <v>7</v>
      </c>
      <c r="BB82" s="187">
        <f t="shared" si="160"/>
        <v>0</v>
      </c>
      <c r="BC82" s="187">
        <f t="shared" si="161"/>
        <v>0</v>
      </c>
      <c r="BD82" s="187">
        <f t="shared" si="162"/>
        <v>0</v>
      </c>
      <c r="BE82" s="187">
        <f t="shared" si="163"/>
        <v>0</v>
      </c>
      <c r="BF82" s="187">
        <f t="shared" si="164"/>
        <v>0</v>
      </c>
      <c r="BG82" s="187">
        <f t="shared" si="165"/>
        <v>0</v>
      </c>
      <c r="BH82" s="187">
        <f t="shared" si="166"/>
        <v>0</v>
      </c>
      <c r="BI82" s="187">
        <f t="shared" si="167"/>
        <v>0</v>
      </c>
      <c r="BJ82" s="187">
        <f t="shared" si="168"/>
        <v>0</v>
      </c>
      <c r="BK82" s="187">
        <f t="shared" si="169"/>
        <v>0</v>
      </c>
      <c r="BL82" s="187">
        <f t="shared" si="170"/>
        <v>0</v>
      </c>
      <c r="BM82" s="187">
        <f t="shared" si="171"/>
        <v>0</v>
      </c>
      <c r="BN82" s="188">
        <f t="shared" si="172"/>
        <v>0</v>
      </c>
      <c r="BO82" s="187">
        <f t="shared" si="173"/>
        <v>0</v>
      </c>
      <c r="BP82" s="187">
        <f t="shared" ref="BP82:BQ82" si="278">IF(G82=1,1,0)</f>
        <v>0</v>
      </c>
      <c r="BQ82" s="187">
        <f t="shared" si="278"/>
        <v>0</v>
      </c>
      <c r="BR82" s="187">
        <f t="shared" ref="BR82:BT82" si="279">IF(K82=1,1,0)</f>
        <v>0</v>
      </c>
      <c r="BS82" s="187">
        <f t="shared" si="279"/>
        <v>0</v>
      </c>
      <c r="BT82" s="187">
        <f t="shared" si="279"/>
        <v>0</v>
      </c>
      <c r="BU82" s="187">
        <f t="shared" ref="BU82:BV82" si="280">IF(P82=1,1,0)</f>
        <v>0</v>
      </c>
      <c r="BV82" s="187">
        <f t="shared" si="280"/>
        <v>0</v>
      </c>
      <c r="BW82" s="187">
        <f t="shared" si="177"/>
        <v>0</v>
      </c>
      <c r="BX82" s="187">
        <f t="shared" si="178"/>
        <v>0</v>
      </c>
      <c r="BY82" s="187">
        <f t="shared" si="179"/>
        <v>0</v>
      </c>
      <c r="BZ82" s="187">
        <f t="shared" si="180"/>
        <v>0</v>
      </c>
      <c r="CA82" s="167">
        <f t="shared" si="181"/>
        <v>100</v>
      </c>
      <c r="CB82" s="167">
        <f t="shared" si="47"/>
        <v>100</v>
      </c>
      <c r="CC82" s="644">
        <f t="shared" si="48"/>
        <v>23</v>
      </c>
      <c r="CD82" s="644">
        <f t="shared" si="49"/>
        <v>19</v>
      </c>
      <c r="CE82" s="644">
        <f t="shared" si="50"/>
        <v>15</v>
      </c>
      <c r="CF82" s="644">
        <f t="shared" si="51"/>
        <v>15</v>
      </c>
      <c r="CG82" s="644">
        <f t="shared" si="52"/>
        <v>9</v>
      </c>
      <c r="CH82" s="644">
        <f t="shared" si="123"/>
        <v>7</v>
      </c>
      <c r="CI82" s="644">
        <f t="shared" si="54"/>
        <v>7</v>
      </c>
      <c r="CJ82" s="644">
        <f t="shared" si="55"/>
        <v>5</v>
      </c>
      <c r="CK82" s="644">
        <f t="shared" si="56"/>
        <v>5</v>
      </c>
      <c r="CL82" s="644">
        <f t="shared" si="57"/>
        <v>5</v>
      </c>
      <c r="CM82" s="644">
        <f t="shared" si="58"/>
        <v>0</v>
      </c>
      <c r="CN82" s="644">
        <f t="shared" si="59"/>
        <v>0</v>
      </c>
      <c r="CO82" s="644">
        <f t="shared" si="60"/>
        <v>0</v>
      </c>
      <c r="CP82" s="644">
        <f t="shared" si="61"/>
        <v>0</v>
      </c>
      <c r="CQ82" s="644">
        <f t="shared" si="62"/>
        <v>0</v>
      </c>
      <c r="CR82" s="644">
        <f t="shared" si="63"/>
        <v>0</v>
      </c>
      <c r="CS82" s="644">
        <f t="shared" si="64"/>
        <v>0</v>
      </c>
      <c r="CT82" s="644">
        <f t="shared" si="65"/>
        <v>0</v>
      </c>
      <c r="CU82" s="644">
        <f t="shared" si="66"/>
        <v>0</v>
      </c>
      <c r="CV82" s="644">
        <f t="shared" si="67"/>
        <v>0</v>
      </c>
      <c r="CW82" s="644">
        <f t="shared" si="68"/>
        <v>0</v>
      </c>
      <c r="CX82" s="644">
        <f t="shared" si="69"/>
        <v>0</v>
      </c>
      <c r="CY82" s="644">
        <f t="shared" si="70"/>
        <v>0</v>
      </c>
      <c r="CZ82" s="624" t="s">
        <v>740</v>
      </c>
      <c r="DA82" s="257"/>
    </row>
    <row r="83" spans="1:105">
      <c r="A83" s="254" t="s">
        <v>197</v>
      </c>
      <c r="B83" s="187"/>
      <c r="C83" s="644"/>
      <c r="D83" s="256">
        <v>1</v>
      </c>
      <c r="E83" s="256">
        <v>1</v>
      </c>
      <c r="F83" s="256">
        <v>1</v>
      </c>
      <c r="G83" s="251"/>
      <c r="H83" s="251"/>
      <c r="I83" s="256">
        <v>1</v>
      </c>
      <c r="J83" s="644"/>
      <c r="K83" s="644"/>
      <c r="L83" s="644"/>
      <c r="M83" s="644"/>
      <c r="N83" s="644"/>
      <c r="O83" s="644"/>
      <c r="P83" s="644"/>
      <c r="Q83" s="644"/>
      <c r="R83" s="644">
        <v>1</v>
      </c>
      <c r="S83" s="644"/>
      <c r="T83" s="644"/>
      <c r="U83" s="644">
        <v>1</v>
      </c>
      <c r="V83" s="644"/>
      <c r="W83" s="644"/>
      <c r="X83" s="644"/>
      <c r="Y83" s="644"/>
      <c r="Z83" s="255"/>
      <c r="AA83" s="644"/>
      <c r="AB83" s="256">
        <v>1</v>
      </c>
      <c r="AC83" s="256">
        <v>1</v>
      </c>
      <c r="AD83" s="255"/>
      <c r="AE83" s="644"/>
      <c r="AF83" s="644"/>
      <c r="AG83" s="644"/>
      <c r="AH83" s="644">
        <v>1</v>
      </c>
      <c r="AI83" s="644"/>
      <c r="AJ83" s="644"/>
      <c r="AK83" s="644"/>
      <c r="AL83" s="167">
        <v>9</v>
      </c>
      <c r="AM83" s="185" t="s">
        <v>1147</v>
      </c>
      <c r="AN83" s="186">
        <v>42009</v>
      </c>
      <c r="AO83" s="187"/>
      <c r="AP83" s="187">
        <f t="shared" si="148"/>
        <v>13</v>
      </c>
      <c r="AQ83" s="187">
        <f t="shared" si="149"/>
        <v>13</v>
      </c>
      <c r="AR83" s="187">
        <f t="shared" si="150"/>
        <v>13</v>
      </c>
      <c r="AS83" s="187">
        <f t="shared" si="151"/>
        <v>13</v>
      </c>
      <c r="AT83" s="187">
        <f t="shared" si="152"/>
        <v>9</v>
      </c>
      <c r="AU83" s="187">
        <f t="shared" si="153"/>
        <v>9</v>
      </c>
      <c r="AV83" s="187">
        <f t="shared" si="154"/>
        <v>9</v>
      </c>
      <c r="AW83" s="187">
        <f t="shared" si="155"/>
        <v>0</v>
      </c>
      <c r="AX83" s="187">
        <f t="shared" si="156"/>
        <v>0</v>
      </c>
      <c r="AY83" s="187">
        <f t="shared" si="157"/>
        <v>0</v>
      </c>
      <c r="AZ83" s="187">
        <f t="shared" si="158"/>
        <v>7</v>
      </c>
      <c r="BA83" s="187">
        <f t="shared" si="159"/>
        <v>7</v>
      </c>
      <c r="BB83" s="187">
        <f t="shared" si="160"/>
        <v>0</v>
      </c>
      <c r="BC83" s="187">
        <f t="shared" si="161"/>
        <v>0</v>
      </c>
      <c r="BD83" s="187">
        <f t="shared" si="162"/>
        <v>0</v>
      </c>
      <c r="BE83" s="187">
        <f t="shared" si="163"/>
        <v>0</v>
      </c>
      <c r="BF83" s="187">
        <f t="shared" si="164"/>
        <v>0</v>
      </c>
      <c r="BG83" s="187">
        <f t="shared" si="165"/>
        <v>0</v>
      </c>
      <c r="BH83" s="187">
        <f t="shared" si="166"/>
        <v>0</v>
      </c>
      <c r="BI83" s="187">
        <f t="shared" si="167"/>
        <v>0</v>
      </c>
      <c r="BJ83" s="187">
        <f t="shared" si="168"/>
        <v>0</v>
      </c>
      <c r="BK83" s="187">
        <f t="shared" si="169"/>
        <v>0</v>
      </c>
      <c r="BL83" s="187">
        <f t="shared" si="170"/>
        <v>0</v>
      </c>
      <c r="BM83" s="187">
        <f t="shared" si="171"/>
        <v>0</v>
      </c>
      <c r="BN83" s="188">
        <f t="shared" si="172"/>
        <v>1</v>
      </c>
      <c r="BO83" s="187">
        <f t="shared" si="173"/>
        <v>0</v>
      </c>
      <c r="BP83" s="187">
        <f t="shared" ref="BP83:BQ83" si="281">IF(G83=1,1,0)</f>
        <v>0</v>
      </c>
      <c r="BQ83" s="187">
        <f t="shared" si="281"/>
        <v>0</v>
      </c>
      <c r="BR83" s="187">
        <f t="shared" ref="BR83:BT83" si="282">IF(K83=1,1,0)</f>
        <v>0</v>
      </c>
      <c r="BS83" s="187">
        <f t="shared" si="282"/>
        <v>0</v>
      </c>
      <c r="BT83" s="187">
        <f t="shared" si="282"/>
        <v>0</v>
      </c>
      <c r="BU83" s="187">
        <f t="shared" ref="BU83:BV83" si="283">IF(P83=1,1,0)</f>
        <v>0</v>
      </c>
      <c r="BV83" s="187">
        <f t="shared" si="283"/>
        <v>0</v>
      </c>
      <c r="BW83" s="187">
        <f t="shared" si="177"/>
        <v>0</v>
      </c>
      <c r="BX83" s="187">
        <f t="shared" si="178"/>
        <v>0</v>
      </c>
      <c r="BY83" s="187">
        <f t="shared" si="179"/>
        <v>1</v>
      </c>
      <c r="BZ83" s="187">
        <f t="shared" si="180"/>
        <v>-1</v>
      </c>
      <c r="CA83" s="167">
        <f t="shared" si="181"/>
        <v>92</v>
      </c>
      <c r="CB83" s="167">
        <f t="shared" si="47"/>
        <v>98</v>
      </c>
      <c r="CC83" s="644">
        <f t="shared" si="48"/>
        <v>23</v>
      </c>
      <c r="CD83" s="644">
        <f t="shared" si="49"/>
        <v>19</v>
      </c>
      <c r="CE83" s="644">
        <f t="shared" si="50"/>
        <v>15</v>
      </c>
      <c r="CF83" s="644">
        <f t="shared" si="51"/>
        <v>15</v>
      </c>
      <c r="CG83" s="644">
        <f t="shared" si="52"/>
        <v>9</v>
      </c>
      <c r="CH83" s="644">
        <f t="shared" si="123"/>
        <v>0</v>
      </c>
      <c r="CI83" s="644">
        <f t="shared" si="54"/>
        <v>7</v>
      </c>
      <c r="CJ83" s="644">
        <f t="shared" si="55"/>
        <v>0</v>
      </c>
      <c r="CK83" s="644">
        <f t="shared" si="56"/>
        <v>5</v>
      </c>
      <c r="CL83" s="644">
        <f t="shared" si="57"/>
        <v>5</v>
      </c>
      <c r="CM83" s="644">
        <f t="shared" si="58"/>
        <v>0</v>
      </c>
      <c r="CN83" s="644">
        <f t="shared" si="59"/>
        <v>0</v>
      </c>
      <c r="CO83" s="644">
        <f t="shared" si="60"/>
        <v>0</v>
      </c>
      <c r="CP83" s="644">
        <f t="shared" si="61"/>
        <v>0</v>
      </c>
      <c r="CQ83" s="644">
        <f t="shared" si="62"/>
        <v>0</v>
      </c>
      <c r="CR83" s="644">
        <f t="shared" si="63"/>
        <v>0</v>
      </c>
      <c r="CS83" s="644">
        <f t="shared" si="64"/>
        <v>0</v>
      </c>
      <c r="CT83" s="644">
        <f t="shared" si="65"/>
        <v>0</v>
      </c>
      <c r="CU83" s="644">
        <f t="shared" si="66"/>
        <v>0</v>
      </c>
      <c r="CV83" s="644">
        <f t="shared" si="67"/>
        <v>0</v>
      </c>
      <c r="CW83" s="644">
        <f t="shared" si="68"/>
        <v>0</v>
      </c>
      <c r="CX83" s="644">
        <f t="shared" si="69"/>
        <v>0</v>
      </c>
      <c r="CY83" s="644">
        <f t="shared" si="70"/>
        <v>0</v>
      </c>
      <c r="CZ83" s="624" t="s">
        <v>1113</v>
      </c>
      <c r="DA83" s="257"/>
    </row>
    <row r="84" spans="1:105">
      <c r="A84" s="249" t="s">
        <v>203</v>
      </c>
      <c r="B84" s="187"/>
      <c r="C84" s="644"/>
      <c r="D84" s="644"/>
      <c r="E84" s="644"/>
      <c r="F84" s="251"/>
      <c r="G84" s="251"/>
      <c r="H84" s="251"/>
      <c r="I84" s="251"/>
      <c r="J84" s="644"/>
      <c r="K84" s="644"/>
      <c r="L84" s="644"/>
      <c r="M84" s="644"/>
      <c r="N84" s="644"/>
      <c r="O84" s="644"/>
      <c r="P84" s="644"/>
      <c r="Q84" s="644"/>
      <c r="R84" s="644">
        <v>1</v>
      </c>
      <c r="S84" s="644"/>
      <c r="T84" s="644"/>
      <c r="U84" s="644">
        <v>1</v>
      </c>
      <c r="V84" s="644"/>
      <c r="W84" s="644">
        <v>1</v>
      </c>
      <c r="X84" s="644"/>
      <c r="Y84" s="644"/>
      <c r="Z84" s="258">
        <v>1</v>
      </c>
      <c r="AA84" s="644"/>
      <c r="AB84" s="644"/>
      <c r="AC84" s="644"/>
      <c r="AD84" s="644"/>
      <c r="AE84" s="644"/>
      <c r="AF84" s="644"/>
      <c r="AG84" s="644">
        <v>1</v>
      </c>
      <c r="AH84" s="644">
        <v>1</v>
      </c>
      <c r="AI84" s="644"/>
      <c r="AJ84" s="644">
        <v>1</v>
      </c>
      <c r="AK84" s="644"/>
      <c r="AL84" s="167">
        <v>7</v>
      </c>
      <c r="AM84" s="185" t="s">
        <v>1103</v>
      </c>
      <c r="AN84" s="186">
        <v>42008</v>
      </c>
      <c r="AO84" s="187"/>
      <c r="AP84" s="187">
        <f t="shared" si="148"/>
        <v>0</v>
      </c>
      <c r="AQ84" s="187">
        <f t="shared" si="149"/>
        <v>0</v>
      </c>
      <c r="AR84" s="187">
        <f t="shared" si="150"/>
        <v>13</v>
      </c>
      <c r="AS84" s="187">
        <f t="shared" si="151"/>
        <v>13</v>
      </c>
      <c r="AT84" s="187">
        <f t="shared" si="152"/>
        <v>0</v>
      </c>
      <c r="AU84" s="187">
        <f t="shared" si="153"/>
        <v>0</v>
      </c>
      <c r="AV84" s="187">
        <f t="shared" si="154"/>
        <v>0</v>
      </c>
      <c r="AW84" s="187">
        <f t="shared" si="155"/>
        <v>7</v>
      </c>
      <c r="AX84" s="187">
        <f t="shared" si="156"/>
        <v>0</v>
      </c>
      <c r="AY84" s="187">
        <f t="shared" si="157"/>
        <v>7</v>
      </c>
      <c r="AZ84" s="187">
        <f t="shared" si="158"/>
        <v>7</v>
      </c>
      <c r="BA84" s="187">
        <f t="shared" si="159"/>
        <v>0</v>
      </c>
      <c r="BB84" s="187">
        <f t="shared" si="160"/>
        <v>0</v>
      </c>
      <c r="BC84" s="187">
        <f t="shared" si="161"/>
        <v>0</v>
      </c>
      <c r="BD84" s="187">
        <f t="shared" si="162"/>
        <v>0</v>
      </c>
      <c r="BE84" s="187">
        <f t="shared" si="163"/>
        <v>0</v>
      </c>
      <c r="BF84" s="187">
        <f t="shared" si="164"/>
        <v>3</v>
      </c>
      <c r="BG84" s="187">
        <f t="shared" si="165"/>
        <v>0</v>
      </c>
      <c r="BH84" s="187">
        <f t="shared" si="166"/>
        <v>0</v>
      </c>
      <c r="BI84" s="187">
        <f t="shared" si="167"/>
        <v>0</v>
      </c>
      <c r="BJ84" s="187">
        <f t="shared" si="168"/>
        <v>1</v>
      </c>
      <c r="BK84" s="187">
        <f t="shared" si="169"/>
        <v>0</v>
      </c>
      <c r="BL84" s="187">
        <f t="shared" si="170"/>
        <v>0</v>
      </c>
      <c r="BM84" s="187">
        <f t="shared" si="171"/>
        <v>0</v>
      </c>
      <c r="BN84" s="188">
        <f t="shared" si="172"/>
        <v>3</v>
      </c>
      <c r="BO84" s="187">
        <f t="shared" si="173"/>
        <v>0</v>
      </c>
      <c r="BP84" s="187">
        <f t="shared" ref="BP84:BQ84" si="284">IF(G84=1,1,0)</f>
        <v>0</v>
      </c>
      <c r="BQ84" s="187">
        <f t="shared" si="284"/>
        <v>0</v>
      </c>
      <c r="BR84" s="187">
        <f t="shared" ref="BR84:BT84" si="285">IF(K84=1,1,0)</f>
        <v>0</v>
      </c>
      <c r="BS84" s="187">
        <f t="shared" si="285"/>
        <v>0</v>
      </c>
      <c r="BT84" s="187">
        <f t="shared" si="285"/>
        <v>0</v>
      </c>
      <c r="BU84" s="187">
        <f t="shared" ref="BU84:BV84" si="286">IF(P84=1,1,0)</f>
        <v>0</v>
      </c>
      <c r="BV84" s="187">
        <f t="shared" si="286"/>
        <v>0</v>
      </c>
      <c r="BW84" s="187">
        <f t="shared" si="177"/>
        <v>0</v>
      </c>
      <c r="BX84" s="187">
        <f t="shared" si="178"/>
        <v>0</v>
      </c>
      <c r="BY84" s="187">
        <f t="shared" si="179"/>
        <v>3</v>
      </c>
      <c r="BZ84" s="187">
        <f t="shared" si="180"/>
        <v>-9</v>
      </c>
      <c r="CA84" s="167">
        <f t="shared" si="181"/>
        <v>42</v>
      </c>
      <c r="CB84" s="167">
        <f t="shared" si="47"/>
        <v>75</v>
      </c>
      <c r="CC84" s="644">
        <f t="shared" si="48"/>
        <v>23</v>
      </c>
      <c r="CD84" s="644">
        <f t="shared" si="49"/>
        <v>19</v>
      </c>
      <c r="CE84" s="644">
        <f t="shared" si="50"/>
        <v>15</v>
      </c>
      <c r="CF84" s="644">
        <f t="shared" si="51"/>
        <v>0</v>
      </c>
      <c r="CG84" s="644">
        <f t="shared" si="52"/>
        <v>0</v>
      </c>
      <c r="CH84" s="644">
        <f t="shared" si="123"/>
        <v>7</v>
      </c>
      <c r="CI84" s="644">
        <f t="shared" si="54"/>
        <v>0</v>
      </c>
      <c r="CJ84" s="644">
        <f t="shared" si="55"/>
        <v>0</v>
      </c>
      <c r="CK84" s="644">
        <f t="shared" si="56"/>
        <v>0</v>
      </c>
      <c r="CL84" s="644">
        <f t="shared" si="57"/>
        <v>0</v>
      </c>
      <c r="CM84" s="644">
        <f t="shared" si="58"/>
        <v>3</v>
      </c>
      <c r="CN84" s="644">
        <f t="shared" si="59"/>
        <v>0</v>
      </c>
      <c r="CO84" s="644">
        <f t="shared" si="60"/>
        <v>3</v>
      </c>
      <c r="CP84" s="644">
        <f t="shared" si="61"/>
        <v>3</v>
      </c>
      <c r="CQ84" s="644">
        <f t="shared" si="62"/>
        <v>0</v>
      </c>
      <c r="CR84" s="644">
        <f t="shared" si="63"/>
        <v>2</v>
      </c>
      <c r="CS84" s="644">
        <f t="shared" si="64"/>
        <v>0</v>
      </c>
      <c r="CT84" s="644">
        <f t="shared" si="65"/>
        <v>0</v>
      </c>
      <c r="CU84" s="644">
        <f t="shared" si="66"/>
        <v>0</v>
      </c>
      <c r="CV84" s="644">
        <f t="shared" si="67"/>
        <v>0</v>
      </c>
      <c r="CW84" s="644">
        <f t="shared" si="68"/>
        <v>0</v>
      </c>
      <c r="CX84" s="644">
        <f t="shared" si="69"/>
        <v>0</v>
      </c>
      <c r="CY84" s="644">
        <f t="shared" si="70"/>
        <v>0</v>
      </c>
      <c r="CZ84" s="624" t="s">
        <v>1097</v>
      </c>
      <c r="DA84" s="257"/>
    </row>
    <row r="85" spans="1:105">
      <c r="A85" s="249" t="s">
        <v>204</v>
      </c>
      <c r="B85" s="187"/>
      <c r="C85" s="644"/>
      <c r="D85" s="644">
        <v>1</v>
      </c>
      <c r="E85" s="644"/>
      <c r="F85" s="251"/>
      <c r="G85" s="251"/>
      <c r="H85" s="251"/>
      <c r="I85" s="251"/>
      <c r="J85" s="644"/>
      <c r="K85" s="644"/>
      <c r="L85" s="644"/>
      <c r="M85" s="644"/>
      <c r="N85" s="644"/>
      <c r="O85" s="644"/>
      <c r="P85" s="644"/>
      <c r="Q85" s="644"/>
      <c r="R85" s="644">
        <v>1</v>
      </c>
      <c r="S85" s="644">
        <v>1</v>
      </c>
      <c r="T85" s="644">
        <v>1</v>
      </c>
      <c r="U85" s="644">
        <v>1</v>
      </c>
      <c r="V85" s="644"/>
      <c r="W85" s="644"/>
      <c r="X85" s="644"/>
      <c r="Y85" s="644"/>
      <c r="Z85" s="644"/>
      <c r="AA85" s="644"/>
      <c r="AB85" s="644">
        <v>1</v>
      </c>
      <c r="AC85" s="644">
        <v>1</v>
      </c>
      <c r="AD85" s="644"/>
      <c r="AE85" s="644"/>
      <c r="AF85" s="644"/>
      <c r="AG85" s="644"/>
      <c r="AH85" s="644">
        <v>1</v>
      </c>
      <c r="AI85" s="644"/>
      <c r="AJ85" s="644"/>
      <c r="AK85" s="644"/>
      <c r="AL85" s="167">
        <v>8</v>
      </c>
      <c r="AM85" s="185" t="s">
        <v>1148</v>
      </c>
      <c r="AN85" s="186">
        <v>42006</v>
      </c>
      <c r="AO85" s="187"/>
      <c r="AP85" s="187">
        <f t="shared" si="148"/>
        <v>0</v>
      </c>
      <c r="AQ85" s="187">
        <f t="shared" si="149"/>
        <v>0</v>
      </c>
      <c r="AR85" s="187">
        <f t="shared" si="150"/>
        <v>13</v>
      </c>
      <c r="AS85" s="187">
        <f t="shared" si="151"/>
        <v>13</v>
      </c>
      <c r="AT85" s="187">
        <f t="shared" si="152"/>
        <v>9</v>
      </c>
      <c r="AU85" s="187">
        <f t="shared" si="153"/>
        <v>9</v>
      </c>
      <c r="AV85" s="187">
        <f t="shared" si="154"/>
        <v>9</v>
      </c>
      <c r="AW85" s="187">
        <f t="shared" si="155"/>
        <v>0</v>
      </c>
      <c r="AX85" s="187">
        <f t="shared" si="156"/>
        <v>0</v>
      </c>
      <c r="AY85" s="187">
        <f t="shared" si="157"/>
        <v>0</v>
      </c>
      <c r="AZ85" s="187">
        <f t="shared" si="158"/>
        <v>7</v>
      </c>
      <c r="BA85" s="187">
        <f t="shared" si="159"/>
        <v>0</v>
      </c>
      <c r="BB85" s="187">
        <f t="shared" si="160"/>
        <v>0</v>
      </c>
      <c r="BC85" s="187">
        <f t="shared" si="161"/>
        <v>4</v>
      </c>
      <c r="BD85" s="187">
        <f t="shared" si="162"/>
        <v>0</v>
      </c>
      <c r="BE85" s="187">
        <f t="shared" si="163"/>
        <v>0</v>
      </c>
      <c r="BF85" s="187">
        <f t="shared" si="164"/>
        <v>0</v>
      </c>
      <c r="BG85" s="187">
        <f t="shared" si="165"/>
        <v>0</v>
      </c>
      <c r="BH85" s="187">
        <f t="shared" si="166"/>
        <v>2</v>
      </c>
      <c r="BI85" s="187">
        <f t="shared" si="167"/>
        <v>0</v>
      </c>
      <c r="BJ85" s="187">
        <f t="shared" si="168"/>
        <v>0</v>
      </c>
      <c r="BK85" s="187">
        <f t="shared" si="169"/>
        <v>0</v>
      </c>
      <c r="BL85" s="187">
        <f t="shared" si="170"/>
        <v>0</v>
      </c>
      <c r="BM85" s="187">
        <f t="shared" si="171"/>
        <v>0</v>
      </c>
      <c r="BN85" s="188">
        <f t="shared" si="172"/>
        <v>2</v>
      </c>
      <c r="BO85" s="187">
        <f t="shared" si="173"/>
        <v>0</v>
      </c>
      <c r="BP85" s="187">
        <f t="shared" ref="BP85:BQ85" si="287">IF(G85=1,1,0)</f>
        <v>0</v>
      </c>
      <c r="BQ85" s="187">
        <f t="shared" si="287"/>
        <v>0</v>
      </c>
      <c r="BR85" s="187">
        <f t="shared" ref="BR85:BT85" si="288">IF(K85=1,1,0)</f>
        <v>0</v>
      </c>
      <c r="BS85" s="187">
        <f t="shared" si="288"/>
        <v>0</v>
      </c>
      <c r="BT85" s="187">
        <f t="shared" si="288"/>
        <v>0</v>
      </c>
      <c r="BU85" s="187">
        <f t="shared" ref="BU85:BV85" si="289">IF(P85=1,1,0)</f>
        <v>0</v>
      </c>
      <c r="BV85" s="187">
        <f t="shared" si="289"/>
        <v>0</v>
      </c>
      <c r="BW85" s="187">
        <f t="shared" si="177"/>
        <v>0</v>
      </c>
      <c r="BX85" s="187">
        <f t="shared" si="178"/>
        <v>0</v>
      </c>
      <c r="BY85" s="187">
        <f t="shared" si="179"/>
        <v>2</v>
      </c>
      <c r="BZ85" s="187">
        <f t="shared" si="180"/>
        <v>-4</v>
      </c>
      <c r="CA85" s="167">
        <f t="shared" si="181"/>
        <v>62</v>
      </c>
      <c r="CB85" s="167">
        <f t="shared" si="47"/>
        <v>85</v>
      </c>
      <c r="CC85" s="644">
        <f t="shared" si="48"/>
        <v>23</v>
      </c>
      <c r="CD85" s="644">
        <f t="shared" si="49"/>
        <v>19</v>
      </c>
      <c r="CE85" s="644">
        <f t="shared" si="50"/>
        <v>15</v>
      </c>
      <c r="CF85" s="644">
        <f t="shared" si="51"/>
        <v>0</v>
      </c>
      <c r="CG85" s="644">
        <f t="shared" si="52"/>
        <v>9</v>
      </c>
      <c r="CH85" s="644">
        <f t="shared" si="123"/>
        <v>7</v>
      </c>
      <c r="CI85" s="644">
        <f t="shared" si="54"/>
        <v>7</v>
      </c>
      <c r="CJ85" s="644">
        <f t="shared" si="55"/>
        <v>0</v>
      </c>
      <c r="CK85" s="644">
        <f t="shared" si="56"/>
        <v>0</v>
      </c>
      <c r="CL85" s="644">
        <f t="shared" si="57"/>
        <v>0</v>
      </c>
      <c r="CM85" s="644">
        <f t="shared" si="58"/>
        <v>0</v>
      </c>
      <c r="CN85" s="644">
        <f t="shared" si="59"/>
        <v>3</v>
      </c>
      <c r="CO85" s="644">
        <f t="shared" si="60"/>
        <v>0</v>
      </c>
      <c r="CP85" s="644">
        <f t="shared" si="61"/>
        <v>0</v>
      </c>
      <c r="CQ85" s="644">
        <f t="shared" si="62"/>
        <v>2</v>
      </c>
      <c r="CR85" s="644">
        <f t="shared" si="63"/>
        <v>0</v>
      </c>
      <c r="CS85" s="644">
        <f t="shared" si="64"/>
        <v>0</v>
      </c>
      <c r="CT85" s="644">
        <f t="shared" si="65"/>
        <v>0</v>
      </c>
      <c r="CU85" s="644">
        <f t="shared" si="66"/>
        <v>0</v>
      </c>
      <c r="CV85" s="644">
        <f t="shared" si="67"/>
        <v>0</v>
      </c>
      <c r="CW85" s="644">
        <f t="shared" si="68"/>
        <v>0</v>
      </c>
      <c r="CX85" s="644">
        <f t="shared" si="69"/>
        <v>0</v>
      </c>
      <c r="CY85" s="644">
        <f t="shared" si="70"/>
        <v>0</v>
      </c>
      <c r="CZ85" s="624" t="s">
        <v>814</v>
      </c>
      <c r="DA85" s="257"/>
    </row>
    <row r="86" spans="1:105">
      <c r="A86" s="254" t="s">
        <v>205</v>
      </c>
      <c r="B86" s="187"/>
      <c r="C86" s="644"/>
      <c r="D86" s="256">
        <v>1</v>
      </c>
      <c r="E86" s="256">
        <v>1</v>
      </c>
      <c r="F86" s="255"/>
      <c r="G86" s="251"/>
      <c r="H86" s="251"/>
      <c r="I86" s="255"/>
      <c r="J86" s="644"/>
      <c r="K86" s="644"/>
      <c r="L86" s="644"/>
      <c r="M86" s="644"/>
      <c r="N86" s="644"/>
      <c r="O86" s="644"/>
      <c r="P86" s="644"/>
      <c r="Q86" s="644"/>
      <c r="R86" s="644">
        <v>1</v>
      </c>
      <c r="S86" s="644"/>
      <c r="T86" s="644"/>
      <c r="U86" s="644">
        <v>1</v>
      </c>
      <c r="V86" s="644"/>
      <c r="W86" s="644"/>
      <c r="X86" s="644"/>
      <c r="Y86" s="644"/>
      <c r="Z86" s="256">
        <v>1</v>
      </c>
      <c r="AA86" s="251"/>
      <c r="AB86" s="256">
        <v>1</v>
      </c>
      <c r="AC86" s="256">
        <v>1</v>
      </c>
      <c r="AD86" s="256">
        <v>1</v>
      </c>
      <c r="AE86" s="644"/>
      <c r="AF86" s="644"/>
      <c r="AG86" s="644"/>
      <c r="AH86" s="644">
        <v>1</v>
      </c>
      <c r="AI86" s="644"/>
      <c r="AJ86" s="644"/>
      <c r="AK86" s="644">
        <v>1</v>
      </c>
      <c r="AL86" s="167">
        <v>10</v>
      </c>
      <c r="AM86" s="185" t="s">
        <v>1149</v>
      </c>
      <c r="AN86" s="186">
        <v>42002</v>
      </c>
      <c r="AO86" s="187"/>
      <c r="AP86" s="187">
        <f t="shared" si="148"/>
        <v>0</v>
      </c>
      <c r="AQ86" s="187">
        <f t="shared" si="149"/>
        <v>0</v>
      </c>
      <c r="AR86" s="187">
        <f t="shared" si="150"/>
        <v>13</v>
      </c>
      <c r="AS86" s="187">
        <f t="shared" si="151"/>
        <v>13</v>
      </c>
      <c r="AT86" s="187">
        <f t="shared" si="152"/>
        <v>9</v>
      </c>
      <c r="AU86" s="187">
        <f t="shared" si="153"/>
        <v>9</v>
      </c>
      <c r="AV86" s="187">
        <f t="shared" si="154"/>
        <v>9</v>
      </c>
      <c r="AW86" s="187">
        <f t="shared" si="155"/>
        <v>0</v>
      </c>
      <c r="AX86" s="187">
        <f t="shared" si="156"/>
        <v>7</v>
      </c>
      <c r="AY86" s="187">
        <f t="shared" si="157"/>
        <v>7</v>
      </c>
      <c r="AZ86" s="187">
        <f t="shared" si="158"/>
        <v>7</v>
      </c>
      <c r="BA86" s="187">
        <f t="shared" si="159"/>
        <v>7</v>
      </c>
      <c r="BB86" s="187">
        <f t="shared" si="160"/>
        <v>4</v>
      </c>
      <c r="BC86" s="187">
        <f t="shared" si="161"/>
        <v>0</v>
      </c>
      <c r="BD86" s="187">
        <f t="shared" si="162"/>
        <v>0</v>
      </c>
      <c r="BE86" s="187">
        <f t="shared" si="163"/>
        <v>0</v>
      </c>
      <c r="BF86" s="187">
        <f t="shared" si="164"/>
        <v>0</v>
      </c>
      <c r="BG86" s="187">
        <f t="shared" si="165"/>
        <v>0</v>
      </c>
      <c r="BH86" s="187">
        <f t="shared" si="166"/>
        <v>0</v>
      </c>
      <c r="BI86" s="187">
        <f t="shared" si="167"/>
        <v>0</v>
      </c>
      <c r="BJ86" s="187">
        <f t="shared" si="168"/>
        <v>0</v>
      </c>
      <c r="BK86" s="187">
        <f t="shared" si="169"/>
        <v>0</v>
      </c>
      <c r="BL86" s="187">
        <f t="shared" si="170"/>
        <v>0</v>
      </c>
      <c r="BM86" s="187">
        <f t="shared" si="171"/>
        <v>0</v>
      </c>
      <c r="BN86" s="188">
        <f t="shared" si="172"/>
        <v>0</v>
      </c>
      <c r="BO86" s="187">
        <f t="shared" si="173"/>
        <v>0</v>
      </c>
      <c r="BP86" s="187">
        <f t="shared" ref="BP86:BQ86" si="290">IF(G86=1,1,0)</f>
        <v>0</v>
      </c>
      <c r="BQ86" s="187">
        <f t="shared" si="290"/>
        <v>0</v>
      </c>
      <c r="BR86" s="187">
        <f t="shared" ref="BR86:BT86" si="291">IF(K86=1,1,0)</f>
        <v>0</v>
      </c>
      <c r="BS86" s="187">
        <f t="shared" si="291"/>
        <v>0</v>
      </c>
      <c r="BT86" s="187">
        <f t="shared" si="291"/>
        <v>0</v>
      </c>
      <c r="BU86" s="187">
        <f t="shared" ref="BU86:BV86" si="292">IF(P86=1,1,0)</f>
        <v>0</v>
      </c>
      <c r="BV86" s="187">
        <f t="shared" si="292"/>
        <v>0</v>
      </c>
      <c r="BW86" s="187">
        <f t="shared" si="177"/>
        <v>0</v>
      </c>
      <c r="BX86" s="187">
        <f t="shared" si="178"/>
        <v>0</v>
      </c>
      <c r="BY86" s="187">
        <f t="shared" si="179"/>
        <v>0</v>
      </c>
      <c r="BZ86" s="187">
        <f t="shared" si="180"/>
        <v>0</v>
      </c>
      <c r="CA86" s="167">
        <f t="shared" si="181"/>
        <v>85</v>
      </c>
      <c r="CB86" s="167">
        <f t="shared" si="47"/>
        <v>96</v>
      </c>
      <c r="CC86" s="644">
        <f t="shared" si="48"/>
        <v>23</v>
      </c>
      <c r="CD86" s="644">
        <f t="shared" si="49"/>
        <v>19</v>
      </c>
      <c r="CE86" s="644">
        <f t="shared" si="50"/>
        <v>15</v>
      </c>
      <c r="CF86" s="644">
        <f t="shared" si="51"/>
        <v>15</v>
      </c>
      <c r="CG86" s="644">
        <f t="shared" si="52"/>
        <v>9</v>
      </c>
      <c r="CH86" s="644">
        <f t="shared" si="123"/>
        <v>0</v>
      </c>
      <c r="CI86" s="644">
        <f t="shared" si="54"/>
        <v>7</v>
      </c>
      <c r="CJ86" s="644">
        <f t="shared" si="55"/>
        <v>5</v>
      </c>
      <c r="CK86" s="644">
        <f t="shared" si="56"/>
        <v>0</v>
      </c>
      <c r="CL86" s="644">
        <f t="shared" si="57"/>
        <v>0</v>
      </c>
      <c r="CM86" s="644">
        <f t="shared" si="58"/>
        <v>0</v>
      </c>
      <c r="CN86" s="644">
        <f t="shared" si="59"/>
        <v>0</v>
      </c>
      <c r="CO86" s="644">
        <f t="shared" si="60"/>
        <v>0</v>
      </c>
      <c r="CP86" s="644">
        <f t="shared" si="61"/>
        <v>3</v>
      </c>
      <c r="CQ86" s="644">
        <f t="shared" si="62"/>
        <v>0</v>
      </c>
      <c r="CR86" s="644">
        <f t="shared" si="63"/>
        <v>0</v>
      </c>
      <c r="CS86" s="644">
        <f t="shared" si="64"/>
        <v>2</v>
      </c>
      <c r="CT86" s="644">
        <f t="shared" si="65"/>
        <v>0</v>
      </c>
      <c r="CU86" s="644">
        <f t="shared" si="66"/>
        <v>0</v>
      </c>
      <c r="CV86" s="644">
        <f t="shared" si="67"/>
        <v>0</v>
      </c>
      <c r="CW86" s="644">
        <f t="shared" si="68"/>
        <v>0</v>
      </c>
      <c r="CX86" s="644">
        <f t="shared" si="69"/>
        <v>0</v>
      </c>
      <c r="CY86" s="644">
        <f t="shared" si="70"/>
        <v>0</v>
      </c>
      <c r="CZ86" s="624" t="s">
        <v>993</v>
      </c>
      <c r="DA86" s="257"/>
    </row>
    <row r="87" spans="1:105">
      <c r="A87" s="249" t="s">
        <v>568</v>
      </c>
      <c r="B87" s="187"/>
      <c r="C87" s="644"/>
      <c r="D87" s="644">
        <v>1</v>
      </c>
      <c r="E87" s="644">
        <v>1</v>
      </c>
      <c r="F87" s="251">
        <v>1</v>
      </c>
      <c r="G87" s="251"/>
      <c r="H87" s="251"/>
      <c r="I87" s="251">
        <v>1</v>
      </c>
      <c r="J87" s="644"/>
      <c r="K87" s="644"/>
      <c r="L87" s="644"/>
      <c r="M87" s="644"/>
      <c r="N87" s="644"/>
      <c r="O87" s="644"/>
      <c r="P87" s="644"/>
      <c r="Q87" s="644"/>
      <c r="R87" s="644">
        <v>1</v>
      </c>
      <c r="S87" s="644"/>
      <c r="T87" s="644"/>
      <c r="U87" s="644"/>
      <c r="V87" s="644">
        <v>1</v>
      </c>
      <c r="W87" s="644"/>
      <c r="X87" s="644"/>
      <c r="Y87" s="644"/>
      <c r="Z87" s="644"/>
      <c r="AA87" s="644"/>
      <c r="AB87" s="644"/>
      <c r="AC87" s="258">
        <v>1</v>
      </c>
      <c r="AD87" s="644"/>
      <c r="AE87" s="644"/>
      <c r="AF87" s="644"/>
      <c r="AG87" s="644"/>
      <c r="AH87" s="644">
        <v>1</v>
      </c>
      <c r="AI87" s="644"/>
      <c r="AJ87" s="644">
        <v>1</v>
      </c>
      <c r="AK87" s="644"/>
      <c r="AL87" s="167">
        <v>9</v>
      </c>
      <c r="AM87" s="185" t="s">
        <v>1119</v>
      </c>
      <c r="AN87" s="186">
        <v>42007</v>
      </c>
      <c r="AO87" s="187"/>
      <c r="AP87" s="187">
        <f t="shared" si="148"/>
        <v>13</v>
      </c>
      <c r="AQ87" s="187">
        <f t="shared" si="149"/>
        <v>13</v>
      </c>
      <c r="AR87" s="187">
        <f t="shared" si="150"/>
        <v>13</v>
      </c>
      <c r="AS87" s="187">
        <f t="shared" si="151"/>
        <v>0</v>
      </c>
      <c r="AT87" s="187">
        <f t="shared" si="152"/>
        <v>0</v>
      </c>
      <c r="AU87" s="187">
        <f t="shared" si="153"/>
        <v>9</v>
      </c>
      <c r="AV87" s="187">
        <f t="shared" si="154"/>
        <v>9</v>
      </c>
      <c r="AW87" s="187">
        <f t="shared" si="155"/>
        <v>7</v>
      </c>
      <c r="AX87" s="187">
        <f t="shared" si="156"/>
        <v>0</v>
      </c>
      <c r="AY87" s="187">
        <f t="shared" si="157"/>
        <v>0</v>
      </c>
      <c r="AZ87" s="187">
        <f t="shared" si="158"/>
        <v>7</v>
      </c>
      <c r="BA87" s="187">
        <f t="shared" si="159"/>
        <v>7</v>
      </c>
      <c r="BB87" s="187">
        <f t="shared" si="160"/>
        <v>0</v>
      </c>
      <c r="BC87" s="187">
        <f t="shared" si="161"/>
        <v>0</v>
      </c>
      <c r="BD87" s="187">
        <f t="shared" si="162"/>
        <v>0</v>
      </c>
      <c r="BE87" s="187">
        <f t="shared" si="163"/>
        <v>0</v>
      </c>
      <c r="BF87" s="187">
        <f t="shared" si="164"/>
        <v>0</v>
      </c>
      <c r="BG87" s="187">
        <f t="shared" si="165"/>
        <v>0</v>
      </c>
      <c r="BH87" s="187">
        <f t="shared" si="166"/>
        <v>0</v>
      </c>
      <c r="BI87" s="187">
        <f t="shared" si="167"/>
        <v>1</v>
      </c>
      <c r="BJ87" s="187">
        <f t="shared" si="168"/>
        <v>0</v>
      </c>
      <c r="BK87" s="187">
        <f t="shared" si="169"/>
        <v>0</v>
      </c>
      <c r="BL87" s="187">
        <f t="shared" si="170"/>
        <v>0</v>
      </c>
      <c r="BM87" s="187">
        <f t="shared" si="171"/>
        <v>0</v>
      </c>
      <c r="BN87" s="188">
        <f t="shared" si="172"/>
        <v>1</v>
      </c>
      <c r="BO87" s="187">
        <f t="shared" si="173"/>
        <v>0</v>
      </c>
      <c r="BP87" s="187">
        <f t="shared" ref="BP87:BQ87" si="293">IF(G87=1,1,0)</f>
        <v>0</v>
      </c>
      <c r="BQ87" s="187">
        <f t="shared" si="293"/>
        <v>0</v>
      </c>
      <c r="BR87" s="187">
        <f t="shared" ref="BR87:BT87" si="294">IF(K87=1,1,0)</f>
        <v>0</v>
      </c>
      <c r="BS87" s="187">
        <f t="shared" si="294"/>
        <v>0</v>
      </c>
      <c r="BT87" s="187">
        <f t="shared" si="294"/>
        <v>0</v>
      </c>
      <c r="BU87" s="187">
        <f t="shared" ref="BU87:BV87" si="295">IF(P87=1,1,0)</f>
        <v>0</v>
      </c>
      <c r="BV87" s="187">
        <f t="shared" si="295"/>
        <v>0</v>
      </c>
      <c r="BW87" s="187">
        <f t="shared" si="177"/>
        <v>0</v>
      </c>
      <c r="BX87" s="187">
        <f t="shared" si="178"/>
        <v>0</v>
      </c>
      <c r="BY87" s="187">
        <f t="shared" si="179"/>
        <v>1</v>
      </c>
      <c r="BZ87" s="187">
        <f t="shared" si="180"/>
        <v>-1</v>
      </c>
      <c r="CA87" s="167">
        <f t="shared" si="181"/>
        <v>78</v>
      </c>
      <c r="CB87" s="167">
        <f t="shared" si="47"/>
        <v>74</v>
      </c>
      <c r="CC87" s="644">
        <f t="shared" si="48"/>
        <v>23</v>
      </c>
      <c r="CD87" s="644">
        <f t="shared" si="49"/>
        <v>0</v>
      </c>
      <c r="CE87" s="644">
        <f t="shared" si="50"/>
        <v>15</v>
      </c>
      <c r="CF87" s="644">
        <f t="shared" si="51"/>
        <v>15</v>
      </c>
      <c r="CG87" s="644">
        <f t="shared" si="52"/>
        <v>0</v>
      </c>
      <c r="CH87" s="644">
        <f t="shared" si="123"/>
        <v>0</v>
      </c>
      <c r="CI87" s="644">
        <f t="shared" si="54"/>
        <v>7</v>
      </c>
      <c r="CJ87" s="644">
        <f t="shared" si="55"/>
        <v>0</v>
      </c>
      <c r="CK87" s="644">
        <f t="shared" si="56"/>
        <v>5</v>
      </c>
      <c r="CL87" s="644">
        <f t="shared" si="57"/>
        <v>5</v>
      </c>
      <c r="CM87" s="644">
        <f t="shared" si="58"/>
        <v>0</v>
      </c>
      <c r="CN87" s="644">
        <f t="shared" si="59"/>
        <v>0</v>
      </c>
      <c r="CO87" s="644">
        <f t="shared" si="60"/>
        <v>3</v>
      </c>
      <c r="CP87" s="644">
        <f t="shared" si="61"/>
        <v>0</v>
      </c>
      <c r="CQ87" s="644">
        <f t="shared" si="62"/>
        <v>0</v>
      </c>
      <c r="CR87" s="644">
        <f t="shared" si="63"/>
        <v>0</v>
      </c>
      <c r="CS87" s="644">
        <f t="shared" si="64"/>
        <v>0</v>
      </c>
      <c r="CT87" s="644">
        <f t="shared" si="65"/>
        <v>0</v>
      </c>
      <c r="CU87" s="644">
        <f t="shared" si="66"/>
        <v>0</v>
      </c>
      <c r="CV87" s="644">
        <f t="shared" si="67"/>
        <v>1</v>
      </c>
      <c r="CW87" s="644">
        <f t="shared" si="68"/>
        <v>0</v>
      </c>
      <c r="CX87" s="644">
        <f t="shared" si="69"/>
        <v>0</v>
      </c>
      <c r="CY87" s="644">
        <f t="shared" si="70"/>
        <v>0</v>
      </c>
      <c r="CZ87" s="624" t="s">
        <v>746</v>
      </c>
      <c r="DA87" s="257"/>
    </row>
    <row r="88" spans="1:105" ht="25.5">
      <c r="A88" s="249" t="s">
        <v>209</v>
      </c>
      <c r="B88" s="187"/>
      <c r="C88" s="644"/>
      <c r="D88" s="644">
        <v>1</v>
      </c>
      <c r="E88" s="644">
        <v>1</v>
      </c>
      <c r="F88" s="251"/>
      <c r="G88" s="251"/>
      <c r="H88" s="251"/>
      <c r="I88" s="251"/>
      <c r="J88" s="644"/>
      <c r="K88" s="644"/>
      <c r="L88" s="644"/>
      <c r="M88" s="644"/>
      <c r="N88" s="644"/>
      <c r="O88" s="644"/>
      <c r="P88" s="644"/>
      <c r="Q88" s="644"/>
      <c r="R88" s="644">
        <v>1</v>
      </c>
      <c r="S88" s="644"/>
      <c r="T88" s="644"/>
      <c r="U88" s="644">
        <v>1</v>
      </c>
      <c r="V88" s="644"/>
      <c r="W88" s="644"/>
      <c r="X88" s="644"/>
      <c r="Y88" s="644"/>
      <c r="Z88" s="644">
        <v>1</v>
      </c>
      <c r="AA88" s="644"/>
      <c r="AB88" s="644">
        <v>1</v>
      </c>
      <c r="AC88" s="644">
        <v>1</v>
      </c>
      <c r="AD88" s="644"/>
      <c r="AE88" s="644"/>
      <c r="AF88" s="644"/>
      <c r="AG88" s="644"/>
      <c r="AH88" s="644">
        <v>1</v>
      </c>
      <c r="AI88" s="644"/>
      <c r="AJ88" s="644">
        <v>1</v>
      </c>
      <c r="AK88" s="644">
        <v>1</v>
      </c>
      <c r="AL88" s="167">
        <v>10</v>
      </c>
      <c r="AM88" s="187" t="s">
        <v>1150</v>
      </c>
      <c r="AN88" s="186">
        <v>41991</v>
      </c>
      <c r="AO88" s="187"/>
      <c r="AP88" s="187">
        <f t="shared" si="148"/>
        <v>0</v>
      </c>
      <c r="AQ88" s="187">
        <f t="shared" si="149"/>
        <v>0</v>
      </c>
      <c r="AR88" s="187">
        <f t="shared" si="150"/>
        <v>13</v>
      </c>
      <c r="AS88" s="187">
        <f t="shared" si="151"/>
        <v>13</v>
      </c>
      <c r="AT88" s="187">
        <f t="shared" si="152"/>
        <v>9</v>
      </c>
      <c r="AU88" s="187">
        <f t="shared" si="153"/>
        <v>9</v>
      </c>
      <c r="AV88" s="187">
        <f t="shared" si="154"/>
        <v>9</v>
      </c>
      <c r="AW88" s="187">
        <f t="shared" si="155"/>
        <v>7</v>
      </c>
      <c r="AX88" s="187">
        <f t="shared" si="156"/>
        <v>0</v>
      </c>
      <c r="AY88" s="187">
        <f t="shared" si="157"/>
        <v>7</v>
      </c>
      <c r="AZ88" s="187">
        <f t="shared" si="158"/>
        <v>7</v>
      </c>
      <c r="BA88" s="187">
        <f t="shared" si="159"/>
        <v>7</v>
      </c>
      <c r="BB88" s="187">
        <f t="shared" si="160"/>
        <v>4</v>
      </c>
      <c r="BC88" s="187">
        <f t="shared" si="161"/>
        <v>0</v>
      </c>
      <c r="BD88" s="187">
        <f t="shared" si="162"/>
        <v>0</v>
      </c>
      <c r="BE88" s="187">
        <f t="shared" si="163"/>
        <v>0</v>
      </c>
      <c r="BF88" s="187">
        <f t="shared" si="164"/>
        <v>0</v>
      </c>
      <c r="BG88" s="187">
        <f t="shared" si="165"/>
        <v>0</v>
      </c>
      <c r="BH88" s="187">
        <f t="shared" si="166"/>
        <v>0</v>
      </c>
      <c r="BI88" s="187">
        <f t="shared" si="167"/>
        <v>0</v>
      </c>
      <c r="BJ88" s="187">
        <f t="shared" si="168"/>
        <v>0</v>
      </c>
      <c r="BK88" s="187">
        <f t="shared" si="169"/>
        <v>0</v>
      </c>
      <c r="BL88" s="187">
        <f t="shared" si="170"/>
        <v>0</v>
      </c>
      <c r="BM88" s="187">
        <f t="shared" si="171"/>
        <v>0</v>
      </c>
      <c r="BN88" s="188">
        <f t="shared" si="172"/>
        <v>0</v>
      </c>
      <c r="BO88" s="187">
        <f t="shared" si="173"/>
        <v>0</v>
      </c>
      <c r="BP88" s="187">
        <f t="shared" ref="BP88:BQ88" si="296">IF(G88=1,1,0)</f>
        <v>0</v>
      </c>
      <c r="BQ88" s="187">
        <f t="shared" si="296"/>
        <v>0</v>
      </c>
      <c r="BR88" s="187">
        <f t="shared" ref="BR88:BT88" si="297">IF(K88=1,1,0)</f>
        <v>0</v>
      </c>
      <c r="BS88" s="187">
        <f t="shared" si="297"/>
        <v>0</v>
      </c>
      <c r="BT88" s="187">
        <f t="shared" si="297"/>
        <v>0</v>
      </c>
      <c r="BU88" s="187">
        <f t="shared" ref="BU88:BV88" si="298">IF(P88=1,1,0)</f>
        <v>0</v>
      </c>
      <c r="BV88" s="187">
        <f t="shared" si="298"/>
        <v>0</v>
      </c>
      <c r="BW88" s="187">
        <f t="shared" si="177"/>
        <v>0</v>
      </c>
      <c r="BX88" s="187">
        <f t="shared" si="178"/>
        <v>0</v>
      </c>
      <c r="BY88" s="187">
        <f t="shared" si="179"/>
        <v>0</v>
      </c>
      <c r="BZ88" s="187">
        <f t="shared" si="180"/>
        <v>0</v>
      </c>
      <c r="CA88" s="167">
        <f t="shared" si="181"/>
        <v>85</v>
      </c>
      <c r="CB88" s="167">
        <f t="shared" si="47"/>
        <v>98</v>
      </c>
      <c r="CC88" s="644">
        <f t="shared" si="48"/>
        <v>23</v>
      </c>
      <c r="CD88" s="644">
        <f t="shared" si="49"/>
        <v>19</v>
      </c>
      <c r="CE88" s="644">
        <f t="shared" si="50"/>
        <v>15</v>
      </c>
      <c r="CF88" s="644">
        <f t="shared" si="51"/>
        <v>15</v>
      </c>
      <c r="CG88" s="644">
        <f t="shared" si="52"/>
        <v>9</v>
      </c>
      <c r="CH88" s="644">
        <f t="shared" si="123"/>
        <v>7</v>
      </c>
      <c r="CI88" s="644">
        <f t="shared" si="54"/>
        <v>7</v>
      </c>
      <c r="CJ88" s="644">
        <f t="shared" si="55"/>
        <v>0</v>
      </c>
      <c r="CK88" s="644">
        <f t="shared" si="56"/>
        <v>0</v>
      </c>
      <c r="CL88" s="644">
        <f t="shared" si="57"/>
        <v>0</v>
      </c>
      <c r="CM88" s="644">
        <f t="shared" si="58"/>
        <v>0</v>
      </c>
      <c r="CN88" s="644">
        <f t="shared" si="59"/>
        <v>0</v>
      </c>
      <c r="CO88" s="644">
        <f t="shared" si="60"/>
        <v>3</v>
      </c>
      <c r="CP88" s="644">
        <f t="shared" si="61"/>
        <v>3</v>
      </c>
      <c r="CQ88" s="644">
        <f t="shared" si="62"/>
        <v>0</v>
      </c>
      <c r="CR88" s="644">
        <f t="shared" si="63"/>
        <v>0</v>
      </c>
      <c r="CS88" s="644">
        <f t="shared" si="64"/>
        <v>2</v>
      </c>
      <c r="CT88" s="644">
        <f t="shared" si="65"/>
        <v>0</v>
      </c>
      <c r="CU88" s="644">
        <f t="shared" si="66"/>
        <v>0</v>
      </c>
      <c r="CV88" s="644">
        <f t="shared" si="67"/>
        <v>0</v>
      </c>
      <c r="CW88" s="644">
        <f t="shared" si="68"/>
        <v>0</v>
      </c>
      <c r="CX88" s="644">
        <f t="shared" si="69"/>
        <v>0</v>
      </c>
      <c r="CY88" s="644">
        <f t="shared" si="70"/>
        <v>0</v>
      </c>
      <c r="CZ88" s="624" t="s">
        <v>746</v>
      </c>
      <c r="DA88" s="257"/>
    </row>
    <row r="89" spans="1:105">
      <c r="A89" s="249" t="s">
        <v>211</v>
      </c>
      <c r="B89" s="187"/>
      <c r="C89" s="644"/>
      <c r="D89" s="644"/>
      <c r="E89" s="644"/>
      <c r="F89" s="251"/>
      <c r="G89" s="251"/>
      <c r="H89" s="251"/>
      <c r="I89" s="251"/>
      <c r="J89" s="644"/>
      <c r="K89" s="644"/>
      <c r="L89" s="644"/>
      <c r="M89" s="644"/>
      <c r="N89" s="644"/>
      <c r="O89" s="644"/>
      <c r="P89" s="644"/>
      <c r="Q89" s="644"/>
      <c r="R89" s="644">
        <v>1</v>
      </c>
      <c r="S89" s="644">
        <v>1</v>
      </c>
      <c r="T89" s="644"/>
      <c r="U89" s="644">
        <v>1</v>
      </c>
      <c r="V89" s="644"/>
      <c r="W89" s="644">
        <v>1</v>
      </c>
      <c r="X89" s="644"/>
      <c r="Y89" s="644"/>
      <c r="Z89" s="250"/>
      <c r="AA89" s="644"/>
      <c r="AB89" s="644"/>
      <c r="AC89" s="644">
        <v>1</v>
      </c>
      <c r="AD89" s="250"/>
      <c r="AE89" s="644"/>
      <c r="AF89" s="644"/>
      <c r="AG89" s="644"/>
      <c r="AH89" s="644">
        <v>1</v>
      </c>
      <c r="AI89" s="644"/>
      <c r="AJ89" s="644">
        <v>1</v>
      </c>
      <c r="AK89" s="644"/>
      <c r="AL89" s="167">
        <v>7</v>
      </c>
      <c r="AM89" s="185" t="s">
        <v>1103</v>
      </c>
      <c r="AN89" s="186">
        <v>42008</v>
      </c>
      <c r="AO89" s="187"/>
      <c r="AP89" s="187">
        <f t="shared" si="148"/>
        <v>0</v>
      </c>
      <c r="AQ89" s="187">
        <f t="shared" si="149"/>
        <v>0</v>
      </c>
      <c r="AR89" s="187">
        <f t="shared" si="150"/>
        <v>13</v>
      </c>
      <c r="AS89" s="187">
        <f t="shared" si="151"/>
        <v>13</v>
      </c>
      <c r="AT89" s="187">
        <f t="shared" si="152"/>
        <v>0</v>
      </c>
      <c r="AU89" s="187">
        <f t="shared" si="153"/>
        <v>0</v>
      </c>
      <c r="AV89" s="187">
        <f t="shared" si="154"/>
        <v>9</v>
      </c>
      <c r="AW89" s="187">
        <f t="shared" si="155"/>
        <v>7</v>
      </c>
      <c r="AX89" s="187">
        <f t="shared" si="156"/>
        <v>0</v>
      </c>
      <c r="AY89" s="187">
        <f t="shared" si="157"/>
        <v>0</v>
      </c>
      <c r="AZ89" s="187">
        <f t="shared" si="158"/>
        <v>7</v>
      </c>
      <c r="BA89" s="187">
        <f t="shared" si="159"/>
        <v>0</v>
      </c>
      <c r="BB89" s="187">
        <f t="shared" si="160"/>
        <v>0</v>
      </c>
      <c r="BC89" s="187">
        <f t="shared" si="161"/>
        <v>0</v>
      </c>
      <c r="BD89" s="187">
        <f t="shared" si="162"/>
        <v>0</v>
      </c>
      <c r="BE89" s="187">
        <f t="shared" si="163"/>
        <v>0</v>
      </c>
      <c r="BF89" s="187">
        <f t="shared" si="164"/>
        <v>3</v>
      </c>
      <c r="BG89" s="187">
        <f t="shared" si="165"/>
        <v>0</v>
      </c>
      <c r="BH89" s="187">
        <f t="shared" si="166"/>
        <v>2</v>
      </c>
      <c r="BI89" s="187">
        <f t="shared" si="167"/>
        <v>0</v>
      </c>
      <c r="BJ89" s="187">
        <f t="shared" si="168"/>
        <v>0</v>
      </c>
      <c r="BK89" s="187">
        <f t="shared" si="169"/>
        <v>0</v>
      </c>
      <c r="BL89" s="187">
        <f t="shared" si="170"/>
        <v>0</v>
      </c>
      <c r="BM89" s="187">
        <f t="shared" si="171"/>
        <v>0</v>
      </c>
      <c r="BN89" s="188">
        <f t="shared" si="172"/>
        <v>3</v>
      </c>
      <c r="BO89" s="187">
        <f t="shared" si="173"/>
        <v>0</v>
      </c>
      <c r="BP89" s="187">
        <f t="shared" ref="BP89:BQ89" si="299">IF(G89=1,1,0)</f>
        <v>0</v>
      </c>
      <c r="BQ89" s="187">
        <f t="shared" si="299"/>
        <v>0</v>
      </c>
      <c r="BR89" s="187">
        <f t="shared" ref="BR89:BT89" si="300">IF(K89=1,1,0)</f>
        <v>0</v>
      </c>
      <c r="BS89" s="187">
        <f t="shared" si="300"/>
        <v>0</v>
      </c>
      <c r="BT89" s="187">
        <f t="shared" si="300"/>
        <v>0</v>
      </c>
      <c r="BU89" s="187">
        <f t="shared" ref="BU89:BV89" si="301">IF(P89=1,1,0)</f>
        <v>0</v>
      </c>
      <c r="BV89" s="187">
        <f t="shared" si="301"/>
        <v>0</v>
      </c>
      <c r="BW89" s="187">
        <f t="shared" si="177"/>
        <v>0</v>
      </c>
      <c r="BX89" s="187">
        <f t="shared" si="178"/>
        <v>0</v>
      </c>
      <c r="BY89" s="187">
        <f t="shared" si="179"/>
        <v>3</v>
      </c>
      <c r="BZ89" s="187">
        <f t="shared" si="180"/>
        <v>-9</v>
      </c>
      <c r="CA89" s="167">
        <f t="shared" si="181"/>
        <v>45</v>
      </c>
      <c r="CB89" s="167">
        <f t="shared" si="47"/>
        <v>78</v>
      </c>
      <c r="CC89" s="644">
        <f t="shared" si="48"/>
        <v>23</v>
      </c>
      <c r="CD89" s="644">
        <f t="shared" si="49"/>
        <v>19</v>
      </c>
      <c r="CE89" s="644">
        <f t="shared" si="50"/>
        <v>15</v>
      </c>
      <c r="CF89" s="644">
        <f t="shared" si="51"/>
        <v>0</v>
      </c>
      <c r="CG89" s="644">
        <f t="shared" si="52"/>
        <v>0</v>
      </c>
      <c r="CH89" s="644">
        <f t="shared" si="123"/>
        <v>7</v>
      </c>
      <c r="CI89" s="644">
        <f t="shared" si="54"/>
        <v>7</v>
      </c>
      <c r="CJ89" s="644">
        <f t="shared" si="55"/>
        <v>0</v>
      </c>
      <c r="CK89" s="644">
        <f t="shared" si="56"/>
        <v>0</v>
      </c>
      <c r="CL89" s="644">
        <f t="shared" si="57"/>
        <v>0</v>
      </c>
      <c r="CM89" s="644">
        <f t="shared" si="58"/>
        <v>0</v>
      </c>
      <c r="CN89" s="644">
        <f t="shared" si="59"/>
        <v>0</v>
      </c>
      <c r="CO89" s="644">
        <f t="shared" si="60"/>
        <v>3</v>
      </c>
      <c r="CP89" s="644">
        <f t="shared" si="61"/>
        <v>0</v>
      </c>
      <c r="CQ89" s="644">
        <f t="shared" si="62"/>
        <v>2</v>
      </c>
      <c r="CR89" s="644">
        <f t="shared" si="63"/>
        <v>2</v>
      </c>
      <c r="CS89" s="644">
        <f t="shared" si="64"/>
        <v>0</v>
      </c>
      <c r="CT89" s="644">
        <f t="shared" si="65"/>
        <v>0</v>
      </c>
      <c r="CU89" s="644">
        <f t="shared" si="66"/>
        <v>0</v>
      </c>
      <c r="CV89" s="644">
        <f t="shared" si="67"/>
        <v>0</v>
      </c>
      <c r="CW89" s="644">
        <f t="shared" si="68"/>
        <v>0</v>
      </c>
      <c r="CX89" s="644">
        <f t="shared" si="69"/>
        <v>0</v>
      </c>
      <c r="CY89" s="644">
        <f t="shared" si="70"/>
        <v>0</v>
      </c>
      <c r="CZ89" s="624" t="s">
        <v>906</v>
      </c>
      <c r="DA89" s="257"/>
    </row>
    <row r="90" spans="1:105">
      <c r="A90" s="249" t="s">
        <v>831</v>
      </c>
      <c r="B90" s="187"/>
      <c r="C90" s="644"/>
      <c r="D90" s="644"/>
      <c r="E90" s="644">
        <v>1</v>
      </c>
      <c r="F90" s="251"/>
      <c r="G90" s="251"/>
      <c r="H90" s="251"/>
      <c r="I90" s="251">
        <v>1</v>
      </c>
      <c r="J90" s="644"/>
      <c r="K90" s="644"/>
      <c r="L90" s="644"/>
      <c r="M90" s="644"/>
      <c r="N90" s="644"/>
      <c r="O90" s="644"/>
      <c r="P90" s="644"/>
      <c r="Q90" s="644"/>
      <c r="R90" s="644">
        <v>1</v>
      </c>
      <c r="S90" s="644"/>
      <c r="T90" s="644">
        <v>1</v>
      </c>
      <c r="U90" s="644">
        <v>1</v>
      </c>
      <c r="V90" s="644"/>
      <c r="W90" s="644"/>
      <c r="X90" s="644">
        <v>1</v>
      </c>
      <c r="Y90" s="644"/>
      <c r="Z90" s="644"/>
      <c r="AA90" s="644"/>
      <c r="AB90" s="644">
        <v>1</v>
      </c>
      <c r="AC90" s="644">
        <v>1</v>
      </c>
      <c r="AD90" s="644"/>
      <c r="AE90" s="644"/>
      <c r="AF90" s="644">
        <v>1</v>
      </c>
      <c r="AG90" s="644"/>
      <c r="AH90" s="644"/>
      <c r="AI90" s="644"/>
      <c r="AJ90" s="644">
        <v>1</v>
      </c>
      <c r="AK90" s="644"/>
      <c r="AL90" s="167">
        <v>10</v>
      </c>
      <c r="AM90" s="185" t="s">
        <v>1151</v>
      </c>
      <c r="AN90" s="186">
        <v>42007</v>
      </c>
      <c r="AO90" s="187"/>
      <c r="AP90" s="187">
        <f t="shared" si="148"/>
        <v>0</v>
      </c>
      <c r="AQ90" s="187">
        <f t="shared" si="149"/>
        <v>13</v>
      </c>
      <c r="AR90" s="187">
        <f t="shared" si="150"/>
        <v>13</v>
      </c>
      <c r="AS90" s="187">
        <f t="shared" si="151"/>
        <v>13</v>
      </c>
      <c r="AT90" s="187">
        <f t="shared" si="152"/>
        <v>9</v>
      </c>
      <c r="AU90" s="187">
        <f t="shared" si="153"/>
        <v>0</v>
      </c>
      <c r="AV90" s="187">
        <f t="shared" si="154"/>
        <v>9</v>
      </c>
      <c r="AW90" s="187">
        <f t="shared" si="155"/>
        <v>7</v>
      </c>
      <c r="AX90" s="187">
        <f t="shared" si="156"/>
        <v>0</v>
      </c>
      <c r="AY90" s="187">
        <f t="shared" si="157"/>
        <v>0</v>
      </c>
      <c r="AZ90" s="187">
        <f t="shared" si="158"/>
        <v>0</v>
      </c>
      <c r="BA90" s="187">
        <f t="shared" si="159"/>
        <v>7</v>
      </c>
      <c r="BB90" s="187">
        <f t="shared" si="160"/>
        <v>0</v>
      </c>
      <c r="BC90" s="187">
        <f t="shared" si="161"/>
        <v>4</v>
      </c>
      <c r="BD90" s="187">
        <f t="shared" si="162"/>
        <v>4</v>
      </c>
      <c r="BE90" s="187">
        <f t="shared" si="163"/>
        <v>3</v>
      </c>
      <c r="BF90" s="187">
        <f t="shared" si="164"/>
        <v>0</v>
      </c>
      <c r="BG90" s="187">
        <f t="shared" si="165"/>
        <v>0</v>
      </c>
      <c r="BH90" s="187">
        <f t="shared" si="166"/>
        <v>0</v>
      </c>
      <c r="BI90" s="187">
        <f t="shared" si="167"/>
        <v>0</v>
      </c>
      <c r="BJ90" s="187">
        <f t="shared" si="168"/>
        <v>0</v>
      </c>
      <c r="BK90" s="187">
        <f t="shared" si="169"/>
        <v>0</v>
      </c>
      <c r="BL90" s="187">
        <f t="shared" si="170"/>
        <v>0</v>
      </c>
      <c r="BM90" s="187">
        <f t="shared" si="171"/>
        <v>0</v>
      </c>
      <c r="BN90" s="188">
        <f t="shared" si="172"/>
        <v>0</v>
      </c>
      <c r="BO90" s="187">
        <f t="shared" si="173"/>
        <v>0</v>
      </c>
      <c r="BP90" s="187">
        <f t="shared" ref="BP90:BQ90" si="302">IF(G90=1,1,0)</f>
        <v>0</v>
      </c>
      <c r="BQ90" s="187">
        <f t="shared" si="302"/>
        <v>0</v>
      </c>
      <c r="BR90" s="187">
        <f t="shared" ref="BR90:BT90" si="303">IF(K90=1,1,0)</f>
        <v>0</v>
      </c>
      <c r="BS90" s="187">
        <f t="shared" si="303"/>
        <v>0</v>
      </c>
      <c r="BT90" s="187">
        <f t="shared" si="303"/>
        <v>0</v>
      </c>
      <c r="BU90" s="187">
        <f t="shared" ref="BU90:BV90" si="304">IF(P90=1,1,0)</f>
        <v>0</v>
      </c>
      <c r="BV90" s="187">
        <f t="shared" si="304"/>
        <v>0</v>
      </c>
      <c r="BW90" s="187">
        <f t="shared" si="177"/>
        <v>0</v>
      </c>
      <c r="BX90" s="187">
        <f t="shared" si="178"/>
        <v>0</v>
      </c>
      <c r="BY90" s="187">
        <f t="shared" si="179"/>
        <v>0</v>
      </c>
      <c r="BZ90" s="187">
        <f t="shared" si="180"/>
        <v>0</v>
      </c>
      <c r="CA90" s="167">
        <f t="shared" si="181"/>
        <v>82</v>
      </c>
      <c r="CB90" s="167">
        <f t="shared" si="47"/>
        <v>84</v>
      </c>
      <c r="CC90" s="644">
        <f t="shared" si="48"/>
        <v>23</v>
      </c>
      <c r="CD90" s="644">
        <f t="shared" si="49"/>
        <v>19</v>
      </c>
      <c r="CE90" s="644">
        <f t="shared" si="50"/>
        <v>0</v>
      </c>
      <c r="CF90" s="644">
        <f t="shared" si="51"/>
        <v>15</v>
      </c>
      <c r="CG90" s="644">
        <f t="shared" si="52"/>
        <v>9</v>
      </c>
      <c r="CH90" s="644">
        <f t="shared" si="123"/>
        <v>0</v>
      </c>
      <c r="CI90" s="644">
        <f t="shared" si="54"/>
        <v>7</v>
      </c>
      <c r="CJ90" s="644">
        <f t="shared" si="55"/>
        <v>0</v>
      </c>
      <c r="CK90" s="644">
        <f t="shared" si="56"/>
        <v>5</v>
      </c>
      <c r="CL90" s="644">
        <f t="shared" si="57"/>
        <v>0</v>
      </c>
      <c r="CM90" s="644">
        <f t="shared" si="58"/>
        <v>0</v>
      </c>
      <c r="CN90" s="644">
        <f t="shared" si="59"/>
        <v>3</v>
      </c>
      <c r="CO90" s="644">
        <f t="shared" si="60"/>
        <v>3</v>
      </c>
      <c r="CP90" s="644">
        <f t="shared" si="61"/>
        <v>0</v>
      </c>
      <c r="CQ90" s="644">
        <f t="shared" si="62"/>
        <v>0</v>
      </c>
      <c r="CR90" s="644">
        <f t="shared" si="63"/>
        <v>0</v>
      </c>
      <c r="CS90" s="644">
        <f t="shared" si="64"/>
        <v>0</v>
      </c>
      <c r="CT90" s="644">
        <f t="shared" si="65"/>
        <v>2</v>
      </c>
      <c r="CU90" s="644">
        <f t="shared" si="66"/>
        <v>1</v>
      </c>
      <c r="CV90" s="644">
        <f t="shared" si="67"/>
        <v>0</v>
      </c>
      <c r="CW90" s="644">
        <f t="shared" si="68"/>
        <v>0</v>
      </c>
      <c r="CX90" s="644">
        <f t="shared" si="69"/>
        <v>0</v>
      </c>
      <c r="CY90" s="644">
        <f t="shared" si="70"/>
        <v>0</v>
      </c>
      <c r="CZ90" s="624" t="s">
        <v>1152</v>
      </c>
      <c r="DA90" s="257"/>
    </row>
    <row r="91" spans="1:105">
      <c r="A91" s="249" t="s">
        <v>1153</v>
      </c>
      <c r="B91" s="187"/>
      <c r="C91" s="644"/>
      <c r="D91" s="644">
        <v>1</v>
      </c>
      <c r="E91" s="644">
        <v>1</v>
      </c>
      <c r="F91" s="251"/>
      <c r="G91" s="251"/>
      <c r="H91" s="251"/>
      <c r="I91" s="251"/>
      <c r="J91" s="644"/>
      <c r="K91" s="644"/>
      <c r="L91" s="644"/>
      <c r="M91" s="644"/>
      <c r="N91" s="644"/>
      <c r="O91" s="644"/>
      <c r="P91" s="644"/>
      <c r="Q91" s="644"/>
      <c r="R91" s="644">
        <v>1</v>
      </c>
      <c r="S91" s="644"/>
      <c r="T91" s="644"/>
      <c r="U91" s="644">
        <v>1</v>
      </c>
      <c r="V91" s="644">
        <v>1</v>
      </c>
      <c r="W91" s="644"/>
      <c r="X91" s="644"/>
      <c r="Y91" s="644"/>
      <c r="Z91" s="644"/>
      <c r="AA91" s="644"/>
      <c r="AB91" s="644">
        <v>1</v>
      </c>
      <c r="AC91" s="644">
        <v>1</v>
      </c>
      <c r="AD91" s="644">
        <v>1</v>
      </c>
      <c r="AE91" s="644"/>
      <c r="AF91" s="644"/>
      <c r="AG91" s="644">
        <v>1</v>
      </c>
      <c r="AH91" s="644">
        <v>1</v>
      </c>
      <c r="AI91" s="644"/>
      <c r="AJ91" s="644"/>
      <c r="AK91" s="644"/>
      <c r="AL91" s="167">
        <v>10</v>
      </c>
      <c r="AM91" s="185" t="s">
        <v>1148</v>
      </c>
      <c r="AN91" s="186">
        <v>42006</v>
      </c>
      <c r="AO91" s="187"/>
      <c r="AP91" s="187">
        <f t="shared" si="148"/>
        <v>0</v>
      </c>
      <c r="AQ91" s="187">
        <f t="shared" si="149"/>
        <v>0</v>
      </c>
      <c r="AR91" s="187">
        <f t="shared" si="150"/>
        <v>13</v>
      </c>
      <c r="AS91" s="187">
        <f t="shared" si="151"/>
        <v>13</v>
      </c>
      <c r="AT91" s="187">
        <f t="shared" si="152"/>
        <v>9</v>
      </c>
      <c r="AU91" s="187">
        <f t="shared" si="153"/>
        <v>9</v>
      </c>
      <c r="AV91" s="187">
        <f t="shared" si="154"/>
        <v>9</v>
      </c>
      <c r="AW91" s="187">
        <f t="shared" si="155"/>
        <v>0</v>
      </c>
      <c r="AX91" s="187">
        <f t="shared" si="156"/>
        <v>7</v>
      </c>
      <c r="AY91" s="187">
        <f t="shared" si="157"/>
        <v>0</v>
      </c>
      <c r="AZ91" s="187">
        <f t="shared" si="158"/>
        <v>7</v>
      </c>
      <c r="BA91" s="187">
        <f t="shared" si="159"/>
        <v>7</v>
      </c>
      <c r="BB91" s="187">
        <f t="shared" si="160"/>
        <v>0</v>
      </c>
      <c r="BC91" s="187">
        <f t="shared" si="161"/>
        <v>0</v>
      </c>
      <c r="BD91" s="187">
        <f t="shared" si="162"/>
        <v>0</v>
      </c>
      <c r="BE91" s="187">
        <f t="shared" si="163"/>
        <v>0</v>
      </c>
      <c r="BF91" s="187">
        <f t="shared" si="164"/>
        <v>0</v>
      </c>
      <c r="BG91" s="187">
        <f t="shared" si="165"/>
        <v>0</v>
      </c>
      <c r="BH91" s="187">
        <f t="shared" si="166"/>
        <v>0</v>
      </c>
      <c r="BI91" s="187">
        <f t="shared" si="167"/>
        <v>1</v>
      </c>
      <c r="BJ91" s="187">
        <f t="shared" si="168"/>
        <v>1</v>
      </c>
      <c r="BK91" s="187">
        <f t="shared" si="169"/>
        <v>0</v>
      </c>
      <c r="BL91" s="187">
        <f t="shared" si="170"/>
        <v>0</v>
      </c>
      <c r="BM91" s="187">
        <f t="shared" si="171"/>
        <v>0</v>
      </c>
      <c r="BN91" s="188">
        <f t="shared" si="172"/>
        <v>0</v>
      </c>
      <c r="BO91" s="187">
        <f t="shared" si="173"/>
        <v>0</v>
      </c>
      <c r="BP91" s="187">
        <f t="shared" ref="BP91:BQ91" si="305">IF(G91=1,1,0)</f>
        <v>0</v>
      </c>
      <c r="BQ91" s="187">
        <f t="shared" si="305"/>
        <v>0</v>
      </c>
      <c r="BR91" s="187">
        <f t="shared" ref="BR91:BT91" si="306">IF(K91=1,1,0)</f>
        <v>0</v>
      </c>
      <c r="BS91" s="187">
        <f t="shared" si="306"/>
        <v>0</v>
      </c>
      <c r="BT91" s="187">
        <f t="shared" si="306"/>
        <v>0</v>
      </c>
      <c r="BU91" s="187">
        <f t="shared" ref="BU91:BV91" si="307">IF(P91=1,1,0)</f>
        <v>0</v>
      </c>
      <c r="BV91" s="187">
        <f t="shared" si="307"/>
        <v>0</v>
      </c>
      <c r="BW91" s="187">
        <f t="shared" si="177"/>
        <v>0</v>
      </c>
      <c r="BX91" s="187">
        <f t="shared" si="178"/>
        <v>0</v>
      </c>
      <c r="BY91" s="187">
        <f t="shared" si="179"/>
        <v>0</v>
      </c>
      <c r="BZ91" s="187">
        <f t="shared" si="180"/>
        <v>0</v>
      </c>
      <c r="CA91" s="167">
        <f t="shared" si="181"/>
        <v>76</v>
      </c>
      <c r="CB91" s="167">
        <f t="shared" si="47"/>
        <v>100</v>
      </c>
      <c r="CC91" s="644">
        <f t="shared" si="48"/>
        <v>23</v>
      </c>
      <c r="CD91" s="644">
        <f t="shared" si="49"/>
        <v>19</v>
      </c>
      <c r="CE91" s="644">
        <f t="shared" si="50"/>
        <v>15</v>
      </c>
      <c r="CF91" s="644">
        <f t="shared" si="51"/>
        <v>15</v>
      </c>
      <c r="CG91" s="644">
        <f t="shared" si="52"/>
        <v>9</v>
      </c>
      <c r="CH91" s="644">
        <f t="shared" si="123"/>
        <v>7</v>
      </c>
      <c r="CI91" s="644">
        <f t="shared" si="54"/>
        <v>7</v>
      </c>
      <c r="CJ91" s="644">
        <f t="shared" si="55"/>
        <v>5</v>
      </c>
      <c r="CK91" s="644">
        <f t="shared" si="56"/>
        <v>0</v>
      </c>
      <c r="CL91" s="644">
        <f t="shared" si="57"/>
        <v>0</v>
      </c>
      <c r="CM91" s="644">
        <f t="shared" si="58"/>
        <v>3</v>
      </c>
      <c r="CN91" s="644">
        <f t="shared" si="59"/>
        <v>0</v>
      </c>
      <c r="CO91" s="644">
        <f t="shared" si="60"/>
        <v>0</v>
      </c>
      <c r="CP91" s="644">
        <f t="shared" si="61"/>
        <v>0</v>
      </c>
      <c r="CQ91" s="644">
        <f t="shared" si="62"/>
        <v>0</v>
      </c>
      <c r="CR91" s="644">
        <f t="shared" si="63"/>
        <v>0</v>
      </c>
      <c r="CS91" s="644">
        <f t="shared" si="64"/>
        <v>0</v>
      </c>
      <c r="CT91" s="644">
        <f t="shared" si="65"/>
        <v>0</v>
      </c>
      <c r="CU91" s="644">
        <f t="shared" si="66"/>
        <v>0</v>
      </c>
      <c r="CV91" s="644">
        <f t="shared" si="67"/>
        <v>1</v>
      </c>
      <c r="CW91" s="644">
        <f t="shared" si="68"/>
        <v>0</v>
      </c>
      <c r="CX91" s="644">
        <f t="shared" si="69"/>
        <v>0</v>
      </c>
      <c r="CY91" s="644">
        <f t="shared" si="70"/>
        <v>0</v>
      </c>
      <c r="CZ91" s="624" t="s">
        <v>814</v>
      </c>
      <c r="DA91" s="257"/>
    </row>
    <row r="92" spans="1:105">
      <c r="A92" s="249" t="s">
        <v>213</v>
      </c>
      <c r="B92" s="187"/>
      <c r="C92" s="644"/>
      <c r="D92" s="644">
        <v>1</v>
      </c>
      <c r="E92" s="644">
        <v>1</v>
      </c>
      <c r="F92" s="251">
        <v>1</v>
      </c>
      <c r="G92" s="251"/>
      <c r="H92" s="251"/>
      <c r="I92" s="251">
        <v>1</v>
      </c>
      <c r="J92" s="644"/>
      <c r="K92" s="644"/>
      <c r="L92" s="644"/>
      <c r="M92" s="644"/>
      <c r="N92" s="644"/>
      <c r="O92" s="644"/>
      <c r="P92" s="644"/>
      <c r="Q92" s="644"/>
      <c r="R92" s="644">
        <v>1</v>
      </c>
      <c r="S92" s="644"/>
      <c r="T92" s="644"/>
      <c r="U92" s="644">
        <v>1</v>
      </c>
      <c r="V92" s="644"/>
      <c r="W92" s="644"/>
      <c r="X92" s="644"/>
      <c r="Y92" s="644"/>
      <c r="Z92" s="644"/>
      <c r="AA92" s="644"/>
      <c r="AB92" s="644">
        <v>1</v>
      </c>
      <c r="AC92" s="644">
        <v>1</v>
      </c>
      <c r="AD92" s="644">
        <v>1</v>
      </c>
      <c r="AE92" s="644"/>
      <c r="AF92" s="644"/>
      <c r="AG92" s="644"/>
      <c r="AH92" s="644">
        <v>1</v>
      </c>
      <c r="AI92" s="644"/>
      <c r="AJ92" s="644"/>
      <c r="AK92" s="644"/>
      <c r="AL92" s="167">
        <v>10</v>
      </c>
      <c r="AM92" s="185" t="s">
        <v>1154</v>
      </c>
      <c r="AN92" s="186">
        <v>41999</v>
      </c>
      <c r="AO92" s="187"/>
      <c r="AP92" s="187">
        <f t="shared" si="148"/>
        <v>13</v>
      </c>
      <c r="AQ92" s="187">
        <f t="shared" si="149"/>
        <v>13</v>
      </c>
      <c r="AR92" s="187">
        <f t="shared" si="150"/>
        <v>13</v>
      </c>
      <c r="AS92" s="187">
        <f t="shared" si="151"/>
        <v>13</v>
      </c>
      <c r="AT92" s="187">
        <f t="shared" si="152"/>
        <v>9</v>
      </c>
      <c r="AU92" s="187">
        <f t="shared" si="153"/>
        <v>9</v>
      </c>
      <c r="AV92" s="187">
        <f t="shared" si="154"/>
        <v>9</v>
      </c>
      <c r="AW92" s="187">
        <f t="shared" si="155"/>
        <v>0</v>
      </c>
      <c r="AX92" s="187">
        <f t="shared" si="156"/>
        <v>7</v>
      </c>
      <c r="AY92" s="187">
        <f t="shared" si="157"/>
        <v>0</v>
      </c>
      <c r="AZ92" s="187">
        <f t="shared" si="158"/>
        <v>7</v>
      </c>
      <c r="BA92" s="187">
        <f t="shared" si="159"/>
        <v>7</v>
      </c>
      <c r="BB92" s="187">
        <f t="shared" si="160"/>
        <v>0</v>
      </c>
      <c r="BC92" s="187">
        <f t="shared" si="161"/>
        <v>0</v>
      </c>
      <c r="BD92" s="187">
        <f t="shared" si="162"/>
        <v>0</v>
      </c>
      <c r="BE92" s="187">
        <f t="shared" si="163"/>
        <v>0</v>
      </c>
      <c r="BF92" s="187">
        <f t="shared" si="164"/>
        <v>0</v>
      </c>
      <c r="BG92" s="187">
        <f t="shared" si="165"/>
        <v>0</v>
      </c>
      <c r="BH92" s="187">
        <f t="shared" si="166"/>
        <v>0</v>
      </c>
      <c r="BI92" s="187">
        <f t="shared" si="167"/>
        <v>0</v>
      </c>
      <c r="BJ92" s="187">
        <f t="shared" si="168"/>
        <v>0</v>
      </c>
      <c r="BK92" s="187">
        <f t="shared" si="169"/>
        <v>0</v>
      </c>
      <c r="BL92" s="187">
        <f t="shared" si="170"/>
        <v>0</v>
      </c>
      <c r="BM92" s="187">
        <f t="shared" si="171"/>
        <v>0</v>
      </c>
      <c r="BN92" s="188">
        <f t="shared" si="172"/>
        <v>0</v>
      </c>
      <c r="BO92" s="187">
        <f t="shared" si="173"/>
        <v>0</v>
      </c>
      <c r="BP92" s="187">
        <f t="shared" ref="BP92:BQ92" si="308">IF(G92=1,1,0)</f>
        <v>0</v>
      </c>
      <c r="BQ92" s="187">
        <f t="shared" si="308"/>
        <v>0</v>
      </c>
      <c r="BR92" s="187">
        <f t="shared" ref="BR92:BT92" si="309">IF(K92=1,1,0)</f>
        <v>0</v>
      </c>
      <c r="BS92" s="187">
        <f t="shared" si="309"/>
        <v>0</v>
      </c>
      <c r="BT92" s="187">
        <f t="shared" si="309"/>
        <v>0</v>
      </c>
      <c r="BU92" s="187">
        <f t="shared" ref="BU92:BV92" si="310">IF(P92=1,1,0)</f>
        <v>0</v>
      </c>
      <c r="BV92" s="187">
        <f t="shared" si="310"/>
        <v>0</v>
      </c>
      <c r="BW92" s="187">
        <f t="shared" si="177"/>
        <v>0</v>
      </c>
      <c r="BX92" s="187">
        <f t="shared" si="178"/>
        <v>0</v>
      </c>
      <c r="BY92" s="187">
        <f t="shared" si="179"/>
        <v>0</v>
      </c>
      <c r="BZ92" s="187">
        <f t="shared" si="180"/>
        <v>0</v>
      </c>
      <c r="CA92" s="167">
        <f t="shared" si="181"/>
        <v>100</v>
      </c>
      <c r="CB92" s="167">
        <f t="shared" si="47"/>
        <v>98</v>
      </c>
      <c r="CC92" s="644">
        <f t="shared" si="48"/>
        <v>23</v>
      </c>
      <c r="CD92" s="644">
        <f t="shared" si="49"/>
        <v>19</v>
      </c>
      <c r="CE92" s="644">
        <f t="shared" si="50"/>
        <v>15</v>
      </c>
      <c r="CF92" s="644">
        <f t="shared" si="51"/>
        <v>15</v>
      </c>
      <c r="CG92" s="644">
        <f t="shared" si="52"/>
        <v>9</v>
      </c>
      <c r="CH92" s="644">
        <f t="shared" si="123"/>
        <v>0</v>
      </c>
      <c r="CI92" s="644">
        <f t="shared" si="54"/>
        <v>7</v>
      </c>
      <c r="CJ92" s="644">
        <f t="shared" si="55"/>
        <v>5</v>
      </c>
      <c r="CK92" s="644">
        <f t="shared" si="56"/>
        <v>5</v>
      </c>
      <c r="CL92" s="644">
        <f t="shared" si="57"/>
        <v>5</v>
      </c>
      <c r="CM92" s="644">
        <f t="shared" si="58"/>
        <v>0</v>
      </c>
      <c r="CN92" s="644">
        <f t="shared" si="59"/>
        <v>0</v>
      </c>
      <c r="CO92" s="644">
        <f t="shared" si="60"/>
        <v>0</v>
      </c>
      <c r="CP92" s="644">
        <f t="shared" si="61"/>
        <v>0</v>
      </c>
      <c r="CQ92" s="644">
        <f t="shared" si="62"/>
        <v>0</v>
      </c>
      <c r="CR92" s="644">
        <f t="shared" si="63"/>
        <v>0</v>
      </c>
      <c r="CS92" s="644">
        <f t="shared" si="64"/>
        <v>0</v>
      </c>
      <c r="CT92" s="644">
        <f t="shared" si="65"/>
        <v>0</v>
      </c>
      <c r="CU92" s="644">
        <f t="shared" si="66"/>
        <v>0</v>
      </c>
      <c r="CV92" s="644">
        <f t="shared" si="67"/>
        <v>0</v>
      </c>
      <c r="CW92" s="644">
        <f t="shared" si="68"/>
        <v>0</v>
      </c>
      <c r="CX92" s="644">
        <f t="shared" si="69"/>
        <v>0</v>
      </c>
      <c r="CY92" s="644">
        <f t="shared" si="70"/>
        <v>0</v>
      </c>
      <c r="CZ92" s="624" t="s">
        <v>740</v>
      </c>
      <c r="DA92" s="257"/>
    </row>
    <row r="93" spans="1:105">
      <c r="A93" s="249" t="s">
        <v>214</v>
      </c>
      <c r="B93" s="187"/>
      <c r="C93" s="644"/>
      <c r="D93" s="644">
        <v>1</v>
      </c>
      <c r="E93" s="644">
        <v>1</v>
      </c>
      <c r="F93" s="251"/>
      <c r="G93" s="251"/>
      <c r="H93" s="251"/>
      <c r="I93" s="251"/>
      <c r="J93" s="644"/>
      <c r="K93" s="644"/>
      <c r="L93" s="644"/>
      <c r="M93" s="644"/>
      <c r="N93" s="644"/>
      <c r="O93" s="644"/>
      <c r="P93" s="644"/>
      <c r="Q93" s="644"/>
      <c r="R93" s="644">
        <v>1</v>
      </c>
      <c r="S93" s="644"/>
      <c r="T93" s="644"/>
      <c r="U93" s="644">
        <v>1</v>
      </c>
      <c r="V93" s="644"/>
      <c r="W93" s="644"/>
      <c r="X93" s="644"/>
      <c r="Y93" s="644"/>
      <c r="Z93" s="644"/>
      <c r="AA93" s="644"/>
      <c r="AB93" s="644">
        <v>1</v>
      </c>
      <c r="AC93" s="644">
        <v>1</v>
      </c>
      <c r="AD93" s="644">
        <v>1</v>
      </c>
      <c r="AE93" s="644"/>
      <c r="AF93" s="644"/>
      <c r="AG93" s="644"/>
      <c r="AH93" s="644">
        <v>1</v>
      </c>
      <c r="AI93" s="644"/>
      <c r="AJ93" s="644"/>
      <c r="AK93" s="644"/>
      <c r="AL93" s="167">
        <v>8</v>
      </c>
      <c r="AM93" s="185" t="s">
        <v>1155</v>
      </c>
      <c r="AN93" s="186">
        <v>42007</v>
      </c>
      <c r="AO93" s="187"/>
      <c r="AP93" s="187">
        <f t="shared" si="148"/>
        <v>0</v>
      </c>
      <c r="AQ93" s="187">
        <f t="shared" si="149"/>
        <v>0</v>
      </c>
      <c r="AR93" s="187">
        <f t="shared" si="150"/>
        <v>13</v>
      </c>
      <c r="AS93" s="187">
        <f t="shared" si="151"/>
        <v>13</v>
      </c>
      <c r="AT93" s="187">
        <f t="shared" si="152"/>
        <v>9</v>
      </c>
      <c r="AU93" s="187">
        <f t="shared" si="153"/>
        <v>9</v>
      </c>
      <c r="AV93" s="187">
        <f t="shared" si="154"/>
        <v>9</v>
      </c>
      <c r="AW93" s="187">
        <f t="shared" si="155"/>
        <v>0</v>
      </c>
      <c r="AX93" s="187">
        <f t="shared" si="156"/>
        <v>7</v>
      </c>
      <c r="AY93" s="187">
        <f t="shared" si="157"/>
        <v>0</v>
      </c>
      <c r="AZ93" s="187">
        <f t="shared" si="158"/>
        <v>7</v>
      </c>
      <c r="BA93" s="187">
        <f t="shared" si="159"/>
        <v>7</v>
      </c>
      <c r="BB93" s="187">
        <f t="shared" si="160"/>
        <v>0</v>
      </c>
      <c r="BC93" s="187">
        <f t="shared" si="161"/>
        <v>0</v>
      </c>
      <c r="BD93" s="187">
        <f t="shared" si="162"/>
        <v>0</v>
      </c>
      <c r="BE93" s="187">
        <f t="shared" si="163"/>
        <v>0</v>
      </c>
      <c r="BF93" s="187">
        <f t="shared" si="164"/>
        <v>0</v>
      </c>
      <c r="BG93" s="187">
        <f t="shared" si="165"/>
        <v>0</v>
      </c>
      <c r="BH93" s="187">
        <f t="shared" si="166"/>
        <v>0</v>
      </c>
      <c r="BI93" s="187">
        <f t="shared" si="167"/>
        <v>0</v>
      </c>
      <c r="BJ93" s="187">
        <f t="shared" si="168"/>
        <v>0</v>
      </c>
      <c r="BK93" s="187">
        <f t="shared" si="169"/>
        <v>0</v>
      </c>
      <c r="BL93" s="187">
        <f t="shared" si="170"/>
        <v>0</v>
      </c>
      <c r="BM93" s="187">
        <f t="shared" si="171"/>
        <v>0</v>
      </c>
      <c r="BN93" s="188">
        <f t="shared" si="172"/>
        <v>2</v>
      </c>
      <c r="BO93" s="187">
        <f t="shared" si="173"/>
        <v>0</v>
      </c>
      <c r="BP93" s="187">
        <f t="shared" ref="BP93:BQ93" si="311">IF(G93=1,1,0)</f>
        <v>0</v>
      </c>
      <c r="BQ93" s="187">
        <f t="shared" si="311"/>
        <v>0</v>
      </c>
      <c r="BR93" s="187">
        <f t="shared" ref="BR93:BT93" si="312">IF(K93=1,1,0)</f>
        <v>0</v>
      </c>
      <c r="BS93" s="187">
        <f t="shared" si="312"/>
        <v>0</v>
      </c>
      <c r="BT93" s="187">
        <f t="shared" si="312"/>
        <v>0</v>
      </c>
      <c r="BU93" s="187">
        <f t="shared" ref="BU93:BV93" si="313">IF(P93=1,1,0)</f>
        <v>0</v>
      </c>
      <c r="BV93" s="187">
        <f t="shared" si="313"/>
        <v>0</v>
      </c>
      <c r="BW93" s="187">
        <f t="shared" si="177"/>
        <v>0</v>
      </c>
      <c r="BX93" s="187">
        <f t="shared" si="178"/>
        <v>0</v>
      </c>
      <c r="BY93" s="187">
        <f t="shared" si="179"/>
        <v>2</v>
      </c>
      <c r="BZ93" s="187">
        <f t="shared" si="180"/>
        <v>-4</v>
      </c>
      <c r="CA93" s="167">
        <f t="shared" si="181"/>
        <v>70</v>
      </c>
      <c r="CB93" s="167">
        <f t="shared" si="47"/>
        <v>100</v>
      </c>
      <c r="CC93" s="644">
        <f t="shared" si="48"/>
        <v>23</v>
      </c>
      <c r="CD93" s="644">
        <f t="shared" si="49"/>
        <v>19</v>
      </c>
      <c r="CE93" s="644">
        <f t="shared" si="50"/>
        <v>15</v>
      </c>
      <c r="CF93" s="644">
        <f t="shared" si="51"/>
        <v>15</v>
      </c>
      <c r="CG93" s="644">
        <f t="shared" si="52"/>
        <v>9</v>
      </c>
      <c r="CH93" s="644">
        <f t="shared" si="123"/>
        <v>7</v>
      </c>
      <c r="CI93" s="644">
        <f t="shared" si="54"/>
        <v>7</v>
      </c>
      <c r="CJ93" s="644">
        <f t="shared" si="55"/>
        <v>5</v>
      </c>
      <c r="CK93" s="644">
        <f t="shared" si="56"/>
        <v>0</v>
      </c>
      <c r="CL93" s="644">
        <f t="shared" si="57"/>
        <v>0</v>
      </c>
      <c r="CM93" s="644">
        <f t="shared" si="58"/>
        <v>0</v>
      </c>
      <c r="CN93" s="644">
        <f t="shared" si="59"/>
        <v>0</v>
      </c>
      <c r="CO93" s="644">
        <f t="shared" si="60"/>
        <v>0</v>
      </c>
      <c r="CP93" s="644">
        <f t="shared" si="61"/>
        <v>0</v>
      </c>
      <c r="CQ93" s="644">
        <f t="shared" si="62"/>
        <v>0</v>
      </c>
      <c r="CR93" s="644">
        <f t="shared" si="63"/>
        <v>0</v>
      </c>
      <c r="CS93" s="644">
        <f t="shared" si="64"/>
        <v>0</v>
      </c>
      <c r="CT93" s="644">
        <f t="shared" si="65"/>
        <v>0</v>
      </c>
      <c r="CU93" s="644">
        <f t="shared" si="66"/>
        <v>0</v>
      </c>
      <c r="CV93" s="644">
        <f t="shared" si="67"/>
        <v>0</v>
      </c>
      <c r="CW93" s="644">
        <f t="shared" si="68"/>
        <v>0</v>
      </c>
      <c r="CX93" s="644">
        <f t="shared" si="69"/>
        <v>0</v>
      </c>
      <c r="CY93" s="644">
        <f t="shared" si="70"/>
        <v>0</v>
      </c>
      <c r="CZ93" s="624" t="s">
        <v>814</v>
      </c>
      <c r="DA93" s="257"/>
    </row>
    <row r="94" spans="1:105" ht="25.5">
      <c r="A94" s="249" t="s">
        <v>215</v>
      </c>
      <c r="B94" s="187"/>
      <c r="C94" s="644"/>
      <c r="D94" s="644">
        <v>1</v>
      </c>
      <c r="E94" s="644">
        <v>1</v>
      </c>
      <c r="F94" s="251">
        <v>1</v>
      </c>
      <c r="G94" s="251"/>
      <c r="H94" s="251"/>
      <c r="I94" s="251">
        <v>1</v>
      </c>
      <c r="J94" s="644">
        <v>1</v>
      </c>
      <c r="K94" s="644"/>
      <c r="L94" s="644"/>
      <c r="M94" s="644"/>
      <c r="N94" s="644"/>
      <c r="O94" s="644"/>
      <c r="P94" s="644"/>
      <c r="Q94" s="644"/>
      <c r="R94" s="644">
        <v>1</v>
      </c>
      <c r="S94" s="644"/>
      <c r="T94" s="644"/>
      <c r="U94" s="644">
        <v>1</v>
      </c>
      <c r="V94" s="644"/>
      <c r="W94" s="644"/>
      <c r="X94" s="644"/>
      <c r="Y94" s="644"/>
      <c r="Z94" s="644"/>
      <c r="AA94" s="644"/>
      <c r="AB94" s="644">
        <v>1</v>
      </c>
      <c r="AC94" s="644">
        <v>1</v>
      </c>
      <c r="AD94" s="644"/>
      <c r="AE94" s="644"/>
      <c r="AF94" s="644"/>
      <c r="AG94" s="644"/>
      <c r="AH94" s="644"/>
      <c r="AI94" s="644"/>
      <c r="AJ94" s="644"/>
      <c r="AK94" s="644">
        <v>1</v>
      </c>
      <c r="AL94" s="167">
        <v>10</v>
      </c>
      <c r="AM94" s="185" t="s">
        <v>1156</v>
      </c>
      <c r="AN94" s="186">
        <v>42009</v>
      </c>
      <c r="AO94" s="187"/>
      <c r="AP94" s="187">
        <f t="shared" si="148"/>
        <v>13</v>
      </c>
      <c r="AQ94" s="187">
        <f t="shared" si="149"/>
        <v>13</v>
      </c>
      <c r="AR94" s="187">
        <f t="shared" si="150"/>
        <v>13</v>
      </c>
      <c r="AS94" s="187">
        <f t="shared" si="151"/>
        <v>13</v>
      </c>
      <c r="AT94" s="187">
        <f t="shared" si="152"/>
        <v>9</v>
      </c>
      <c r="AU94" s="187">
        <f t="shared" si="153"/>
        <v>9</v>
      </c>
      <c r="AV94" s="187">
        <f t="shared" si="154"/>
        <v>9</v>
      </c>
      <c r="AW94" s="187">
        <f t="shared" si="155"/>
        <v>0</v>
      </c>
      <c r="AX94" s="187">
        <f t="shared" si="156"/>
        <v>0</v>
      </c>
      <c r="AY94" s="187">
        <f t="shared" si="157"/>
        <v>0</v>
      </c>
      <c r="AZ94" s="187">
        <f t="shared" si="158"/>
        <v>0</v>
      </c>
      <c r="BA94" s="187">
        <f t="shared" si="159"/>
        <v>7</v>
      </c>
      <c r="BB94" s="187">
        <f t="shared" si="160"/>
        <v>4</v>
      </c>
      <c r="BC94" s="187">
        <f t="shared" si="161"/>
        <v>0</v>
      </c>
      <c r="BD94" s="187">
        <f t="shared" si="162"/>
        <v>0</v>
      </c>
      <c r="BE94" s="187">
        <f t="shared" si="163"/>
        <v>0</v>
      </c>
      <c r="BF94" s="187">
        <f t="shared" si="164"/>
        <v>0</v>
      </c>
      <c r="BG94" s="187">
        <f t="shared" si="165"/>
        <v>0</v>
      </c>
      <c r="BH94" s="187">
        <f t="shared" si="166"/>
        <v>0</v>
      </c>
      <c r="BI94" s="187">
        <f t="shared" si="167"/>
        <v>0</v>
      </c>
      <c r="BJ94" s="187">
        <f t="shared" si="168"/>
        <v>0</v>
      </c>
      <c r="BK94" s="187">
        <f t="shared" si="169"/>
        <v>0</v>
      </c>
      <c r="BL94" s="187">
        <f t="shared" si="170"/>
        <v>1</v>
      </c>
      <c r="BM94" s="187">
        <f t="shared" si="171"/>
        <v>0</v>
      </c>
      <c r="BN94" s="188">
        <f t="shared" si="172"/>
        <v>0</v>
      </c>
      <c r="BO94" s="187">
        <f t="shared" si="173"/>
        <v>0</v>
      </c>
      <c r="BP94" s="187">
        <f t="shared" ref="BP94:BQ94" si="314">IF(G94=1,1,0)</f>
        <v>0</v>
      </c>
      <c r="BQ94" s="187">
        <f t="shared" si="314"/>
        <v>0</v>
      </c>
      <c r="BR94" s="187">
        <f t="shared" ref="BR94:BT94" si="315">IF(K94=1,1,0)</f>
        <v>0</v>
      </c>
      <c r="BS94" s="187">
        <f t="shared" si="315"/>
        <v>0</v>
      </c>
      <c r="BT94" s="187">
        <f t="shared" si="315"/>
        <v>0</v>
      </c>
      <c r="BU94" s="187">
        <f t="shared" ref="BU94:BV94" si="316">IF(P94=1,1,0)</f>
        <v>0</v>
      </c>
      <c r="BV94" s="187">
        <f t="shared" si="316"/>
        <v>0</v>
      </c>
      <c r="BW94" s="187">
        <f t="shared" si="177"/>
        <v>0</v>
      </c>
      <c r="BX94" s="187">
        <f t="shared" si="178"/>
        <v>0</v>
      </c>
      <c r="BY94" s="187">
        <f t="shared" si="179"/>
        <v>0</v>
      </c>
      <c r="BZ94" s="187">
        <f t="shared" si="180"/>
        <v>0</v>
      </c>
      <c r="CA94" s="167">
        <f t="shared" si="181"/>
        <v>91</v>
      </c>
      <c r="CB94" s="167">
        <f t="shared" si="47"/>
        <v>90</v>
      </c>
      <c r="CC94" s="644">
        <f t="shared" si="48"/>
        <v>23</v>
      </c>
      <c r="CD94" s="644">
        <f t="shared" si="49"/>
        <v>19</v>
      </c>
      <c r="CE94" s="644">
        <f t="shared" si="50"/>
        <v>0</v>
      </c>
      <c r="CF94" s="644">
        <f t="shared" si="51"/>
        <v>15</v>
      </c>
      <c r="CG94" s="644">
        <f t="shared" si="52"/>
        <v>9</v>
      </c>
      <c r="CH94" s="644">
        <f t="shared" si="123"/>
        <v>7</v>
      </c>
      <c r="CI94" s="644">
        <f t="shared" si="54"/>
        <v>7</v>
      </c>
      <c r="CJ94" s="644">
        <f t="shared" si="55"/>
        <v>0</v>
      </c>
      <c r="CK94" s="644">
        <f t="shared" si="56"/>
        <v>5</v>
      </c>
      <c r="CL94" s="644">
        <f t="shared" si="57"/>
        <v>5</v>
      </c>
      <c r="CM94" s="644">
        <f t="shared" si="58"/>
        <v>0</v>
      </c>
      <c r="CN94" s="644">
        <f t="shared" si="59"/>
        <v>0</v>
      </c>
      <c r="CO94" s="644">
        <f t="shared" si="60"/>
        <v>0</v>
      </c>
      <c r="CP94" s="644">
        <f t="shared" si="61"/>
        <v>0</v>
      </c>
      <c r="CQ94" s="644">
        <f t="shared" si="62"/>
        <v>0</v>
      </c>
      <c r="CR94" s="644">
        <f t="shared" si="63"/>
        <v>0</v>
      </c>
      <c r="CS94" s="644">
        <f t="shared" si="64"/>
        <v>2</v>
      </c>
      <c r="CT94" s="644">
        <f t="shared" si="65"/>
        <v>0</v>
      </c>
      <c r="CU94" s="644">
        <f t="shared" si="66"/>
        <v>0</v>
      </c>
      <c r="CV94" s="644">
        <f t="shared" si="67"/>
        <v>0</v>
      </c>
      <c r="CW94" s="644">
        <f t="shared" si="68"/>
        <v>0</v>
      </c>
      <c r="CX94" s="644">
        <f t="shared" si="69"/>
        <v>0</v>
      </c>
      <c r="CY94" s="644">
        <f t="shared" si="70"/>
        <v>1</v>
      </c>
      <c r="CZ94" s="624" t="s">
        <v>809</v>
      </c>
      <c r="DA94" s="257"/>
    </row>
    <row r="95" spans="1:105">
      <c r="A95" s="249" t="s">
        <v>1157</v>
      </c>
      <c r="B95" s="187"/>
      <c r="C95" s="644"/>
      <c r="D95" s="644"/>
      <c r="E95" s="644"/>
      <c r="F95" s="251"/>
      <c r="G95" s="251"/>
      <c r="H95" s="251"/>
      <c r="I95" s="251"/>
      <c r="J95" s="644"/>
      <c r="K95" s="644"/>
      <c r="L95" s="644"/>
      <c r="M95" s="644"/>
      <c r="N95" s="644"/>
      <c r="O95" s="644"/>
      <c r="P95" s="644"/>
      <c r="Q95" s="644"/>
      <c r="R95" s="644">
        <v>1</v>
      </c>
      <c r="S95" s="644"/>
      <c r="T95" s="644">
        <v>1</v>
      </c>
      <c r="U95" s="644">
        <v>1</v>
      </c>
      <c r="V95" s="644"/>
      <c r="W95" s="644"/>
      <c r="X95" s="644"/>
      <c r="Y95" s="644"/>
      <c r="Z95" s="644">
        <v>1</v>
      </c>
      <c r="AA95" s="644"/>
      <c r="AB95" s="644">
        <v>1</v>
      </c>
      <c r="AC95" s="644">
        <v>1</v>
      </c>
      <c r="AD95" s="644">
        <v>1</v>
      </c>
      <c r="AE95" s="644"/>
      <c r="AF95" s="644"/>
      <c r="AG95" s="644">
        <v>1</v>
      </c>
      <c r="AH95" s="644">
        <v>1</v>
      </c>
      <c r="AI95" s="644"/>
      <c r="AJ95" s="644">
        <v>1</v>
      </c>
      <c r="AK95" s="644"/>
      <c r="AL95" s="167">
        <v>10</v>
      </c>
      <c r="AM95" s="185" t="str">
        <f>HYPERLINK("http://bit.ly/14s082d", "Via Email")</f>
        <v>Via Email</v>
      </c>
      <c r="AN95" s="186">
        <v>42010</v>
      </c>
      <c r="AO95" s="187"/>
      <c r="AP95" s="187">
        <f t="shared" si="148"/>
        <v>0</v>
      </c>
      <c r="AQ95" s="187">
        <f t="shared" si="149"/>
        <v>0</v>
      </c>
      <c r="AR95" s="187">
        <f t="shared" si="150"/>
        <v>13</v>
      </c>
      <c r="AS95" s="187">
        <f t="shared" si="151"/>
        <v>13</v>
      </c>
      <c r="AT95" s="187">
        <f t="shared" si="152"/>
        <v>9</v>
      </c>
      <c r="AU95" s="187">
        <f t="shared" si="153"/>
        <v>0</v>
      </c>
      <c r="AV95" s="187">
        <f t="shared" si="154"/>
        <v>9</v>
      </c>
      <c r="AW95" s="187">
        <f t="shared" si="155"/>
        <v>7</v>
      </c>
      <c r="AX95" s="187">
        <f t="shared" si="156"/>
        <v>7</v>
      </c>
      <c r="AY95" s="187">
        <f t="shared" si="157"/>
        <v>7</v>
      </c>
      <c r="AZ95" s="187">
        <f t="shared" si="158"/>
        <v>7</v>
      </c>
      <c r="BA95" s="187">
        <f t="shared" si="159"/>
        <v>0</v>
      </c>
      <c r="BB95" s="187">
        <f t="shared" si="160"/>
        <v>0</v>
      </c>
      <c r="BC95" s="187">
        <f t="shared" si="161"/>
        <v>4</v>
      </c>
      <c r="BD95" s="187">
        <f t="shared" si="162"/>
        <v>0</v>
      </c>
      <c r="BE95" s="187">
        <f t="shared" si="163"/>
        <v>0</v>
      </c>
      <c r="BF95" s="187">
        <f t="shared" si="164"/>
        <v>0</v>
      </c>
      <c r="BG95" s="187">
        <f t="shared" si="165"/>
        <v>0</v>
      </c>
      <c r="BH95" s="187">
        <f t="shared" si="166"/>
        <v>0</v>
      </c>
      <c r="BI95" s="187">
        <f t="shared" si="167"/>
        <v>0</v>
      </c>
      <c r="BJ95" s="187">
        <f t="shared" si="168"/>
        <v>1</v>
      </c>
      <c r="BK95" s="187">
        <f t="shared" si="169"/>
        <v>0</v>
      </c>
      <c r="BL95" s="187">
        <f t="shared" si="170"/>
        <v>0</v>
      </c>
      <c r="BM95" s="187">
        <f t="shared" si="171"/>
        <v>0</v>
      </c>
      <c r="BN95" s="188">
        <f t="shared" si="172"/>
        <v>0</v>
      </c>
      <c r="BO95" s="187">
        <f t="shared" si="173"/>
        <v>0</v>
      </c>
      <c r="BP95" s="187">
        <f t="shared" ref="BP95:BQ95" si="317">IF(G95=1,1,0)</f>
        <v>0</v>
      </c>
      <c r="BQ95" s="187">
        <f t="shared" si="317"/>
        <v>0</v>
      </c>
      <c r="BR95" s="187">
        <f t="shared" ref="BR95:BT95" si="318">IF(K95=1,1,0)</f>
        <v>0</v>
      </c>
      <c r="BS95" s="187">
        <f t="shared" si="318"/>
        <v>0</v>
      </c>
      <c r="BT95" s="187">
        <f t="shared" si="318"/>
        <v>0</v>
      </c>
      <c r="BU95" s="187">
        <f t="shared" ref="BU95:BV95" si="319">IF(P95=1,1,0)</f>
        <v>0</v>
      </c>
      <c r="BV95" s="187">
        <f t="shared" si="319"/>
        <v>0</v>
      </c>
      <c r="BW95" s="187">
        <f t="shared" si="177"/>
        <v>0</v>
      </c>
      <c r="BX95" s="187">
        <f t="shared" si="178"/>
        <v>0</v>
      </c>
      <c r="BY95" s="187">
        <f t="shared" si="179"/>
        <v>0</v>
      </c>
      <c r="BZ95" s="187">
        <f t="shared" si="180"/>
        <v>0</v>
      </c>
      <c r="CA95" s="167">
        <f t="shared" si="181"/>
        <v>77</v>
      </c>
      <c r="CB95" s="167">
        <f t="shared" si="47"/>
        <v>88</v>
      </c>
      <c r="CC95" s="644">
        <f t="shared" si="48"/>
        <v>23</v>
      </c>
      <c r="CD95" s="644">
        <f t="shared" si="49"/>
        <v>19</v>
      </c>
      <c r="CE95" s="644">
        <f t="shared" si="50"/>
        <v>15</v>
      </c>
      <c r="CF95" s="644">
        <f t="shared" si="51"/>
        <v>0</v>
      </c>
      <c r="CG95" s="644">
        <f t="shared" si="52"/>
        <v>9</v>
      </c>
      <c r="CH95" s="644">
        <f t="shared" si="123"/>
        <v>7</v>
      </c>
      <c r="CI95" s="644">
        <f t="shared" si="54"/>
        <v>7</v>
      </c>
      <c r="CJ95" s="644">
        <f t="shared" si="55"/>
        <v>5</v>
      </c>
      <c r="CK95" s="644">
        <f t="shared" si="56"/>
        <v>0</v>
      </c>
      <c r="CL95" s="644">
        <f t="shared" si="57"/>
        <v>0</v>
      </c>
      <c r="CM95" s="644">
        <f t="shared" si="58"/>
        <v>3</v>
      </c>
      <c r="CN95" s="644">
        <f t="shared" si="59"/>
        <v>3</v>
      </c>
      <c r="CO95" s="644">
        <f t="shared" si="60"/>
        <v>3</v>
      </c>
      <c r="CP95" s="644">
        <f t="shared" si="61"/>
        <v>3</v>
      </c>
      <c r="CQ95" s="644">
        <f t="shared" si="62"/>
        <v>0</v>
      </c>
      <c r="CR95" s="644">
        <f t="shared" si="63"/>
        <v>0</v>
      </c>
      <c r="CS95" s="644">
        <f t="shared" si="64"/>
        <v>0</v>
      </c>
      <c r="CT95" s="644">
        <f t="shared" si="65"/>
        <v>0</v>
      </c>
      <c r="CU95" s="644">
        <f t="shared" si="66"/>
        <v>0</v>
      </c>
      <c r="CV95" s="644">
        <f t="shared" si="67"/>
        <v>0</v>
      </c>
      <c r="CW95" s="644">
        <f t="shared" si="68"/>
        <v>0</v>
      </c>
      <c r="CX95" s="644">
        <f t="shared" si="69"/>
        <v>0</v>
      </c>
      <c r="CY95" s="644">
        <f t="shared" si="70"/>
        <v>0</v>
      </c>
      <c r="CZ95" s="624" t="s">
        <v>740</v>
      </c>
      <c r="DA95" s="257"/>
    </row>
    <row r="96" spans="1:105">
      <c r="A96" s="249" t="s">
        <v>217</v>
      </c>
      <c r="B96" s="187"/>
      <c r="C96" s="644"/>
      <c r="D96" s="644"/>
      <c r="E96" s="644">
        <v>1</v>
      </c>
      <c r="F96" s="251"/>
      <c r="G96" s="251"/>
      <c r="H96" s="251"/>
      <c r="I96" s="251"/>
      <c r="J96" s="644"/>
      <c r="K96" s="644"/>
      <c r="L96" s="644"/>
      <c r="M96" s="644"/>
      <c r="N96" s="644"/>
      <c r="O96" s="644"/>
      <c r="P96" s="644"/>
      <c r="Q96" s="644"/>
      <c r="R96" s="644">
        <v>1</v>
      </c>
      <c r="S96" s="644">
        <v>1</v>
      </c>
      <c r="T96" s="644">
        <v>1</v>
      </c>
      <c r="U96" s="644">
        <v>1</v>
      </c>
      <c r="V96" s="644"/>
      <c r="W96" s="644"/>
      <c r="X96" s="644"/>
      <c r="Y96" s="644"/>
      <c r="Z96" s="644"/>
      <c r="AA96" s="644"/>
      <c r="AB96" s="644">
        <v>1</v>
      </c>
      <c r="AC96" s="644">
        <v>1</v>
      </c>
      <c r="AD96" s="644"/>
      <c r="AE96" s="644"/>
      <c r="AF96" s="644"/>
      <c r="AG96" s="644">
        <v>1</v>
      </c>
      <c r="AH96" s="644">
        <v>1</v>
      </c>
      <c r="AI96" s="644"/>
      <c r="AJ96" s="644"/>
      <c r="AK96" s="644"/>
      <c r="AL96" s="167">
        <v>9</v>
      </c>
      <c r="AM96" s="185" t="s">
        <v>1103</v>
      </c>
      <c r="AN96" s="186">
        <v>42008</v>
      </c>
      <c r="AO96" s="187"/>
      <c r="AP96" s="187">
        <f t="shared" si="148"/>
        <v>0</v>
      </c>
      <c r="AQ96" s="187">
        <f t="shared" si="149"/>
        <v>0</v>
      </c>
      <c r="AR96" s="187">
        <f t="shared" si="150"/>
        <v>13</v>
      </c>
      <c r="AS96" s="187">
        <f t="shared" si="151"/>
        <v>13</v>
      </c>
      <c r="AT96" s="187">
        <f t="shared" si="152"/>
        <v>9</v>
      </c>
      <c r="AU96" s="187">
        <f t="shared" si="153"/>
        <v>0</v>
      </c>
      <c r="AV96" s="187">
        <f t="shared" si="154"/>
        <v>9</v>
      </c>
      <c r="AW96" s="187">
        <f t="shared" si="155"/>
        <v>0</v>
      </c>
      <c r="AX96" s="187">
        <f t="shared" si="156"/>
        <v>0</v>
      </c>
      <c r="AY96" s="187">
        <f t="shared" si="157"/>
        <v>0</v>
      </c>
      <c r="AZ96" s="187">
        <f t="shared" si="158"/>
        <v>7</v>
      </c>
      <c r="BA96" s="187">
        <f t="shared" si="159"/>
        <v>7</v>
      </c>
      <c r="BB96" s="187">
        <f t="shared" si="160"/>
        <v>0</v>
      </c>
      <c r="BC96" s="187">
        <f t="shared" si="161"/>
        <v>4</v>
      </c>
      <c r="BD96" s="187">
        <f t="shared" si="162"/>
        <v>0</v>
      </c>
      <c r="BE96" s="187">
        <f t="shared" si="163"/>
        <v>0</v>
      </c>
      <c r="BF96" s="187">
        <f t="shared" si="164"/>
        <v>0</v>
      </c>
      <c r="BG96" s="187">
        <f t="shared" si="165"/>
        <v>0</v>
      </c>
      <c r="BH96" s="187">
        <f t="shared" si="166"/>
        <v>2</v>
      </c>
      <c r="BI96" s="187">
        <f t="shared" si="167"/>
        <v>0</v>
      </c>
      <c r="BJ96" s="187">
        <f t="shared" si="168"/>
        <v>1</v>
      </c>
      <c r="BK96" s="187">
        <f t="shared" si="169"/>
        <v>0</v>
      </c>
      <c r="BL96" s="187">
        <f t="shared" si="170"/>
        <v>0</v>
      </c>
      <c r="BM96" s="187">
        <f t="shared" si="171"/>
        <v>0</v>
      </c>
      <c r="BN96" s="188">
        <f t="shared" si="172"/>
        <v>1</v>
      </c>
      <c r="BO96" s="187">
        <f t="shared" si="173"/>
        <v>0</v>
      </c>
      <c r="BP96" s="187">
        <f t="shared" ref="BP96:BQ96" si="320">IF(G96=1,1,0)</f>
        <v>0</v>
      </c>
      <c r="BQ96" s="187">
        <f t="shared" si="320"/>
        <v>0</v>
      </c>
      <c r="BR96" s="187">
        <f t="shared" ref="BR96:BT96" si="321">IF(K96=1,1,0)</f>
        <v>0</v>
      </c>
      <c r="BS96" s="187">
        <f t="shared" si="321"/>
        <v>0</v>
      </c>
      <c r="BT96" s="187">
        <f t="shared" si="321"/>
        <v>0</v>
      </c>
      <c r="BU96" s="187">
        <f t="shared" ref="BU96:BV96" si="322">IF(P96=1,1,0)</f>
        <v>0</v>
      </c>
      <c r="BV96" s="187">
        <f t="shared" si="322"/>
        <v>0</v>
      </c>
      <c r="BW96" s="187">
        <f t="shared" si="177"/>
        <v>0</v>
      </c>
      <c r="BX96" s="187">
        <f t="shared" si="178"/>
        <v>0</v>
      </c>
      <c r="BY96" s="187">
        <f t="shared" si="179"/>
        <v>1</v>
      </c>
      <c r="BZ96" s="187">
        <f t="shared" si="180"/>
        <v>-1</v>
      </c>
      <c r="CA96" s="167">
        <f t="shared" si="181"/>
        <v>64</v>
      </c>
      <c r="CB96" s="167">
        <f t="shared" si="47"/>
        <v>94</v>
      </c>
      <c r="CC96" s="644">
        <f t="shared" si="48"/>
        <v>23</v>
      </c>
      <c r="CD96" s="644">
        <f t="shared" si="49"/>
        <v>19</v>
      </c>
      <c r="CE96" s="644">
        <f t="shared" si="50"/>
        <v>15</v>
      </c>
      <c r="CF96" s="644">
        <f t="shared" si="51"/>
        <v>15</v>
      </c>
      <c r="CG96" s="644">
        <f t="shared" si="52"/>
        <v>9</v>
      </c>
      <c r="CH96" s="644">
        <f t="shared" si="123"/>
        <v>0</v>
      </c>
      <c r="CI96" s="644">
        <f t="shared" si="54"/>
        <v>7</v>
      </c>
      <c r="CJ96" s="644">
        <f t="shared" si="55"/>
        <v>0</v>
      </c>
      <c r="CK96" s="644">
        <f t="shared" si="56"/>
        <v>0</v>
      </c>
      <c r="CL96" s="644">
        <f t="shared" si="57"/>
        <v>0</v>
      </c>
      <c r="CM96" s="644">
        <f t="shared" si="58"/>
        <v>3</v>
      </c>
      <c r="CN96" s="644">
        <f t="shared" si="59"/>
        <v>3</v>
      </c>
      <c r="CO96" s="644">
        <f t="shared" si="60"/>
        <v>0</v>
      </c>
      <c r="CP96" s="644">
        <f t="shared" si="61"/>
        <v>0</v>
      </c>
      <c r="CQ96" s="644">
        <f t="shared" si="62"/>
        <v>2</v>
      </c>
      <c r="CR96" s="644">
        <f t="shared" si="63"/>
        <v>0</v>
      </c>
      <c r="CS96" s="644">
        <f t="shared" si="64"/>
        <v>0</v>
      </c>
      <c r="CT96" s="644">
        <f t="shared" si="65"/>
        <v>0</v>
      </c>
      <c r="CU96" s="644">
        <f t="shared" si="66"/>
        <v>0</v>
      </c>
      <c r="CV96" s="644">
        <f t="shared" si="67"/>
        <v>0</v>
      </c>
      <c r="CW96" s="644">
        <f t="shared" si="68"/>
        <v>0</v>
      </c>
      <c r="CX96" s="644">
        <f t="shared" si="69"/>
        <v>0</v>
      </c>
      <c r="CY96" s="644">
        <f t="shared" si="70"/>
        <v>0</v>
      </c>
      <c r="CZ96" s="624" t="s">
        <v>787</v>
      </c>
      <c r="DA96" s="257"/>
    </row>
    <row r="97" spans="1:105">
      <c r="A97" s="249" t="s">
        <v>218</v>
      </c>
      <c r="B97" s="187"/>
      <c r="C97" s="644"/>
      <c r="D97" s="644">
        <v>1</v>
      </c>
      <c r="E97" s="644">
        <v>1</v>
      </c>
      <c r="F97" s="251"/>
      <c r="G97" s="251"/>
      <c r="H97" s="251"/>
      <c r="I97" s="251"/>
      <c r="J97" s="644"/>
      <c r="K97" s="644"/>
      <c r="L97" s="644"/>
      <c r="M97" s="644"/>
      <c r="N97" s="644"/>
      <c r="O97" s="644"/>
      <c r="P97" s="644"/>
      <c r="Q97" s="644"/>
      <c r="R97" s="644">
        <v>1</v>
      </c>
      <c r="S97" s="644"/>
      <c r="T97" s="644"/>
      <c r="U97" s="644">
        <v>1</v>
      </c>
      <c r="V97" s="644"/>
      <c r="W97" s="644">
        <v>1</v>
      </c>
      <c r="X97" s="644"/>
      <c r="Y97" s="644"/>
      <c r="Z97" s="644"/>
      <c r="AA97" s="644"/>
      <c r="AB97" s="644">
        <v>1</v>
      </c>
      <c r="AC97" s="258">
        <v>1</v>
      </c>
      <c r="AD97" s="258">
        <v>1</v>
      </c>
      <c r="AE97" s="644"/>
      <c r="AF97" s="644"/>
      <c r="AG97" s="644"/>
      <c r="AH97" s="644">
        <v>1</v>
      </c>
      <c r="AI97" s="644"/>
      <c r="AJ97" s="644">
        <v>1</v>
      </c>
      <c r="AK97" s="644"/>
      <c r="AL97" s="167">
        <v>10</v>
      </c>
      <c r="AM97" s="185" t="s">
        <v>1158</v>
      </c>
      <c r="AN97" s="186">
        <v>41994</v>
      </c>
      <c r="AO97" s="187"/>
      <c r="AP97" s="187">
        <f t="shared" si="148"/>
        <v>0</v>
      </c>
      <c r="AQ97" s="187">
        <f t="shared" si="149"/>
        <v>0</v>
      </c>
      <c r="AR97" s="187">
        <f t="shared" si="150"/>
        <v>13</v>
      </c>
      <c r="AS97" s="187">
        <f t="shared" si="151"/>
        <v>13</v>
      </c>
      <c r="AT97" s="187">
        <f t="shared" si="152"/>
        <v>9</v>
      </c>
      <c r="AU97" s="187">
        <f t="shared" si="153"/>
        <v>9</v>
      </c>
      <c r="AV97" s="187">
        <f t="shared" si="154"/>
        <v>9</v>
      </c>
      <c r="AW97" s="187">
        <f t="shared" si="155"/>
        <v>7</v>
      </c>
      <c r="AX97" s="187">
        <f t="shared" si="156"/>
        <v>7</v>
      </c>
      <c r="AY97" s="187">
        <f t="shared" si="157"/>
        <v>0</v>
      </c>
      <c r="AZ97" s="187">
        <f t="shared" si="158"/>
        <v>7</v>
      </c>
      <c r="BA97" s="187">
        <f t="shared" si="159"/>
        <v>7</v>
      </c>
      <c r="BB97" s="187">
        <f t="shared" si="160"/>
        <v>0</v>
      </c>
      <c r="BC97" s="187">
        <f t="shared" si="161"/>
        <v>0</v>
      </c>
      <c r="BD97" s="187">
        <f t="shared" si="162"/>
        <v>0</v>
      </c>
      <c r="BE97" s="187">
        <f t="shared" si="163"/>
        <v>0</v>
      </c>
      <c r="BF97" s="187">
        <f t="shared" si="164"/>
        <v>3</v>
      </c>
      <c r="BG97" s="187">
        <f t="shared" si="165"/>
        <v>0</v>
      </c>
      <c r="BH97" s="187">
        <f t="shared" si="166"/>
        <v>0</v>
      </c>
      <c r="BI97" s="187">
        <f t="shared" si="167"/>
        <v>0</v>
      </c>
      <c r="BJ97" s="187">
        <f t="shared" si="168"/>
        <v>0</v>
      </c>
      <c r="BK97" s="187">
        <f t="shared" si="169"/>
        <v>0</v>
      </c>
      <c r="BL97" s="187">
        <f t="shared" si="170"/>
        <v>0</v>
      </c>
      <c r="BM97" s="187">
        <f t="shared" si="171"/>
        <v>0</v>
      </c>
      <c r="BN97" s="188">
        <f t="shared" si="172"/>
        <v>0</v>
      </c>
      <c r="BO97" s="187">
        <f t="shared" si="173"/>
        <v>0</v>
      </c>
      <c r="BP97" s="187">
        <f t="shared" ref="BP97:BQ97" si="323">IF(G97=1,1,0)</f>
        <v>0</v>
      </c>
      <c r="BQ97" s="187">
        <f t="shared" si="323"/>
        <v>0</v>
      </c>
      <c r="BR97" s="187">
        <f t="shared" ref="BR97:BT97" si="324">IF(K97=1,1,0)</f>
        <v>0</v>
      </c>
      <c r="BS97" s="187">
        <f t="shared" si="324"/>
        <v>0</v>
      </c>
      <c r="BT97" s="187">
        <f t="shared" si="324"/>
        <v>0</v>
      </c>
      <c r="BU97" s="187">
        <f t="shared" ref="BU97:BV97" si="325">IF(P97=1,1,0)</f>
        <v>0</v>
      </c>
      <c r="BV97" s="187">
        <f t="shared" si="325"/>
        <v>0</v>
      </c>
      <c r="BW97" s="187">
        <f t="shared" si="177"/>
        <v>0</v>
      </c>
      <c r="BX97" s="187">
        <f t="shared" si="178"/>
        <v>0</v>
      </c>
      <c r="BY97" s="187">
        <f t="shared" si="179"/>
        <v>0</v>
      </c>
      <c r="BZ97" s="187">
        <f t="shared" si="180"/>
        <v>0</v>
      </c>
      <c r="CA97" s="167">
        <f t="shared" si="181"/>
        <v>84</v>
      </c>
      <c r="CB97" s="167">
        <f t="shared" si="47"/>
        <v>100</v>
      </c>
      <c r="CC97" s="644">
        <f t="shared" si="48"/>
        <v>23</v>
      </c>
      <c r="CD97" s="644">
        <f t="shared" si="49"/>
        <v>19</v>
      </c>
      <c r="CE97" s="644">
        <f t="shared" si="50"/>
        <v>15</v>
      </c>
      <c r="CF97" s="644">
        <f t="shared" si="51"/>
        <v>15</v>
      </c>
      <c r="CG97" s="644">
        <f t="shared" si="52"/>
        <v>9</v>
      </c>
      <c r="CH97" s="644">
        <f t="shared" si="123"/>
        <v>7</v>
      </c>
      <c r="CI97" s="644">
        <f t="shared" si="54"/>
        <v>7</v>
      </c>
      <c r="CJ97" s="644">
        <f t="shared" si="55"/>
        <v>5</v>
      </c>
      <c r="CK97" s="644">
        <f t="shared" si="56"/>
        <v>0</v>
      </c>
      <c r="CL97" s="644">
        <f t="shared" si="57"/>
        <v>0</v>
      </c>
      <c r="CM97" s="644">
        <f t="shared" si="58"/>
        <v>0</v>
      </c>
      <c r="CN97" s="644">
        <f t="shared" si="59"/>
        <v>0</v>
      </c>
      <c r="CO97" s="644">
        <f t="shared" si="60"/>
        <v>3</v>
      </c>
      <c r="CP97" s="644">
        <f t="shared" si="61"/>
        <v>0</v>
      </c>
      <c r="CQ97" s="644">
        <f t="shared" si="62"/>
        <v>0</v>
      </c>
      <c r="CR97" s="644">
        <f t="shared" si="63"/>
        <v>2</v>
      </c>
      <c r="CS97" s="644">
        <f t="shared" si="64"/>
        <v>0</v>
      </c>
      <c r="CT97" s="644">
        <f t="shared" si="65"/>
        <v>0</v>
      </c>
      <c r="CU97" s="644">
        <f t="shared" si="66"/>
        <v>0</v>
      </c>
      <c r="CV97" s="644">
        <f t="shared" si="67"/>
        <v>0</v>
      </c>
      <c r="CW97" s="644">
        <f t="shared" si="68"/>
        <v>0</v>
      </c>
      <c r="CX97" s="644">
        <f t="shared" si="69"/>
        <v>0</v>
      </c>
      <c r="CY97" s="644">
        <f t="shared" si="70"/>
        <v>0</v>
      </c>
      <c r="CZ97" s="624" t="s">
        <v>768</v>
      </c>
      <c r="DA97" s="257"/>
    </row>
    <row r="98" spans="1:105" ht="25.5">
      <c r="A98" s="249" t="s">
        <v>219</v>
      </c>
      <c r="B98" s="187"/>
      <c r="C98" s="644"/>
      <c r="D98" s="644">
        <v>1</v>
      </c>
      <c r="E98" s="644">
        <v>1</v>
      </c>
      <c r="F98" s="251"/>
      <c r="G98" s="251"/>
      <c r="H98" s="251"/>
      <c r="I98" s="251"/>
      <c r="J98" s="644"/>
      <c r="K98" s="644"/>
      <c r="L98" s="644"/>
      <c r="M98" s="644"/>
      <c r="N98" s="644"/>
      <c r="O98" s="644"/>
      <c r="P98" s="644"/>
      <c r="Q98" s="644"/>
      <c r="R98" s="644">
        <v>1</v>
      </c>
      <c r="S98" s="644">
        <v>1</v>
      </c>
      <c r="T98" s="644"/>
      <c r="U98" s="644">
        <v>1</v>
      </c>
      <c r="V98" s="644"/>
      <c r="W98" s="644"/>
      <c r="X98" s="644"/>
      <c r="Y98" s="644"/>
      <c r="Z98" s="250"/>
      <c r="AA98" s="644"/>
      <c r="AB98" s="258">
        <v>1</v>
      </c>
      <c r="AC98" s="644"/>
      <c r="AD98" s="644"/>
      <c r="AE98" s="644"/>
      <c r="AF98" s="644"/>
      <c r="AG98" s="644">
        <v>1</v>
      </c>
      <c r="AH98" s="644">
        <v>1</v>
      </c>
      <c r="AI98" s="644"/>
      <c r="AJ98" s="644"/>
      <c r="AK98" s="644"/>
      <c r="AL98" s="167">
        <v>8</v>
      </c>
      <c r="AM98" s="185" t="s">
        <v>1091</v>
      </c>
      <c r="AN98" s="186">
        <v>42009</v>
      </c>
      <c r="AO98" s="187"/>
      <c r="AP98" s="187">
        <f t="shared" si="148"/>
        <v>0</v>
      </c>
      <c r="AQ98" s="187">
        <f t="shared" si="149"/>
        <v>0</v>
      </c>
      <c r="AR98" s="187">
        <f t="shared" si="150"/>
        <v>13</v>
      </c>
      <c r="AS98" s="187">
        <f t="shared" si="151"/>
        <v>13</v>
      </c>
      <c r="AT98" s="187">
        <f t="shared" si="152"/>
        <v>9</v>
      </c>
      <c r="AU98" s="187">
        <f t="shared" si="153"/>
        <v>9</v>
      </c>
      <c r="AV98" s="187">
        <f t="shared" si="154"/>
        <v>0</v>
      </c>
      <c r="AW98" s="187">
        <f t="shared" si="155"/>
        <v>0</v>
      </c>
      <c r="AX98" s="187">
        <f t="shared" si="156"/>
        <v>0</v>
      </c>
      <c r="AY98" s="187">
        <f t="shared" si="157"/>
        <v>0</v>
      </c>
      <c r="AZ98" s="187">
        <f t="shared" si="158"/>
        <v>7</v>
      </c>
      <c r="BA98" s="187">
        <f t="shared" si="159"/>
        <v>7</v>
      </c>
      <c r="BB98" s="187">
        <f t="shared" si="160"/>
        <v>0</v>
      </c>
      <c r="BC98" s="187">
        <f t="shared" si="161"/>
        <v>0</v>
      </c>
      <c r="BD98" s="187">
        <f t="shared" si="162"/>
        <v>0</v>
      </c>
      <c r="BE98" s="187">
        <f t="shared" si="163"/>
        <v>0</v>
      </c>
      <c r="BF98" s="187">
        <f t="shared" si="164"/>
        <v>0</v>
      </c>
      <c r="BG98" s="187">
        <f t="shared" si="165"/>
        <v>0</v>
      </c>
      <c r="BH98" s="187">
        <f t="shared" si="166"/>
        <v>2</v>
      </c>
      <c r="BI98" s="187">
        <f t="shared" si="167"/>
        <v>0</v>
      </c>
      <c r="BJ98" s="187">
        <f t="shared" si="168"/>
        <v>1</v>
      </c>
      <c r="BK98" s="187">
        <f t="shared" si="169"/>
        <v>0</v>
      </c>
      <c r="BL98" s="187">
        <f t="shared" si="170"/>
        <v>0</v>
      </c>
      <c r="BM98" s="187">
        <f t="shared" si="171"/>
        <v>0</v>
      </c>
      <c r="BN98" s="188">
        <f t="shared" si="172"/>
        <v>2</v>
      </c>
      <c r="BO98" s="187">
        <f t="shared" si="173"/>
        <v>0</v>
      </c>
      <c r="BP98" s="187">
        <f t="shared" ref="BP98:BQ98" si="326">IF(G98=1,1,0)</f>
        <v>0</v>
      </c>
      <c r="BQ98" s="187">
        <f t="shared" si="326"/>
        <v>0</v>
      </c>
      <c r="BR98" s="187">
        <f t="shared" ref="BR98:BT98" si="327">IF(K98=1,1,0)</f>
        <v>0</v>
      </c>
      <c r="BS98" s="187">
        <f t="shared" si="327"/>
        <v>0</v>
      </c>
      <c r="BT98" s="187">
        <f t="shared" si="327"/>
        <v>0</v>
      </c>
      <c r="BU98" s="187">
        <f t="shared" ref="BU98:BV98" si="328">IF(P98=1,1,0)</f>
        <v>0</v>
      </c>
      <c r="BV98" s="187">
        <f t="shared" si="328"/>
        <v>0</v>
      </c>
      <c r="BW98" s="187">
        <f t="shared" si="177"/>
        <v>0</v>
      </c>
      <c r="BX98" s="187">
        <f t="shared" si="178"/>
        <v>0</v>
      </c>
      <c r="BY98" s="187">
        <f t="shared" si="179"/>
        <v>2</v>
      </c>
      <c r="BZ98" s="187">
        <f t="shared" si="180"/>
        <v>-4</v>
      </c>
      <c r="CA98" s="167">
        <f t="shared" si="181"/>
        <v>57</v>
      </c>
      <c r="CB98" s="167">
        <f t="shared" si="47"/>
        <v>93</v>
      </c>
      <c r="CC98" s="644">
        <f t="shared" si="48"/>
        <v>23</v>
      </c>
      <c r="CD98" s="644">
        <f t="shared" si="49"/>
        <v>19</v>
      </c>
      <c r="CE98" s="644">
        <f t="shared" si="50"/>
        <v>15</v>
      </c>
      <c r="CF98" s="644">
        <f t="shared" si="51"/>
        <v>15</v>
      </c>
      <c r="CG98" s="644">
        <f t="shared" si="52"/>
        <v>9</v>
      </c>
      <c r="CH98" s="644">
        <f t="shared" si="123"/>
        <v>7</v>
      </c>
      <c r="CI98" s="644">
        <f t="shared" si="54"/>
        <v>0</v>
      </c>
      <c r="CJ98" s="644">
        <f t="shared" si="55"/>
        <v>0</v>
      </c>
      <c r="CK98" s="644">
        <f t="shared" si="56"/>
        <v>0</v>
      </c>
      <c r="CL98" s="644">
        <f t="shared" si="57"/>
        <v>0</v>
      </c>
      <c r="CM98" s="644">
        <f t="shared" si="58"/>
        <v>3</v>
      </c>
      <c r="CN98" s="644">
        <f t="shared" si="59"/>
        <v>0</v>
      </c>
      <c r="CO98" s="644">
        <f t="shared" si="60"/>
        <v>0</v>
      </c>
      <c r="CP98" s="644">
        <f t="shared" si="61"/>
        <v>0</v>
      </c>
      <c r="CQ98" s="644">
        <f t="shared" si="62"/>
        <v>2</v>
      </c>
      <c r="CR98" s="644">
        <f t="shared" si="63"/>
        <v>0</v>
      </c>
      <c r="CS98" s="644">
        <f t="shared" si="64"/>
        <v>0</v>
      </c>
      <c r="CT98" s="644">
        <f t="shared" si="65"/>
        <v>0</v>
      </c>
      <c r="CU98" s="644">
        <f t="shared" si="66"/>
        <v>0</v>
      </c>
      <c r="CV98" s="644">
        <f t="shared" si="67"/>
        <v>0</v>
      </c>
      <c r="CW98" s="644">
        <f t="shared" si="68"/>
        <v>0</v>
      </c>
      <c r="CX98" s="644">
        <f t="shared" si="69"/>
        <v>0</v>
      </c>
      <c r="CY98" s="644">
        <f t="shared" si="70"/>
        <v>0</v>
      </c>
      <c r="CZ98" s="624" t="s">
        <v>752</v>
      </c>
      <c r="DA98" s="257"/>
    </row>
    <row r="99" spans="1:105">
      <c r="A99" s="249" t="s">
        <v>221</v>
      </c>
      <c r="B99" s="187"/>
      <c r="C99" s="644"/>
      <c r="D99" s="644">
        <v>1</v>
      </c>
      <c r="E99" s="644">
        <v>1</v>
      </c>
      <c r="F99" s="251">
        <v>1</v>
      </c>
      <c r="G99" s="251"/>
      <c r="H99" s="251"/>
      <c r="I99" s="251">
        <v>1</v>
      </c>
      <c r="J99" s="644"/>
      <c r="K99" s="644"/>
      <c r="L99" s="644"/>
      <c r="M99" s="644"/>
      <c r="N99" s="644"/>
      <c r="O99" s="644"/>
      <c r="P99" s="644"/>
      <c r="Q99" s="644"/>
      <c r="R99" s="644">
        <v>1</v>
      </c>
      <c r="S99" s="644"/>
      <c r="T99" s="644"/>
      <c r="U99" s="644">
        <v>1</v>
      </c>
      <c r="V99" s="644"/>
      <c r="W99" s="644"/>
      <c r="X99" s="644"/>
      <c r="Y99" s="644"/>
      <c r="Z99" s="644">
        <v>1</v>
      </c>
      <c r="AA99" s="644"/>
      <c r="AB99" s="644">
        <v>1</v>
      </c>
      <c r="AC99" s="644"/>
      <c r="AD99" s="644">
        <v>1</v>
      </c>
      <c r="AE99" s="644"/>
      <c r="AF99" s="644"/>
      <c r="AG99" s="644"/>
      <c r="AH99" s="644">
        <v>1</v>
      </c>
      <c r="AI99" s="644"/>
      <c r="AJ99" s="644"/>
      <c r="AK99" s="644"/>
      <c r="AL99" s="167">
        <v>10</v>
      </c>
      <c r="AM99" s="185" t="s">
        <v>1159</v>
      </c>
      <c r="AN99" s="186">
        <v>41999</v>
      </c>
      <c r="AO99" s="187"/>
      <c r="AP99" s="187">
        <f t="shared" si="148"/>
        <v>13</v>
      </c>
      <c r="AQ99" s="187">
        <f t="shared" si="149"/>
        <v>13</v>
      </c>
      <c r="AR99" s="187">
        <f t="shared" si="150"/>
        <v>13</v>
      </c>
      <c r="AS99" s="187">
        <f t="shared" si="151"/>
        <v>13</v>
      </c>
      <c r="AT99" s="187">
        <f t="shared" si="152"/>
        <v>9</v>
      </c>
      <c r="AU99" s="187">
        <f t="shared" si="153"/>
        <v>9</v>
      </c>
      <c r="AV99" s="187">
        <f t="shared" si="154"/>
        <v>0</v>
      </c>
      <c r="AW99" s="187">
        <f t="shared" si="155"/>
        <v>0</v>
      </c>
      <c r="AX99" s="187">
        <f t="shared" si="156"/>
        <v>7</v>
      </c>
      <c r="AY99" s="187">
        <f t="shared" si="157"/>
        <v>7</v>
      </c>
      <c r="AZ99" s="187">
        <f t="shared" si="158"/>
        <v>7</v>
      </c>
      <c r="BA99" s="187">
        <f t="shared" si="159"/>
        <v>7</v>
      </c>
      <c r="BB99" s="187">
        <f t="shared" si="160"/>
        <v>0</v>
      </c>
      <c r="BC99" s="187">
        <f t="shared" si="161"/>
        <v>0</v>
      </c>
      <c r="BD99" s="187">
        <f t="shared" si="162"/>
        <v>0</v>
      </c>
      <c r="BE99" s="187">
        <f t="shared" si="163"/>
        <v>0</v>
      </c>
      <c r="BF99" s="187">
        <f t="shared" si="164"/>
        <v>0</v>
      </c>
      <c r="BG99" s="187">
        <f t="shared" si="165"/>
        <v>0</v>
      </c>
      <c r="BH99" s="187">
        <f t="shared" si="166"/>
        <v>0</v>
      </c>
      <c r="BI99" s="187">
        <f t="shared" si="167"/>
        <v>0</v>
      </c>
      <c r="BJ99" s="187">
        <f t="shared" si="168"/>
        <v>0</v>
      </c>
      <c r="BK99" s="187">
        <f t="shared" si="169"/>
        <v>0</v>
      </c>
      <c r="BL99" s="187">
        <f t="shared" si="170"/>
        <v>0</v>
      </c>
      <c r="BM99" s="187">
        <f t="shared" si="171"/>
        <v>0</v>
      </c>
      <c r="BN99" s="188">
        <f t="shared" si="172"/>
        <v>0</v>
      </c>
      <c r="BO99" s="187">
        <f t="shared" si="173"/>
        <v>0</v>
      </c>
      <c r="BP99" s="187">
        <f t="shared" ref="BP99:BQ99" si="329">IF(G99=1,1,0)</f>
        <v>0</v>
      </c>
      <c r="BQ99" s="187">
        <f t="shared" si="329"/>
        <v>0</v>
      </c>
      <c r="BR99" s="187">
        <f t="shared" ref="BR99:BT99" si="330">IF(K99=1,1,0)</f>
        <v>0</v>
      </c>
      <c r="BS99" s="187">
        <f t="shared" si="330"/>
        <v>0</v>
      </c>
      <c r="BT99" s="187">
        <f t="shared" si="330"/>
        <v>0</v>
      </c>
      <c r="BU99" s="187">
        <f t="shared" ref="BU99:BV99" si="331">IF(P99=1,1,0)</f>
        <v>0</v>
      </c>
      <c r="BV99" s="187">
        <f t="shared" si="331"/>
        <v>0</v>
      </c>
      <c r="BW99" s="187">
        <f t="shared" si="177"/>
        <v>0</v>
      </c>
      <c r="BX99" s="187">
        <f t="shared" si="178"/>
        <v>0</v>
      </c>
      <c r="BY99" s="187">
        <f t="shared" si="179"/>
        <v>0</v>
      </c>
      <c r="BZ99" s="187">
        <f t="shared" si="180"/>
        <v>0</v>
      </c>
      <c r="CA99" s="167">
        <f t="shared" si="181"/>
        <v>98</v>
      </c>
      <c r="CB99" s="167">
        <f t="shared" si="47"/>
        <v>98</v>
      </c>
      <c r="CC99" s="644">
        <f t="shared" si="48"/>
        <v>23</v>
      </c>
      <c r="CD99" s="644">
        <f t="shared" si="49"/>
        <v>19</v>
      </c>
      <c r="CE99" s="644">
        <f t="shared" si="50"/>
        <v>15</v>
      </c>
      <c r="CF99" s="644">
        <f t="shared" si="51"/>
        <v>15</v>
      </c>
      <c r="CG99" s="644">
        <f t="shared" si="52"/>
        <v>9</v>
      </c>
      <c r="CH99" s="644">
        <f t="shared" si="123"/>
        <v>7</v>
      </c>
      <c r="CI99" s="644">
        <f t="shared" si="54"/>
        <v>0</v>
      </c>
      <c r="CJ99" s="644">
        <f t="shared" si="55"/>
        <v>5</v>
      </c>
      <c r="CK99" s="644">
        <f t="shared" si="56"/>
        <v>5</v>
      </c>
      <c r="CL99" s="644">
        <f t="shared" si="57"/>
        <v>5</v>
      </c>
      <c r="CM99" s="644">
        <f t="shared" si="58"/>
        <v>0</v>
      </c>
      <c r="CN99" s="644">
        <f t="shared" si="59"/>
        <v>0</v>
      </c>
      <c r="CO99" s="644">
        <f t="shared" si="60"/>
        <v>0</v>
      </c>
      <c r="CP99" s="644">
        <f t="shared" si="61"/>
        <v>3</v>
      </c>
      <c r="CQ99" s="644">
        <f t="shared" si="62"/>
        <v>0</v>
      </c>
      <c r="CR99" s="644">
        <f t="shared" si="63"/>
        <v>0</v>
      </c>
      <c r="CS99" s="644">
        <f t="shared" si="64"/>
        <v>0</v>
      </c>
      <c r="CT99" s="644">
        <f t="shared" si="65"/>
        <v>0</v>
      </c>
      <c r="CU99" s="644">
        <f t="shared" si="66"/>
        <v>0</v>
      </c>
      <c r="CV99" s="644">
        <f t="shared" si="67"/>
        <v>0</v>
      </c>
      <c r="CW99" s="644">
        <f t="shared" si="68"/>
        <v>0</v>
      </c>
      <c r="CX99" s="644">
        <f t="shared" si="69"/>
        <v>0</v>
      </c>
      <c r="CY99" s="644">
        <f t="shared" si="70"/>
        <v>0</v>
      </c>
      <c r="CZ99" s="624" t="s">
        <v>756</v>
      </c>
      <c r="DA99" s="257"/>
    </row>
    <row r="100" spans="1:105">
      <c r="A100" s="249" t="s">
        <v>222</v>
      </c>
      <c r="B100" s="187"/>
      <c r="C100" s="644"/>
      <c r="D100" s="644">
        <v>1</v>
      </c>
      <c r="E100" s="258">
        <v>1</v>
      </c>
      <c r="F100" s="251"/>
      <c r="G100" s="251"/>
      <c r="H100" s="251"/>
      <c r="I100" s="251"/>
      <c r="J100" s="644"/>
      <c r="K100" s="644"/>
      <c r="L100" s="644"/>
      <c r="M100" s="644"/>
      <c r="N100" s="644"/>
      <c r="O100" s="644"/>
      <c r="P100" s="644"/>
      <c r="Q100" s="644"/>
      <c r="R100" s="644">
        <v>1</v>
      </c>
      <c r="S100" s="644"/>
      <c r="T100" s="644">
        <v>1</v>
      </c>
      <c r="U100" s="644">
        <v>1</v>
      </c>
      <c r="V100" s="644"/>
      <c r="W100" s="644"/>
      <c r="X100" s="644"/>
      <c r="Y100" s="644"/>
      <c r="Z100" s="644"/>
      <c r="AA100" s="644"/>
      <c r="AB100" s="644">
        <v>1</v>
      </c>
      <c r="AC100" s="644">
        <v>1</v>
      </c>
      <c r="AD100" s="644">
        <v>1</v>
      </c>
      <c r="AE100" s="644"/>
      <c r="AF100" s="644"/>
      <c r="AG100" s="644"/>
      <c r="AH100" s="644">
        <v>1</v>
      </c>
      <c r="AI100" s="644"/>
      <c r="AJ100" s="644">
        <v>1</v>
      </c>
      <c r="AK100" s="644"/>
      <c r="AL100" s="167">
        <v>10</v>
      </c>
      <c r="AM100" s="185" t="s">
        <v>1160</v>
      </c>
      <c r="AN100" s="186">
        <v>42010</v>
      </c>
      <c r="AO100" s="187"/>
      <c r="AP100" s="187">
        <f t="shared" si="148"/>
        <v>0</v>
      </c>
      <c r="AQ100" s="187">
        <f t="shared" si="149"/>
        <v>0</v>
      </c>
      <c r="AR100" s="187">
        <f t="shared" si="150"/>
        <v>13</v>
      </c>
      <c r="AS100" s="187">
        <f t="shared" si="151"/>
        <v>13</v>
      </c>
      <c r="AT100" s="187">
        <f t="shared" si="152"/>
        <v>9</v>
      </c>
      <c r="AU100" s="187">
        <f t="shared" si="153"/>
        <v>9</v>
      </c>
      <c r="AV100" s="187">
        <f t="shared" si="154"/>
        <v>9</v>
      </c>
      <c r="AW100" s="187">
        <f t="shared" si="155"/>
        <v>7</v>
      </c>
      <c r="AX100" s="187">
        <f t="shared" si="156"/>
        <v>7</v>
      </c>
      <c r="AY100" s="187">
        <f t="shared" si="157"/>
        <v>0</v>
      </c>
      <c r="AZ100" s="187">
        <f t="shared" si="158"/>
        <v>7</v>
      </c>
      <c r="BA100" s="187">
        <f t="shared" si="159"/>
        <v>7</v>
      </c>
      <c r="BB100" s="187">
        <f t="shared" si="160"/>
        <v>0</v>
      </c>
      <c r="BC100" s="187">
        <f t="shared" si="161"/>
        <v>4</v>
      </c>
      <c r="BD100" s="187">
        <f t="shared" si="162"/>
        <v>0</v>
      </c>
      <c r="BE100" s="187">
        <f t="shared" si="163"/>
        <v>0</v>
      </c>
      <c r="BF100" s="187">
        <f t="shared" si="164"/>
        <v>0</v>
      </c>
      <c r="BG100" s="187">
        <f t="shared" si="165"/>
        <v>0</v>
      </c>
      <c r="BH100" s="187">
        <f t="shared" si="166"/>
        <v>0</v>
      </c>
      <c r="BI100" s="187">
        <f t="shared" si="167"/>
        <v>0</v>
      </c>
      <c r="BJ100" s="187">
        <f t="shared" si="168"/>
        <v>0</v>
      </c>
      <c r="BK100" s="187">
        <f t="shared" si="169"/>
        <v>0</v>
      </c>
      <c r="BL100" s="187">
        <f t="shared" si="170"/>
        <v>0</v>
      </c>
      <c r="BM100" s="187">
        <f t="shared" si="171"/>
        <v>0</v>
      </c>
      <c r="BN100" s="188">
        <f t="shared" si="172"/>
        <v>0</v>
      </c>
      <c r="BO100" s="187">
        <f t="shared" si="173"/>
        <v>0</v>
      </c>
      <c r="BP100" s="187">
        <f t="shared" ref="BP100:BQ100" si="332">IF(G100=1,1,0)</f>
        <v>0</v>
      </c>
      <c r="BQ100" s="187">
        <f t="shared" si="332"/>
        <v>0</v>
      </c>
      <c r="BR100" s="187">
        <f t="shared" ref="BR100:BT100" si="333">IF(K100=1,1,0)</f>
        <v>0</v>
      </c>
      <c r="BS100" s="187">
        <f t="shared" si="333"/>
        <v>0</v>
      </c>
      <c r="BT100" s="187">
        <f t="shared" si="333"/>
        <v>0</v>
      </c>
      <c r="BU100" s="187">
        <f t="shared" ref="BU100:BV100" si="334">IF(P100=1,1,0)</f>
        <v>0</v>
      </c>
      <c r="BV100" s="187">
        <f t="shared" si="334"/>
        <v>0</v>
      </c>
      <c r="BW100" s="187">
        <f t="shared" si="177"/>
        <v>0</v>
      </c>
      <c r="BX100" s="187">
        <f t="shared" si="178"/>
        <v>0</v>
      </c>
      <c r="BY100" s="187">
        <f t="shared" si="179"/>
        <v>0</v>
      </c>
      <c r="BZ100" s="187">
        <f t="shared" si="180"/>
        <v>0</v>
      </c>
      <c r="CA100" s="167">
        <f t="shared" si="181"/>
        <v>85</v>
      </c>
      <c r="CB100" s="167">
        <f t="shared" si="47"/>
        <v>100</v>
      </c>
      <c r="CC100" s="644">
        <f t="shared" si="48"/>
        <v>23</v>
      </c>
      <c r="CD100" s="644">
        <f t="shared" si="49"/>
        <v>19</v>
      </c>
      <c r="CE100" s="644">
        <f t="shared" si="50"/>
        <v>15</v>
      </c>
      <c r="CF100" s="644">
        <f t="shared" si="51"/>
        <v>15</v>
      </c>
      <c r="CG100" s="644">
        <f t="shared" si="52"/>
        <v>9</v>
      </c>
      <c r="CH100" s="644">
        <f t="shared" si="123"/>
        <v>7</v>
      </c>
      <c r="CI100" s="644">
        <f t="shared" si="54"/>
        <v>7</v>
      </c>
      <c r="CJ100" s="644">
        <f t="shared" si="55"/>
        <v>5</v>
      </c>
      <c r="CK100" s="644">
        <f t="shared" si="56"/>
        <v>0</v>
      </c>
      <c r="CL100" s="644">
        <f t="shared" si="57"/>
        <v>0</v>
      </c>
      <c r="CM100" s="644">
        <f t="shared" si="58"/>
        <v>0</v>
      </c>
      <c r="CN100" s="644">
        <f t="shared" si="59"/>
        <v>3</v>
      </c>
      <c r="CO100" s="644">
        <f t="shared" si="60"/>
        <v>3</v>
      </c>
      <c r="CP100" s="644">
        <f t="shared" si="61"/>
        <v>0</v>
      </c>
      <c r="CQ100" s="644">
        <f t="shared" si="62"/>
        <v>0</v>
      </c>
      <c r="CR100" s="644">
        <f t="shared" si="63"/>
        <v>0</v>
      </c>
      <c r="CS100" s="644">
        <f t="shared" si="64"/>
        <v>0</v>
      </c>
      <c r="CT100" s="644">
        <f t="shared" si="65"/>
        <v>0</v>
      </c>
      <c r="CU100" s="644">
        <f t="shared" si="66"/>
        <v>0</v>
      </c>
      <c r="CV100" s="644">
        <f t="shared" si="67"/>
        <v>0</v>
      </c>
      <c r="CW100" s="644">
        <f t="shared" si="68"/>
        <v>0</v>
      </c>
      <c r="CX100" s="644">
        <f t="shared" si="69"/>
        <v>0</v>
      </c>
      <c r="CY100" s="644">
        <f t="shared" si="70"/>
        <v>0</v>
      </c>
      <c r="CZ100" s="624" t="s">
        <v>756</v>
      </c>
      <c r="DA100" s="257"/>
    </row>
    <row r="101" spans="1:105">
      <c r="A101" s="249" t="s">
        <v>228</v>
      </c>
      <c r="B101" s="187"/>
      <c r="C101" s="644"/>
      <c r="D101" s="644">
        <v>1</v>
      </c>
      <c r="E101" s="644">
        <v>1</v>
      </c>
      <c r="F101" s="251"/>
      <c r="G101" s="251"/>
      <c r="H101" s="251"/>
      <c r="I101" s="251"/>
      <c r="J101" s="644"/>
      <c r="K101" s="644"/>
      <c r="L101" s="644"/>
      <c r="M101" s="644"/>
      <c r="N101" s="644"/>
      <c r="O101" s="644"/>
      <c r="P101" s="644"/>
      <c r="Q101" s="644"/>
      <c r="R101" s="644">
        <v>1</v>
      </c>
      <c r="S101" s="644"/>
      <c r="T101" s="644">
        <v>1</v>
      </c>
      <c r="U101" s="644">
        <v>1</v>
      </c>
      <c r="V101" s="644"/>
      <c r="W101" s="644"/>
      <c r="X101" s="644"/>
      <c r="Y101" s="644"/>
      <c r="Z101" s="258">
        <v>1</v>
      </c>
      <c r="AA101" s="644"/>
      <c r="AB101" s="644">
        <v>1</v>
      </c>
      <c r="AC101" s="644">
        <v>1</v>
      </c>
      <c r="AD101" s="258">
        <v>1</v>
      </c>
      <c r="AE101" s="644"/>
      <c r="AF101" s="644"/>
      <c r="AG101" s="644"/>
      <c r="AH101" s="644">
        <v>1</v>
      </c>
      <c r="AI101" s="644"/>
      <c r="AJ101" s="644"/>
      <c r="AK101" s="644"/>
      <c r="AL101" s="167">
        <v>10</v>
      </c>
      <c r="AM101" s="185" t="s">
        <v>1161</v>
      </c>
      <c r="AN101" s="186">
        <v>42009</v>
      </c>
      <c r="AO101" s="187"/>
      <c r="AP101" s="187">
        <f t="shared" si="148"/>
        <v>0</v>
      </c>
      <c r="AQ101" s="187">
        <f t="shared" si="149"/>
        <v>0</v>
      </c>
      <c r="AR101" s="187">
        <f t="shared" si="150"/>
        <v>13</v>
      </c>
      <c r="AS101" s="187">
        <f t="shared" si="151"/>
        <v>13</v>
      </c>
      <c r="AT101" s="187">
        <f t="shared" si="152"/>
        <v>9</v>
      </c>
      <c r="AU101" s="187">
        <f t="shared" si="153"/>
        <v>9</v>
      </c>
      <c r="AV101" s="187">
        <f t="shared" si="154"/>
        <v>9</v>
      </c>
      <c r="AW101" s="187">
        <f t="shared" si="155"/>
        <v>0</v>
      </c>
      <c r="AX101" s="187">
        <f t="shared" si="156"/>
        <v>7</v>
      </c>
      <c r="AY101" s="187">
        <f t="shared" si="157"/>
        <v>7</v>
      </c>
      <c r="AZ101" s="187">
        <f t="shared" si="158"/>
        <v>7</v>
      </c>
      <c r="BA101" s="187">
        <f t="shared" si="159"/>
        <v>7</v>
      </c>
      <c r="BB101" s="187">
        <f t="shared" si="160"/>
        <v>0</v>
      </c>
      <c r="BC101" s="187">
        <f t="shared" si="161"/>
        <v>4</v>
      </c>
      <c r="BD101" s="187">
        <f t="shared" si="162"/>
        <v>0</v>
      </c>
      <c r="BE101" s="187">
        <f t="shared" si="163"/>
        <v>0</v>
      </c>
      <c r="BF101" s="187">
        <f t="shared" si="164"/>
        <v>0</v>
      </c>
      <c r="BG101" s="187">
        <f t="shared" si="165"/>
        <v>0</v>
      </c>
      <c r="BH101" s="187">
        <f t="shared" si="166"/>
        <v>0</v>
      </c>
      <c r="BI101" s="187">
        <f t="shared" si="167"/>
        <v>0</v>
      </c>
      <c r="BJ101" s="187">
        <f t="shared" si="168"/>
        <v>0</v>
      </c>
      <c r="BK101" s="187">
        <f t="shared" si="169"/>
        <v>0</v>
      </c>
      <c r="BL101" s="187">
        <f t="shared" si="170"/>
        <v>0</v>
      </c>
      <c r="BM101" s="187">
        <f t="shared" si="171"/>
        <v>0</v>
      </c>
      <c r="BN101" s="188">
        <f t="shared" si="172"/>
        <v>0</v>
      </c>
      <c r="BO101" s="187">
        <f t="shared" si="173"/>
        <v>0</v>
      </c>
      <c r="BP101" s="187">
        <f t="shared" ref="BP101:BQ101" si="335">IF(G101=1,1,0)</f>
        <v>0</v>
      </c>
      <c r="BQ101" s="187">
        <f t="shared" si="335"/>
        <v>0</v>
      </c>
      <c r="BR101" s="187">
        <f t="shared" ref="BR101:BT101" si="336">IF(K101=1,1,0)</f>
        <v>0</v>
      </c>
      <c r="BS101" s="187">
        <f t="shared" si="336"/>
        <v>0</v>
      </c>
      <c r="BT101" s="187">
        <f t="shared" si="336"/>
        <v>0</v>
      </c>
      <c r="BU101" s="187">
        <f t="shared" ref="BU101:BV101" si="337">IF(P101=1,1,0)</f>
        <v>0</v>
      </c>
      <c r="BV101" s="187">
        <f t="shared" si="337"/>
        <v>0</v>
      </c>
      <c r="BW101" s="187">
        <f t="shared" si="177"/>
        <v>0</v>
      </c>
      <c r="BX101" s="187">
        <f t="shared" si="178"/>
        <v>0</v>
      </c>
      <c r="BY101" s="187">
        <f t="shared" si="179"/>
        <v>0</v>
      </c>
      <c r="BZ101" s="187">
        <f t="shared" si="180"/>
        <v>0</v>
      </c>
      <c r="CA101" s="167">
        <f t="shared" si="181"/>
        <v>85</v>
      </c>
      <c r="CB101" s="167">
        <f t="shared" si="47"/>
        <v>100</v>
      </c>
      <c r="CC101" s="644">
        <f t="shared" si="48"/>
        <v>23</v>
      </c>
      <c r="CD101" s="644">
        <f t="shared" si="49"/>
        <v>19</v>
      </c>
      <c r="CE101" s="644">
        <f t="shared" si="50"/>
        <v>15</v>
      </c>
      <c r="CF101" s="644">
        <f t="shared" si="51"/>
        <v>15</v>
      </c>
      <c r="CG101" s="644">
        <f t="shared" si="52"/>
        <v>9</v>
      </c>
      <c r="CH101" s="644">
        <f t="shared" si="123"/>
        <v>7</v>
      </c>
      <c r="CI101" s="644">
        <f t="shared" si="54"/>
        <v>7</v>
      </c>
      <c r="CJ101" s="644">
        <f t="shared" si="55"/>
        <v>5</v>
      </c>
      <c r="CK101" s="644">
        <f t="shared" si="56"/>
        <v>0</v>
      </c>
      <c r="CL101" s="644">
        <f t="shared" si="57"/>
        <v>0</v>
      </c>
      <c r="CM101" s="644">
        <f t="shared" si="58"/>
        <v>0</v>
      </c>
      <c r="CN101" s="644">
        <f t="shared" si="59"/>
        <v>3</v>
      </c>
      <c r="CO101" s="644">
        <f t="shared" si="60"/>
        <v>0</v>
      </c>
      <c r="CP101" s="644">
        <f t="shared" si="61"/>
        <v>3</v>
      </c>
      <c r="CQ101" s="644">
        <f t="shared" si="62"/>
        <v>0</v>
      </c>
      <c r="CR101" s="644">
        <f t="shared" si="63"/>
        <v>0</v>
      </c>
      <c r="CS101" s="644">
        <f t="shared" si="64"/>
        <v>0</v>
      </c>
      <c r="CT101" s="644">
        <f t="shared" si="65"/>
        <v>0</v>
      </c>
      <c r="CU101" s="644">
        <f t="shared" si="66"/>
        <v>0</v>
      </c>
      <c r="CV101" s="644">
        <f t="shared" si="67"/>
        <v>0</v>
      </c>
      <c r="CW101" s="644">
        <f t="shared" si="68"/>
        <v>0</v>
      </c>
      <c r="CX101" s="644">
        <f t="shared" si="69"/>
        <v>0</v>
      </c>
      <c r="CY101" s="644">
        <f t="shared" si="70"/>
        <v>0</v>
      </c>
      <c r="CZ101" s="624" t="s">
        <v>841</v>
      </c>
      <c r="DA101" s="257"/>
    </row>
    <row r="102" spans="1:105">
      <c r="A102" s="249" t="s">
        <v>1162</v>
      </c>
      <c r="B102" s="187"/>
      <c r="C102" s="644"/>
      <c r="D102" s="644"/>
      <c r="E102" s="644"/>
      <c r="F102" s="251"/>
      <c r="G102" s="251"/>
      <c r="H102" s="251"/>
      <c r="I102" s="251"/>
      <c r="J102" s="644"/>
      <c r="K102" s="644"/>
      <c r="L102" s="644"/>
      <c r="M102" s="644"/>
      <c r="N102" s="644"/>
      <c r="O102" s="644"/>
      <c r="P102" s="644"/>
      <c r="Q102" s="644"/>
      <c r="R102" s="644">
        <v>1</v>
      </c>
      <c r="S102" s="644"/>
      <c r="T102" s="644"/>
      <c r="U102" s="644">
        <v>1</v>
      </c>
      <c r="V102" s="644"/>
      <c r="W102" s="644">
        <v>1</v>
      </c>
      <c r="X102" s="644"/>
      <c r="Y102" s="644"/>
      <c r="Z102" s="258">
        <v>1</v>
      </c>
      <c r="AA102" s="644"/>
      <c r="AB102" s="644"/>
      <c r="AC102" s="258">
        <v>1</v>
      </c>
      <c r="AD102" s="644">
        <v>1</v>
      </c>
      <c r="AE102" s="644"/>
      <c r="AF102" s="644"/>
      <c r="AG102" s="644"/>
      <c r="AH102" s="644">
        <v>1</v>
      </c>
      <c r="AI102" s="644"/>
      <c r="AJ102" s="644">
        <v>1</v>
      </c>
      <c r="AK102" s="644"/>
      <c r="AL102" s="167">
        <v>8</v>
      </c>
      <c r="AM102" s="187" t="s">
        <v>1137</v>
      </c>
      <c r="AN102" s="186">
        <v>41993</v>
      </c>
      <c r="AO102" s="187"/>
      <c r="AP102" s="187">
        <f t="shared" si="148"/>
        <v>0</v>
      </c>
      <c r="AQ102" s="187">
        <f t="shared" si="149"/>
        <v>0</v>
      </c>
      <c r="AR102" s="187">
        <f t="shared" si="150"/>
        <v>13</v>
      </c>
      <c r="AS102" s="187">
        <f t="shared" si="151"/>
        <v>13</v>
      </c>
      <c r="AT102" s="187">
        <f t="shared" si="152"/>
        <v>0</v>
      </c>
      <c r="AU102" s="187">
        <f t="shared" si="153"/>
        <v>0</v>
      </c>
      <c r="AV102" s="187">
        <f t="shared" si="154"/>
        <v>9</v>
      </c>
      <c r="AW102" s="187">
        <f t="shared" si="155"/>
        <v>7</v>
      </c>
      <c r="AX102" s="187">
        <f t="shared" si="156"/>
        <v>7</v>
      </c>
      <c r="AY102" s="187">
        <f t="shared" si="157"/>
        <v>7</v>
      </c>
      <c r="AZ102" s="187">
        <f t="shared" si="158"/>
        <v>7</v>
      </c>
      <c r="BA102" s="187">
        <f t="shared" si="159"/>
        <v>0</v>
      </c>
      <c r="BB102" s="187">
        <f t="shared" si="160"/>
        <v>0</v>
      </c>
      <c r="BC102" s="187">
        <f t="shared" si="161"/>
        <v>0</v>
      </c>
      <c r="BD102" s="187">
        <f t="shared" si="162"/>
        <v>0</v>
      </c>
      <c r="BE102" s="187">
        <f t="shared" si="163"/>
        <v>0</v>
      </c>
      <c r="BF102" s="187">
        <f t="shared" si="164"/>
        <v>3</v>
      </c>
      <c r="BG102" s="187">
        <f t="shared" si="165"/>
        <v>0</v>
      </c>
      <c r="BH102" s="187">
        <f t="shared" si="166"/>
        <v>0</v>
      </c>
      <c r="BI102" s="187">
        <f t="shared" si="167"/>
        <v>0</v>
      </c>
      <c r="BJ102" s="187">
        <f t="shared" si="168"/>
        <v>0</v>
      </c>
      <c r="BK102" s="187">
        <f t="shared" si="169"/>
        <v>0</v>
      </c>
      <c r="BL102" s="187">
        <f t="shared" si="170"/>
        <v>0</v>
      </c>
      <c r="BM102" s="187">
        <f t="shared" si="171"/>
        <v>0</v>
      </c>
      <c r="BN102" s="188">
        <f t="shared" si="172"/>
        <v>2</v>
      </c>
      <c r="BO102" s="187">
        <f t="shared" si="173"/>
        <v>0</v>
      </c>
      <c r="BP102" s="187">
        <f t="shared" ref="BP102:BQ102" si="338">IF(G102=1,1,0)</f>
        <v>0</v>
      </c>
      <c r="BQ102" s="187">
        <f t="shared" si="338"/>
        <v>0</v>
      </c>
      <c r="BR102" s="187">
        <f t="shared" ref="BR102:BT102" si="339">IF(K102=1,1,0)</f>
        <v>0</v>
      </c>
      <c r="BS102" s="187">
        <f t="shared" si="339"/>
        <v>0</v>
      </c>
      <c r="BT102" s="187">
        <f t="shared" si="339"/>
        <v>0</v>
      </c>
      <c r="BU102" s="187">
        <f t="shared" ref="BU102:BV102" si="340">IF(P102=1,1,0)</f>
        <v>0</v>
      </c>
      <c r="BV102" s="187">
        <f t="shared" si="340"/>
        <v>0</v>
      </c>
      <c r="BW102" s="187">
        <f t="shared" si="177"/>
        <v>0</v>
      </c>
      <c r="BX102" s="187">
        <f t="shared" si="178"/>
        <v>0</v>
      </c>
      <c r="BY102" s="187">
        <f t="shared" si="179"/>
        <v>2</v>
      </c>
      <c r="BZ102" s="187">
        <f t="shared" si="180"/>
        <v>-4</v>
      </c>
      <c r="CA102" s="167">
        <f t="shared" si="181"/>
        <v>62</v>
      </c>
      <c r="CB102" s="167">
        <f t="shared" si="47"/>
        <v>77</v>
      </c>
      <c r="CC102" s="644">
        <f t="shared" si="48"/>
        <v>23</v>
      </c>
      <c r="CD102" s="644">
        <f t="shared" si="49"/>
        <v>19</v>
      </c>
      <c r="CE102" s="644">
        <f t="shared" si="50"/>
        <v>15</v>
      </c>
      <c r="CF102" s="644">
        <f t="shared" si="51"/>
        <v>0</v>
      </c>
      <c r="CG102" s="644">
        <f t="shared" si="52"/>
        <v>0</v>
      </c>
      <c r="CH102" s="644">
        <f t="shared" si="123"/>
        <v>0</v>
      </c>
      <c r="CI102" s="644">
        <f t="shared" si="54"/>
        <v>7</v>
      </c>
      <c r="CJ102" s="644">
        <f t="shared" si="55"/>
        <v>5</v>
      </c>
      <c r="CK102" s="644">
        <f t="shared" si="56"/>
        <v>0</v>
      </c>
      <c r="CL102" s="644">
        <f t="shared" si="57"/>
        <v>0</v>
      </c>
      <c r="CM102" s="644">
        <f t="shared" si="58"/>
        <v>0</v>
      </c>
      <c r="CN102" s="644">
        <f t="shared" si="59"/>
        <v>0</v>
      </c>
      <c r="CO102" s="644">
        <f t="shared" si="60"/>
        <v>3</v>
      </c>
      <c r="CP102" s="644">
        <f t="shared" si="61"/>
        <v>3</v>
      </c>
      <c r="CQ102" s="644">
        <f t="shared" si="62"/>
        <v>0</v>
      </c>
      <c r="CR102" s="644">
        <f t="shared" si="63"/>
        <v>2</v>
      </c>
      <c r="CS102" s="644">
        <f t="shared" si="64"/>
        <v>0</v>
      </c>
      <c r="CT102" s="644">
        <f t="shared" si="65"/>
        <v>0</v>
      </c>
      <c r="CU102" s="644">
        <f t="shared" si="66"/>
        <v>0</v>
      </c>
      <c r="CV102" s="644">
        <f t="shared" si="67"/>
        <v>0</v>
      </c>
      <c r="CW102" s="644">
        <f t="shared" si="68"/>
        <v>0</v>
      </c>
      <c r="CX102" s="644">
        <f t="shared" si="69"/>
        <v>0</v>
      </c>
      <c r="CY102" s="644">
        <f t="shared" si="70"/>
        <v>0</v>
      </c>
      <c r="CZ102" s="624" t="s">
        <v>756</v>
      </c>
      <c r="DA102" s="257"/>
    </row>
    <row r="103" spans="1:105">
      <c r="A103" s="249" t="s">
        <v>231</v>
      </c>
      <c r="B103" s="187"/>
      <c r="C103" s="644"/>
      <c r="D103" s="644">
        <v>1</v>
      </c>
      <c r="E103" s="644">
        <v>1</v>
      </c>
      <c r="F103" s="251">
        <v>1</v>
      </c>
      <c r="G103" s="251"/>
      <c r="H103" s="251"/>
      <c r="I103" s="251">
        <v>1</v>
      </c>
      <c r="J103" s="644"/>
      <c r="K103" s="644"/>
      <c r="L103" s="644"/>
      <c r="M103" s="644"/>
      <c r="N103" s="644"/>
      <c r="O103" s="644"/>
      <c r="P103" s="644"/>
      <c r="Q103" s="644"/>
      <c r="R103" s="644">
        <v>1</v>
      </c>
      <c r="S103" s="644"/>
      <c r="T103" s="644"/>
      <c r="U103" s="644">
        <v>1</v>
      </c>
      <c r="V103" s="644"/>
      <c r="W103" s="644"/>
      <c r="X103" s="644"/>
      <c r="Y103" s="644"/>
      <c r="Z103" s="644"/>
      <c r="AA103" s="644"/>
      <c r="AB103" s="644">
        <v>1</v>
      </c>
      <c r="AC103" s="644"/>
      <c r="AD103" s="644"/>
      <c r="AE103" s="644"/>
      <c r="AF103" s="644"/>
      <c r="AG103" s="644"/>
      <c r="AH103" s="644">
        <v>1</v>
      </c>
      <c r="AI103" s="644"/>
      <c r="AJ103" s="644"/>
      <c r="AK103" s="644"/>
      <c r="AL103" s="167">
        <v>8</v>
      </c>
      <c r="AM103" s="185" t="s">
        <v>1163</v>
      </c>
      <c r="AN103" s="186">
        <v>41988</v>
      </c>
      <c r="AO103" s="187"/>
      <c r="AP103" s="187">
        <f t="shared" si="148"/>
        <v>13</v>
      </c>
      <c r="AQ103" s="187">
        <f t="shared" si="149"/>
        <v>13</v>
      </c>
      <c r="AR103" s="187">
        <f t="shared" si="150"/>
        <v>13</v>
      </c>
      <c r="AS103" s="187">
        <f t="shared" si="151"/>
        <v>13</v>
      </c>
      <c r="AT103" s="187">
        <f t="shared" si="152"/>
        <v>9</v>
      </c>
      <c r="AU103" s="187">
        <f t="shared" si="153"/>
        <v>9</v>
      </c>
      <c r="AV103" s="187">
        <f t="shared" si="154"/>
        <v>0</v>
      </c>
      <c r="AW103" s="187">
        <f t="shared" si="155"/>
        <v>0</v>
      </c>
      <c r="AX103" s="187">
        <f t="shared" si="156"/>
        <v>0</v>
      </c>
      <c r="AY103" s="187">
        <f t="shared" si="157"/>
        <v>0</v>
      </c>
      <c r="AZ103" s="187">
        <f t="shared" si="158"/>
        <v>7</v>
      </c>
      <c r="BA103" s="187">
        <f t="shared" si="159"/>
        <v>7</v>
      </c>
      <c r="BB103" s="187">
        <f t="shared" si="160"/>
        <v>0</v>
      </c>
      <c r="BC103" s="187">
        <f t="shared" si="161"/>
        <v>0</v>
      </c>
      <c r="BD103" s="187">
        <f t="shared" si="162"/>
        <v>0</v>
      </c>
      <c r="BE103" s="187">
        <f t="shared" si="163"/>
        <v>0</v>
      </c>
      <c r="BF103" s="187">
        <f t="shared" si="164"/>
        <v>0</v>
      </c>
      <c r="BG103" s="187">
        <f t="shared" si="165"/>
        <v>0</v>
      </c>
      <c r="BH103" s="187">
        <f t="shared" si="166"/>
        <v>0</v>
      </c>
      <c r="BI103" s="187">
        <f t="shared" si="167"/>
        <v>0</v>
      </c>
      <c r="BJ103" s="187">
        <f t="shared" si="168"/>
        <v>0</v>
      </c>
      <c r="BK103" s="187">
        <f t="shared" si="169"/>
        <v>0</v>
      </c>
      <c r="BL103" s="187">
        <f t="shared" si="170"/>
        <v>0</v>
      </c>
      <c r="BM103" s="187">
        <f t="shared" si="171"/>
        <v>0</v>
      </c>
      <c r="BN103" s="188">
        <f t="shared" si="172"/>
        <v>2</v>
      </c>
      <c r="BO103" s="187">
        <f t="shared" si="173"/>
        <v>0</v>
      </c>
      <c r="BP103" s="187">
        <f t="shared" ref="BP103:BQ103" si="341">IF(G103=1,1,0)</f>
        <v>0</v>
      </c>
      <c r="BQ103" s="187">
        <f t="shared" si="341"/>
        <v>0</v>
      </c>
      <c r="BR103" s="187">
        <f t="shared" ref="BR103:BT103" si="342">IF(K103=1,1,0)</f>
        <v>0</v>
      </c>
      <c r="BS103" s="187">
        <f t="shared" si="342"/>
        <v>0</v>
      </c>
      <c r="BT103" s="187">
        <f t="shared" si="342"/>
        <v>0</v>
      </c>
      <c r="BU103" s="187">
        <f t="shared" ref="BU103:BV103" si="343">IF(P103=1,1,0)</f>
        <v>0</v>
      </c>
      <c r="BV103" s="187">
        <f t="shared" si="343"/>
        <v>0</v>
      </c>
      <c r="BW103" s="187">
        <f t="shared" si="177"/>
        <v>0</v>
      </c>
      <c r="BX103" s="187">
        <f t="shared" si="178"/>
        <v>0</v>
      </c>
      <c r="BY103" s="187">
        <f t="shared" si="179"/>
        <v>2</v>
      </c>
      <c r="BZ103" s="187">
        <f t="shared" si="180"/>
        <v>-4</v>
      </c>
      <c r="CA103" s="167">
        <f t="shared" si="181"/>
        <v>80</v>
      </c>
      <c r="CB103" s="167">
        <f t="shared" si="47"/>
        <v>98</v>
      </c>
      <c r="CC103" s="644">
        <f t="shared" si="48"/>
        <v>23</v>
      </c>
      <c r="CD103" s="644">
        <f t="shared" si="49"/>
        <v>19</v>
      </c>
      <c r="CE103" s="644">
        <f t="shared" si="50"/>
        <v>15</v>
      </c>
      <c r="CF103" s="644">
        <f t="shared" si="51"/>
        <v>15</v>
      </c>
      <c r="CG103" s="644">
        <f t="shared" si="52"/>
        <v>9</v>
      </c>
      <c r="CH103" s="644">
        <f t="shared" si="123"/>
        <v>7</v>
      </c>
      <c r="CI103" s="644">
        <f t="shared" si="54"/>
        <v>0</v>
      </c>
      <c r="CJ103" s="644">
        <f t="shared" si="55"/>
        <v>0</v>
      </c>
      <c r="CK103" s="644">
        <f t="shared" si="56"/>
        <v>5</v>
      </c>
      <c r="CL103" s="644">
        <f t="shared" si="57"/>
        <v>5</v>
      </c>
      <c r="CM103" s="644">
        <f t="shared" si="58"/>
        <v>0</v>
      </c>
      <c r="CN103" s="644">
        <f t="shared" si="59"/>
        <v>0</v>
      </c>
      <c r="CO103" s="644">
        <f t="shared" si="60"/>
        <v>0</v>
      </c>
      <c r="CP103" s="644">
        <f t="shared" si="61"/>
        <v>0</v>
      </c>
      <c r="CQ103" s="644">
        <f t="shared" si="62"/>
        <v>0</v>
      </c>
      <c r="CR103" s="644">
        <f t="shared" si="63"/>
        <v>0</v>
      </c>
      <c r="CS103" s="644">
        <f t="shared" si="64"/>
        <v>0</v>
      </c>
      <c r="CT103" s="644">
        <f t="shared" si="65"/>
        <v>0</v>
      </c>
      <c r="CU103" s="644">
        <f t="shared" si="66"/>
        <v>0</v>
      </c>
      <c r="CV103" s="644">
        <f t="shared" si="67"/>
        <v>0</v>
      </c>
      <c r="CW103" s="644">
        <f t="shared" si="68"/>
        <v>0</v>
      </c>
      <c r="CX103" s="644">
        <f t="shared" si="69"/>
        <v>0</v>
      </c>
      <c r="CY103" s="644">
        <f t="shared" si="70"/>
        <v>0</v>
      </c>
      <c r="CZ103" s="624" t="s">
        <v>843</v>
      </c>
      <c r="DA103" s="257"/>
    </row>
    <row r="104" spans="1:105" ht="25.5">
      <c r="A104" s="249" t="s">
        <v>235</v>
      </c>
      <c r="B104" s="187"/>
      <c r="C104" s="644"/>
      <c r="D104" s="644"/>
      <c r="E104" s="644">
        <v>1</v>
      </c>
      <c r="F104" s="251"/>
      <c r="G104" s="251"/>
      <c r="H104" s="251"/>
      <c r="I104" s="251"/>
      <c r="J104" s="644"/>
      <c r="K104" s="644"/>
      <c r="L104" s="644"/>
      <c r="M104" s="644"/>
      <c r="N104" s="644"/>
      <c r="O104" s="644"/>
      <c r="P104" s="644"/>
      <c r="Q104" s="644"/>
      <c r="R104" s="644">
        <v>1</v>
      </c>
      <c r="S104" s="644"/>
      <c r="T104" s="644"/>
      <c r="U104" s="644">
        <v>1</v>
      </c>
      <c r="V104" s="644"/>
      <c r="W104" s="644"/>
      <c r="X104" s="644"/>
      <c r="Y104" s="644"/>
      <c r="Z104" s="644"/>
      <c r="AA104" s="644"/>
      <c r="AB104" s="644">
        <v>1</v>
      </c>
      <c r="AC104" s="644"/>
      <c r="AD104" s="644"/>
      <c r="AE104" s="644"/>
      <c r="AF104" s="644"/>
      <c r="AG104" s="644"/>
      <c r="AH104" s="644">
        <v>1</v>
      </c>
      <c r="AI104" s="644"/>
      <c r="AJ104" s="644"/>
      <c r="AK104" s="644"/>
      <c r="AL104" s="167">
        <v>5</v>
      </c>
      <c r="AM104" s="185" t="s">
        <v>1164</v>
      </c>
      <c r="AN104" s="186">
        <v>42009</v>
      </c>
      <c r="AO104" s="187"/>
      <c r="AP104" s="187">
        <f t="shared" si="148"/>
        <v>0</v>
      </c>
      <c r="AQ104" s="187">
        <f t="shared" si="149"/>
        <v>0</v>
      </c>
      <c r="AR104" s="187">
        <f t="shared" si="150"/>
        <v>13</v>
      </c>
      <c r="AS104" s="187">
        <f t="shared" si="151"/>
        <v>13</v>
      </c>
      <c r="AT104" s="187">
        <f t="shared" si="152"/>
        <v>9</v>
      </c>
      <c r="AU104" s="187">
        <f t="shared" si="153"/>
        <v>0</v>
      </c>
      <c r="AV104" s="187">
        <f t="shared" si="154"/>
        <v>0</v>
      </c>
      <c r="AW104" s="187">
        <f t="shared" si="155"/>
        <v>0</v>
      </c>
      <c r="AX104" s="187">
        <f t="shared" si="156"/>
        <v>0</v>
      </c>
      <c r="AY104" s="187">
        <f t="shared" si="157"/>
        <v>0</v>
      </c>
      <c r="AZ104" s="187">
        <f t="shared" si="158"/>
        <v>7</v>
      </c>
      <c r="BA104" s="187">
        <f t="shared" si="159"/>
        <v>7</v>
      </c>
      <c r="BB104" s="187">
        <f t="shared" si="160"/>
        <v>0</v>
      </c>
      <c r="BC104" s="187">
        <f t="shared" si="161"/>
        <v>0</v>
      </c>
      <c r="BD104" s="187">
        <f t="shared" si="162"/>
        <v>0</v>
      </c>
      <c r="BE104" s="187">
        <f t="shared" si="163"/>
        <v>0</v>
      </c>
      <c r="BF104" s="187">
        <f t="shared" si="164"/>
        <v>0</v>
      </c>
      <c r="BG104" s="187">
        <f t="shared" si="165"/>
        <v>0</v>
      </c>
      <c r="BH104" s="187">
        <f t="shared" si="166"/>
        <v>0</v>
      </c>
      <c r="BI104" s="187">
        <f t="shared" si="167"/>
        <v>0</v>
      </c>
      <c r="BJ104" s="187">
        <f t="shared" si="168"/>
        <v>0</v>
      </c>
      <c r="BK104" s="187">
        <f t="shared" si="169"/>
        <v>0</v>
      </c>
      <c r="BL104" s="187">
        <f t="shared" si="170"/>
        <v>0</v>
      </c>
      <c r="BM104" s="187">
        <f t="shared" si="171"/>
        <v>0</v>
      </c>
      <c r="BN104" s="188">
        <f t="shared" si="172"/>
        <v>5</v>
      </c>
      <c r="BO104" s="187">
        <f t="shared" si="173"/>
        <v>0</v>
      </c>
      <c r="BP104" s="187">
        <f t="shared" ref="BP104:BQ104" si="344">IF(G104=1,1,0)</f>
        <v>0</v>
      </c>
      <c r="BQ104" s="187">
        <f t="shared" si="344"/>
        <v>0</v>
      </c>
      <c r="BR104" s="187">
        <f t="shared" ref="BR104:BT104" si="345">IF(K104=1,1,0)</f>
        <v>0</v>
      </c>
      <c r="BS104" s="187">
        <f t="shared" si="345"/>
        <v>0</v>
      </c>
      <c r="BT104" s="187">
        <f t="shared" si="345"/>
        <v>0</v>
      </c>
      <c r="BU104" s="187">
        <f t="shared" ref="BU104:BV104" si="346">IF(P104=1,1,0)</f>
        <v>0</v>
      </c>
      <c r="BV104" s="187">
        <f t="shared" si="346"/>
        <v>0</v>
      </c>
      <c r="BW104" s="187">
        <f t="shared" si="177"/>
        <v>0</v>
      </c>
      <c r="BX104" s="187">
        <f t="shared" si="178"/>
        <v>0</v>
      </c>
      <c r="BY104" s="187">
        <f t="shared" si="179"/>
        <v>5</v>
      </c>
      <c r="BZ104" s="187">
        <f t="shared" si="180"/>
        <v>-25</v>
      </c>
      <c r="CA104" s="167">
        <f t="shared" si="181"/>
        <v>24</v>
      </c>
      <c r="CB104" s="167">
        <f t="shared" si="47"/>
        <v>88</v>
      </c>
      <c r="CC104" s="644">
        <f t="shared" si="48"/>
        <v>23</v>
      </c>
      <c r="CD104" s="644">
        <f t="shared" si="49"/>
        <v>19</v>
      </c>
      <c r="CE104" s="644">
        <f t="shared" si="50"/>
        <v>15</v>
      </c>
      <c r="CF104" s="644">
        <f t="shared" si="51"/>
        <v>15</v>
      </c>
      <c r="CG104" s="644">
        <f t="shared" si="52"/>
        <v>9</v>
      </c>
      <c r="CH104" s="644">
        <f t="shared" si="123"/>
        <v>7</v>
      </c>
      <c r="CI104" s="644">
        <f t="shared" si="54"/>
        <v>0</v>
      </c>
      <c r="CJ104" s="644">
        <f t="shared" si="55"/>
        <v>0</v>
      </c>
      <c r="CK104" s="644">
        <f t="shared" si="56"/>
        <v>0</v>
      </c>
      <c r="CL104" s="644">
        <f t="shared" si="57"/>
        <v>0</v>
      </c>
      <c r="CM104" s="644">
        <f t="shared" si="58"/>
        <v>0</v>
      </c>
      <c r="CN104" s="644">
        <f t="shared" si="59"/>
        <v>0</v>
      </c>
      <c r="CO104" s="644">
        <f t="shared" si="60"/>
        <v>0</v>
      </c>
      <c r="CP104" s="644">
        <f t="shared" si="61"/>
        <v>0</v>
      </c>
      <c r="CQ104" s="644">
        <f t="shared" si="62"/>
        <v>0</v>
      </c>
      <c r="CR104" s="644">
        <f t="shared" si="63"/>
        <v>0</v>
      </c>
      <c r="CS104" s="644">
        <f t="shared" si="64"/>
        <v>0</v>
      </c>
      <c r="CT104" s="644">
        <f t="shared" si="65"/>
        <v>0</v>
      </c>
      <c r="CU104" s="644">
        <f t="shared" si="66"/>
        <v>0</v>
      </c>
      <c r="CV104" s="644">
        <f t="shared" si="67"/>
        <v>0</v>
      </c>
      <c r="CW104" s="644">
        <f t="shared" si="68"/>
        <v>0</v>
      </c>
      <c r="CX104" s="644">
        <f t="shared" si="69"/>
        <v>0</v>
      </c>
      <c r="CY104" s="644">
        <f t="shared" si="70"/>
        <v>0</v>
      </c>
      <c r="CZ104" s="624" t="s">
        <v>756</v>
      </c>
      <c r="DA104" s="257"/>
    </row>
    <row r="105" spans="1:105">
      <c r="A105" s="249" t="s">
        <v>1165</v>
      </c>
      <c r="B105" s="187"/>
      <c r="C105" s="644"/>
      <c r="D105" s="644"/>
      <c r="E105" s="644">
        <v>1</v>
      </c>
      <c r="F105" s="251"/>
      <c r="G105" s="251"/>
      <c r="H105" s="251"/>
      <c r="I105" s="251"/>
      <c r="J105" s="644"/>
      <c r="K105" s="644"/>
      <c r="L105" s="644"/>
      <c r="M105" s="644"/>
      <c r="N105" s="644"/>
      <c r="O105" s="644"/>
      <c r="P105" s="644"/>
      <c r="Q105" s="644"/>
      <c r="R105" s="644">
        <v>1</v>
      </c>
      <c r="S105" s="644"/>
      <c r="T105" s="644">
        <v>1</v>
      </c>
      <c r="U105" s="644">
        <v>1</v>
      </c>
      <c r="V105" s="644">
        <v>1</v>
      </c>
      <c r="W105" s="644"/>
      <c r="X105" s="644"/>
      <c r="Y105" s="644"/>
      <c r="Z105" s="258">
        <v>1</v>
      </c>
      <c r="AA105" s="644"/>
      <c r="AB105" s="644"/>
      <c r="AC105" s="644">
        <v>1</v>
      </c>
      <c r="AD105" s="644"/>
      <c r="AE105" s="644"/>
      <c r="AF105" s="644"/>
      <c r="AG105" s="644">
        <v>1</v>
      </c>
      <c r="AH105" s="644">
        <v>1</v>
      </c>
      <c r="AI105" s="644"/>
      <c r="AJ105" s="644"/>
      <c r="AK105" s="644">
        <v>1</v>
      </c>
      <c r="AL105" s="167">
        <v>10</v>
      </c>
      <c r="AM105" s="185" t="s">
        <v>1148</v>
      </c>
      <c r="AN105" s="186">
        <v>42006</v>
      </c>
      <c r="AO105" s="187"/>
      <c r="AP105" s="187">
        <f t="shared" si="148"/>
        <v>0</v>
      </c>
      <c r="AQ105" s="187">
        <f t="shared" si="149"/>
        <v>0</v>
      </c>
      <c r="AR105" s="187">
        <f t="shared" si="150"/>
        <v>13</v>
      </c>
      <c r="AS105" s="187">
        <f t="shared" si="151"/>
        <v>13</v>
      </c>
      <c r="AT105" s="187">
        <f t="shared" si="152"/>
        <v>0</v>
      </c>
      <c r="AU105" s="187">
        <f t="shared" si="153"/>
        <v>0</v>
      </c>
      <c r="AV105" s="187">
        <f t="shared" si="154"/>
        <v>9</v>
      </c>
      <c r="AW105" s="187">
        <f t="shared" si="155"/>
        <v>0</v>
      </c>
      <c r="AX105" s="187">
        <f t="shared" si="156"/>
        <v>0</v>
      </c>
      <c r="AY105" s="187">
        <f t="shared" si="157"/>
        <v>7</v>
      </c>
      <c r="AZ105" s="187">
        <f t="shared" si="158"/>
        <v>7</v>
      </c>
      <c r="BA105" s="187">
        <f t="shared" si="159"/>
        <v>7</v>
      </c>
      <c r="BB105" s="187">
        <f t="shared" si="160"/>
        <v>4</v>
      </c>
      <c r="BC105" s="187">
        <f t="shared" si="161"/>
        <v>4</v>
      </c>
      <c r="BD105" s="187">
        <f t="shared" si="162"/>
        <v>0</v>
      </c>
      <c r="BE105" s="187">
        <f t="shared" si="163"/>
        <v>0</v>
      </c>
      <c r="BF105" s="187">
        <f t="shared" si="164"/>
        <v>0</v>
      </c>
      <c r="BG105" s="187">
        <f t="shared" si="165"/>
        <v>0</v>
      </c>
      <c r="BH105" s="187">
        <f t="shared" si="166"/>
        <v>0</v>
      </c>
      <c r="BI105" s="187">
        <f t="shared" si="167"/>
        <v>1</v>
      </c>
      <c r="BJ105" s="187">
        <f t="shared" si="168"/>
        <v>1</v>
      </c>
      <c r="BK105" s="187">
        <f t="shared" si="169"/>
        <v>0</v>
      </c>
      <c r="BL105" s="187">
        <f t="shared" si="170"/>
        <v>0</v>
      </c>
      <c r="BM105" s="187">
        <f t="shared" si="171"/>
        <v>0</v>
      </c>
      <c r="BN105" s="188">
        <f t="shared" si="172"/>
        <v>0</v>
      </c>
      <c r="BO105" s="187">
        <f t="shared" si="173"/>
        <v>0</v>
      </c>
      <c r="BP105" s="187">
        <f t="shared" ref="BP105:BQ105" si="347">IF(G105=1,1,0)</f>
        <v>0</v>
      </c>
      <c r="BQ105" s="187">
        <f t="shared" si="347"/>
        <v>0</v>
      </c>
      <c r="BR105" s="187">
        <f t="shared" ref="BR105:BT105" si="348">IF(K105=1,1,0)</f>
        <v>0</v>
      </c>
      <c r="BS105" s="187">
        <f t="shared" si="348"/>
        <v>0</v>
      </c>
      <c r="BT105" s="187">
        <f t="shared" si="348"/>
        <v>0</v>
      </c>
      <c r="BU105" s="187">
        <f t="shared" ref="BU105:BV105" si="349">IF(P105=1,1,0)</f>
        <v>0</v>
      </c>
      <c r="BV105" s="187">
        <f t="shared" si="349"/>
        <v>0</v>
      </c>
      <c r="BW105" s="187">
        <f t="shared" si="177"/>
        <v>0</v>
      </c>
      <c r="BX105" s="187">
        <f t="shared" si="178"/>
        <v>0</v>
      </c>
      <c r="BY105" s="187">
        <f t="shared" si="179"/>
        <v>0</v>
      </c>
      <c r="BZ105" s="187">
        <f t="shared" si="180"/>
        <v>0</v>
      </c>
      <c r="CA105" s="167">
        <f t="shared" si="181"/>
        <v>66</v>
      </c>
      <c r="CB105" s="167">
        <f t="shared" si="47"/>
        <v>92</v>
      </c>
      <c r="CC105" s="644">
        <f t="shared" si="48"/>
        <v>23</v>
      </c>
      <c r="CD105" s="644">
        <f t="shared" si="49"/>
        <v>19</v>
      </c>
      <c r="CE105" s="644">
        <f t="shared" si="50"/>
        <v>15</v>
      </c>
      <c r="CF105" s="644">
        <f t="shared" si="51"/>
        <v>15</v>
      </c>
      <c r="CG105" s="644">
        <f t="shared" si="52"/>
        <v>0</v>
      </c>
      <c r="CH105" s="644">
        <f t="shared" si="123"/>
        <v>7</v>
      </c>
      <c r="CI105" s="644">
        <f t="shared" si="54"/>
        <v>7</v>
      </c>
      <c r="CJ105" s="644">
        <f t="shared" si="55"/>
        <v>0</v>
      </c>
      <c r="CK105" s="644">
        <f t="shared" si="56"/>
        <v>0</v>
      </c>
      <c r="CL105" s="644">
        <f t="shared" si="57"/>
        <v>0</v>
      </c>
      <c r="CM105" s="644">
        <f t="shared" si="58"/>
        <v>3</v>
      </c>
      <c r="CN105" s="644">
        <f t="shared" si="59"/>
        <v>3</v>
      </c>
      <c r="CO105" s="644">
        <f t="shared" si="60"/>
        <v>0</v>
      </c>
      <c r="CP105" s="644">
        <f t="shared" si="61"/>
        <v>3</v>
      </c>
      <c r="CQ105" s="644">
        <f t="shared" si="62"/>
        <v>0</v>
      </c>
      <c r="CR105" s="644">
        <f t="shared" si="63"/>
        <v>0</v>
      </c>
      <c r="CS105" s="644">
        <f t="shared" si="64"/>
        <v>2</v>
      </c>
      <c r="CT105" s="644">
        <f t="shared" si="65"/>
        <v>0</v>
      </c>
      <c r="CU105" s="644">
        <f t="shared" si="66"/>
        <v>0</v>
      </c>
      <c r="CV105" s="644">
        <f t="shared" si="67"/>
        <v>1</v>
      </c>
      <c r="CW105" s="644">
        <f t="shared" si="68"/>
        <v>0</v>
      </c>
      <c r="CX105" s="644">
        <f t="shared" si="69"/>
        <v>0</v>
      </c>
      <c r="CY105" s="644">
        <f t="shared" si="70"/>
        <v>0</v>
      </c>
      <c r="CZ105" s="624" t="s">
        <v>814</v>
      </c>
      <c r="DA105" s="257"/>
    </row>
    <row r="106" spans="1:105">
      <c r="A106" s="249" t="s">
        <v>581</v>
      </c>
      <c r="B106" s="187"/>
      <c r="C106" s="644"/>
      <c r="D106" s="250"/>
      <c r="E106" s="644">
        <v>1</v>
      </c>
      <c r="F106" s="251">
        <v>1</v>
      </c>
      <c r="G106" s="251"/>
      <c r="H106" s="251"/>
      <c r="I106" s="251">
        <v>1</v>
      </c>
      <c r="J106" s="644"/>
      <c r="K106" s="644"/>
      <c r="L106" s="644"/>
      <c r="M106" s="644"/>
      <c r="N106" s="644"/>
      <c r="O106" s="644"/>
      <c r="P106" s="644"/>
      <c r="Q106" s="644"/>
      <c r="R106" s="644">
        <v>1</v>
      </c>
      <c r="S106" s="644"/>
      <c r="T106" s="644"/>
      <c r="U106" s="644">
        <v>1</v>
      </c>
      <c r="V106" s="644">
        <v>1</v>
      </c>
      <c r="W106" s="644"/>
      <c r="X106" s="644"/>
      <c r="Y106" s="644"/>
      <c r="Z106" s="250"/>
      <c r="AA106" s="644"/>
      <c r="AB106" s="644"/>
      <c r="AC106" s="644">
        <v>1</v>
      </c>
      <c r="AD106" s="644"/>
      <c r="AE106" s="644"/>
      <c r="AF106" s="644"/>
      <c r="AG106" s="644"/>
      <c r="AH106" s="644">
        <v>1</v>
      </c>
      <c r="AI106" s="644"/>
      <c r="AJ106" s="644"/>
      <c r="AK106" s="644"/>
      <c r="AL106" s="167">
        <v>10</v>
      </c>
      <c r="AM106" s="185" t="s">
        <v>1166</v>
      </c>
      <c r="AN106" s="186">
        <v>41992</v>
      </c>
      <c r="AO106" s="187"/>
      <c r="AP106" s="187">
        <f t="shared" si="148"/>
        <v>13</v>
      </c>
      <c r="AQ106" s="187">
        <f t="shared" si="149"/>
        <v>13</v>
      </c>
      <c r="AR106" s="187">
        <f t="shared" si="150"/>
        <v>13</v>
      </c>
      <c r="AS106" s="187">
        <f t="shared" si="151"/>
        <v>13</v>
      </c>
      <c r="AT106" s="187">
        <f t="shared" si="152"/>
        <v>0</v>
      </c>
      <c r="AU106" s="187">
        <f t="shared" si="153"/>
        <v>0</v>
      </c>
      <c r="AV106" s="187">
        <f t="shared" si="154"/>
        <v>9</v>
      </c>
      <c r="AW106" s="187">
        <f t="shared" si="155"/>
        <v>0</v>
      </c>
      <c r="AX106" s="187">
        <f t="shared" si="156"/>
        <v>0</v>
      </c>
      <c r="AY106" s="187">
        <f t="shared" si="157"/>
        <v>0</v>
      </c>
      <c r="AZ106" s="187">
        <f t="shared" si="158"/>
        <v>7</v>
      </c>
      <c r="BA106" s="187">
        <f t="shared" si="159"/>
        <v>7</v>
      </c>
      <c r="BB106" s="187">
        <f t="shared" si="160"/>
        <v>0</v>
      </c>
      <c r="BC106" s="187">
        <f t="shared" si="161"/>
        <v>0</v>
      </c>
      <c r="BD106" s="187">
        <f t="shared" si="162"/>
        <v>0</v>
      </c>
      <c r="BE106" s="187">
        <f t="shared" si="163"/>
        <v>0</v>
      </c>
      <c r="BF106" s="187">
        <f t="shared" si="164"/>
        <v>0</v>
      </c>
      <c r="BG106" s="187">
        <f t="shared" si="165"/>
        <v>0</v>
      </c>
      <c r="BH106" s="187">
        <f t="shared" si="166"/>
        <v>0</v>
      </c>
      <c r="BI106" s="187">
        <f t="shared" si="167"/>
        <v>1</v>
      </c>
      <c r="BJ106" s="187">
        <f t="shared" si="168"/>
        <v>0</v>
      </c>
      <c r="BK106" s="187">
        <f t="shared" si="169"/>
        <v>0</v>
      </c>
      <c r="BL106" s="187">
        <f t="shared" si="170"/>
        <v>0</v>
      </c>
      <c r="BM106" s="187">
        <f t="shared" si="171"/>
        <v>0</v>
      </c>
      <c r="BN106" s="188">
        <f t="shared" si="172"/>
        <v>0</v>
      </c>
      <c r="BO106" s="187">
        <f t="shared" si="173"/>
        <v>0</v>
      </c>
      <c r="BP106" s="187">
        <f t="shared" ref="BP106:BQ106" si="350">IF(G106=1,1,0)</f>
        <v>0</v>
      </c>
      <c r="BQ106" s="187">
        <f t="shared" si="350"/>
        <v>0</v>
      </c>
      <c r="BR106" s="187">
        <f t="shared" ref="BR106:BT106" si="351">IF(K106=1,1,0)</f>
        <v>0</v>
      </c>
      <c r="BS106" s="187">
        <f t="shared" si="351"/>
        <v>0</v>
      </c>
      <c r="BT106" s="187">
        <f t="shared" si="351"/>
        <v>0</v>
      </c>
      <c r="BU106" s="187">
        <f t="shared" ref="BU106:BV106" si="352">IF(P106=1,1,0)</f>
        <v>0</v>
      </c>
      <c r="BV106" s="187">
        <f t="shared" si="352"/>
        <v>0</v>
      </c>
      <c r="BW106" s="187">
        <f t="shared" si="177"/>
        <v>0</v>
      </c>
      <c r="BX106" s="187">
        <f t="shared" si="178"/>
        <v>0</v>
      </c>
      <c r="BY106" s="187">
        <f t="shared" si="179"/>
        <v>0</v>
      </c>
      <c r="BZ106" s="187">
        <f t="shared" si="180"/>
        <v>0</v>
      </c>
      <c r="CA106" s="167">
        <f t="shared" si="181"/>
        <v>76</v>
      </c>
      <c r="CB106" s="167">
        <f t="shared" si="47"/>
        <v>96</v>
      </c>
      <c r="CC106" s="644">
        <f t="shared" si="48"/>
        <v>23</v>
      </c>
      <c r="CD106" s="644">
        <f t="shared" si="49"/>
        <v>19</v>
      </c>
      <c r="CE106" s="644">
        <f t="shared" si="50"/>
        <v>15</v>
      </c>
      <c r="CF106" s="644">
        <f t="shared" si="51"/>
        <v>15</v>
      </c>
      <c r="CG106" s="644">
        <f t="shared" si="52"/>
        <v>0</v>
      </c>
      <c r="CH106" s="644">
        <f t="shared" si="123"/>
        <v>7</v>
      </c>
      <c r="CI106" s="644">
        <f t="shared" si="54"/>
        <v>7</v>
      </c>
      <c r="CJ106" s="644">
        <f t="shared" si="55"/>
        <v>0</v>
      </c>
      <c r="CK106" s="644">
        <f t="shared" si="56"/>
        <v>5</v>
      </c>
      <c r="CL106" s="644">
        <f t="shared" si="57"/>
        <v>5</v>
      </c>
      <c r="CM106" s="644">
        <f t="shared" si="58"/>
        <v>0</v>
      </c>
      <c r="CN106" s="644">
        <f t="shared" si="59"/>
        <v>0</v>
      </c>
      <c r="CO106" s="644">
        <f t="shared" si="60"/>
        <v>0</v>
      </c>
      <c r="CP106" s="644">
        <f t="shared" si="61"/>
        <v>0</v>
      </c>
      <c r="CQ106" s="644">
        <f t="shared" si="62"/>
        <v>0</v>
      </c>
      <c r="CR106" s="644">
        <f t="shared" si="63"/>
        <v>0</v>
      </c>
      <c r="CS106" s="644">
        <f t="shared" si="64"/>
        <v>0</v>
      </c>
      <c r="CT106" s="644">
        <f t="shared" si="65"/>
        <v>0</v>
      </c>
      <c r="CU106" s="644">
        <f t="shared" si="66"/>
        <v>0</v>
      </c>
      <c r="CV106" s="644">
        <f t="shared" si="67"/>
        <v>1</v>
      </c>
      <c r="CW106" s="644">
        <f t="shared" si="68"/>
        <v>0</v>
      </c>
      <c r="CX106" s="644">
        <f t="shared" si="69"/>
        <v>0</v>
      </c>
      <c r="CY106" s="644">
        <f t="shared" si="70"/>
        <v>0</v>
      </c>
      <c r="CZ106" s="624" t="s">
        <v>1167</v>
      </c>
      <c r="DA106" s="257"/>
    </row>
    <row r="107" spans="1:105">
      <c r="A107" s="249" t="s">
        <v>236</v>
      </c>
      <c r="B107" s="187"/>
      <c r="C107" s="644"/>
      <c r="D107" s="644"/>
      <c r="E107" s="644">
        <v>1</v>
      </c>
      <c r="F107" s="251">
        <v>1</v>
      </c>
      <c r="G107" s="251"/>
      <c r="H107" s="251"/>
      <c r="I107" s="251">
        <v>1</v>
      </c>
      <c r="J107" s="644"/>
      <c r="K107" s="644"/>
      <c r="L107" s="644"/>
      <c r="M107" s="644"/>
      <c r="N107" s="644"/>
      <c r="O107" s="644"/>
      <c r="P107" s="644"/>
      <c r="Q107" s="644"/>
      <c r="R107" s="644">
        <v>1</v>
      </c>
      <c r="S107" s="644"/>
      <c r="T107" s="644">
        <v>1</v>
      </c>
      <c r="U107" s="644">
        <v>1</v>
      </c>
      <c r="V107" s="644"/>
      <c r="W107" s="644"/>
      <c r="X107" s="644"/>
      <c r="Y107" s="644"/>
      <c r="Z107" s="258">
        <v>1</v>
      </c>
      <c r="AA107" s="644"/>
      <c r="AB107" s="644">
        <v>1</v>
      </c>
      <c r="AC107" s="258">
        <v>1</v>
      </c>
      <c r="AD107" s="644"/>
      <c r="AE107" s="644"/>
      <c r="AF107" s="644"/>
      <c r="AG107" s="644"/>
      <c r="AH107" s="644">
        <v>1</v>
      </c>
      <c r="AI107" s="644"/>
      <c r="AJ107" s="644"/>
      <c r="AK107" s="644"/>
      <c r="AL107" s="167">
        <v>10</v>
      </c>
      <c r="AM107" s="185" t="s">
        <v>1168</v>
      </c>
      <c r="AN107" s="186">
        <v>42005</v>
      </c>
      <c r="AO107" s="187"/>
      <c r="AP107" s="187">
        <f t="shared" si="148"/>
        <v>13</v>
      </c>
      <c r="AQ107" s="187">
        <f t="shared" si="149"/>
        <v>13</v>
      </c>
      <c r="AR107" s="187">
        <f t="shared" si="150"/>
        <v>13</v>
      </c>
      <c r="AS107" s="187">
        <f t="shared" si="151"/>
        <v>13</v>
      </c>
      <c r="AT107" s="187">
        <f t="shared" si="152"/>
        <v>9</v>
      </c>
      <c r="AU107" s="187">
        <f t="shared" si="153"/>
        <v>0</v>
      </c>
      <c r="AV107" s="187">
        <f t="shared" si="154"/>
        <v>9</v>
      </c>
      <c r="AW107" s="187">
        <f t="shared" si="155"/>
        <v>0</v>
      </c>
      <c r="AX107" s="187">
        <f t="shared" si="156"/>
        <v>0</v>
      </c>
      <c r="AY107" s="187">
        <f t="shared" si="157"/>
        <v>7</v>
      </c>
      <c r="AZ107" s="187">
        <f t="shared" si="158"/>
        <v>7</v>
      </c>
      <c r="BA107" s="187">
        <f t="shared" si="159"/>
        <v>7</v>
      </c>
      <c r="BB107" s="187">
        <f t="shared" si="160"/>
        <v>0</v>
      </c>
      <c r="BC107" s="187">
        <f t="shared" si="161"/>
        <v>4</v>
      </c>
      <c r="BD107" s="187">
        <f t="shared" si="162"/>
        <v>0</v>
      </c>
      <c r="BE107" s="187">
        <f t="shared" si="163"/>
        <v>0</v>
      </c>
      <c r="BF107" s="187">
        <f t="shared" si="164"/>
        <v>0</v>
      </c>
      <c r="BG107" s="187">
        <f t="shared" si="165"/>
        <v>0</v>
      </c>
      <c r="BH107" s="187">
        <f t="shared" si="166"/>
        <v>0</v>
      </c>
      <c r="BI107" s="187">
        <f t="shared" si="167"/>
        <v>0</v>
      </c>
      <c r="BJ107" s="187">
        <f t="shared" si="168"/>
        <v>0</v>
      </c>
      <c r="BK107" s="187">
        <f t="shared" si="169"/>
        <v>0</v>
      </c>
      <c r="BL107" s="187">
        <f t="shared" si="170"/>
        <v>0</v>
      </c>
      <c r="BM107" s="187">
        <f t="shared" si="171"/>
        <v>0</v>
      </c>
      <c r="BN107" s="188">
        <f t="shared" si="172"/>
        <v>0</v>
      </c>
      <c r="BO107" s="187">
        <f t="shared" si="173"/>
        <v>0</v>
      </c>
      <c r="BP107" s="187">
        <f t="shared" ref="BP107:BQ107" si="353">IF(G107=1,1,0)</f>
        <v>0</v>
      </c>
      <c r="BQ107" s="187">
        <f t="shared" si="353"/>
        <v>0</v>
      </c>
      <c r="BR107" s="187">
        <f t="shared" ref="BR107:BT107" si="354">IF(K107=1,1,0)</f>
        <v>0</v>
      </c>
      <c r="BS107" s="187">
        <f t="shared" si="354"/>
        <v>0</v>
      </c>
      <c r="BT107" s="187">
        <f t="shared" si="354"/>
        <v>0</v>
      </c>
      <c r="BU107" s="187">
        <f t="shared" ref="BU107:BV107" si="355">IF(P107=1,1,0)</f>
        <v>0</v>
      </c>
      <c r="BV107" s="187">
        <f t="shared" si="355"/>
        <v>0</v>
      </c>
      <c r="BW107" s="187">
        <f t="shared" si="177"/>
        <v>0</v>
      </c>
      <c r="BX107" s="187">
        <f t="shared" si="178"/>
        <v>0</v>
      </c>
      <c r="BY107" s="187">
        <f t="shared" si="179"/>
        <v>0</v>
      </c>
      <c r="BZ107" s="187">
        <f t="shared" si="180"/>
        <v>0</v>
      </c>
      <c r="CA107" s="167">
        <f t="shared" si="181"/>
        <v>95</v>
      </c>
      <c r="CB107" s="167">
        <f t="shared" si="47"/>
        <v>98</v>
      </c>
      <c r="CC107" s="644">
        <f t="shared" si="48"/>
        <v>23</v>
      </c>
      <c r="CD107" s="644">
        <f t="shared" si="49"/>
        <v>19</v>
      </c>
      <c r="CE107" s="644">
        <f t="shared" si="50"/>
        <v>15</v>
      </c>
      <c r="CF107" s="644">
        <f t="shared" si="51"/>
        <v>15</v>
      </c>
      <c r="CG107" s="644">
        <f t="shared" si="52"/>
        <v>9</v>
      </c>
      <c r="CH107" s="644">
        <f t="shared" si="123"/>
        <v>0</v>
      </c>
      <c r="CI107" s="644">
        <f t="shared" si="54"/>
        <v>7</v>
      </c>
      <c r="CJ107" s="644">
        <f t="shared" si="55"/>
        <v>0</v>
      </c>
      <c r="CK107" s="644">
        <f t="shared" si="56"/>
        <v>5</v>
      </c>
      <c r="CL107" s="644">
        <f t="shared" si="57"/>
        <v>5</v>
      </c>
      <c r="CM107" s="644">
        <f t="shared" si="58"/>
        <v>0</v>
      </c>
      <c r="CN107" s="644">
        <f t="shared" si="59"/>
        <v>3</v>
      </c>
      <c r="CO107" s="644">
        <f t="shared" si="60"/>
        <v>0</v>
      </c>
      <c r="CP107" s="644">
        <f t="shared" si="61"/>
        <v>3</v>
      </c>
      <c r="CQ107" s="644">
        <f t="shared" si="62"/>
        <v>0</v>
      </c>
      <c r="CR107" s="644">
        <f t="shared" si="63"/>
        <v>0</v>
      </c>
      <c r="CS107" s="644">
        <f t="shared" si="64"/>
        <v>0</v>
      </c>
      <c r="CT107" s="644">
        <f t="shared" si="65"/>
        <v>0</v>
      </c>
      <c r="CU107" s="644">
        <f t="shared" si="66"/>
        <v>0</v>
      </c>
      <c r="CV107" s="644">
        <f t="shared" si="67"/>
        <v>0</v>
      </c>
      <c r="CW107" s="644">
        <f t="shared" si="68"/>
        <v>0</v>
      </c>
      <c r="CX107" s="644">
        <f t="shared" si="69"/>
        <v>0</v>
      </c>
      <c r="CY107" s="644">
        <f t="shared" si="70"/>
        <v>0</v>
      </c>
      <c r="CZ107" s="624" t="s">
        <v>756</v>
      </c>
      <c r="DA107" s="257"/>
    </row>
    <row r="108" spans="1:105">
      <c r="A108" s="249" t="s">
        <v>978</v>
      </c>
      <c r="B108" s="187"/>
      <c r="C108" s="644"/>
      <c r="D108" s="644"/>
      <c r="E108" s="644">
        <v>1</v>
      </c>
      <c r="F108" s="251"/>
      <c r="G108" s="251"/>
      <c r="H108" s="251"/>
      <c r="I108" s="251"/>
      <c r="J108" s="644"/>
      <c r="K108" s="644"/>
      <c r="L108" s="644"/>
      <c r="M108" s="644"/>
      <c r="N108" s="644"/>
      <c r="O108" s="644"/>
      <c r="P108" s="644"/>
      <c r="Q108" s="644"/>
      <c r="R108" s="644">
        <v>1</v>
      </c>
      <c r="S108" s="644"/>
      <c r="T108" s="644"/>
      <c r="U108" s="644">
        <v>1</v>
      </c>
      <c r="V108" s="644"/>
      <c r="W108" s="644"/>
      <c r="X108" s="644"/>
      <c r="Y108" s="644"/>
      <c r="Z108" s="644"/>
      <c r="AA108" s="644"/>
      <c r="AB108" s="644">
        <v>1</v>
      </c>
      <c r="AC108" s="644"/>
      <c r="AD108" s="644"/>
      <c r="AE108" s="644"/>
      <c r="AF108" s="644"/>
      <c r="AG108" s="644"/>
      <c r="AH108" s="644"/>
      <c r="AI108" s="644"/>
      <c r="AJ108" s="644"/>
      <c r="AK108" s="644"/>
      <c r="AL108" s="167">
        <v>4</v>
      </c>
      <c r="AM108" s="185" t="s">
        <v>1169</v>
      </c>
      <c r="AN108" s="186">
        <v>42010</v>
      </c>
      <c r="AO108" s="187"/>
      <c r="AP108" s="187">
        <f t="shared" si="148"/>
        <v>0</v>
      </c>
      <c r="AQ108" s="187">
        <f t="shared" si="149"/>
        <v>0</v>
      </c>
      <c r="AR108" s="187">
        <f t="shared" si="150"/>
        <v>13</v>
      </c>
      <c r="AS108" s="187">
        <f t="shared" si="151"/>
        <v>13</v>
      </c>
      <c r="AT108" s="187">
        <f t="shared" si="152"/>
        <v>9</v>
      </c>
      <c r="AU108" s="187">
        <f t="shared" si="153"/>
        <v>0</v>
      </c>
      <c r="AV108" s="187">
        <f t="shared" si="154"/>
        <v>0</v>
      </c>
      <c r="AW108" s="187">
        <f t="shared" si="155"/>
        <v>0</v>
      </c>
      <c r="AX108" s="187">
        <f t="shared" si="156"/>
        <v>0</v>
      </c>
      <c r="AY108" s="187">
        <f t="shared" si="157"/>
        <v>0</v>
      </c>
      <c r="AZ108" s="187">
        <f t="shared" si="158"/>
        <v>0</v>
      </c>
      <c r="BA108" s="187">
        <f t="shared" si="159"/>
        <v>7</v>
      </c>
      <c r="BB108" s="187">
        <f t="shared" si="160"/>
        <v>0</v>
      </c>
      <c r="BC108" s="187">
        <f t="shared" si="161"/>
        <v>0</v>
      </c>
      <c r="BD108" s="187">
        <f t="shared" si="162"/>
        <v>0</v>
      </c>
      <c r="BE108" s="187">
        <f t="shared" si="163"/>
        <v>0</v>
      </c>
      <c r="BF108" s="187">
        <f t="shared" si="164"/>
        <v>0</v>
      </c>
      <c r="BG108" s="187">
        <f t="shared" si="165"/>
        <v>0</v>
      </c>
      <c r="BH108" s="187">
        <f t="shared" si="166"/>
        <v>0</v>
      </c>
      <c r="BI108" s="187">
        <f t="shared" si="167"/>
        <v>0</v>
      </c>
      <c r="BJ108" s="187">
        <f t="shared" si="168"/>
        <v>0</v>
      </c>
      <c r="BK108" s="187">
        <f t="shared" si="169"/>
        <v>0</v>
      </c>
      <c r="BL108" s="187">
        <f t="shared" si="170"/>
        <v>0</v>
      </c>
      <c r="BM108" s="187">
        <f t="shared" si="171"/>
        <v>0</v>
      </c>
      <c r="BN108" s="188">
        <f t="shared" si="172"/>
        <v>6</v>
      </c>
      <c r="BO108" s="187">
        <f t="shared" si="173"/>
        <v>0</v>
      </c>
      <c r="BP108" s="187">
        <f t="shared" ref="BP108:BQ108" si="356">IF(G108=1,1,0)</f>
        <v>0</v>
      </c>
      <c r="BQ108" s="187">
        <f t="shared" si="356"/>
        <v>0</v>
      </c>
      <c r="BR108" s="187">
        <f t="shared" ref="BR108:BT108" si="357">IF(K108=1,1,0)</f>
        <v>0</v>
      </c>
      <c r="BS108" s="187">
        <f t="shared" si="357"/>
        <v>0</v>
      </c>
      <c r="BT108" s="187">
        <f t="shared" si="357"/>
        <v>0</v>
      </c>
      <c r="BU108" s="187">
        <f t="shared" ref="BU108:BV108" si="358">IF(P108=1,1,0)</f>
        <v>0</v>
      </c>
      <c r="BV108" s="187">
        <f t="shared" si="358"/>
        <v>0</v>
      </c>
      <c r="BW108" s="187">
        <f t="shared" si="177"/>
        <v>0</v>
      </c>
      <c r="BX108" s="187">
        <f t="shared" si="178"/>
        <v>0</v>
      </c>
      <c r="BY108" s="187">
        <f t="shared" si="179"/>
        <v>6</v>
      </c>
      <c r="BZ108" s="187">
        <f t="shared" si="180"/>
        <v>-36</v>
      </c>
      <c r="CA108" s="167">
        <f t="shared" si="181"/>
        <v>6</v>
      </c>
      <c r="CB108" s="167">
        <f t="shared" si="47"/>
        <v>66</v>
      </c>
      <c r="CC108" s="644">
        <f t="shared" si="48"/>
        <v>23</v>
      </c>
      <c r="CD108" s="644">
        <f t="shared" si="49"/>
        <v>19</v>
      </c>
      <c r="CE108" s="644">
        <f t="shared" si="50"/>
        <v>0</v>
      </c>
      <c r="CF108" s="644">
        <f t="shared" si="51"/>
        <v>15</v>
      </c>
      <c r="CG108" s="644">
        <f t="shared" si="52"/>
        <v>9</v>
      </c>
      <c r="CH108" s="644">
        <f t="shared" si="123"/>
        <v>0</v>
      </c>
      <c r="CI108" s="644">
        <f t="shared" si="54"/>
        <v>0</v>
      </c>
      <c r="CJ108" s="644">
        <f t="shared" si="55"/>
        <v>0</v>
      </c>
      <c r="CK108" s="644">
        <f t="shared" si="56"/>
        <v>0</v>
      </c>
      <c r="CL108" s="644">
        <f t="shared" si="57"/>
        <v>0</v>
      </c>
      <c r="CM108" s="644">
        <f t="shared" si="58"/>
        <v>0</v>
      </c>
      <c r="CN108" s="644">
        <f t="shared" si="59"/>
        <v>0</v>
      </c>
      <c r="CO108" s="644">
        <f t="shared" si="60"/>
        <v>0</v>
      </c>
      <c r="CP108" s="644">
        <f t="shared" si="61"/>
        <v>0</v>
      </c>
      <c r="CQ108" s="644">
        <f t="shared" si="62"/>
        <v>0</v>
      </c>
      <c r="CR108" s="644">
        <f t="shared" si="63"/>
        <v>0</v>
      </c>
      <c r="CS108" s="644">
        <f t="shared" si="64"/>
        <v>0</v>
      </c>
      <c r="CT108" s="644">
        <f t="shared" si="65"/>
        <v>0</v>
      </c>
      <c r="CU108" s="644">
        <f t="shared" si="66"/>
        <v>0</v>
      </c>
      <c r="CV108" s="644">
        <f t="shared" si="67"/>
        <v>0</v>
      </c>
      <c r="CW108" s="644">
        <f t="shared" si="68"/>
        <v>0</v>
      </c>
      <c r="CX108" s="644">
        <f t="shared" si="69"/>
        <v>0</v>
      </c>
      <c r="CY108" s="644">
        <f t="shared" si="70"/>
        <v>0</v>
      </c>
      <c r="CZ108" s="624" t="s">
        <v>756</v>
      </c>
      <c r="DA108" s="257"/>
    </row>
    <row r="109" spans="1:105">
      <c r="A109" s="249" t="s">
        <v>237</v>
      </c>
      <c r="B109" s="187"/>
      <c r="C109" s="644"/>
      <c r="D109" s="644"/>
      <c r="E109" s="644">
        <v>1</v>
      </c>
      <c r="F109" s="251"/>
      <c r="G109" s="251"/>
      <c r="H109" s="251"/>
      <c r="I109" s="251"/>
      <c r="J109" s="644"/>
      <c r="K109" s="644"/>
      <c r="L109" s="644"/>
      <c r="M109" s="644"/>
      <c r="N109" s="644"/>
      <c r="O109" s="644"/>
      <c r="P109" s="644"/>
      <c r="Q109" s="644"/>
      <c r="R109" s="644">
        <v>1</v>
      </c>
      <c r="S109" s="644"/>
      <c r="T109" s="644"/>
      <c r="U109" s="644">
        <v>1</v>
      </c>
      <c r="V109" s="644">
        <v>1</v>
      </c>
      <c r="W109" s="644">
        <v>1</v>
      </c>
      <c r="X109" s="644"/>
      <c r="Y109" s="644"/>
      <c r="Z109" s="644"/>
      <c r="AA109" s="644"/>
      <c r="AB109" s="644"/>
      <c r="AC109" s="644">
        <v>1</v>
      </c>
      <c r="AD109" s="644">
        <v>1</v>
      </c>
      <c r="AE109" s="644"/>
      <c r="AF109" s="644"/>
      <c r="AG109" s="644"/>
      <c r="AH109" s="644">
        <v>1</v>
      </c>
      <c r="AI109" s="644"/>
      <c r="AJ109" s="644">
        <v>1</v>
      </c>
      <c r="AK109" s="644"/>
      <c r="AL109" s="167">
        <v>9</v>
      </c>
      <c r="AM109" s="185" t="str">
        <f>HYPERLINK("http://bit.ly/13FPROq", "MLB Network")</f>
        <v>MLB Network</v>
      </c>
      <c r="AN109" s="186">
        <v>42002</v>
      </c>
      <c r="AO109" s="187"/>
      <c r="AP109" s="187">
        <f t="shared" si="148"/>
        <v>0</v>
      </c>
      <c r="AQ109" s="187">
        <f t="shared" si="149"/>
        <v>0</v>
      </c>
      <c r="AR109" s="187">
        <f t="shared" si="150"/>
        <v>13</v>
      </c>
      <c r="AS109" s="187">
        <f t="shared" si="151"/>
        <v>13</v>
      </c>
      <c r="AT109" s="187">
        <f t="shared" si="152"/>
        <v>0</v>
      </c>
      <c r="AU109" s="187">
        <f t="shared" si="153"/>
        <v>0</v>
      </c>
      <c r="AV109" s="187">
        <f t="shared" si="154"/>
        <v>9</v>
      </c>
      <c r="AW109" s="187">
        <f t="shared" si="155"/>
        <v>7</v>
      </c>
      <c r="AX109" s="187">
        <f t="shared" si="156"/>
        <v>7</v>
      </c>
      <c r="AY109" s="187">
        <f t="shared" si="157"/>
        <v>0</v>
      </c>
      <c r="AZ109" s="187">
        <f t="shared" si="158"/>
        <v>7</v>
      </c>
      <c r="BA109" s="187">
        <f t="shared" si="159"/>
        <v>7</v>
      </c>
      <c r="BB109" s="187">
        <f t="shared" si="160"/>
        <v>0</v>
      </c>
      <c r="BC109" s="187">
        <f t="shared" si="161"/>
        <v>0</v>
      </c>
      <c r="BD109" s="187">
        <f t="shared" si="162"/>
        <v>0</v>
      </c>
      <c r="BE109" s="187">
        <f t="shared" si="163"/>
        <v>0</v>
      </c>
      <c r="BF109" s="187">
        <f t="shared" si="164"/>
        <v>3</v>
      </c>
      <c r="BG109" s="187">
        <f t="shared" si="165"/>
        <v>0</v>
      </c>
      <c r="BH109" s="187">
        <f t="shared" si="166"/>
        <v>0</v>
      </c>
      <c r="BI109" s="187">
        <f t="shared" si="167"/>
        <v>1</v>
      </c>
      <c r="BJ109" s="187">
        <f t="shared" si="168"/>
        <v>0</v>
      </c>
      <c r="BK109" s="187">
        <f t="shared" si="169"/>
        <v>0</v>
      </c>
      <c r="BL109" s="187">
        <f t="shared" si="170"/>
        <v>0</v>
      </c>
      <c r="BM109" s="187">
        <f t="shared" si="171"/>
        <v>0</v>
      </c>
      <c r="BN109" s="188">
        <f t="shared" si="172"/>
        <v>1</v>
      </c>
      <c r="BO109" s="187">
        <f t="shared" si="173"/>
        <v>0</v>
      </c>
      <c r="BP109" s="187">
        <f t="shared" ref="BP109:BQ109" si="359">IF(G109=1,1,0)</f>
        <v>0</v>
      </c>
      <c r="BQ109" s="187">
        <f t="shared" si="359"/>
        <v>0</v>
      </c>
      <c r="BR109" s="187">
        <f t="shared" ref="BR109:BT109" si="360">IF(K109=1,1,0)</f>
        <v>0</v>
      </c>
      <c r="BS109" s="187">
        <f t="shared" si="360"/>
        <v>0</v>
      </c>
      <c r="BT109" s="187">
        <f t="shared" si="360"/>
        <v>0</v>
      </c>
      <c r="BU109" s="187">
        <f t="shared" ref="BU109:BV109" si="361">IF(P109=1,1,0)</f>
        <v>0</v>
      </c>
      <c r="BV109" s="187">
        <f t="shared" si="361"/>
        <v>0</v>
      </c>
      <c r="BW109" s="187">
        <f t="shared" si="177"/>
        <v>0</v>
      </c>
      <c r="BX109" s="187">
        <f t="shared" si="178"/>
        <v>0</v>
      </c>
      <c r="BY109" s="187">
        <f t="shared" si="179"/>
        <v>1</v>
      </c>
      <c r="BZ109" s="187">
        <f t="shared" si="180"/>
        <v>-1</v>
      </c>
      <c r="CA109" s="167">
        <f t="shared" si="181"/>
        <v>66</v>
      </c>
      <c r="CB109" s="167">
        <f t="shared" si="47"/>
        <v>94</v>
      </c>
      <c r="CC109" s="644">
        <f t="shared" si="48"/>
        <v>23</v>
      </c>
      <c r="CD109" s="644">
        <f t="shared" si="49"/>
        <v>19</v>
      </c>
      <c r="CE109" s="644">
        <f t="shared" si="50"/>
        <v>15</v>
      </c>
      <c r="CF109" s="644">
        <f t="shared" si="51"/>
        <v>15</v>
      </c>
      <c r="CG109" s="644">
        <f t="shared" si="52"/>
        <v>0</v>
      </c>
      <c r="CH109" s="644">
        <f t="shared" si="123"/>
        <v>7</v>
      </c>
      <c r="CI109" s="644">
        <f t="shared" si="54"/>
        <v>7</v>
      </c>
      <c r="CJ109" s="644">
        <f t="shared" si="55"/>
        <v>5</v>
      </c>
      <c r="CK109" s="644">
        <f t="shared" si="56"/>
        <v>0</v>
      </c>
      <c r="CL109" s="644">
        <f t="shared" si="57"/>
        <v>0</v>
      </c>
      <c r="CM109" s="644">
        <f t="shared" si="58"/>
        <v>0</v>
      </c>
      <c r="CN109" s="644">
        <f t="shared" si="59"/>
        <v>0</v>
      </c>
      <c r="CO109" s="644">
        <f t="shared" si="60"/>
        <v>3</v>
      </c>
      <c r="CP109" s="644">
        <f t="shared" si="61"/>
        <v>0</v>
      </c>
      <c r="CQ109" s="644">
        <f t="shared" si="62"/>
        <v>0</v>
      </c>
      <c r="CR109" s="644">
        <f t="shared" si="63"/>
        <v>2</v>
      </c>
      <c r="CS109" s="644">
        <f t="shared" si="64"/>
        <v>0</v>
      </c>
      <c r="CT109" s="644">
        <f t="shared" si="65"/>
        <v>0</v>
      </c>
      <c r="CU109" s="644">
        <f t="shared" si="66"/>
        <v>0</v>
      </c>
      <c r="CV109" s="644">
        <f t="shared" si="67"/>
        <v>1</v>
      </c>
      <c r="CW109" s="644">
        <f t="shared" si="68"/>
        <v>0</v>
      </c>
      <c r="CX109" s="644">
        <f t="shared" si="69"/>
        <v>0</v>
      </c>
      <c r="CY109" s="644">
        <f t="shared" si="70"/>
        <v>0</v>
      </c>
      <c r="CZ109" s="624" t="s">
        <v>756</v>
      </c>
      <c r="DA109" s="257"/>
    </row>
    <row r="110" spans="1:105">
      <c r="A110" s="249" t="s">
        <v>586</v>
      </c>
      <c r="B110" s="187"/>
      <c r="C110" s="644"/>
      <c r="D110" s="644">
        <v>1</v>
      </c>
      <c r="E110" s="644">
        <v>1</v>
      </c>
      <c r="F110" s="251"/>
      <c r="G110" s="251"/>
      <c r="H110" s="251"/>
      <c r="I110" s="251"/>
      <c r="J110" s="644"/>
      <c r="K110" s="644"/>
      <c r="L110" s="644"/>
      <c r="M110" s="644"/>
      <c r="N110" s="644"/>
      <c r="O110" s="644"/>
      <c r="P110" s="644"/>
      <c r="Q110" s="644"/>
      <c r="R110" s="644">
        <v>1</v>
      </c>
      <c r="S110" s="644"/>
      <c r="T110" s="644">
        <v>1</v>
      </c>
      <c r="U110" s="644">
        <v>1</v>
      </c>
      <c r="V110" s="644"/>
      <c r="W110" s="644"/>
      <c r="X110" s="644">
        <v>1</v>
      </c>
      <c r="Y110" s="644"/>
      <c r="Z110" s="644"/>
      <c r="AA110" s="644"/>
      <c r="AB110" s="644">
        <v>1</v>
      </c>
      <c r="AC110" s="644">
        <v>1</v>
      </c>
      <c r="AD110" s="644"/>
      <c r="AE110" s="644"/>
      <c r="AF110" s="644"/>
      <c r="AG110" s="644">
        <v>1</v>
      </c>
      <c r="AH110" s="644">
        <v>1</v>
      </c>
      <c r="AI110" s="644"/>
      <c r="AJ110" s="644"/>
      <c r="AK110" s="644"/>
      <c r="AL110" s="167">
        <v>10</v>
      </c>
      <c r="AM110" s="185" t="s">
        <v>1170</v>
      </c>
      <c r="AN110" s="186">
        <v>42010</v>
      </c>
      <c r="AO110" s="187"/>
      <c r="AP110" s="187">
        <f t="shared" si="148"/>
        <v>0</v>
      </c>
      <c r="AQ110" s="187">
        <f t="shared" si="149"/>
        <v>0</v>
      </c>
      <c r="AR110" s="187">
        <f t="shared" si="150"/>
        <v>13</v>
      </c>
      <c r="AS110" s="187">
        <f t="shared" si="151"/>
        <v>13</v>
      </c>
      <c r="AT110" s="187">
        <f t="shared" si="152"/>
        <v>9</v>
      </c>
      <c r="AU110" s="187">
        <f t="shared" si="153"/>
        <v>9</v>
      </c>
      <c r="AV110" s="187">
        <f t="shared" si="154"/>
        <v>9</v>
      </c>
      <c r="AW110" s="187">
        <f t="shared" si="155"/>
        <v>0</v>
      </c>
      <c r="AX110" s="187">
        <f t="shared" si="156"/>
        <v>0</v>
      </c>
      <c r="AY110" s="187">
        <f t="shared" si="157"/>
        <v>0</v>
      </c>
      <c r="AZ110" s="187">
        <f t="shared" si="158"/>
        <v>7</v>
      </c>
      <c r="BA110" s="187">
        <f t="shared" si="159"/>
        <v>7</v>
      </c>
      <c r="BB110" s="187">
        <f t="shared" si="160"/>
        <v>0</v>
      </c>
      <c r="BC110" s="187">
        <f t="shared" si="161"/>
        <v>4</v>
      </c>
      <c r="BD110" s="187">
        <f t="shared" si="162"/>
        <v>4</v>
      </c>
      <c r="BE110" s="187">
        <f t="shared" si="163"/>
        <v>0</v>
      </c>
      <c r="BF110" s="187">
        <f t="shared" si="164"/>
        <v>0</v>
      </c>
      <c r="BG110" s="187">
        <f t="shared" si="165"/>
        <v>0</v>
      </c>
      <c r="BH110" s="187">
        <f t="shared" si="166"/>
        <v>0</v>
      </c>
      <c r="BI110" s="187">
        <f t="shared" si="167"/>
        <v>0</v>
      </c>
      <c r="BJ110" s="187">
        <f t="shared" si="168"/>
        <v>1</v>
      </c>
      <c r="BK110" s="187">
        <f t="shared" si="169"/>
        <v>0</v>
      </c>
      <c r="BL110" s="187">
        <f t="shared" si="170"/>
        <v>0</v>
      </c>
      <c r="BM110" s="187">
        <f t="shared" si="171"/>
        <v>0</v>
      </c>
      <c r="BN110" s="188">
        <f t="shared" si="172"/>
        <v>0</v>
      </c>
      <c r="BO110" s="187">
        <f t="shared" si="173"/>
        <v>0</v>
      </c>
      <c r="BP110" s="187">
        <f t="shared" ref="BP110:BQ110" si="362">IF(G110=1,1,0)</f>
        <v>0</v>
      </c>
      <c r="BQ110" s="187">
        <f t="shared" si="362"/>
        <v>0</v>
      </c>
      <c r="BR110" s="187">
        <f t="shared" ref="BR110:BT110" si="363">IF(K110=1,1,0)</f>
        <v>0</v>
      </c>
      <c r="BS110" s="187">
        <f t="shared" si="363"/>
        <v>0</v>
      </c>
      <c r="BT110" s="187">
        <f t="shared" si="363"/>
        <v>0</v>
      </c>
      <c r="BU110" s="187">
        <f t="shared" ref="BU110:BV110" si="364">IF(P110=1,1,0)</f>
        <v>0</v>
      </c>
      <c r="BV110" s="187">
        <f t="shared" si="364"/>
        <v>0</v>
      </c>
      <c r="BW110" s="187">
        <f t="shared" si="177"/>
        <v>0</v>
      </c>
      <c r="BX110" s="187">
        <f t="shared" si="178"/>
        <v>0</v>
      </c>
      <c r="BY110" s="187">
        <f t="shared" si="179"/>
        <v>0</v>
      </c>
      <c r="BZ110" s="187">
        <f t="shared" si="180"/>
        <v>0</v>
      </c>
      <c r="CA110" s="167">
        <f t="shared" si="181"/>
        <v>76</v>
      </c>
      <c r="CB110" s="167">
        <f t="shared" si="47"/>
        <v>98</v>
      </c>
      <c r="CC110" s="644">
        <f t="shared" si="48"/>
        <v>23</v>
      </c>
      <c r="CD110" s="644">
        <f t="shared" si="49"/>
        <v>19</v>
      </c>
      <c r="CE110" s="644">
        <f t="shared" si="50"/>
        <v>15</v>
      </c>
      <c r="CF110" s="644">
        <f t="shared" si="51"/>
        <v>15</v>
      </c>
      <c r="CG110" s="644">
        <f t="shared" si="52"/>
        <v>9</v>
      </c>
      <c r="CH110" s="644">
        <f t="shared" si="123"/>
        <v>7</v>
      </c>
      <c r="CI110" s="644">
        <f t="shared" si="54"/>
        <v>7</v>
      </c>
      <c r="CJ110" s="644">
        <f t="shared" si="55"/>
        <v>0</v>
      </c>
      <c r="CK110" s="644">
        <f t="shared" si="56"/>
        <v>0</v>
      </c>
      <c r="CL110" s="644">
        <f t="shared" si="57"/>
        <v>0</v>
      </c>
      <c r="CM110" s="644">
        <f t="shared" si="58"/>
        <v>3</v>
      </c>
      <c r="CN110" s="644">
        <f t="shared" si="59"/>
        <v>3</v>
      </c>
      <c r="CO110" s="644">
        <f t="shared" si="60"/>
        <v>0</v>
      </c>
      <c r="CP110" s="644">
        <f t="shared" si="61"/>
        <v>0</v>
      </c>
      <c r="CQ110" s="644">
        <f t="shared" si="62"/>
        <v>0</v>
      </c>
      <c r="CR110" s="644">
        <f t="shared" si="63"/>
        <v>0</v>
      </c>
      <c r="CS110" s="644">
        <f t="shared" si="64"/>
        <v>0</v>
      </c>
      <c r="CT110" s="644">
        <f t="shared" si="65"/>
        <v>0</v>
      </c>
      <c r="CU110" s="644">
        <f t="shared" si="66"/>
        <v>1</v>
      </c>
      <c r="CV110" s="644">
        <f t="shared" si="67"/>
        <v>0</v>
      </c>
      <c r="CW110" s="644">
        <f t="shared" si="68"/>
        <v>0</v>
      </c>
      <c r="CX110" s="644">
        <f t="shared" si="69"/>
        <v>0</v>
      </c>
      <c r="CY110" s="644">
        <f t="shared" si="70"/>
        <v>0</v>
      </c>
      <c r="CZ110" s="624" t="s">
        <v>756</v>
      </c>
      <c r="DA110" s="257"/>
    </row>
    <row r="111" spans="1:105">
      <c r="A111" s="249" t="s">
        <v>239</v>
      </c>
      <c r="B111" s="187"/>
      <c r="C111" s="644"/>
      <c r="D111" s="644">
        <v>1</v>
      </c>
      <c r="E111" s="644">
        <v>1</v>
      </c>
      <c r="F111" s="251"/>
      <c r="G111" s="251"/>
      <c r="H111" s="251"/>
      <c r="I111" s="251"/>
      <c r="J111" s="644"/>
      <c r="K111" s="644"/>
      <c r="L111" s="644"/>
      <c r="M111" s="644"/>
      <c r="N111" s="644"/>
      <c r="O111" s="644"/>
      <c r="P111" s="644"/>
      <c r="Q111" s="644"/>
      <c r="R111" s="644">
        <v>1</v>
      </c>
      <c r="S111" s="644"/>
      <c r="T111" s="644"/>
      <c r="U111" s="644">
        <v>1</v>
      </c>
      <c r="V111" s="644"/>
      <c r="W111" s="644"/>
      <c r="X111" s="644"/>
      <c r="Y111" s="644"/>
      <c r="Z111" s="644"/>
      <c r="AA111" s="644"/>
      <c r="AB111" s="644">
        <v>1</v>
      </c>
      <c r="AC111" s="644">
        <v>1</v>
      </c>
      <c r="AD111" s="644">
        <v>1</v>
      </c>
      <c r="AE111" s="644"/>
      <c r="AF111" s="644"/>
      <c r="AG111" s="644"/>
      <c r="AH111" s="644">
        <v>1</v>
      </c>
      <c r="AI111" s="644"/>
      <c r="AJ111" s="644"/>
      <c r="AK111" s="644"/>
      <c r="AL111" s="167">
        <v>8</v>
      </c>
      <c r="AM111" s="185" t="s">
        <v>1171</v>
      </c>
      <c r="AN111" s="186">
        <v>41996</v>
      </c>
      <c r="AO111" s="187"/>
      <c r="AP111" s="187">
        <f t="shared" si="148"/>
        <v>0</v>
      </c>
      <c r="AQ111" s="187">
        <f t="shared" si="149"/>
        <v>0</v>
      </c>
      <c r="AR111" s="187">
        <f t="shared" si="150"/>
        <v>13</v>
      </c>
      <c r="AS111" s="187">
        <f t="shared" si="151"/>
        <v>13</v>
      </c>
      <c r="AT111" s="187">
        <f t="shared" si="152"/>
        <v>9</v>
      </c>
      <c r="AU111" s="187">
        <f t="shared" si="153"/>
        <v>9</v>
      </c>
      <c r="AV111" s="187">
        <f t="shared" si="154"/>
        <v>9</v>
      </c>
      <c r="AW111" s="187">
        <f t="shared" si="155"/>
        <v>0</v>
      </c>
      <c r="AX111" s="187">
        <f t="shared" si="156"/>
        <v>7</v>
      </c>
      <c r="AY111" s="187">
        <f t="shared" si="157"/>
        <v>0</v>
      </c>
      <c r="AZ111" s="187">
        <f t="shared" si="158"/>
        <v>7</v>
      </c>
      <c r="BA111" s="187">
        <f t="shared" si="159"/>
        <v>7</v>
      </c>
      <c r="BB111" s="187">
        <f t="shared" si="160"/>
        <v>0</v>
      </c>
      <c r="BC111" s="187">
        <f t="shared" si="161"/>
        <v>0</v>
      </c>
      <c r="BD111" s="187">
        <f t="shared" si="162"/>
        <v>0</v>
      </c>
      <c r="BE111" s="187">
        <f t="shared" si="163"/>
        <v>0</v>
      </c>
      <c r="BF111" s="187">
        <f t="shared" si="164"/>
        <v>0</v>
      </c>
      <c r="BG111" s="187">
        <f t="shared" si="165"/>
        <v>0</v>
      </c>
      <c r="BH111" s="187">
        <f t="shared" si="166"/>
        <v>0</v>
      </c>
      <c r="BI111" s="187">
        <f t="shared" si="167"/>
        <v>0</v>
      </c>
      <c r="BJ111" s="187">
        <f t="shared" si="168"/>
        <v>0</v>
      </c>
      <c r="BK111" s="187">
        <f t="shared" si="169"/>
        <v>0</v>
      </c>
      <c r="BL111" s="187">
        <f t="shared" si="170"/>
        <v>0</v>
      </c>
      <c r="BM111" s="187">
        <f t="shared" si="171"/>
        <v>0</v>
      </c>
      <c r="BN111" s="188">
        <f t="shared" si="172"/>
        <v>2</v>
      </c>
      <c r="BO111" s="187">
        <f t="shared" si="173"/>
        <v>0</v>
      </c>
      <c r="BP111" s="187">
        <f t="shared" ref="BP111:BQ111" si="365">IF(G111=1,1,0)</f>
        <v>0</v>
      </c>
      <c r="BQ111" s="187">
        <f t="shared" si="365"/>
        <v>0</v>
      </c>
      <c r="BR111" s="187">
        <f t="shared" ref="BR111:BT111" si="366">IF(K111=1,1,0)</f>
        <v>0</v>
      </c>
      <c r="BS111" s="187">
        <f t="shared" si="366"/>
        <v>0</v>
      </c>
      <c r="BT111" s="187">
        <f t="shared" si="366"/>
        <v>0</v>
      </c>
      <c r="BU111" s="187">
        <f t="shared" ref="BU111:BV111" si="367">IF(P111=1,1,0)</f>
        <v>0</v>
      </c>
      <c r="BV111" s="187">
        <f t="shared" si="367"/>
        <v>0</v>
      </c>
      <c r="BW111" s="187">
        <f t="shared" si="177"/>
        <v>0</v>
      </c>
      <c r="BX111" s="187">
        <f t="shared" si="178"/>
        <v>0</v>
      </c>
      <c r="BY111" s="187">
        <f t="shared" si="179"/>
        <v>2</v>
      </c>
      <c r="BZ111" s="187">
        <f t="shared" si="180"/>
        <v>-4</v>
      </c>
      <c r="CA111" s="167">
        <f t="shared" si="181"/>
        <v>70</v>
      </c>
      <c r="CB111" s="167">
        <f t="shared" si="47"/>
        <v>100</v>
      </c>
      <c r="CC111" s="644">
        <f t="shared" si="48"/>
        <v>23</v>
      </c>
      <c r="CD111" s="644">
        <f t="shared" si="49"/>
        <v>19</v>
      </c>
      <c r="CE111" s="644">
        <f t="shared" si="50"/>
        <v>15</v>
      </c>
      <c r="CF111" s="644">
        <f t="shared" si="51"/>
        <v>15</v>
      </c>
      <c r="CG111" s="644">
        <f t="shared" si="52"/>
        <v>9</v>
      </c>
      <c r="CH111" s="644">
        <f t="shared" si="123"/>
        <v>7</v>
      </c>
      <c r="CI111" s="644">
        <f t="shared" si="54"/>
        <v>7</v>
      </c>
      <c r="CJ111" s="644">
        <f t="shared" si="55"/>
        <v>5</v>
      </c>
      <c r="CK111" s="644">
        <f t="shared" si="56"/>
        <v>0</v>
      </c>
      <c r="CL111" s="644">
        <f t="shared" si="57"/>
        <v>0</v>
      </c>
      <c r="CM111" s="644">
        <f t="shared" si="58"/>
        <v>0</v>
      </c>
      <c r="CN111" s="644">
        <f t="shared" si="59"/>
        <v>0</v>
      </c>
      <c r="CO111" s="644">
        <f t="shared" si="60"/>
        <v>0</v>
      </c>
      <c r="CP111" s="644">
        <f t="shared" si="61"/>
        <v>0</v>
      </c>
      <c r="CQ111" s="644">
        <f t="shared" si="62"/>
        <v>0</v>
      </c>
      <c r="CR111" s="644">
        <f t="shared" si="63"/>
        <v>0</v>
      </c>
      <c r="CS111" s="644">
        <f t="shared" si="64"/>
        <v>0</v>
      </c>
      <c r="CT111" s="644">
        <f t="shared" si="65"/>
        <v>0</v>
      </c>
      <c r="CU111" s="644">
        <f t="shared" si="66"/>
        <v>0</v>
      </c>
      <c r="CV111" s="644">
        <f t="shared" si="67"/>
        <v>0</v>
      </c>
      <c r="CW111" s="644">
        <f t="shared" si="68"/>
        <v>0</v>
      </c>
      <c r="CX111" s="644">
        <f t="shared" si="69"/>
        <v>0</v>
      </c>
      <c r="CY111" s="644">
        <f t="shared" si="70"/>
        <v>0</v>
      </c>
      <c r="CZ111" s="624" t="s">
        <v>740</v>
      </c>
      <c r="DA111" s="257"/>
    </row>
    <row r="112" spans="1:105">
      <c r="A112" s="249" t="s">
        <v>1172</v>
      </c>
      <c r="B112" s="187"/>
      <c r="C112" s="644"/>
      <c r="D112" s="644"/>
      <c r="E112" s="644">
        <v>1</v>
      </c>
      <c r="F112" s="251"/>
      <c r="G112" s="251"/>
      <c r="H112" s="251"/>
      <c r="I112" s="251"/>
      <c r="J112" s="644"/>
      <c r="K112" s="644"/>
      <c r="L112" s="644"/>
      <c r="M112" s="644"/>
      <c r="N112" s="644"/>
      <c r="O112" s="644"/>
      <c r="P112" s="644"/>
      <c r="Q112" s="644"/>
      <c r="R112" s="644">
        <v>1</v>
      </c>
      <c r="S112" s="644">
        <v>1</v>
      </c>
      <c r="T112" s="644"/>
      <c r="U112" s="644">
        <v>1</v>
      </c>
      <c r="V112" s="644"/>
      <c r="W112" s="644"/>
      <c r="X112" s="644"/>
      <c r="Y112" s="644"/>
      <c r="Z112" s="644">
        <v>1</v>
      </c>
      <c r="AA112" s="644"/>
      <c r="AB112" s="644"/>
      <c r="AC112" s="644"/>
      <c r="AD112" s="644"/>
      <c r="AE112" s="644"/>
      <c r="AF112" s="644"/>
      <c r="AG112" s="644"/>
      <c r="AH112" s="644">
        <v>1</v>
      </c>
      <c r="AI112" s="644"/>
      <c r="AJ112" s="644"/>
      <c r="AK112" s="644"/>
      <c r="AL112" s="167">
        <v>6</v>
      </c>
      <c r="AM112" s="185" t="s">
        <v>1173</v>
      </c>
      <c r="AN112" s="186">
        <v>42002</v>
      </c>
      <c r="AO112" s="187"/>
      <c r="AP112" s="187">
        <f t="shared" si="148"/>
        <v>0</v>
      </c>
      <c r="AQ112" s="187">
        <f t="shared" si="149"/>
        <v>0</v>
      </c>
      <c r="AR112" s="187">
        <f t="shared" si="150"/>
        <v>13</v>
      </c>
      <c r="AS112" s="187">
        <f t="shared" si="151"/>
        <v>13</v>
      </c>
      <c r="AT112" s="187">
        <f t="shared" si="152"/>
        <v>0</v>
      </c>
      <c r="AU112" s="187">
        <f t="shared" si="153"/>
        <v>0</v>
      </c>
      <c r="AV112" s="187">
        <f t="shared" si="154"/>
        <v>0</v>
      </c>
      <c r="AW112" s="187">
        <f t="shared" si="155"/>
        <v>0</v>
      </c>
      <c r="AX112" s="187">
        <f t="shared" si="156"/>
        <v>0</v>
      </c>
      <c r="AY112" s="187">
        <f t="shared" si="157"/>
        <v>7</v>
      </c>
      <c r="AZ112" s="187">
        <f t="shared" si="158"/>
        <v>7</v>
      </c>
      <c r="BA112" s="187">
        <f t="shared" si="159"/>
        <v>7</v>
      </c>
      <c r="BB112" s="187">
        <f t="shared" si="160"/>
        <v>0</v>
      </c>
      <c r="BC112" s="187">
        <f t="shared" si="161"/>
        <v>0</v>
      </c>
      <c r="BD112" s="187">
        <f t="shared" si="162"/>
        <v>0</v>
      </c>
      <c r="BE112" s="187">
        <f t="shared" si="163"/>
        <v>0</v>
      </c>
      <c r="BF112" s="187">
        <f t="shared" si="164"/>
        <v>0</v>
      </c>
      <c r="BG112" s="187">
        <f t="shared" si="165"/>
        <v>0</v>
      </c>
      <c r="BH112" s="187">
        <f t="shared" si="166"/>
        <v>2</v>
      </c>
      <c r="BI112" s="187">
        <f t="shared" si="167"/>
        <v>0</v>
      </c>
      <c r="BJ112" s="187">
        <f t="shared" si="168"/>
        <v>0</v>
      </c>
      <c r="BK112" s="187">
        <f t="shared" si="169"/>
        <v>0</v>
      </c>
      <c r="BL112" s="187">
        <f t="shared" si="170"/>
        <v>0</v>
      </c>
      <c r="BM112" s="187">
        <f t="shared" si="171"/>
        <v>0</v>
      </c>
      <c r="BN112" s="188">
        <f t="shared" si="172"/>
        <v>4</v>
      </c>
      <c r="BO112" s="187">
        <f t="shared" si="173"/>
        <v>0</v>
      </c>
      <c r="BP112" s="187">
        <f t="shared" ref="BP112:BQ112" si="368">IF(G112=1,1,0)</f>
        <v>0</v>
      </c>
      <c r="BQ112" s="187">
        <f t="shared" si="368"/>
        <v>0</v>
      </c>
      <c r="BR112" s="187">
        <f t="shared" ref="BR112:BT112" si="369">IF(K112=1,1,0)</f>
        <v>0</v>
      </c>
      <c r="BS112" s="187">
        <f t="shared" si="369"/>
        <v>0</v>
      </c>
      <c r="BT112" s="187">
        <f t="shared" si="369"/>
        <v>0</v>
      </c>
      <c r="BU112" s="187">
        <f t="shared" ref="BU112:BV112" si="370">IF(P112=1,1,0)</f>
        <v>0</v>
      </c>
      <c r="BV112" s="187">
        <f t="shared" si="370"/>
        <v>0</v>
      </c>
      <c r="BW112" s="187">
        <f t="shared" si="177"/>
        <v>0</v>
      </c>
      <c r="BX112" s="187">
        <f t="shared" si="178"/>
        <v>0</v>
      </c>
      <c r="BY112" s="187">
        <f t="shared" si="179"/>
        <v>4</v>
      </c>
      <c r="BZ112" s="187">
        <f t="shared" si="180"/>
        <v>-16</v>
      </c>
      <c r="CA112" s="167">
        <f t="shared" si="181"/>
        <v>33</v>
      </c>
      <c r="CB112" s="167">
        <f t="shared" si="47"/>
        <v>84</v>
      </c>
      <c r="CC112" s="644">
        <f t="shared" si="48"/>
        <v>23</v>
      </c>
      <c r="CD112" s="644">
        <f t="shared" si="49"/>
        <v>19</v>
      </c>
      <c r="CE112" s="644">
        <f t="shared" si="50"/>
        <v>15</v>
      </c>
      <c r="CF112" s="644">
        <f t="shared" si="51"/>
        <v>15</v>
      </c>
      <c r="CG112" s="644">
        <f t="shared" si="52"/>
        <v>0</v>
      </c>
      <c r="CH112" s="644">
        <f t="shared" si="123"/>
        <v>7</v>
      </c>
      <c r="CI112" s="644">
        <f t="shared" si="54"/>
        <v>0</v>
      </c>
      <c r="CJ112" s="644">
        <f t="shared" si="55"/>
        <v>0</v>
      </c>
      <c r="CK112" s="644">
        <f t="shared" si="56"/>
        <v>0</v>
      </c>
      <c r="CL112" s="644">
        <f t="shared" si="57"/>
        <v>0</v>
      </c>
      <c r="CM112" s="644">
        <f t="shared" si="58"/>
        <v>0</v>
      </c>
      <c r="CN112" s="644">
        <f t="shared" si="59"/>
        <v>0</v>
      </c>
      <c r="CO112" s="644">
        <f t="shared" si="60"/>
        <v>0</v>
      </c>
      <c r="CP112" s="644">
        <f t="shared" si="61"/>
        <v>3</v>
      </c>
      <c r="CQ112" s="644">
        <f t="shared" si="62"/>
        <v>2</v>
      </c>
      <c r="CR112" s="644">
        <f t="shared" si="63"/>
        <v>0</v>
      </c>
      <c r="CS112" s="644">
        <f t="shared" si="64"/>
        <v>0</v>
      </c>
      <c r="CT112" s="644">
        <f t="shared" si="65"/>
        <v>0</v>
      </c>
      <c r="CU112" s="644">
        <f t="shared" si="66"/>
        <v>0</v>
      </c>
      <c r="CV112" s="644">
        <f t="shared" si="67"/>
        <v>0</v>
      </c>
      <c r="CW112" s="644">
        <f t="shared" si="68"/>
        <v>0</v>
      </c>
      <c r="CX112" s="644">
        <f t="shared" si="69"/>
        <v>0</v>
      </c>
      <c r="CY112" s="644">
        <f t="shared" si="70"/>
        <v>0</v>
      </c>
      <c r="CZ112" s="624" t="s">
        <v>740</v>
      </c>
      <c r="DA112" s="257"/>
    </row>
    <row r="113" spans="1:105">
      <c r="A113" s="249" t="s">
        <v>1174</v>
      </c>
      <c r="B113" s="187"/>
      <c r="C113" s="644"/>
      <c r="D113" s="644"/>
      <c r="E113" s="644">
        <v>1</v>
      </c>
      <c r="F113" s="251">
        <v>1</v>
      </c>
      <c r="G113" s="251"/>
      <c r="H113" s="251"/>
      <c r="I113" s="251">
        <v>1</v>
      </c>
      <c r="J113" s="644"/>
      <c r="K113" s="644"/>
      <c r="L113" s="644"/>
      <c r="M113" s="644"/>
      <c r="N113" s="644"/>
      <c r="O113" s="644"/>
      <c r="P113" s="644"/>
      <c r="Q113" s="644"/>
      <c r="R113" s="644">
        <v>1</v>
      </c>
      <c r="S113" s="644">
        <v>1</v>
      </c>
      <c r="T113" s="644">
        <v>1</v>
      </c>
      <c r="U113" s="644">
        <v>1</v>
      </c>
      <c r="V113" s="644"/>
      <c r="W113" s="644"/>
      <c r="X113" s="644"/>
      <c r="Y113" s="644"/>
      <c r="Z113" s="644"/>
      <c r="AA113" s="644"/>
      <c r="AB113" s="250"/>
      <c r="AC113" s="644">
        <v>1</v>
      </c>
      <c r="AD113" s="644">
        <v>1</v>
      </c>
      <c r="AE113" s="644"/>
      <c r="AF113" s="644"/>
      <c r="AG113" s="644"/>
      <c r="AH113" s="644">
        <v>1</v>
      </c>
      <c r="AI113" s="644"/>
      <c r="AJ113" s="644"/>
      <c r="AK113" s="644"/>
      <c r="AL113" s="167">
        <v>10</v>
      </c>
      <c r="AM113" s="185" t="s">
        <v>1175</v>
      </c>
      <c r="AN113" s="186">
        <v>42009</v>
      </c>
      <c r="AO113" s="187"/>
      <c r="AP113" s="187">
        <f t="shared" si="148"/>
        <v>13</v>
      </c>
      <c r="AQ113" s="187">
        <f t="shared" si="149"/>
        <v>13</v>
      </c>
      <c r="AR113" s="187">
        <f t="shared" si="150"/>
        <v>13</v>
      </c>
      <c r="AS113" s="187">
        <f t="shared" si="151"/>
        <v>13</v>
      </c>
      <c r="AT113" s="187">
        <f t="shared" si="152"/>
        <v>0</v>
      </c>
      <c r="AU113" s="187">
        <f t="shared" si="153"/>
        <v>0</v>
      </c>
      <c r="AV113" s="187">
        <f t="shared" si="154"/>
        <v>9</v>
      </c>
      <c r="AW113" s="187">
        <f t="shared" si="155"/>
        <v>0</v>
      </c>
      <c r="AX113" s="187">
        <f t="shared" si="156"/>
        <v>7</v>
      </c>
      <c r="AY113" s="187">
        <f t="shared" si="157"/>
        <v>0</v>
      </c>
      <c r="AZ113" s="187">
        <f t="shared" si="158"/>
        <v>7</v>
      </c>
      <c r="BA113" s="187">
        <f t="shared" si="159"/>
        <v>7</v>
      </c>
      <c r="BB113" s="187">
        <f t="shared" si="160"/>
        <v>0</v>
      </c>
      <c r="BC113" s="187">
        <f t="shared" si="161"/>
        <v>4</v>
      </c>
      <c r="BD113" s="187">
        <f t="shared" si="162"/>
        <v>0</v>
      </c>
      <c r="BE113" s="187">
        <f t="shared" si="163"/>
        <v>0</v>
      </c>
      <c r="BF113" s="187">
        <f t="shared" si="164"/>
        <v>0</v>
      </c>
      <c r="BG113" s="187">
        <f t="shared" si="165"/>
        <v>0</v>
      </c>
      <c r="BH113" s="187">
        <f t="shared" si="166"/>
        <v>2</v>
      </c>
      <c r="BI113" s="187">
        <f t="shared" si="167"/>
        <v>0</v>
      </c>
      <c r="BJ113" s="187">
        <f t="shared" si="168"/>
        <v>0</v>
      </c>
      <c r="BK113" s="187">
        <f t="shared" si="169"/>
        <v>0</v>
      </c>
      <c r="BL113" s="187">
        <f t="shared" si="170"/>
        <v>0</v>
      </c>
      <c r="BM113" s="187">
        <f t="shared" si="171"/>
        <v>0</v>
      </c>
      <c r="BN113" s="188">
        <f t="shared" si="172"/>
        <v>0</v>
      </c>
      <c r="BO113" s="187">
        <f t="shared" si="173"/>
        <v>0</v>
      </c>
      <c r="BP113" s="187">
        <f t="shared" ref="BP113:BQ113" si="371">IF(G113=1,1,0)</f>
        <v>0</v>
      </c>
      <c r="BQ113" s="187">
        <f t="shared" si="371"/>
        <v>0</v>
      </c>
      <c r="BR113" s="187">
        <f t="shared" ref="BR113:BT113" si="372">IF(K113=1,1,0)</f>
        <v>0</v>
      </c>
      <c r="BS113" s="187">
        <f t="shared" si="372"/>
        <v>0</v>
      </c>
      <c r="BT113" s="187">
        <f t="shared" si="372"/>
        <v>0</v>
      </c>
      <c r="BU113" s="187">
        <f t="shared" ref="BU113:BV113" si="373">IF(P113=1,1,0)</f>
        <v>0</v>
      </c>
      <c r="BV113" s="187">
        <f t="shared" si="373"/>
        <v>0</v>
      </c>
      <c r="BW113" s="187">
        <f t="shared" si="177"/>
        <v>0</v>
      </c>
      <c r="BX113" s="187">
        <f t="shared" si="178"/>
        <v>0</v>
      </c>
      <c r="BY113" s="187">
        <f t="shared" si="179"/>
        <v>0</v>
      </c>
      <c r="BZ113" s="187">
        <f t="shared" si="180"/>
        <v>0</v>
      </c>
      <c r="CA113" s="167">
        <f t="shared" si="181"/>
        <v>88</v>
      </c>
      <c r="CB113" s="167">
        <f t="shared" si="47"/>
        <v>94</v>
      </c>
      <c r="CC113" s="644">
        <f t="shared" si="48"/>
        <v>23</v>
      </c>
      <c r="CD113" s="644">
        <f t="shared" si="49"/>
        <v>19</v>
      </c>
      <c r="CE113" s="644">
        <f t="shared" si="50"/>
        <v>15</v>
      </c>
      <c r="CF113" s="644">
        <f t="shared" si="51"/>
        <v>15</v>
      </c>
      <c r="CG113" s="644">
        <f t="shared" si="52"/>
        <v>0</v>
      </c>
      <c r="CH113" s="644">
        <f t="shared" si="123"/>
        <v>0</v>
      </c>
      <c r="CI113" s="644">
        <f t="shared" si="54"/>
        <v>7</v>
      </c>
      <c r="CJ113" s="644">
        <f t="shared" si="55"/>
        <v>5</v>
      </c>
      <c r="CK113" s="644">
        <f t="shared" si="56"/>
        <v>5</v>
      </c>
      <c r="CL113" s="644">
        <f t="shared" si="57"/>
        <v>5</v>
      </c>
      <c r="CM113" s="644">
        <f t="shared" si="58"/>
        <v>0</v>
      </c>
      <c r="CN113" s="644">
        <f t="shared" si="59"/>
        <v>3</v>
      </c>
      <c r="CO113" s="644">
        <f t="shared" si="60"/>
        <v>0</v>
      </c>
      <c r="CP113" s="644">
        <f t="shared" si="61"/>
        <v>0</v>
      </c>
      <c r="CQ113" s="644">
        <f t="shared" si="62"/>
        <v>2</v>
      </c>
      <c r="CR113" s="644">
        <f t="shared" si="63"/>
        <v>0</v>
      </c>
      <c r="CS113" s="644">
        <f t="shared" si="64"/>
        <v>0</v>
      </c>
      <c r="CT113" s="644">
        <f t="shared" si="65"/>
        <v>0</v>
      </c>
      <c r="CU113" s="644">
        <f t="shared" si="66"/>
        <v>0</v>
      </c>
      <c r="CV113" s="644">
        <f t="shared" si="67"/>
        <v>0</v>
      </c>
      <c r="CW113" s="644">
        <f t="shared" si="68"/>
        <v>0</v>
      </c>
      <c r="CX113" s="644">
        <f t="shared" si="69"/>
        <v>0</v>
      </c>
      <c r="CY113" s="644">
        <f t="shared" si="70"/>
        <v>0</v>
      </c>
      <c r="CZ113" s="624" t="s">
        <v>752</v>
      </c>
      <c r="DA113" s="257"/>
    </row>
    <row r="114" spans="1:105">
      <c r="A114" s="249" t="s">
        <v>241</v>
      </c>
      <c r="B114" s="187"/>
      <c r="C114" s="644"/>
      <c r="D114" s="258">
        <v>1</v>
      </c>
      <c r="E114" s="644"/>
      <c r="F114" s="251">
        <v>1</v>
      </c>
      <c r="G114" s="251"/>
      <c r="H114" s="251"/>
      <c r="I114" s="251">
        <v>1</v>
      </c>
      <c r="J114" s="644"/>
      <c r="K114" s="644"/>
      <c r="L114" s="644"/>
      <c r="M114" s="644"/>
      <c r="N114" s="644"/>
      <c r="O114" s="644"/>
      <c r="P114" s="644"/>
      <c r="Q114" s="644"/>
      <c r="R114" s="644">
        <v>1</v>
      </c>
      <c r="S114" s="644"/>
      <c r="T114" s="644"/>
      <c r="U114" s="644">
        <v>1</v>
      </c>
      <c r="V114" s="644"/>
      <c r="W114" s="644"/>
      <c r="X114" s="644">
        <v>1</v>
      </c>
      <c r="Y114" s="644"/>
      <c r="Z114" s="644"/>
      <c r="AA114" s="644"/>
      <c r="AB114" s="644">
        <v>1</v>
      </c>
      <c r="AC114" s="644"/>
      <c r="AD114" s="644">
        <v>1</v>
      </c>
      <c r="AE114" s="644"/>
      <c r="AF114" s="644"/>
      <c r="AG114" s="644"/>
      <c r="AH114" s="644">
        <v>1</v>
      </c>
      <c r="AI114" s="644">
        <v>1</v>
      </c>
      <c r="AJ114" s="644"/>
      <c r="AK114" s="644"/>
      <c r="AL114" s="167">
        <v>10</v>
      </c>
      <c r="AM114" s="185" t="s">
        <v>1155</v>
      </c>
      <c r="AN114" s="186">
        <v>42007</v>
      </c>
      <c r="AO114" s="187"/>
      <c r="AP114" s="187">
        <f t="shared" si="148"/>
        <v>13</v>
      </c>
      <c r="AQ114" s="187">
        <f t="shared" si="149"/>
        <v>13</v>
      </c>
      <c r="AR114" s="187">
        <f t="shared" si="150"/>
        <v>13</v>
      </c>
      <c r="AS114" s="187">
        <f t="shared" si="151"/>
        <v>13</v>
      </c>
      <c r="AT114" s="187">
        <f t="shared" si="152"/>
        <v>9</v>
      </c>
      <c r="AU114" s="187">
        <f t="shared" si="153"/>
        <v>9</v>
      </c>
      <c r="AV114" s="187">
        <f t="shared" si="154"/>
        <v>0</v>
      </c>
      <c r="AW114" s="187">
        <f t="shared" si="155"/>
        <v>0</v>
      </c>
      <c r="AX114" s="187">
        <f t="shared" si="156"/>
        <v>7</v>
      </c>
      <c r="AY114" s="187">
        <f t="shared" si="157"/>
        <v>0</v>
      </c>
      <c r="AZ114" s="187">
        <f t="shared" si="158"/>
        <v>7</v>
      </c>
      <c r="BA114" s="187">
        <f t="shared" si="159"/>
        <v>0</v>
      </c>
      <c r="BB114" s="187">
        <f t="shared" si="160"/>
        <v>0</v>
      </c>
      <c r="BC114" s="187">
        <f t="shared" si="161"/>
        <v>0</v>
      </c>
      <c r="BD114" s="187">
        <f t="shared" si="162"/>
        <v>4</v>
      </c>
      <c r="BE114" s="187">
        <f t="shared" si="163"/>
        <v>0</v>
      </c>
      <c r="BF114" s="187">
        <f t="shared" si="164"/>
        <v>0</v>
      </c>
      <c r="BG114" s="187">
        <f t="shared" si="165"/>
        <v>2</v>
      </c>
      <c r="BH114" s="187">
        <f t="shared" si="166"/>
        <v>0</v>
      </c>
      <c r="BI114" s="187">
        <f t="shared" si="167"/>
        <v>0</v>
      </c>
      <c r="BJ114" s="187">
        <f t="shared" si="168"/>
        <v>0</v>
      </c>
      <c r="BK114" s="187">
        <f t="shared" si="169"/>
        <v>0</v>
      </c>
      <c r="BL114" s="187">
        <f t="shared" si="170"/>
        <v>0</v>
      </c>
      <c r="BM114" s="187">
        <f t="shared" si="171"/>
        <v>0</v>
      </c>
      <c r="BN114" s="188">
        <f t="shared" si="172"/>
        <v>0</v>
      </c>
      <c r="BO114" s="187">
        <f t="shared" si="173"/>
        <v>0</v>
      </c>
      <c r="BP114" s="187">
        <f t="shared" ref="BP114:BQ114" si="374">IF(G114=1,1,0)</f>
        <v>0</v>
      </c>
      <c r="BQ114" s="187">
        <f t="shared" si="374"/>
        <v>0</v>
      </c>
      <c r="BR114" s="187">
        <f t="shared" ref="BR114:BT114" si="375">IF(K114=1,1,0)</f>
        <v>0</v>
      </c>
      <c r="BS114" s="187">
        <f t="shared" si="375"/>
        <v>0</v>
      </c>
      <c r="BT114" s="187">
        <f t="shared" si="375"/>
        <v>0</v>
      </c>
      <c r="BU114" s="187">
        <f t="shared" ref="BU114:BV114" si="376">IF(P114=1,1,0)</f>
        <v>0</v>
      </c>
      <c r="BV114" s="187">
        <f t="shared" si="376"/>
        <v>0</v>
      </c>
      <c r="BW114" s="187">
        <f t="shared" si="177"/>
        <v>0</v>
      </c>
      <c r="BX114" s="187">
        <f t="shared" si="178"/>
        <v>0</v>
      </c>
      <c r="BY114" s="187">
        <f t="shared" si="179"/>
        <v>0</v>
      </c>
      <c r="BZ114" s="187">
        <f t="shared" si="180"/>
        <v>0</v>
      </c>
      <c r="CA114" s="167">
        <f t="shared" si="181"/>
        <v>90</v>
      </c>
      <c r="CB114" s="167">
        <f t="shared" si="47"/>
        <v>82</v>
      </c>
      <c r="CC114" s="644">
        <f t="shared" si="48"/>
        <v>23</v>
      </c>
      <c r="CD114" s="644">
        <f t="shared" si="49"/>
        <v>19</v>
      </c>
      <c r="CE114" s="644">
        <f t="shared" si="50"/>
        <v>15</v>
      </c>
      <c r="CF114" s="644">
        <f t="shared" si="51"/>
        <v>0</v>
      </c>
      <c r="CG114" s="644">
        <f t="shared" si="52"/>
        <v>9</v>
      </c>
      <c r="CH114" s="644">
        <f t="shared" si="123"/>
        <v>0</v>
      </c>
      <c r="CI114" s="644">
        <f t="shared" si="54"/>
        <v>0</v>
      </c>
      <c r="CJ114" s="644">
        <f t="shared" si="55"/>
        <v>5</v>
      </c>
      <c r="CK114" s="644">
        <f t="shared" si="56"/>
        <v>5</v>
      </c>
      <c r="CL114" s="644">
        <f t="shared" si="57"/>
        <v>5</v>
      </c>
      <c r="CM114" s="644">
        <f t="shared" si="58"/>
        <v>0</v>
      </c>
      <c r="CN114" s="644">
        <f t="shared" si="59"/>
        <v>0</v>
      </c>
      <c r="CO114" s="644">
        <f t="shared" si="60"/>
        <v>0</v>
      </c>
      <c r="CP114" s="644">
        <f t="shared" si="61"/>
        <v>0</v>
      </c>
      <c r="CQ114" s="644">
        <f t="shared" si="62"/>
        <v>0</v>
      </c>
      <c r="CR114" s="644">
        <f t="shared" si="63"/>
        <v>0</v>
      </c>
      <c r="CS114" s="644">
        <f t="shared" si="64"/>
        <v>0</v>
      </c>
      <c r="CT114" s="644">
        <f t="shared" si="65"/>
        <v>0</v>
      </c>
      <c r="CU114" s="644">
        <f t="shared" si="66"/>
        <v>1</v>
      </c>
      <c r="CV114" s="644">
        <f t="shared" si="67"/>
        <v>0</v>
      </c>
      <c r="CW114" s="644">
        <f t="shared" si="68"/>
        <v>1</v>
      </c>
      <c r="CX114" s="644">
        <f t="shared" si="69"/>
        <v>0</v>
      </c>
      <c r="CY114" s="644">
        <f t="shared" si="70"/>
        <v>0</v>
      </c>
      <c r="CZ114" s="624" t="s">
        <v>814</v>
      </c>
      <c r="DA114" s="257"/>
    </row>
    <row r="115" spans="1:105">
      <c r="A115" s="249" t="s">
        <v>1176</v>
      </c>
      <c r="B115" s="187"/>
      <c r="C115" s="644"/>
      <c r="D115" s="644">
        <v>1</v>
      </c>
      <c r="E115" s="644">
        <v>1</v>
      </c>
      <c r="F115" s="251"/>
      <c r="G115" s="251"/>
      <c r="H115" s="251"/>
      <c r="I115" s="251"/>
      <c r="J115" s="644"/>
      <c r="K115" s="644"/>
      <c r="L115" s="644"/>
      <c r="M115" s="644"/>
      <c r="N115" s="644"/>
      <c r="O115" s="644"/>
      <c r="P115" s="644"/>
      <c r="Q115" s="644"/>
      <c r="R115" s="644">
        <v>1</v>
      </c>
      <c r="S115" s="644"/>
      <c r="T115" s="644"/>
      <c r="U115" s="644">
        <v>1</v>
      </c>
      <c r="V115" s="644"/>
      <c r="W115" s="644">
        <v>1</v>
      </c>
      <c r="X115" s="644"/>
      <c r="Y115" s="644"/>
      <c r="Z115" s="251">
        <v>1</v>
      </c>
      <c r="AA115" s="644"/>
      <c r="AB115" s="258">
        <v>1</v>
      </c>
      <c r="AC115" s="644">
        <v>1</v>
      </c>
      <c r="AD115" s="644"/>
      <c r="AE115" s="644"/>
      <c r="AF115" s="644">
        <v>1</v>
      </c>
      <c r="AG115" s="644"/>
      <c r="AH115" s="644">
        <v>1</v>
      </c>
      <c r="AI115" s="644"/>
      <c r="AJ115" s="644"/>
      <c r="AK115" s="644"/>
      <c r="AL115" s="167">
        <v>10</v>
      </c>
      <c r="AM115" s="185" t="s">
        <v>1177</v>
      </c>
      <c r="AN115" s="186">
        <v>42007</v>
      </c>
      <c r="AO115" s="187"/>
      <c r="AP115" s="187">
        <f t="shared" si="148"/>
        <v>0</v>
      </c>
      <c r="AQ115" s="187">
        <f t="shared" si="149"/>
        <v>0</v>
      </c>
      <c r="AR115" s="187">
        <f t="shared" si="150"/>
        <v>13</v>
      </c>
      <c r="AS115" s="187">
        <f t="shared" si="151"/>
        <v>13</v>
      </c>
      <c r="AT115" s="187">
        <f t="shared" si="152"/>
        <v>9</v>
      </c>
      <c r="AU115" s="187">
        <f t="shared" si="153"/>
        <v>9</v>
      </c>
      <c r="AV115" s="187">
        <f t="shared" si="154"/>
        <v>9</v>
      </c>
      <c r="AW115" s="187">
        <f t="shared" si="155"/>
        <v>0</v>
      </c>
      <c r="AX115" s="187">
        <f t="shared" si="156"/>
        <v>0</v>
      </c>
      <c r="AY115" s="187">
        <f t="shared" si="157"/>
        <v>7</v>
      </c>
      <c r="AZ115" s="187">
        <f t="shared" si="158"/>
        <v>7</v>
      </c>
      <c r="BA115" s="187">
        <f t="shared" si="159"/>
        <v>7</v>
      </c>
      <c r="BB115" s="187">
        <f t="shared" si="160"/>
        <v>0</v>
      </c>
      <c r="BC115" s="187">
        <f t="shared" si="161"/>
        <v>0</v>
      </c>
      <c r="BD115" s="187">
        <f t="shared" si="162"/>
        <v>0</v>
      </c>
      <c r="BE115" s="187">
        <f t="shared" si="163"/>
        <v>3</v>
      </c>
      <c r="BF115" s="187">
        <f t="shared" si="164"/>
        <v>3</v>
      </c>
      <c r="BG115" s="187">
        <f t="shared" si="165"/>
        <v>0</v>
      </c>
      <c r="BH115" s="187">
        <f t="shared" si="166"/>
        <v>0</v>
      </c>
      <c r="BI115" s="187">
        <f t="shared" si="167"/>
        <v>0</v>
      </c>
      <c r="BJ115" s="187">
        <f t="shared" si="168"/>
        <v>0</v>
      </c>
      <c r="BK115" s="187">
        <f t="shared" si="169"/>
        <v>0</v>
      </c>
      <c r="BL115" s="187">
        <f t="shared" si="170"/>
        <v>0</v>
      </c>
      <c r="BM115" s="187">
        <f t="shared" si="171"/>
        <v>0</v>
      </c>
      <c r="BN115" s="188">
        <f t="shared" si="172"/>
        <v>0</v>
      </c>
      <c r="BO115" s="187">
        <f t="shared" si="173"/>
        <v>0</v>
      </c>
      <c r="BP115" s="187">
        <f t="shared" ref="BP115:BQ115" si="377">IF(G115=1,1,0)</f>
        <v>0</v>
      </c>
      <c r="BQ115" s="187">
        <f t="shared" si="377"/>
        <v>0</v>
      </c>
      <c r="BR115" s="187">
        <f t="shared" ref="BR115:BT115" si="378">IF(K115=1,1,0)</f>
        <v>0</v>
      </c>
      <c r="BS115" s="187">
        <f t="shared" si="378"/>
        <v>0</v>
      </c>
      <c r="BT115" s="187">
        <f t="shared" si="378"/>
        <v>0</v>
      </c>
      <c r="BU115" s="187">
        <f t="shared" ref="BU115:BV115" si="379">IF(P115=1,1,0)</f>
        <v>0</v>
      </c>
      <c r="BV115" s="187">
        <f t="shared" si="379"/>
        <v>0</v>
      </c>
      <c r="BW115" s="187">
        <f t="shared" si="177"/>
        <v>0</v>
      </c>
      <c r="BX115" s="187">
        <f t="shared" si="178"/>
        <v>0</v>
      </c>
      <c r="BY115" s="187">
        <f t="shared" si="179"/>
        <v>0</v>
      </c>
      <c r="BZ115" s="187">
        <f t="shared" si="180"/>
        <v>0</v>
      </c>
      <c r="CA115" s="167">
        <f t="shared" si="181"/>
        <v>80</v>
      </c>
      <c r="CB115" s="167">
        <f t="shared" si="47"/>
        <v>98</v>
      </c>
      <c r="CC115" s="644">
        <f t="shared" si="48"/>
        <v>23</v>
      </c>
      <c r="CD115" s="644">
        <f t="shared" si="49"/>
        <v>19</v>
      </c>
      <c r="CE115" s="644">
        <f t="shared" si="50"/>
        <v>15</v>
      </c>
      <c r="CF115" s="644">
        <f t="shared" si="51"/>
        <v>15</v>
      </c>
      <c r="CG115" s="644">
        <f t="shared" si="52"/>
        <v>9</v>
      </c>
      <c r="CH115" s="644">
        <f t="shared" si="123"/>
        <v>7</v>
      </c>
      <c r="CI115" s="644">
        <f t="shared" si="54"/>
        <v>7</v>
      </c>
      <c r="CJ115" s="644">
        <f t="shared" si="55"/>
        <v>0</v>
      </c>
      <c r="CK115" s="644">
        <f t="shared" si="56"/>
        <v>0</v>
      </c>
      <c r="CL115" s="644">
        <f t="shared" si="57"/>
        <v>0</v>
      </c>
      <c r="CM115" s="644">
        <f t="shared" si="58"/>
        <v>0</v>
      </c>
      <c r="CN115" s="644">
        <f t="shared" si="59"/>
        <v>0</v>
      </c>
      <c r="CO115" s="644">
        <f t="shared" si="60"/>
        <v>0</v>
      </c>
      <c r="CP115" s="644">
        <f t="shared" si="61"/>
        <v>3</v>
      </c>
      <c r="CQ115" s="644">
        <f t="shared" si="62"/>
        <v>0</v>
      </c>
      <c r="CR115" s="644">
        <f t="shared" si="63"/>
        <v>2</v>
      </c>
      <c r="CS115" s="644">
        <f t="shared" si="64"/>
        <v>0</v>
      </c>
      <c r="CT115" s="644">
        <f t="shared" si="65"/>
        <v>2</v>
      </c>
      <c r="CU115" s="644">
        <f t="shared" si="66"/>
        <v>0</v>
      </c>
      <c r="CV115" s="644">
        <f t="shared" si="67"/>
        <v>0</v>
      </c>
      <c r="CW115" s="644">
        <f t="shared" si="68"/>
        <v>0</v>
      </c>
      <c r="CX115" s="644">
        <f t="shared" si="69"/>
        <v>0</v>
      </c>
      <c r="CY115" s="644">
        <f t="shared" si="70"/>
        <v>0</v>
      </c>
      <c r="CZ115" s="624" t="s">
        <v>750</v>
      </c>
      <c r="DA115" s="257"/>
    </row>
    <row r="116" spans="1:105">
      <c r="A116" s="249" t="s">
        <v>242</v>
      </c>
      <c r="B116" s="187"/>
      <c r="C116" s="644"/>
      <c r="D116" s="644">
        <v>1</v>
      </c>
      <c r="E116" s="644">
        <v>1</v>
      </c>
      <c r="F116" s="251"/>
      <c r="G116" s="251"/>
      <c r="H116" s="251"/>
      <c r="I116" s="251"/>
      <c r="J116" s="644"/>
      <c r="K116" s="644"/>
      <c r="L116" s="644"/>
      <c r="M116" s="644"/>
      <c r="N116" s="644"/>
      <c r="O116" s="644"/>
      <c r="P116" s="644"/>
      <c r="Q116" s="644"/>
      <c r="R116" s="644">
        <v>1</v>
      </c>
      <c r="S116" s="644"/>
      <c r="T116" s="644">
        <v>1</v>
      </c>
      <c r="U116" s="644">
        <v>1</v>
      </c>
      <c r="V116" s="644"/>
      <c r="W116" s="644"/>
      <c r="X116" s="644"/>
      <c r="Y116" s="644"/>
      <c r="Z116" s="258">
        <v>1</v>
      </c>
      <c r="AA116" s="644"/>
      <c r="AB116" s="644">
        <v>1</v>
      </c>
      <c r="AC116" s="644">
        <v>1</v>
      </c>
      <c r="AD116" s="644">
        <v>1</v>
      </c>
      <c r="AE116" s="644"/>
      <c r="AF116" s="644"/>
      <c r="AG116" s="644"/>
      <c r="AH116" s="644">
        <v>1</v>
      </c>
      <c r="AI116" s="644"/>
      <c r="AJ116" s="644"/>
      <c r="AK116" s="644"/>
      <c r="AL116" s="167">
        <v>10</v>
      </c>
      <c r="AM116" s="185" t="s">
        <v>1178</v>
      </c>
      <c r="AN116" s="186">
        <v>41993</v>
      </c>
      <c r="AO116" s="187"/>
      <c r="AP116" s="187">
        <f t="shared" si="148"/>
        <v>0</v>
      </c>
      <c r="AQ116" s="187">
        <f t="shared" si="149"/>
        <v>0</v>
      </c>
      <c r="AR116" s="187">
        <f t="shared" si="150"/>
        <v>13</v>
      </c>
      <c r="AS116" s="187">
        <f t="shared" si="151"/>
        <v>13</v>
      </c>
      <c r="AT116" s="187">
        <f t="shared" si="152"/>
        <v>9</v>
      </c>
      <c r="AU116" s="187">
        <f t="shared" si="153"/>
        <v>9</v>
      </c>
      <c r="AV116" s="187">
        <f t="shared" si="154"/>
        <v>9</v>
      </c>
      <c r="AW116" s="187">
        <f t="shared" si="155"/>
        <v>0</v>
      </c>
      <c r="AX116" s="187">
        <f t="shared" si="156"/>
        <v>7</v>
      </c>
      <c r="AY116" s="187">
        <f t="shared" si="157"/>
        <v>7</v>
      </c>
      <c r="AZ116" s="187">
        <f t="shared" si="158"/>
        <v>7</v>
      </c>
      <c r="BA116" s="187">
        <f t="shared" si="159"/>
        <v>7</v>
      </c>
      <c r="BB116" s="187">
        <f t="shared" si="160"/>
        <v>0</v>
      </c>
      <c r="BC116" s="187">
        <f t="shared" si="161"/>
        <v>4</v>
      </c>
      <c r="BD116" s="187">
        <f t="shared" si="162"/>
        <v>0</v>
      </c>
      <c r="BE116" s="187">
        <f t="shared" si="163"/>
        <v>0</v>
      </c>
      <c r="BF116" s="187">
        <f t="shared" si="164"/>
        <v>0</v>
      </c>
      <c r="BG116" s="187">
        <f t="shared" si="165"/>
        <v>0</v>
      </c>
      <c r="BH116" s="187">
        <f t="shared" si="166"/>
        <v>0</v>
      </c>
      <c r="BI116" s="187">
        <f t="shared" si="167"/>
        <v>0</v>
      </c>
      <c r="BJ116" s="187">
        <f t="shared" si="168"/>
        <v>0</v>
      </c>
      <c r="BK116" s="187">
        <f t="shared" si="169"/>
        <v>0</v>
      </c>
      <c r="BL116" s="187">
        <f t="shared" si="170"/>
        <v>0</v>
      </c>
      <c r="BM116" s="187">
        <f t="shared" si="171"/>
        <v>0</v>
      </c>
      <c r="BN116" s="188">
        <f t="shared" si="172"/>
        <v>0</v>
      </c>
      <c r="BO116" s="187">
        <f t="shared" si="173"/>
        <v>0</v>
      </c>
      <c r="BP116" s="187">
        <f t="shared" ref="BP116:BQ116" si="380">IF(G116=1,1,0)</f>
        <v>0</v>
      </c>
      <c r="BQ116" s="187">
        <f t="shared" si="380"/>
        <v>0</v>
      </c>
      <c r="BR116" s="187">
        <f t="shared" ref="BR116:BT116" si="381">IF(K116=1,1,0)</f>
        <v>0</v>
      </c>
      <c r="BS116" s="187">
        <f t="shared" si="381"/>
        <v>0</v>
      </c>
      <c r="BT116" s="187">
        <f t="shared" si="381"/>
        <v>0</v>
      </c>
      <c r="BU116" s="187">
        <f t="shared" ref="BU116:BV116" si="382">IF(P116=1,1,0)</f>
        <v>0</v>
      </c>
      <c r="BV116" s="187">
        <f t="shared" si="382"/>
        <v>0</v>
      </c>
      <c r="BW116" s="187">
        <f t="shared" si="177"/>
        <v>0</v>
      </c>
      <c r="BX116" s="187">
        <f t="shared" si="178"/>
        <v>0</v>
      </c>
      <c r="BY116" s="187">
        <f t="shared" si="179"/>
        <v>0</v>
      </c>
      <c r="BZ116" s="187">
        <f t="shared" si="180"/>
        <v>0</v>
      </c>
      <c r="CA116" s="167">
        <f t="shared" si="181"/>
        <v>85</v>
      </c>
      <c r="CB116" s="167">
        <f t="shared" si="47"/>
        <v>100</v>
      </c>
      <c r="CC116" s="644">
        <f t="shared" si="48"/>
        <v>23</v>
      </c>
      <c r="CD116" s="644">
        <f t="shared" si="49"/>
        <v>19</v>
      </c>
      <c r="CE116" s="644">
        <f t="shared" si="50"/>
        <v>15</v>
      </c>
      <c r="CF116" s="644">
        <f t="shared" si="51"/>
        <v>15</v>
      </c>
      <c r="CG116" s="644">
        <f t="shared" si="52"/>
        <v>9</v>
      </c>
      <c r="CH116" s="644">
        <f t="shared" si="123"/>
        <v>7</v>
      </c>
      <c r="CI116" s="644">
        <f t="shared" si="54"/>
        <v>7</v>
      </c>
      <c r="CJ116" s="644">
        <f t="shared" si="55"/>
        <v>5</v>
      </c>
      <c r="CK116" s="644">
        <f t="shared" si="56"/>
        <v>0</v>
      </c>
      <c r="CL116" s="644">
        <f t="shared" si="57"/>
        <v>0</v>
      </c>
      <c r="CM116" s="644">
        <f t="shared" si="58"/>
        <v>0</v>
      </c>
      <c r="CN116" s="644">
        <f t="shared" si="59"/>
        <v>3</v>
      </c>
      <c r="CO116" s="644">
        <f t="shared" si="60"/>
        <v>0</v>
      </c>
      <c r="CP116" s="644">
        <f t="shared" si="61"/>
        <v>3</v>
      </c>
      <c r="CQ116" s="644">
        <f t="shared" si="62"/>
        <v>0</v>
      </c>
      <c r="CR116" s="644">
        <f t="shared" si="63"/>
        <v>0</v>
      </c>
      <c r="CS116" s="644">
        <f t="shared" si="64"/>
        <v>0</v>
      </c>
      <c r="CT116" s="644">
        <f t="shared" si="65"/>
        <v>0</v>
      </c>
      <c r="CU116" s="644">
        <f t="shared" si="66"/>
        <v>0</v>
      </c>
      <c r="CV116" s="644">
        <f t="shared" si="67"/>
        <v>0</v>
      </c>
      <c r="CW116" s="644">
        <f t="shared" si="68"/>
        <v>0</v>
      </c>
      <c r="CX116" s="644">
        <f t="shared" si="69"/>
        <v>0</v>
      </c>
      <c r="CY116" s="644">
        <f t="shared" si="70"/>
        <v>0</v>
      </c>
      <c r="CZ116" s="624" t="s">
        <v>740</v>
      </c>
      <c r="DA116" s="257"/>
    </row>
    <row r="117" spans="1:105">
      <c r="A117" s="249" t="s">
        <v>850</v>
      </c>
      <c r="B117" s="187"/>
      <c r="C117" s="644"/>
      <c r="D117" s="644"/>
      <c r="E117" s="644">
        <v>1</v>
      </c>
      <c r="F117" s="251"/>
      <c r="G117" s="251"/>
      <c r="H117" s="251"/>
      <c r="I117" s="251"/>
      <c r="J117" s="644"/>
      <c r="K117" s="644"/>
      <c r="L117" s="644"/>
      <c r="M117" s="644"/>
      <c r="N117" s="644"/>
      <c r="O117" s="644"/>
      <c r="P117" s="644"/>
      <c r="Q117" s="644"/>
      <c r="R117" s="644">
        <v>1</v>
      </c>
      <c r="S117" s="644"/>
      <c r="T117" s="644">
        <v>1</v>
      </c>
      <c r="U117" s="644">
        <v>1</v>
      </c>
      <c r="V117" s="644"/>
      <c r="W117" s="644"/>
      <c r="X117" s="644"/>
      <c r="Y117" s="644"/>
      <c r="Z117" s="644"/>
      <c r="AA117" s="644"/>
      <c r="AB117" s="644">
        <v>1</v>
      </c>
      <c r="AC117" s="644">
        <v>1</v>
      </c>
      <c r="AD117" s="644"/>
      <c r="AE117" s="644"/>
      <c r="AF117" s="644"/>
      <c r="AG117" s="644"/>
      <c r="AH117" s="644">
        <v>1</v>
      </c>
      <c r="AI117" s="644"/>
      <c r="AJ117" s="644"/>
      <c r="AK117" s="644"/>
      <c r="AL117" s="167">
        <v>7</v>
      </c>
      <c r="AM117" s="187" t="s">
        <v>1137</v>
      </c>
      <c r="AN117" s="186">
        <v>41993</v>
      </c>
      <c r="AO117" s="187"/>
      <c r="AP117" s="187">
        <f t="shared" si="148"/>
        <v>0</v>
      </c>
      <c r="AQ117" s="187">
        <f t="shared" si="149"/>
        <v>0</v>
      </c>
      <c r="AR117" s="187">
        <f t="shared" si="150"/>
        <v>13</v>
      </c>
      <c r="AS117" s="187">
        <f t="shared" si="151"/>
        <v>13</v>
      </c>
      <c r="AT117" s="187">
        <f t="shared" si="152"/>
        <v>9</v>
      </c>
      <c r="AU117" s="187">
        <f t="shared" si="153"/>
        <v>0</v>
      </c>
      <c r="AV117" s="187">
        <f t="shared" si="154"/>
        <v>9</v>
      </c>
      <c r="AW117" s="187">
        <f t="shared" si="155"/>
        <v>0</v>
      </c>
      <c r="AX117" s="187">
        <f t="shared" si="156"/>
        <v>0</v>
      </c>
      <c r="AY117" s="187">
        <f t="shared" si="157"/>
        <v>0</v>
      </c>
      <c r="AZ117" s="187">
        <f t="shared" si="158"/>
        <v>7</v>
      </c>
      <c r="BA117" s="187">
        <f t="shared" si="159"/>
        <v>7</v>
      </c>
      <c r="BB117" s="187">
        <f t="shared" si="160"/>
        <v>0</v>
      </c>
      <c r="BC117" s="187">
        <f t="shared" si="161"/>
        <v>4</v>
      </c>
      <c r="BD117" s="187">
        <f t="shared" si="162"/>
        <v>0</v>
      </c>
      <c r="BE117" s="187">
        <f t="shared" si="163"/>
        <v>0</v>
      </c>
      <c r="BF117" s="187">
        <f t="shared" si="164"/>
        <v>0</v>
      </c>
      <c r="BG117" s="187">
        <f t="shared" si="165"/>
        <v>0</v>
      </c>
      <c r="BH117" s="187">
        <f t="shared" si="166"/>
        <v>0</v>
      </c>
      <c r="BI117" s="187">
        <f t="shared" si="167"/>
        <v>0</v>
      </c>
      <c r="BJ117" s="187">
        <f t="shared" si="168"/>
        <v>0</v>
      </c>
      <c r="BK117" s="187">
        <f t="shared" si="169"/>
        <v>0</v>
      </c>
      <c r="BL117" s="187">
        <f t="shared" si="170"/>
        <v>0</v>
      </c>
      <c r="BM117" s="187">
        <f t="shared" si="171"/>
        <v>0</v>
      </c>
      <c r="BN117" s="188">
        <f t="shared" si="172"/>
        <v>3</v>
      </c>
      <c r="BO117" s="187">
        <f t="shared" si="173"/>
        <v>0</v>
      </c>
      <c r="BP117" s="187">
        <f t="shared" ref="BP117:BQ117" si="383">IF(G117=1,1,0)</f>
        <v>0</v>
      </c>
      <c r="BQ117" s="187">
        <f t="shared" si="383"/>
        <v>0</v>
      </c>
      <c r="BR117" s="187">
        <f t="shared" ref="BR117:BT117" si="384">IF(K117=1,1,0)</f>
        <v>0</v>
      </c>
      <c r="BS117" s="187">
        <f t="shared" si="384"/>
        <v>0</v>
      </c>
      <c r="BT117" s="187">
        <f t="shared" si="384"/>
        <v>0</v>
      </c>
      <c r="BU117" s="187">
        <f t="shared" ref="BU117:BV117" si="385">IF(P117=1,1,0)</f>
        <v>0</v>
      </c>
      <c r="BV117" s="187">
        <f t="shared" si="385"/>
        <v>0</v>
      </c>
      <c r="BW117" s="187">
        <f t="shared" si="177"/>
        <v>0</v>
      </c>
      <c r="BX117" s="187">
        <f t="shared" si="178"/>
        <v>0</v>
      </c>
      <c r="BY117" s="187">
        <f t="shared" si="179"/>
        <v>3</v>
      </c>
      <c r="BZ117" s="187">
        <f t="shared" si="180"/>
        <v>-9</v>
      </c>
      <c r="CA117" s="167">
        <f t="shared" si="181"/>
        <v>53</v>
      </c>
      <c r="CB117" s="167">
        <f t="shared" si="47"/>
        <v>98</v>
      </c>
      <c r="CC117" s="644">
        <f t="shared" si="48"/>
        <v>23</v>
      </c>
      <c r="CD117" s="644">
        <f t="shared" si="49"/>
        <v>19</v>
      </c>
      <c r="CE117" s="644">
        <f t="shared" si="50"/>
        <v>15</v>
      </c>
      <c r="CF117" s="644">
        <f t="shared" si="51"/>
        <v>15</v>
      </c>
      <c r="CG117" s="644">
        <f t="shared" si="52"/>
        <v>9</v>
      </c>
      <c r="CH117" s="644">
        <f t="shared" si="123"/>
        <v>7</v>
      </c>
      <c r="CI117" s="644">
        <f t="shared" si="54"/>
        <v>7</v>
      </c>
      <c r="CJ117" s="644">
        <f t="shared" si="55"/>
        <v>0</v>
      </c>
      <c r="CK117" s="644">
        <f t="shared" si="56"/>
        <v>0</v>
      </c>
      <c r="CL117" s="644">
        <f t="shared" si="57"/>
        <v>0</v>
      </c>
      <c r="CM117" s="644">
        <f t="shared" si="58"/>
        <v>0</v>
      </c>
      <c r="CN117" s="644">
        <f t="shared" si="59"/>
        <v>3</v>
      </c>
      <c r="CO117" s="644">
        <f t="shared" si="60"/>
        <v>0</v>
      </c>
      <c r="CP117" s="644">
        <f t="shared" si="61"/>
        <v>0</v>
      </c>
      <c r="CQ117" s="644">
        <f t="shared" si="62"/>
        <v>0</v>
      </c>
      <c r="CR117" s="644">
        <f t="shared" si="63"/>
        <v>0</v>
      </c>
      <c r="CS117" s="644">
        <f t="shared" si="64"/>
        <v>0</v>
      </c>
      <c r="CT117" s="644">
        <f t="shared" si="65"/>
        <v>0</v>
      </c>
      <c r="CU117" s="644">
        <f t="shared" si="66"/>
        <v>0</v>
      </c>
      <c r="CV117" s="644">
        <f t="shared" si="67"/>
        <v>0</v>
      </c>
      <c r="CW117" s="644">
        <f t="shared" si="68"/>
        <v>0</v>
      </c>
      <c r="CX117" s="644">
        <f t="shared" si="69"/>
        <v>0</v>
      </c>
      <c r="CY117" s="644">
        <f t="shared" si="70"/>
        <v>0</v>
      </c>
      <c r="CZ117" s="624" t="s">
        <v>756</v>
      </c>
      <c r="DA117" s="257"/>
    </row>
    <row r="118" spans="1:105" ht="25.5">
      <c r="A118" s="249" t="s">
        <v>247</v>
      </c>
      <c r="B118" s="187"/>
      <c r="C118" s="644"/>
      <c r="D118" s="644">
        <v>1</v>
      </c>
      <c r="E118" s="644">
        <v>1</v>
      </c>
      <c r="F118" s="251">
        <v>1</v>
      </c>
      <c r="G118" s="251"/>
      <c r="H118" s="251"/>
      <c r="I118" s="251">
        <v>1</v>
      </c>
      <c r="J118" s="644"/>
      <c r="K118" s="644"/>
      <c r="L118" s="644"/>
      <c r="M118" s="644"/>
      <c r="N118" s="644"/>
      <c r="O118" s="644"/>
      <c r="P118" s="644"/>
      <c r="Q118" s="644"/>
      <c r="R118" s="644">
        <v>1</v>
      </c>
      <c r="S118" s="644"/>
      <c r="T118" s="644"/>
      <c r="U118" s="644">
        <v>1</v>
      </c>
      <c r="V118" s="644"/>
      <c r="W118" s="644"/>
      <c r="X118" s="644"/>
      <c r="Y118" s="644"/>
      <c r="Z118" s="644">
        <v>1</v>
      </c>
      <c r="AA118" s="644"/>
      <c r="AB118" s="644"/>
      <c r="AC118" s="250"/>
      <c r="AD118" s="644">
        <v>1</v>
      </c>
      <c r="AE118" s="644"/>
      <c r="AF118" s="644"/>
      <c r="AG118" s="644"/>
      <c r="AH118" s="644">
        <v>1</v>
      </c>
      <c r="AI118" s="644"/>
      <c r="AJ118" s="644">
        <v>1</v>
      </c>
      <c r="AK118" s="644"/>
      <c r="AL118" s="167">
        <v>10</v>
      </c>
      <c r="AM118" s="185" t="s">
        <v>1091</v>
      </c>
      <c r="AN118" s="186">
        <v>42009</v>
      </c>
      <c r="AO118" s="187"/>
      <c r="AP118" s="187">
        <f t="shared" si="148"/>
        <v>13</v>
      </c>
      <c r="AQ118" s="187">
        <f t="shared" si="149"/>
        <v>13</v>
      </c>
      <c r="AR118" s="187">
        <f t="shared" si="150"/>
        <v>13</v>
      </c>
      <c r="AS118" s="187">
        <f t="shared" si="151"/>
        <v>13</v>
      </c>
      <c r="AT118" s="187">
        <f t="shared" si="152"/>
        <v>0</v>
      </c>
      <c r="AU118" s="187">
        <f t="shared" si="153"/>
        <v>9</v>
      </c>
      <c r="AV118" s="187">
        <f t="shared" si="154"/>
        <v>0</v>
      </c>
      <c r="AW118" s="187">
        <f t="shared" si="155"/>
        <v>7</v>
      </c>
      <c r="AX118" s="187">
        <f t="shared" si="156"/>
        <v>7</v>
      </c>
      <c r="AY118" s="187">
        <f t="shared" si="157"/>
        <v>7</v>
      </c>
      <c r="AZ118" s="187">
        <f t="shared" si="158"/>
        <v>7</v>
      </c>
      <c r="BA118" s="187">
        <f t="shared" si="159"/>
        <v>7</v>
      </c>
      <c r="BB118" s="187">
        <f t="shared" si="160"/>
        <v>0</v>
      </c>
      <c r="BC118" s="187">
        <f t="shared" si="161"/>
        <v>0</v>
      </c>
      <c r="BD118" s="187">
        <f t="shared" si="162"/>
        <v>0</v>
      </c>
      <c r="BE118" s="187">
        <f t="shared" si="163"/>
        <v>0</v>
      </c>
      <c r="BF118" s="187">
        <f t="shared" si="164"/>
        <v>0</v>
      </c>
      <c r="BG118" s="187">
        <f t="shared" si="165"/>
        <v>0</v>
      </c>
      <c r="BH118" s="187">
        <f t="shared" si="166"/>
        <v>0</v>
      </c>
      <c r="BI118" s="187">
        <f t="shared" si="167"/>
        <v>0</v>
      </c>
      <c r="BJ118" s="187">
        <f t="shared" si="168"/>
        <v>0</v>
      </c>
      <c r="BK118" s="187">
        <f t="shared" si="169"/>
        <v>0</v>
      </c>
      <c r="BL118" s="187">
        <f t="shared" si="170"/>
        <v>0</v>
      </c>
      <c r="BM118" s="187">
        <f t="shared" si="171"/>
        <v>0</v>
      </c>
      <c r="BN118" s="188">
        <f t="shared" si="172"/>
        <v>0</v>
      </c>
      <c r="BO118" s="187">
        <f t="shared" si="173"/>
        <v>0</v>
      </c>
      <c r="BP118" s="187">
        <f t="shared" ref="BP118:BQ118" si="386">IF(G118=1,1,0)</f>
        <v>0</v>
      </c>
      <c r="BQ118" s="187">
        <f t="shared" si="386"/>
        <v>0</v>
      </c>
      <c r="BR118" s="187">
        <f t="shared" ref="BR118:BT118" si="387">IF(K118=1,1,0)</f>
        <v>0</v>
      </c>
      <c r="BS118" s="187">
        <f t="shared" si="387"/>
        <v>0</v>
      </c>
      <c r="BT118" s="187">
        <f t="shared" si="387"/>
        <v>0</v>
      </c>
      <c r="BU118" s="187">
        <f t="shared" ref="BU118:BV118" si="388">IF(P118=1,1,0)</f>
        <v>0</v>
      </c>
      <c r="BV118" s="187">
        <f t="shared" si="388"/>
        <v>0</v>
      </c>
      <c r="BW118" s="187">
        <f t="shared" si="177"/>
        <v>0</v>
      </c>
      <c r="BX118" s="187">
        <f t="shared" si="178"/>
        <v>0</v>
      </c>
      <c r="BY118" s="187">
        <f t="shared" si="179"/>
        <v>0</v>
      </c>
      <c r="BZ118" s="187">
        <f t="shared" si="180"/>
        <v>0</v>
      </c>
      <c r="CA118" s="167">
        <f t="shared" si="181"/>
        <v>96</v>
      </c>
      <c r="CB118" s="167">
        <f t="shared" si="47"/>
        <v>94</v>
      </c>
      <c r="CC118" s="644">
        <f t="shared" si="48"/>
        <v>23</v>
      </c>
      <c r="CD118" s="644">
        <f t="shared" si="49"/>
        <v>19</v>
      </c>
      <c r="CE118" s="644">
        <f t="shared" si="50"/>
        <v>15</v>
      </c>
      <c r="CF118" s="644">
        <f t="shared" si="51"/>
        <v>15</v>
      </c>
      <c r="CG118" s="644">
        <f t="shared" si="52"/>
        <v>0</v>
      </c>
      <c r="CH118" s="644">
        <f t="shared" si="123"/>
        <v>7</v>
      </c>
      <c r="CI118" s="644">
        <f t="shared" si="54"/>
        <v>0</v>
      </c>
      <c r="CJ118" s="644">
        <f t="shared" si="55"/>
        <v>5</v>
      </c>
      <c r="CK118" s="644">
        <f t="shared" si="56"/>
        <v>5</v>
      </c>
      <c r="CL118" s="644">
        <f t="shared" si="57"/>
        <v>5</v>
      </c>
      <c r="CM118" s="644">
        <f t="shared" si="58"/>
        <v>0</v>
      </c>
      <c r="CN118" s="644">
        <f t="shared" si="59"/>
        <v>0</v>
      </c>
      <c r="CO118" s="644">
        <f t="shared" si="60"/>
        <v>3</v>
      </c>
      <c r="CP118" s="644">
        <f t="shared" si="61"/>
        <v>3</v>
      </c>
      <c r="CQ118" s="644">
        <f t="shared" si="62"/>
        <v>0</v>
      </c>
      <c r="CR118" s="644">
        <f t="shared" si="63"/>
        <v>0</v>
      </c>
      <c r="CS118" s="644">
        <f t="shared" si="64"/>
        <v>0</v>
      </c>
      <c r="CT118" s="644">
        <f t="shared" si="65"/>
        <v>0</v>
      </c>
      <c r="CU118" s="644">
        <f t="shared" si="66"/>
        <v>0</v>
      </c>
      <c r="CV118" s="644">
        <f t="shared" si="67"/>
        <v>0</v>
      </c>
      <c r="CW118" s="644">
        <f t="shared" si="68"/>
        <v>0</v>
      </c>
      <c r="CX118" s="644">
        <f t="shared" si="69"/>
        <v>0</v>
      </c>
      <c r="CY118" s="644">
        <f t="shared" si="70"/>
        <v>0</v>
      </c>
      <c r="CZ118" s="624" t="s">
        <v>1179</v>
      </c>
      <c r="DA118" s="257"/>
    </row>
    <row r="119" spans="1:105">
      <c r="A119" s="249" t="s">
        <v>250</v>
      </c>
      <c r="B119" s="187"/>
      <c r="C119" s="644"/>
      <c r="D119" s="644">
        <v>1</v>
      </c>
      <c r="E119" s="644">
        <v>1</v>
      </c>
      <c r="F119" s="251">
        <v>1</v>
      </c>
      <c r="G119" s="251"/>
      <c r="H119" s="251"/>
      <c r="I119" s="251">
        <v>1</v>
      </c>
      <c r="J119" s="644"/>
      <c r="K119" s="644"/>
      <c r="L119" s="644"/>
      <c r="M119" s="644"/>
      <c r="N119" s="644"/>
      <c r="O119" s="644"/>
      <c r="P119" s="644"/>
      <c r="Q119" s="644"/>
      <c r="R119" s="644">
        <v>1</v>
      </c>
      <c r="S119" s="644"/>
      <c r="T119" s="644"/>
      <c r="U119" s="644">
        <v>1</v>
      </c>
      <c r="V119" s="644"/>
      <c r="W119" s="644"/>
      <c r="X119" s="644"/>
      <c r="Y119" s="644"/>
      <c r="Z119" s="644"/>
      <c r="AA119" s="644"/>
      <c r="AB119" s="258">
        <v>1</v>
      </c>
      <c r="AC119" s="644">
        <v>1</v>
      </c>
      <c r="AD119" s="644">
        <v>1</v>
      </c>
      <c r="AE119" s="644"/>
      <c r="AF119" s="644"/>
      <c r="AG119" s="644"/>
      <c r="AH119" s="644">
        <v>1</v>
      </c>
      <c r="AI119" s="644"/>
      <c r="AJ119" s="644"/>
      <c r="AK119" s="644"/>
      <c r="AL119" s="167">
        <v>10</v>
      </c>
      <c r="AM119" s="185" t="s">
        <v>1180</v>
      </c>
      <c r="AN119" s="186">
        <v>41998</v>
      </c>
      <c r="AO119" s="187"/>
      <c r="AP119" s="187">
        <f t="shared" si="148"/>
        <v>13</v>
      </c>
      <c r="AQ119" s="187">
        <f t="shared" si="149"/>
        <v>13</v>
      </c>
      <c r="AR119" s="187">
        <f t="shared" si="150"/>
        <v>13</v>
      </c>
      <c r="AS119" s="187">
        <f t="shared" si="151"/>
        <v>13</v>
      </c>
      <c r="AT119" s="187">
        <f t="shared" si="152"/>
        <v>9</v>
      </c>
      <c r="AU119" s="187">
        <f t="shared" si="153"/>
        <v>9</v>
      </c>
      <c r="AV119" s="187">
        <f t="shared" si="154"/>
        <v>9</v>
      </c>
      <c r="AW119" s="187">
        <f t="shared" si="155"/>
        <v>0</v>
      </c>
      <c r="AX119" s="187">
        <f t="shared" si="156"/>
        <v>7</v>
      </c>
      <c r="AY119" s="187">
        <f t="shared" si="157"/>
        <v>0</v>
      </c>
      <c r="AZ119" s="187">
        <f t="shared" si="158"/>
        <v>7</v>
      </c>
      <c r="BA119" s="187">
        <f t="shared" si="159"/>
        <v>7</v>
      </c>
      <c r="BB119" s="187">
        <f t="shared" si="160"/>
        <v>0</v>
      </c>
      <c r="BC119" s="187">
        <f t="shared" si="161"/>
        <v>0</v>
      </c>
      <c r="BD119" s="187">
        <f t="shared" si="162"/>
        <v>0</v>
      </c>
      <c r="BE119" s="187">
        <f t="shared" si="163"/>
        <v>0</v>
      </c>
      <c r="BF119" s="187">
        <f t="shared" si="164"/>
        <v>0</v>
      </c>
      <c r="BG119" s="187">
        <f t="shared" si="165"/>
        <v>0</v>
      </c>
      <c r="BH119" s="187">
        <f t="shared" si="166"/>
        <v>0</v>
      </c>
      <c r="BI119" s="187">
        <f t="shared" si="167"/>
        <v>0</v>
      </c>
      <c r="BJ119" s="187">
        <f t="shared" si="168"/>
        <v>0</v>
      </c>
      <c r="BK119" s="187">
        <f t="shared" si="169"/>
        <v>0</v>
      </c>
      <c r="BL119" s="187">
        <f t="shared" si="170"/>
        <v>0</v>
      </c>
      <c r="BM119" s="187">
        <f t="shared" si="171"/>
        <v>0</v>
      </c>
      <c r="BN119" s="188">
        <f t="shared" si="172"/>
        <v>0</v>
      </c>
      <c r="BO119" s="187">
        <f t="shared" si="173"/>
        <v>0</v>
      </c>
      <c r="BP119" s="187">
        <f t="shared" ref="BP119:BQ119" si="389">IF(G119=1,1,0)</f>
        <v>0</v>
      </c>
      <c r="BQ119" s="187">
        <f t="shared" si="389"/>
        <v>0</v>
      </c>
      <c r="BR119" s="187">
        <f t="shared" ref="BR119:BT119" si="390">IF(K119=1,1,0)</f>
        <v>0</v>
      </c>
      <c r="BS119" s="187">
        <f t="shared" si="390"/>
        <v>0</v>
      </c>
      <c r="BT119" s="187">
        <f t="shared" si="390"/>
        <v>0</v>
      </c>
      <c r="BU119" s="187">
        <f t="shared" ref="BU119:BV119" si="391">IF(P119=1,1,0)</f>
        <v>0</v>
      </c>
      <c r="BV119" s="187">
        <f t="shared" si="391"/>
        <v>0</v>
      </c>
      <c r="BW119" s="187">
        <f t="shared" si="177"/>
        <v>0</v>
      </c>
      <c r="BX119" s="187">
        <f t="shared" si="178"/>
        <v>0</v>
      </c>
      <c r="BY119" s="187">
        <f t="shared" si="179"/>
        <v>0</v>
      </c>
      <c r="BZ119" s="187">
        <f t="shared" si="180"/>
        <v>0</v>
      </c>
      <c r="CA119" s="167">
        <f t="shared" si="181"/>
        <v>100</v>
      </c>
      <c r="CB119" s="167">
        <f t="shared" si="47"/>
        <v>100</v>
      </c>
      <c r="CC119" s="644">
        <f t="shared" si="48"/>
        <v>23</v>
      </c>
      <c r="CD119" s="644">
        <f t="shared" si="49"/>
        <v>19</v>
      </c>
      <c r="CE119" s="644">
        <f t="shared" si="50"/>
        <v>15</v>
      </c>
      <c r="CF119" s="644">
        <f t="shared" si="51"/>
        <v>15</v>
      </c>
      <c r="CG119" s="644">
        <f t="shared" si="52"/>
        <v>9</v>
      </c>
      <c r="CH119" s="644">
        <f t="shared" si="123"/>
        <v>7</v>
      </c>
      <c r="CI119" s="644">
        <f t="shared" si="54"/>
        <v>7</v>
      </c>
      <c r="CJ119" s="644">
        <f t="shared" si="55"/>
        <v>5</v>
      </c>
      <c r="CK119" s="644">
        <f t="shared" si="56"/>
        <v>5</v>
      </c>
      <c r="CL119" s="644">
        <f t="shared" si="57"/>
        <v>5</v>
      </c>
      <c r="CM119" s="644">
        <f t="shared" si="58"/>
        <v>0</v>
      </c>
      <c r="CN119" s="644">
        <f t="shared" si="59"/>
        <v>0</v>
      </c>
      <c r="CO119" s="644">
        <f t="shared" si="60"/>
        <v>0</v>
      </c>
      <c r="CP119" s="644">
        <f t="shared" si="61"/>
        <v>0</v>
      </c>
      <c r="CQ119" s="644">
        <f t="shared" si="62"/>
        <v>0</v>
      </c>
      <c r="CR119" s="644">
        <f t="shared" si="63"/>
        <v>0</v>
      </c>
      <c r="CS119" s="644">
        <f t="shared" si="64"/>
        <v>0</v>
      </c>
      <c r="CT119" s="644">
        <f t="shared" si="65"/>
        <v>0</v>
      </c>
      <c r="CU119" s="644">
        <f t="shared" si="66"/>
        <v>0</v>
      </c>
      <c r="CV119" s="644">
        <f t="shared" si="67"/>
        <v>0</v>
      </c>
      <c r="CW119" s="644">
        <f t="shared" si="68"/>
        <v>0</v>
      </c>
      <c r="CX119" s="644">
        <f t="shared" si="69"/>
        <v>0</v>
      </c>
      <c r="CY119" s="644">
        <f t="shared" si="70"/>
        <v>0</v>
      </c>
      <c r="CZ119" s="624" t="s">
        <v>752</v>
      </c>
      <c r="DA119" s="257"/>
    </row>
    <row r="120" spans="1:105">
      <c r="A120" s="249" t="s">
        <v>590</v>
      </c>
      <c r="B120" s="187"/>
      <c r="C120" s="644"/>
      <c r="D120" s="644"/>
      <c r="E120" s="644">
        <v>1</v>
      </c>
      <c r="F120" s="251">
        <v>1</v>
      </c>
      <c r="G120" s="251"/>
      <c r="H120" s="251"/>
      <c r="I120" s="251">
        <v>1</v>
      </c>
      <c r="J120" s="644"/>
      <c r="K120" s="644"/>
      <c r="L120" s="644"/>
      <c r="M120" s="644"/>
      <c r="N120" s="644"/>
      <c r="O120" s="644"/>
      <c r="P120" s="644"/>
      <c r="Q120" s="644"/>
      <c r="R120" s="644">
        <v>1</v>
      </c>
      <c r="S120" s="644"/>
      <c r="T120" s="644"/>
      <c r="U120" s="644">
        <v>1</v>
      </c>
      <c r="V120" s="644">
        <v>1</v>
      </c>
      <c r="W120" s="644"/>
      <c r="X120" s="644">
        <v>1</v>
      </c>
      <c r="Y120" s="644"/>
      <c r="Z120" s="644">
        <v>1</v>
      </c>
      <c r="AA120" s="644"/>
      <c r="AB120" s="644">
        <v>1</v>
      </c>
      <c r="AC120" s="250"/>
      <c r="AD120" s="644"/>
      <c r="AE120" s="644"/>
      <c r="AF120" s="644"/>
      <c r="AG120" s="644"/>
      <c r="AH120" s="644">
        <v>1</v>
      </c>
      <c r="AI120" s="644"/>
      <c r="AJ120" s="644"/>
      <c r="AK120" s="644"/>
      <c r="AL120" s="167">
        <v>10</v>
      </c>
      <c r="AM120" s="185" t="s">
        <v>1181</v>
      </c>
      <c r="AN120" s="186">
        <v>42010</v>
      </c>
      <c r="AO120" s="187"/>
      <c r="AP120" s="187">
        <f t="shared" si="148"/>
        <v>13</v>
      </c>
      <c r="AQ120" s="187">
        <f t="shared" si="149"/>
        <v>13</v>
      </c>
      <c r="AR120" s="187">
        <f t="shared" si="150"/>
        <v>13</v>
      </c>
      <c r="AS120" s="187">
        <f t="shared" si="151"/>
        <v>13</v>
      </c>
      <c r="AT120" s="187">
        <f t="shared" si="152"/>
        <v>9</v>
      </c>
      <c r="AU120" s="187">
        <f t="shared" si="153"/>
        <v>0</v>
      </c>
      <c r="AV120" s="187">
        <f t="shared" si="154"/>
        <v>0</v>
      </c>
      <c r="AW120" s="187">
        <f t="shared" si="155"/>
        <v>0</v>
      </c>
      <c r="AX120" s="187">
        <f t="shared" si="156"/>
        <v>0</v>
      </c>
      <c r="AY120" s="187">
        <f t="shared" si="157"/>
        <v>7</v>
      </c>
      <c r="AZ120" s="187">
        <f t="shared" si="158"/>
        <v>7</v>
      </c>
      <c r="BA120" s="187">
        <f t="shared" si="159"/>
        <v>7</v>
      </c>
      <c r="BB120" s="187">
        <f t="shared" si="160"/>
        <v>0</v>
      </c>
      <c r="BC120" s="187">
        <f t="shared" si="161"/>
        <v>0</v>
      </c>
      <c r="BD120" s="187">
        <f t="shared" si="162"/>
        <v>4</v>
      </c>
      <c r="BE120" s="187">
        <f t="shared" si="163"/>
        <v>0</v>
      </c>
      <c r="BF120" s="187">
        <f t="shared" si="164"/>
        <v>0</v>
      </c>
      <c r="BG120" s="187">
        <f t="shared" si="165"/>
        <v>0</v>
      </c>
      <c r="BH120" s="187">
        <f t="shared" si="166"/>
        <v>0</v>
      </c>
      <c r="BI120" s="187">
        <f t="shared" si="167"/>
        <v>1</v>
      </c>
      <c r="BJ120" s="187">
        <f t="shared" si="168"/>
        <v>0</v>
      </c>
      <c r="BK120" s="187">
        <f t="shared" si="169"/>
        <v>0</v>
      </c>
      <c r="BL120" s="187">
        <f t="shared" si="170"/>
        <v>0</v>
      </c>
      <c r="BM120" s="187">
        <f t="shared" si="171"/>
        <v>0</v>
      </c>
      <c r="BN120" s="188">
        <f t="shared" si="172"/>
        <v>0</v>
      </c>
      <c r="BO120" s="187">
        <f t="shared" si="173"/>
        <v>0</v>
      </c>
      <c r="BP120" s="187">
        <f t="shared" ref="BP120:BQ120" si="392">IF(G120=1,1,0)</f>
        <v>0</v>
      </c>
      <c r="BQ120" s="187">
        <f t="shared" si="392"/>
        <v>0</v>
      </c>
      <c r="BR120" s="187">
        <f t="shared" ref="BR120:BT120" si="393">IF(K120=1,1,0)</f>
        <v>0</v>
      </c>
      <c r="BS120" s="187">
        <f t="shared" si="393"/>
        <v>0</v>
      </c>
      <c r="BT120" s="187">
        <f t="shared" si="393"/>
        <v>0</v>
      </c>
      <c r="BU120" s="187">
        <f t="shared" ref="BU120:BV120" si="394">IF(P120=1,1,0)</f>
        <v>0</v>
      </c>
      <c r="BV120" s="187">
        <f t="shared" si="394"/>
        <v>0</v>
      </c>
      <c r="BW120" s="187">
        <f t="shared" si="177"/>
        <v>0</v>
      </c>
      <c r="BX120" s="187">
        <f t="shared" si="178"/>
        <v>0</v>
      </c>
      <c r="BY120" s="187">
        <f t="shared" si="179"/>
        <v>0</v>
      </c>
      <c r="BZ120" s="187">
        <f t="shared" si="180"/>
        <v>0</v>
      </c>
      <c r="CA120" s="167">
        <f t="shared" si="181"/>
        <v>87</v>
      </c>
      <c r="CB120" s="167">
        <f t="shared" si="47"/>
        <v>94</v>
      </c>
      <c r="CC120" s="644">
        <f t="shared" si="48"/>
        <v>23</v>
      </c>
      <c r="CD120" s="644">
        <f t="shared" si="49"/>
        <v>19</v>
      </c>
      <c r="CE120" s="644">
        <f t="shared" si="50"/>
        <v>15</v>
      </c>
      <c r="CF120" s="644">
        <f t="shared" si="51"/>
        <v>15</v>
      </c>
      <c r="CG120" s="644">
        <f t="shared" si="52"/>
        <v>9</v>
      </c>
      <c r="CH120" s="644">
        <f t="shared" si="123"/>
        <v>0</v>
      </c>
      <c r="CI120" s="644">
        <f t="shared" si="54"/>
        <v>0</v>
      </c>
      <c r="CJ120" s="644">
        <f t="shared" si="55"/>
        <v>0</v>
      </c>
      <c r="CK120" s="644">
        <f t="shared" si="56"/>
        <v>5</v>
      </c>
      <c r="CL120" s="644">
        <f t="shared" si="57"/>
        <v>5</v>
      </c>
      <c r="CM120" s="644">
        <f t="shared" si="58"/>
        <v>0</v>
      </c>
      <c r="CN120" s="644">
        <f t="shared" si="59"/>
        <v>0</v>
      </c>
      <c r="CO120" s="644">
        <f t="shared" si="60"/>
        <v>0</v>
      </c>
      <c r="CP120" s="644">
        <f t="shared" si="61"/>
        <v>3</v>
      </c>
      <c r="CQ120" s="644">
        <f t="shared" si="62"/>
        <v>0</v>
      </c>
      <c r="CR120" s="644">
        <f t="shared" si="63"/>
        <v>0</v>
      </c>
      <c r="CS120" s="644">
        <f t="shared" si="64"/>
        <v>0</v>
      </c>
      <c r="CT120" s="644">
        <f t="shared" si="65"/>
        <v>0</v>
      </c>
      <c r="CU120" s="644">
        <f t="shared" si="66"/>
        <v>1</v>
      </c>
      <c r="CV120" s="644">
        <f t="shared" si="67"/>
        <v>1</v>
      </c>
      <c r="CW120" s="644">
        <f t="shared" si="68"/>
        <v>0</v>
      </c>
      <c r="CX120" s="644">
        <f t="shared" si="69"/>
        <v>0</v>
      </c>
      <c r="CY120" s="644">
        <f t="shared" si="70"/>
        <v>0</v>
      </c>
      <c r="CZ120" s="624" t="s">
        <v>821</v>
      </c>
      <c r="DA120" s="257"/>
    </row>
    <row r="121" spans="1:105">
      <c r="A121" s="249" t="s">
        <v>251</v>
      </c>
      <c r="B121" s="187"/>
      <c r="C121" s="644"/>
      <c r="D121" s="644"/>
      <c r="E121" s="644">
        <v>1</v>
      </c>
      <c r="F121" s="251"/>
      <c r="G121" s="251"/>
      <c r="H121" s="251"/>
      <c r="I121" s="251"/>
      <c r="J121" s="644"/>
      <c r="K121" s="644"/>
      <c r="L121" s="644"/>
      <c r="M121" s="644"/>
      <c r="N121" s="644"/>
      <c r="O121" s="644"/>
      <c r="P121" s="644"/>
      <c r="Q121" s="644"/>
      <c r="R121" s="644">
        <v>1</v>
      </c>
      <c r="S121" s="644"/>
      <c r="T121" s="644">
        <v>1</v>
      </c>
      <c r="U121" s="644">
        <v>1</v>
      </c>
      <c r="V121" s="644"/>
      <c r="W121" s="644"/>
      <c r="X121" s="644"/>
      <c r="Y121" s="644"/>
      <c r="Z121" s="258">
        <v>1</v>
      </c>
      <c r="AA121" s="644"/>
      <c r="AB121" s="644">
        <v>1</v>
      </c>
      <c r="AC121" s="644">
        <v>1</v>
      </c>
      <c r="AD121" s="251"/>
      <c r="AE121" s="644"/>
      <c r="AF121" s="644">
        <v>1</v>
      </c>
      <c r="AG121" s="644"/>
      <c r="AH121" s="644">
        <v>1</v>
      </c>
      <c r="AI121" s="644"/>
      <c r="AJ121" s="644"/>
      <c r="AK121" s="644"/>
      <c r="AL121" s="167">
        <v>9</v>
      </c>
      <c r="AM121" s="185" t="s">
        <v>1182</v>
      </c>
      <c r="AN121" s="186">
        <v>42009</v>
      </c>
      <c r="AO121" s="187"/>
      <c r="AP121" s="187">
        <f t="shared" si="148"/>
        <v>0</v>
      </c>
      <c r="AQ121" s="187">
        <f t="shared" si="149"/>
        <v>0</v>
      </c>
      <c r="AR121" s="187">
        <f t="shared" si="150"/>
        <v>13</v>
      </c>
      <c r="AS121" s="187">
        <f t="shared" si="151"/>
        <v>13</v>
      </c>
      <c r="AT121" s="187">
        <f t="shared" si="152"/>
        <v>9</v>
      </c>
      <c r="AU121" s="187">
        <f t="shared" si="153"/>
        <v>0</v>
      </c>
      <c r="AV121" s="187">
        <f t="shared" si="154"/>
        <v>9</v>
      </c>
      <c r="AW121" s="187">
        <f t="shared" si="155"/>
        <v>0</v>
      </c>
      <c r="AX121" s="187">
        <f t="shared" si="156"/>
        <v>0</v>
      </c>
      <c r="AY121" s="187">
        <f t="shared" si="157"/>
        <v>7</v>
      </c>
      <c r="AZ121" s="187">
        <f t="shared" si="158"/>
        <v>7</v>
      </c>
      <c r="BA121" s="187">
        <f t="shared" si="159"/>
        <v>7</v>
      </c>
      <c r="BB121" s="187">
        <f t="shared" si="160"/>
        <v>0</v>
      </c>
      <c r="BC121" s="187">
        <f t="shared" si="161"/>
        <v>4</v>
      </c>
      <c r="BD121" s="187">
        <f t="shared" si="162"/>
        <v>0</v>
      </c>
      <c r="BE121" s="187">
        <f t="shared" si="163"/>
        <v>3</v>
      </c>
      <c r="BF121" s="187">
        <f t="shared" si="164"/>
        <v>0</v>
      </c>
      <c r="BG121" s="187">
        <f t="shared" si="165"/>
        <v>0</v>
      </c>
      <c r="BH121" s="187">
        <f t="shared" si="166"/>
        <v>0</v>
      </c>
      <c r="BI121" s="187">
        <f t="shared" si="167"/>
        <v>0</v>
      </c>
      <c r="BJ121" s="187">
        <f t="shared" si="168"/>
        <v>0</v>
      </c>
      <c r="BK121" s="187">
        <f t="shared" si="169"/>
        <v>0</v>
      </c>
      <c r="BL121" s="187">
        <f t="shared" si="170"/>
        <v>0</v>
      </c>
      <c r="BM121" s="187">
        <f t="shared" si="171"/>
        <v>0</v>
      </c>
      <c r="BN121" s="188">
        <f t="shared" si="172"/>
        <v>1</v>
      </c>
      <c r="BO121" s="187">
        <f t="shared" si="173"/>
        <v>0</v>
      </c>
      <c r="BP121" s="187">
        <f t="shared" ref="BP121:BQ121" si="395">IF(G121=1,1,0)</f>
        <v>0</v>
      </c>
      <c r="BQ121" s="187">
        <f t="shared" si="395"/>
        <v>0</v>
      </c>
      <c r="BR121" s="187">
        <f t="shared" ref="BR121:BT121" si="396">IF(K121=1,1,0)</f>
        <v>0</v>
      </c>
      <c r="BS121" s="187">
        <f t="shared" si="396"/>
        <v>0</v>
      </c>
      <c r="BT121" s="187">
        <f t="shared" si="396"/>
        <v>0</v>
      </c>
      <c r="BU121" s="187">
        <f t="shared" ref="BU121:BV121" si="397">IF(P121=1,1,0)</f>
        <v>0</v>
      </c>
      <c r="BV121" s="187">
        <f t="shared" si="397"/>
        <v>0</v>
      </c>
      <c r="BW121" s="187">
        <f t="shared" si="177"/>
        <v>0</v>
      </c>
      <c r="BX121" s="187">
        <f t="shared" si="178"/>
        <v>0</v>
      </c>
      <c r="BY121" s="187">
        <f t="shared" si="179"/>
        <v>1</v>
      </c>
      <c r="BZ121" s="187">
        <f t="shared" si="180"/>
        <v>-1</v>
      </c>
      <c r="CA121" s="167">
        <f t="shared" si="181"/>
        <v>71</v>
      </c>
      <c r="CB121" s="167">
        <f t="shared" si="47"/>
        <v>98</v>
      </c>
      <c r="CC121" s="644">
        <f t="shared" si="48"/>
        <v>23</v>
      </c>
      <c r="CD121" s="644">
        <f t="shared" si="49"/>
        <v>19</v>
      </c>
      <c r="CE121" s="644">
        <f t="shared" si="50"/>
        <v>15</v>
      </c>
      <c r="CF121" s="644">
        <f t="shared" si="51"/>
        <v>15</v>
      </c>
      <c r="CG121" s="644">
        <f t="shared" si="52"/>
        <v>9</v>
      </c>
      <c r="CH121" s="644">
        <f t="shared" si="123"/>
        <v>7</v>
      </c>
      <c r="CI121" s="644">
        <f t="shared" si="54"/>
        <v>7</v>
      </c>
      <c r="CJ121" s="644">
        <f t="shared" si="55"/>
        <v>0</v>
      </c>
      <c r="CK121" s="644">
        <f t="shared" si="56"/>
        <v>0</v>
      </c>
      <c r="CL121" s="644">
        <f t="shared" si="57"/>
        <v>0</v>
      </c>
      <c r="CM121" s="644">
        <f t="shared" si="58"/>
        <v>0</v>
      </c>
      <c r="CN121" s="644">
        <f t="shared" si="59"/>
        <v>3</v>
      </c>
      <c r="CO121" s="644">
        <f t="shared" si="60"/>
        <v>0</v>
      </c>
      <c r="CP121" s="644">
        <f t="shared" si="61"/>
        <v>3</v>
      </c>
      <c r="CQ121" s="644">
        <f t="shared" si="62"/>
        <v>0</v>
      </c>
      <c r="CR121" s="644">
        <f t="shared" si="63"/>
        <v>0</v>
      </c>
      <c r="CS121" s="644">
        <f t="shared" si="64"/>
        <v>0</v>
      </c>
      <c r="CT121" s="644">
        <f t="shared" si="65"/>
        <v>2</v>
      </c>
      <c r="CU121" s="644">
        <f t="shared" si="66"/>
        <v>0</v>
      </c>
      <c r="CV121" s="644">
        <f t="shared" si="67"/>
        <v>0</v>
      </c>
      <c r="CW121" s="644">
        <f t="shared" si="68"/>
        <v>0</v>
      </c>
      <c r="CX121" s="644">
        <f t="shared" si="69"/>
        <v>0</v>
      </c>
      <c r="CY121" s="644">
        <f t="shared" si="70"/>
        <v>0</v>
      </c>
      <c r="CZ121" s="624" t="s">
        <v>756</v>
      </c>
      <c r="DA121" s="257"/>
    </row>
    <row r="122" spans="1:105">
      <c r="A122" s="249" t="s">
        <v>253</v>
      </c>
      <c r="B122" s="187"/>
      <c r="C122" s="644"/>
      <c r="D122" s="644"/>
      <c r="E122" s="644">
        <v>1</v>
      </c>
      <c r="F122" s="251">
        <v>1</v>
      </c>
      <c r="G122" s="251"/>
      <c r="H122" s="251"/>
      <c r="I122" s="251">
        <v>1</v>
      </c>
      <c r="J122" s="644"/>
      <c r="K122" s="644"/>
      <c r="L122" s="644"/>
      <c r="M122" s="644"/>
      <c r="N122" s="644"/>
      <c r="O122" s="644"/>
      <c r="P122" s="644"/>
      <c r="Q122" s="644"/>
      <c r="R122" s="644">
        <v>1</v>
      </c>
      <c r="S122" s="644"/>
      <c r="T122" s="644"/>
      <c r="U122" s="644">
        <v>1</v>
      </c>
      <c r="V122" s="644"/>
      <c r="W122" s="644"/>
      <c r="X122" s="644"/>
      <c r="Y122" s="644"/>
      <c r="Z122" s="258">
        <v>1</v>
      </c>
      <c r="AA122" s="644"/>
      <c r="AB122" s="644">
        <v>1</v>
      </c>
      <c r="AC122" s="644"/>
      <c r="AD122" s="644"/>
      <c r="AE122" s="644"/>
      <c r="AF122" s="644">
        <v>1</v>
      </c>
      <c r="AG122" s="644"/>
      <c r="AH122" s="644">
        <v>1</v>
      </c>
      <c r="AI122" s="644">
        <v>1</v>
      </c>
      <c r="AJ122" s="644"/>
      <c r="AK122" s="644"/>
      <c r="AL122" s="167">
        <v>10</v>
      </c>
      <c r="AM122" s="185" t="s">
        <v>1183</v>
      </c>
      <c r="AN122" s="186">
        <v>42010</v>
      </c>
      <c r="AO122" s="187"/>
      <c r="AP122" s="187">
        <f t="shared" si="148"/>
        <v>13</v>
      </c>
      <c r="AQ122" s="187">
        <f t="shared" si="149"/>
        <v>13</v>
      </c>
      <c r="AR122" s="187">
        <f t="shared" si="150"/>
        <v>13</v>
      </c>
      <c r="AS122" s="187">
        <f t="shared" si="151"/>
        <v>13</v>
      </c>
      <c r="AT122" s="187">
        <f t="shared" si="152"/>
        <v>9</v>
      </c>
      <c r="AU122" s="187">
        <f t="shared" si="153"/>
        <v>0</v>
      </c>
      <c r="AV122" s="187">
        <f t="shared" si="154"/>
        <v>0</v>
      </c>
      <c r="AW122" s="187">
        <f t="shared" si="155"/>
        <v>0</v>
      </c>
      <c r="AX122" s="187">
        <f t="shared" si="156"/>
        <v>0</v>
      </c>
      <c r="AY122" s="187">
        <f t="shared" si="157"/>
        <v>7</v>
      </c>
      <c r="AZ122" s="187">
        <f t="shared" si="158"/>
        <v>7</v>
      </c>
      <c r="BA122" s="187">
        <f t="shared" si="159"/>
        <v>7</v>
      </c>
      <c r="BB122" s="187">
        <f t="shared" si="160"/>
        <v>0</v>
      </c>
      <c r="BC122" s="187">
        <f t="shared" si="161"/>
        <v>0</v>
      </c>
      <c r="BD122" s="187">
        <f t="shared" si="162"/>
        <v>0</v>
      </c>
      <c r="BE122" s="187">
        <f t="shared" si="163"/>
        <v>3</v>
      </c>
      <c r="BF122" s="187">
        <f t="shared" si="164"/>
        <v>0</v>
      </c>
      <c r="BG122" s="187">
        <f t="shared" si="165"/>
        <v>2</v>
      </c>
      <c r="BH122" s="187">
        <f t="shared" si="166"/>
        <v>0</v>
      </c>
      <c r="BI122" s="187">
        <f t="shared" si="167"/>
        <v>0</v>
      </c>
      <c r="BJ122" s="187">
        <f t="shared" si="168"/>
        <v>0</v>
      </c>
      <c r="BK122" s="187">
        <f t="shared" si="169"/>
        <v>0</v>
      </c>
      <c r="BL122" s="187">
        <f t="shared" si="170"/>
        <v>0</v>
      </c>
      <c r="BM122" s="187">
        <f t="shared" si="171"/>
        <v>0</v>
      </c>
      <c r="BN122" s="188">
        <f t="shared" si="172"/>
        <v>0</v>
      </c>
      <c r="BO122" s="187">
        <f t="shared" si="173"/>
        <v>0</v>
      </c>
      <c r="BP122" s="187">
        <f t="shared" ref="BP122:BQ122" si="398">IF(G122=1,1,0)</f>
        <v>0</v>
      </c>
      <c r="BQ122" s="187">
        <f t="shared" si="398"/>
        <v>0</v>
      </c>
      <c r="BR122" s="187">
        <f t="shared" ref="BR122:BT122" si="399">IF(K122=1,1,0)</f>
        <v>0</v>
      </c>
      <c r="BS122" s="187">
        <f t="shared" si="399"/>
        <v>0</v>
      </c>
      <c r="BT122" s="187">
        <f t="shared" si="399"/>
        <v>0</v>
      </c>
      <c r="BU122" s="187">
        <f t="shared" ref="BU122:BV122" si="400">IF(P122=1,1,0)</f>
        <v>0</v>
      </c>
      <c r="BV122" s="187">
        <f t="shared" si="400"/>
        <v>0</v>
      </c>
      <c r="BW122" s="187">
        <f t="shared" si="177"/>
        <v>0</v>
      </c>
      <c r="BX122" s="187">
        <f t="shared" si="178"/>
        <v>0</v>
      </c>
      <c r="BY122" s="187">
        <f t="shared" si="179"/>
        <v>0</v>
      </c>
      <c r="BZ122" s="187">
        <f t="shared" si="180"/>
        <v>0</v>
      </c>
      <c r="CA122" s="167">
        <f t="shared" si="181"/>
        <v>87</v>
      </c>
      <c r="CB122" s="167">
        <f t="shared" si="47"/>
        <v>94</v>
      </c>
      <c r="CC122" s="644">
        <f t="shared" si="48"/>
        <v>23</v>
      </c>
      <c r="CD122" s="644">
        <f t="shared" si="49"/>
        <v>19</v>
      </c>
      <c r="CE122" s="644">
        <f t="shared" si="50"/>
        <v>15</v>
      </c>
      <c r="CF122" s="644">
        <f t="shared" si="51"/>
        <v>15</v>
      </c>
      <c r="CG122" s="644">
        <f t="shared" si="52"/>
        <v>9</v>
      </c>
      <c r="CH122" s="644">
        <f t="shared" si="123"/>
        <v>0</v>
      </c>
      <c r="CI122" s="644">
        <f t="shared" si="54"/>
        <v>0</v>
      </c>
      <c r="CJ122" s="644">
        <f t="shared" si="55"/>
        <v>0</v>
      </c>
      <c r="CK122" s="644">
        <f t="shared" si="56"/>
        <v>5</v>
      </c>
      <c r="CL122" s="644">
        <f t="shared" si="57"/>
        <v>5</v>
      </c>
      <c r="CM122" s="644">
        <f t="shared" si="58"/>
        <v>0</v>
      </c>
      <c r="CN122" s="644">
        <f t="shared" si="59"/>
        <v>0</v>
      </c>
      <c r="CO122" s="644">
        <f t="shared" si="60"/>
        <v>0</v>
      </c>
      <c r="CP122" s="644">
        <f t="shared" si="61"/>
        <v>3</v>
      </c>
      <c r="CQ122" s="644">
        <f t="shared" si="62"/>
        <v>0</v>
      </c>
      <c r="CR122" s="644">
        <f t="shared" si="63"/>
        <v>0</v>
      </c>
      <c r="CS122" s="644">
        <f t="shared" si="64"/>
        <v>0</v>
      </c>
      <c r="CT122" s="644">
        <f t="shared" si="65"/>
        <v>2</v>
      </c>
      <c r="CU122" s="644">
        <f t="shared" si="66"/>
        <v>0</v>
      </c>
      <c r="CV122" s="644">
        <f t="shared" si="67"/>
        <v>0</v>
      </c>
      <c r="CW122" s="644">
        <f t="shared" si="68"/>
        <v>1</v>
      </c>
      <c r="CX122" s="644">
        <f t="shared" si="69"/>
        <v>0</v>
      </c>
      <c r="CY122" s="644">
        <f t="shared" si="70"/>
        <v>0</v>
      </c>
      <c r="CZ122" s="624" t="s">
        <v>756</v>
      </c>
      <c r="DA122" s="257"/>
    </row>
    <row r="123" spans="1:105">
      <c r="A123" s="249" t="s">
        <v>254</v>
      </c>
      <c r="B123" s="187"/>
      <c r="C123" s="644"/>
      <c r="D123" s="644">
        <v>1</v>
      </c>
      <c r="E123" s="644">
        <v>1</v>
      </c>
      <c r="F123" s="251">
        <v>1</v>
      </c>
      <c r="G123" s="251"/>
      <c r="H123" s="251"/>
      <c r="I123" s="251">
        <v>1</v>
      </c>
      <c r="J123" s="644"/>
      <c r="K123" s="644"/>
      <c r="L123" s="644"/>
      <c r="M123" s="644"/>
      <c r="N123" s="644"/>
      <c r="O123" s="644"/>
      <c r="P123" s="644"/>
      <c r="Q123" s="644"/>
      <c r="R123" s="644">
        <v>1</v>
      </c>
      <c r="S123" s="644"/>
      <c r="T123" s="644"/>
      <c r="U123" s="644">
        <v>1</v>
      </c>
      <c r="V123" s="644"/>
      <c r="W123" s="644"/>
      <c r="X123" s="644"/>
      <c r="Y123" s="644"/>
      <c r="Z123" s="644">
        <v>1</v>
      </c>
      <c r="AA123" s="644"/>
      <c r="AB123" s="644">
        <v>1</v>
      </c>
      <c r="AC123" s="644">
        <v>1</v>
      </c>
      <c r="AD123" s="644"/>
      <c r="AE123" s="644"/>
      <c r="AF123" s="644"/>
      <c r="AG123" s="644"/>
      <c r="AH123" s="644">
        <v>1</v>
      </c>
      <c r="AI123" s="644"/>
      <c r="AJ123" s="644"/>
      <c r="AK123" s="644"/>
      <c r="AL123" s="167">
        <v>10</v>
      </c>
      <c r="AM123" s="185" t="s">
        <v>1184</v>
      </c>
      <c r="AN123" s="186">
        <v>41992</v>
      </c>
      <c r="AO123" s="187"/>
      <c r="AP123" s="187">
        <f t="shared" si="148"/>
        <v>13</v>
      </c>
      <c r="AQ123" s="187">
        <f t="shared" si="149"/>
        <v>13</v>
      </c>
      <c r="AR123" s="187">
        <f t="shared" si="150"/>
        <v>13</v>
      </c>
      <c r="AS123" s="187">
        <f t="shared" si="151"/>
        <v>13</v>
      </c>
      <c r="AT123" s="187">
        <f t="shared" si="152"/>
        <v>9</v>
      </c>
      <c r="AU123" s="187">
        <f t="shared" si="153"/>
        <v>9</v>
      </c>
      <c r="AV123" s="187">
        <f t="shared" si="154"/>
        <v>9</v>
      </c>
      <c r="AW123" s="187">
        <f t="shared" si="155"/>
        <v>0</v>
      </c>
      <c r="AX123" s="187">
        <f t="shared" si="156"/>
        <v>0</v>
      </c>
      <c r="AY123" s="187">
        <f t="shared" si="157"/>
        <v>7</v>
      </c>
      <c r="AZ123" s="187">
        <f t="shared" si="158"/>
        <v>7</v>
      </c>
      <c r="BA123" s="187">
        <f t="shared" si="159"/>
        <v>7</v>
      </c>
      <c r="BB123" s="187">
        <f t="shared" si="160"/>
        <v>0</v>
      </c>
      <c r="BC123" s="187">
        <f t="shared" si="161"/>
        <v>0</v>
      </c>
      <c r="BD123" s="187">
        <f t="shared" si="162"/>
        <v>0</v>
      </c>
      <c r="BE123" s="187">
        <f t="shared" si="163"/>
        <v>0</v>
      </c>
      <c r="BF123" s="187">
        <f t="shared" si="164"/>
        <v>0</v>
      </c>
      <c r="BG123" s="187">
        <f t="shared" si="165"/>
        <v>0</v>
      </c>
      <c r="BH123" s="187">
        <f t="shared" si="166"/>
        <v>0</v>
      </c>
      <c r="BI123" s="187">
        <f t="shared" si="167"/>
        <v>0</v>
      </c>
      <c r="BJ123" s="187">
        <f t="shared" si="168"/>
        <v>0</v>
      </c>
      <c r="BK123" s="187">
        <f t="shared" si="169"/>
        <v>0</v>
      </c>
      <c r="BL123" s="187">
        <f t="shared" si="170"/>
        <v>0</v>
      </c>
      <c r="BM123" s="187">
        <f t="shared" si="171"/>
        <v>0</v>
      </c>
      <c r="BN123" s="188">
        <f t="shared" si="172"/>
        <v>0</v>
      </c>
      <c r="BO123" s="187">
        <f t="shared" si="173"/>
        <v>0</v>
      </c>
      <c r="BP123" s="187">
        <f t="shared" ref="BP123:BQ123" si="401">IF(G123=1,1,0)</f>
        <v>0</v>
      </c>
      <c r="BQ123" s="187">
        <f t="shared" si="401"/>
        <v>0</v>
      </c>
      <c r="BR123" s="187">
        <f t="shared" ref="BR123:BT123" si="402">IF(K123=1,1,0)</f>
        <v>0</v>
      </c>
      <c r="BS123" s="187">
        <f t="shared" si="402"/>
        <v>0</v>
      </c>
      <c r="BT123" s="187">
        <f t="shared" si="402"/>
        <v>0</v>
      </c>
      <c r="BU123" s="187">
        <f t="shared" ref="BU123:BV123" si="403">IF(P123=1,1,0)</f>
        <v>0</v>
      </c>
      <c r="BV123" s="187">
        <f t="shared" si="403"/>
        <v>0</v>
      </c>
      <c r="BW123" s="187">
        <f t="shared" si="177"/>
        <v>0</v>
      </c>
      <c r="BX123" s="187">
        <f t="shared" si="178"/>
        <v>0</v>
      </c>
      <c r="BY123" s="187">
        <f t="shared" si="179"/>
        <v>0</v>
      </c>
      <c r="BZ123" s="187">
        <f t="shared" si="180"/>
        <v>0</v>
      </c>
      <c r="CA123" s="167">
        <f t="shared" si="181"/>
        <v>100</v>
      </c>
      <c r="CB123" s="167">
        <f t="shared" si="47"/>
        <v>98</v>
      </c>
      <c r="CC123" s="644">
        <f t="shared" si="48"/>
        <v>23</v>
      </c>
      <c r="CD123" s="644">
        <f t="shared" si="49"/>
        <v>19</v>
      </c>
      <c r="CE123" s="644">
        <f t="shared" si="50"/>
        <v>15</v>
      </c>
      <c r="CF123" s="644">
        <f t="shared" si="51"/>
        <v>15</v>
      </c>
      <c r="CG123" s="644">
        <f t="shared" si="52"/>
        <v>9</v>
      </c>
      <c r="CH123" s="644">
        <f t="shared" si="123"/>
        <v>0</v>
      </c>
      <c r="CI123" s="644">
        <f t="shared" si="54"/>
        <v>7</v>
      </c>
      <c r="CJ123" s="644">
        <f t="shared" si="55"/>
        <v>0</v>
      </c>
      <c r="CK123" s="644">
        <f t="shared" si="56"/>
        <v>5</v>
      </c>
      <c r="CL123" s="644">
        <f t="shared" si="57"/>
        <v>5</v>
      </c>
      <c r="CM123" s="644">
        <f t="shared" si="58"/>
        <v>0</v>
      </c>
      <c r="CN123" s="644">
        <f t="shared" si="59"/>
        <v>0</v>
      </c>
      <c r="CO123" s="644">
        <f t="shared" si="60"/>
        <v>0</v>
      </c>
      <c r="CP123" s="644">
        <f t="shared" si="61"/>
        <v>3</v>
      </c>
      <c r="CQ123" s="644">
        <f t="shared" si="62"/>
        <v>0</v>
      </c>
      <c r="CR123" s="644">
        <f t="shared" si="63"/>
        <v>0</v>
      </c>
      <c r="CS123" s="644">
        <f t="shared" si="64"/>
        <v>0</v>
      </c>
      <c r="CT123" s="644">
        <f t="shared" si="65"/>
        <v>0</v>
      </c>
      <c r="CU123" s="644">
        <f t="shared" si="66"/>
        <v>0</v>
      </c>
      <c r="CV123" s="644">
        <f t="shared" si="67"/>
        <v>0</v>
      </c>
      <c r="CW123" s="644">
        <f t="shared" si="68"/>
        <v>0</v>
      </c>
      <c r="CX123" s="644">
        <f t="shared" si="69"/>
        <v>0</v>
      </c>
      <c r="CY123" s="644">
        <f t="shared" si="70"/>
        <v>0</v>
      </c>
      <c r="CZ123" s="624" t="s">
        <v>756</v>
      </c>
      <c r="DA123" s="257"/>
    </row>
    <row r="124" spans="1:105">
      <c r="A124" s="249" t="s">
        <v>1185</v>
      </c>
      <c r="B124" s="187"/>
      <c r="C124" s="644"/>
      <c r="D124" s="644"/>
      <c r="E124" s="644">
        <v>1</v>
      </c>
      <c r="F124" s="251"/>
      <c r="G124" s="251"/>
      <c r="H124" s="251"/>
      <c r="I124" s="251"/>
      <c r="J124" s="644"/>
      <c r="K124" s="644"/>
      <c r="L124" s="644"/>
      <c r="M124" s="644"/>
      <c r="N124" s="644"/>
      <c r="O124" s="644"/>
      <c r="P124" s="644"/>
      <c r="Q124" s="644"/>
      <c r="R124" s="644">
        <v>1</v>
      </c>
      <c r="S124" s="644"/>
      <c r="T124" s="644">
        <v>1</v>
      </c>
      <c r="U124" s="644">
        <v>1</v>
      </c>
      <c r="V124" s="644"/>
      <c r="W124" s="644"/>
      <c r="X124" s="644"/>
      <c r="Y124" s="644"/>
      <c r="Z124" s="258">
        <v>1</v>
      </c>
      <c r="AA124" s="644"/>
      <c r="AB124" s="644">
        <v>1</v>
      </c>
      <c r="AC124" s="644"/>
      <c r="AD124" s="644">
        <v>1</v>
      </c>
      <c r="AE124" s="644"/>
      <c r="AF124" s="644"/>
      <c r="AG124" s="644">
        <v>1</v>
      </c>
      <c r="AH124" s="644">
        <v>1</v>
      </c>
      <c r="AI124" s="644"/>
      <c r="AJ124" s="644">
        <v>1</v>
      </c>
      <c r="AK124" s="644"/>
      <c r="AL124" s="167">
        <v>10</v>
      </c>
      <c r="AM124" s="185" t="s">
        <v>1186</v>
      </c>
      <c r="AN124" s="186">
        <v>41988</v>
      </c>
      <c r="AO124" s="187"/>
      <c r="AP124" s="187">
        <f t="shared" si="148"/>
        <v>0</v>
      </c>
      <c r="AQ124" s="187">
        <f t="shared" si="149"/>
        <v>0</v>
      </c>
      <c r="AR124" s="187">
        <f t="shared" si="150"/>
        <v>13</v>
      </c>
      <c r="AS124" s="187">
        <f t="shared" si="151"/>
        <v>13</v>
      </c>
      <c r="AT124" s="187">
        <f t="shared" si="152"/>
        <v>9</v>
      </c>
      <c r="AU124" s="187">
        <f t="shared" si="153"/>
        <v>0</v>
      </c>
      <c r="AV124" s="187">
        <f t="shared" si="154"/>
        <v>0</v>
      </c>
      <c r="AW124" s="187">
        <f t="shared" si="155"/>
        <v>7</v>
      </c>
      <c r="AX124" s="187">
        <f t="shared" si="156"/>
        <v>7</v>
      </c>
      <c r="AY124" s="187">
        <f t="shared" si="157"/>
        <v>7</v>
      </c>
      <c r="AZ124" s="187">
        <f t="shared" si="158"/>
        <v>7</v>
      </c>
      <c r="BA124" s="187">
        <f t="shared" si="159"/>
        <v>7</v>
      </c>
      <c r="BB124" s="187">
        <f t="shared" si="160"/>
        <v>0</v>
      </c>
      <c r="BC124" s="187">
        <f t="shared" si="161"/>
        <v>4</v>
      </c>
      <c r="BD124" s="187">
        <f t="shared" si="162"/>
        <v>0</v>
      </c>
      <c r="BE124" s="187">
        <f t="shared" si="163"/>
        <v>0</v>
      </c>
      <c r="BF124" s="187">
        <f t="shared" si="164"/>
        <v>0</v>
      </c>
      <c r="BG124" s="187">
        <f t="shared" si="165"/>
        <v>0</v>
      </c>
      <c r="BH124" s="187">
        <f t="shared" si="166"/>
        <v>0</v>
      </c>
      <c r="BI124" s="187">
        <f t="shared" si="167"/>
        <v>0</v>
      </c>
      <c r="BJ124" s="187">
        <f t="shared" si="168"/>
        <v>1</v>
      </c>
      <c r="BK124" s="187">
        <f t="shared" si="169"/>
        <v>0</v>
      </c>
      <c r="BL124" s="187">
        <f t="shared" si="170"/>
        <v>0</v>
      </c>
      <c r="BM124" s="187">
        <f t="shared" si="171"/>
        <v>0</v>
      </c>
      <c r="BN124" s="188">
        <f t="shared" si="172"/>
        <v>0</v>
      </c>
      <c r="BO124" s="187">
        <f t="shared" si="173"/>
        <v>0</v>
      </c>
      <c r="BP124" s="187">
        <f t="shared" ref="BP124:BQ124" si="404">IF(G124=1,1,0)</f>
        <v>0</v>
      </c>
      <c r="BQ124" s="187">
        <f t="shared" si="404"/>
        <v>0</v>
      </c>
      <c r="BR124" s="187">
        <f t="shared" ref="BR124:BT124" si="405">IF(K124=1,1,0)</f>
        <v>0</v>
      </c>
      <c r="BS124" s="187">
        <f t="shared" si="405"/>
        <v>0</v>
      </c>
      <c r="BT124" s="187">
        <f t="shared" si="405"/>
        <v>0</v>
      </c>
      <c r="BU124" s="187">
        <f t="shared" ref="BU124:BV124" si="406">IF(P124=1,1,0)</f>
        <v>0</v>
      </c>
      <c r="BV124" s="187">
        <f t="shared" si="406"/>
        <v>0</v>
      </c>
      <c r="BW124" s="187">
        <f t="shared" si="177"/>
        <v>0</v>
      </c>
      <c r="BX124" s="187">
        <f t="shared" si="178"/>
        <v>0</v>
      </c>
      <c r="BY124" s="187">
        <f t="shared" si="179"/>
        <v>0</v>
      </c>
      <c r="BZ124" s="187">
        <f t="shared" si="180"/>
        <v>0</v>
      </c>
      <c r="CA124" s="167">
        <f t="shared" si="181"/>
        <v>75</v>
      </c>
      <c r="CB124" s="167">
        <f t="shared" si="47"/>
        <v>92</v>
      </c>
      <c r="CC124" s="644">
        <f t="shared" si="48"/>
        <v>23</v>
      </c>
      <c r="CD124" s="644">
        <f t="shared" si="49"/>
        <v>19</v>
      </c>
      <c r="CE124" s="644">
        <f t="shared" si="50"/>
        <v>15</v>
      </c>
      <c r="CF124" s="644">
        <f t="shared" si="51"/>
        <v>15</v>
      </c>
      <c r="CG124" s="644">
        <f t="shared" si="52"/>
        <v>9</v>
      </c>
      <c r="CH124" s="644">
        <f t="shared" si="123"/>
        <v>0</v>
      </c>
      <c r="CI124" s="644">
        <f t="shared" si="54"/>
        <v>0</v>
      </c>
      <c r="CJ124" s="644">
        <f t="shared" si="55"/>
        <v>5</v>
      </c>
      <c r="CK124" s="644">
        <f t="shared" si="56"/>
        <v>0</v>
      </c>
      <c r="CL124" s="644">
        <f t="shared" si="57"/>
        <v>0</v>
      </c>
      <c r="CM124" s="644">
        <f t="shared" si="58"/>
        <v>3</v>
      </c>
      <c r="CN124" s="644">
        <f t="shared" si="59"/>
        <v>3</v>
      </c>
      <c r="CO124" s="644">
        <f t="shared" si="60"/>
        <v>3</v>
      </c>
      <c r="CP124" s="644">
        <f t="shared" si="61"/>
        <v>3</v>
      </c>
      <c r="CQ124" s="644">
        <f t="shared" si="62"/>
        <v>0</v>
      </c>
      <c r="CR124" s="644">
        <f t="shared" si="63"/>
        <v>0</v>
      </c>
      <c r="CS124" s="644">
        <f t="shared" si="64"/>
        <v>0</v>
      </c>
      <c r="CT124" s="644">
        <f t="shared" si="65"/>
        <v>0</v>
      </c>
      <c r="CU124" s="644">
        <f t="shared" si="66"/>
        <v>0</v>
      </c>
      <c r="CV124" s="644">
        <f t="shared" si="67"/>
        <v>0</v>
      </c>
      <c r="CW124" s="644">
        <f t="shared" si="68"/>
        <v>0</v>
      </c>
      <c r="CX124" s="644">
        <f t="shared" si="69"/>
        <v>0</v>
      </c>
      <c r="CY124" s="644">
        <f t="shared" si="70"/>
        <v>0</v>
      </c>
      <c r="CZ124" s="624" t="s">
        <v>756</v>
      </c>
      <c r="DA124" s="257"/>
    </row>
    <row r="125" spans="1:105">
      <c r="A125" s="249" t="s">
        <v>255</v>
      </c>
      <c r="B125" s="187"/>
      <c r="C125" s="644"/>
      <c r="D125" s="644"/>
      <c r="E125" s="644">
        <v>1</v>
      </c>
      <c r="F125" s="251"/>
      <c r="G125" s="251"/>
      <c r="H125" s="251"/>
      <c r="I125" s="251"/>
      <c r="J125" s="644"/>
      <c r="K125" s="644"/>
      <c r="L125" s="644"/>
      <c r="M125" s="644"/>
      <c r="N125" s="644"/>
      <c r="O125" s="644"/>
      <c r="P125" s="644"/>
      <c r="Q125" s="644"/>
      <c r="R125" s="644">
        <v>1</v>
      </c>
      <c r="S125" s="644">
        <v>1</v>
      </c>
      <c r="T125" s="644">
        <v>1</v>
      </c>
      <c r="U125" s="644">
        <v>1</v>
      </c>
      <c r="V125" s="644"/>
      <c r="W125" s="644"/>
      <c r="X125" s="644"/>
      <c r="Y125" s="644"/>
      <c r="Z125" s="644"/>
      <c r="AA125" s="644"/>
      <c r="AB125" s="644">
        <v>1</v>
      </c>
      <c r="AC125" s="644"/>
      <c r="AD125" s="644"/>
      <c r="AE125" s="644"/>
      <c r="AF125" s="644"/>
      <c r="AG125" s="644">
        <v>1</v>
      </c>
      <c r="AH125" s="644">
        <v>1</v>
      </c>
      <c r="AI125" s="644"/>
      <c r="AJ125" s="644"/>
      <c r="AK125" s="644"/>
      <c r="AL125" s="167">
        <v>8</v>
      </c>
      <c r="AM125" s="185" t="s">
        <v>1103</v>
      </c>
      <c r="AN125" s="186">
        <v>42008</v>
      </c>
      <c r="AO125" s="187"/>
      <c r="AP125" s="187">
        <f t="shared" si="148"/>
        <v>0</v>
      </c>
      <c r="AQ125" s="187">
        <f t="shared" si="149"/>
        <v>0</v>
      </c>
      <c r="AR125" s="187">
        <f t="shared" si="150"/>
        <v>13</v>
      </c>
      <c r="AS125" s="187">
        <f t="shared" si="151"/>
        <v>13</v>
      </c>
      <c r="AT125" s="187">
        <f t="shared" si="152"/>
        <v>9</v>
      </c>
      <c r="AU125" s="187">
        <f t="shared" si="153"/>
        <v>0</v>
      </c>
      <c r="AV125" s="187">
        <f t="shared" si="154"/>
        <v>0</v>
      </c>
      <c r="AW125" s="187">
        <f t="shared" si="155"/>
        <v>0</v>
      </c>
      <c r="AX125" s="187">
        <f t="shared" si="156"/>
        <v>0</v>
      </c>
      <c r="AY125" s="187">
        <f t="shared" si="157"/>
        <v>0</v>
      </c>
      <c r="AZ125" s="187">
        <f t="shared" si="158"/>
        <v>7</v>
      </c>
      <c r="BA125" s="187">
        <f t="shared" si="159"/>
        <v>7</v>
      </c>
      <c r="BB125" s="187">
        <f t="shared" si="160"/>
        <v>0</v>
      </c>
      <c r="BC125" s="187">
        <f t="shared" si="161"/>
        <v>4</v>
      </c>
      <c r="BD125" s="187">
        <f t="shared" si="162"/>
        <v>0</v>
      </c>
      <c r="BE125" s="187">
        <f t="shared" si="163"/>
        <v>0</v>
      </c>
      <c r="BF125" s="187">
        <f t="shared" si="164"/>
        <v>0</v>
      </c>
      <c r="BG125" s="187">
        <f t="shared" si="165"/>
        <v>0</v>
      </c>
      <c r="BH125" s="187">
        <f t="shared" si="166"/>
        <v>2</v>
      </c>
      <c r="BI125" s="187">
        <f t="shared" si="167"/>
        <v>0</v>
      </c>
      <c r="BJ125" s="187">
        <f t="shared" si="168"/>
        <v>1</v>
      </c>
      <c r="BK125" s="187">
        <f t="shared" si="169"/>
        <v>0</v>
      </c>
      <c r="BL125" s="187">
        <f t="shared" si="170"/>
        <v>0</v>
      </c>
      <c r="BM125" s="187">
        <f t="shared" si="171"/>
        <v>0</v>
      </c>
      <c r="BN125" s="188">
        <f t="shared" si="172"/>
        <v>2</v>
      </c>
      <c r="BO125" s="187">
        <f t="shared" si="173"/>
        <v>0</v>
      </c>
      <c r="BP125" s="187">
        <f t="shared" ref="BP125:BQ125" si="407">IF(G125=1,1,0)</f>
        <v>0</v>
      </c>
      <c r="BQ125" s="187">
        <f t="shared" si="407"/>
        <v>0</v>
      </c>
      <c r="BR125" s="187">
        <f t="shared" ref="BR125:BT125" si="408">IF(K125=1,1,0)</f>
        <v>0</v>
      </c>
      <c r="BS125" s="187">
        <f t="shared" si="408"/>
        <v>0</v>
      </c>
      <c r="BT125" s="187">
        <f t="shared" si="408"/>
        <v>0</v>
      </c>
      <c r="BU125" s="187">
        <f t="shared" ref="BU125:BV125" si="409">IF(P125=1,1,0)</f>
        <v>0</v>
      </c>
      <c r="BV125" s="187">
        <f t="shared" si="409"/>
        <v>0</v>
      </c>
      <c r="BW125" s="187">
        <f t="shared" si="177"/>
        <v>0</v>
      </c>
      <c r="BX125" s="187">
        <f t="shared" si="178"/>
        <v>0</v>
      </c>
      <c r="BY125" s="187">
        <f t="shared" si="179"/>
        <v>2</v>
      </c>
      <c r="BZ125" s="187">
        <f t="shared" si="180"/>
        <v>-4</v>
      </c>
      <c r="CA125" s="167">
        <f t="shared" si="181"/>
        <v>52</v>
      </c>
      <c r="CB125" s="167">
        <f t="shared" si="47"/>
        <v>89</v>
      </c>
      <c r="CC125" s="644">
        <f t="shared" si="48"/>
        <v>23</v>
      </c>
      <c r="CD125" s="644">
        <f t="shared" si="49"/>
        <v>19</v>
      </c>
      <c r="CE125" s="644">
        <f t="shared" si="50"/>
        <v>15</v>
      </c>
      <c r="CF125" s="644">
        <f t="shared" si="51"/>
        <v>15</v>
      </c>
      <c r="CG125" s="644">
        <f t="shared" si="52"/>
        <v>9</v>
      </c>
      <c r="CH125" s="644">
        <f t="shared" si="123"/>
        <v>0</v>
      </c>
      <c r="CI125" s="644">
        <f t="shared" si="54"/>
        <v>0</v>
      </c>
      <c r="CJ125" s="644">
        <f t="shared" si="55"/>
        <v>0</v>
      </c>
      <c r="CK125" s="644">
        <f t="shared" si="56"/>
        <v>0</v>
      </c>
      <c r="CL125" s="644">
        <f t="shared" si="57"/>
        <v>0</v>
      </c>
      <c r="CM125" s="644">
        <f t="shared" si="58"/>
        <v>3</v>
      </c>
      <c r="CN125" s="644">
        <f t="shared" si="59"/>
        <v>3</v>
      </c>
      <c r="CO125" s="644">
        <f t="shared" si="60"/>
        <v>0</v>
      </c>
      <c r="CP125" s="644">
        <f t="shared" si="61"/>
        <v>0</v>
      </c>
      <c r="CQ125" s="644">
        <f t="shared" si="62"/>
        <v>2</v>
      </c>
      <c r="CR125" s="644">
        <f t="shared" si="63"/>
        <v>0</v>
      </c>
      <c r="CS125" s="644">
        <f t="shared" si="64"/>
        <v>0</v>
      </c>
      <c r="CT125" s="644">
        <f t="shared" si="65"/>
        <v>0</v>
      </c>
      <c r="CU125" s="644">
        <f t="shared" si="66"/>
        <v>0</v>
      </c>
      <c r="CV125" s="644">
        <f t="shared" si="67"/>
        <v>0</v>
      </c>
      <c r="CW125" s="644">
        <f t="shared" si="68"/>
        <v>0</v>
      </c>
      <c r="CX125" s="644">
        <f t="shared" si="69"/>
        <v>0</v>
      </c>
      <c r="CY125" s="644">
        <f t="shared" si="70"/>
        <v>0</v>
      </c>
      <c r="CZ125" s="624" t="s">
        <v>1187</v>
      </c>
      <c r="DA125" s="257"/>
    </row>
    <row r="126" spans="1:105">
      <c r="A126" s="254" t="s">
        <v>256</v>
      </c>
      <c r="B126" s="187"/>
      <c r="C126" s="644"/>
      <c r="D126" s="255"/>
      <c r="E126" s="256">
        <v>1</v>
      </c>
      <c r="F126" s="255"/>
      <c r="G126" s="251"/>
      <c r="H126" s="251"/>
      <c r="I126" s="255"/>
      <c r="J126" s="644"/>
      <c r="K126" s="644"/>
      <c r="L126" s="644"/>
      <c r="M126" s="644"/>
      <c r="N126" s="644"/>
      <c r="O126" s="644"/>
      <c r="P126" s="644"/>
      <c r="Q126" s="644"/>
      <c r="R126" s="644">
        <v>1</v>
      </c>
      <c r="S126" s="644"/>
      <c r="T126" s="644"/>
      <c r="U126" s="644">
        <v>1</v>
      </c>
      <c r="V126" s="644"/>
      <c r="W126" s="644"/>
      <c r="X126" s="644"/>
      <c r="Y126" s="644"/>
      <c r="Z126" s="256">
        <v>1</v>
      </c>
      <c r="AA126" s="251"/>
      <c r="AB126" s="256">
        <v>1</v>
      </c>
      <c r="AC126" s="256">
        <v>1</v>
      </c>
      <c r="AD126" s="256">
        <v>1</v>
      </c>
      <c r="AE126" s="644"/>
      <c r="AF126" s="644">
        <v>1</v>
      </c>
      <c r="AG126" s="644"/>
      <c r="AH126" s="644">
        <v>1</v>
      </c>
      <c r="AI126" s="644"/>
      <c r="AJ126" s="644"/>
      <c r="AK126" s="644"/>
      <c r="AL126" s="167">
        <v>9</v>
      </c>
      <c r="AM126" s="185" t="s">
        <v>1188</v>
      </c>
      <c r="AN126" s="186">
        <v>42006</v>
      </c>
      <c r="AO126" s="187"/>
      <c r="AP126" s="187">
        <f t="shared" si="148"/>
        <v>0</v>
      </c>
      <c r="AQ126" s="187">
        <f t="shared" si="149"/>
        <v>0</v>
      </c>
      <c r="AR126" s="187">
        <f t="shared" si="150"/>
        <v>13</v>
      </c>
      <c r="AS126" s="187">
        <f t="shared" si="151"/>
        <v>13</v>
      </c>
      <c r="AT126" s="187">
        <f t="shared" si="152"/>
        <v>9</v>
      </c>
      <c r="AU126" s="187">
        <f t="shared" si="153"/>
        <v>0</v>
      </c>
      <c r="AV126" s="187">
        <f t="shared" si="154"/>
        <v>9</v>
      </c>
      <c r="AW126" s="187">
        <f t="shared" si="155"/>
        <v>0</v>
      </c>
      <c r="AX126" s="187">
        <f t="shared" si="156"/>
        <v>7</v>
      </c>
      <c r="AY126" s="187">
        <f t="shared" si="157"/>
        <v>7</v>
      </c>
      <c r="AZ126" s="187">
        <f t="shared" si="158"/>
        <v>7</v>
      </c>
      <c r="BA126" s="187">
        <f t="shared" si="159"/>
        <v>7</v>
      </c>
      <c r="BB126" s="187">
        <f t="shared" si="160"/>
        <v>0</v>
      </c>
      <c r="BC126" s="187">
        <f t="shared" si="161"/>
        <v>0</v>
      </c>
      <c r="BD126" s="187">
        <f t="shared" si="162"/>
        <v>0</v>
      </c>
      <c r="BE126" s="187">
        <f t="shared" si="163"/>
        <v>3</v>
      </c>
      <c r="BF126" s="187">
        <f t="shared" si="164"/>
        <v>0</v>
      </c>
      <c r="BG126" s="187">
        <f t="shared" si="165"/>
        <v>0</v>
      </c>
      <c r="BH126" s="187">
        <f t="shared" si="166"/>
        <v>0</v>
      </c>
      <c r="BI126" s="187">
        <f t="shared" si="167"/>
        <v>0</v>
      </c>
      <c r="BJ126" s="187">
        <f t="shared" si="168"/>
        <v>0</v>
      </c>
      <c r="BK126" s="187">
        <f t="shared" si="169"/>
        <v>0</v>
      </c>
      <c r="BL126" s="187">
        <f t="shared" si="170"/>
        <v>0</v>
      </c>
      <c r="BM126" s="187">
        <f t="shared" si="171"/>
        <v>0</v>
      </c>
      <c r="BN126" s="188">
        <f t="shared" si="172"/>
        <v>1</v>
      </c>
      <c r="BO126" s="187">
        <f t="shared" si="173"/>
        <v>0</v>
      </c>
      <c r="BP126" s="187">
        <f t="shared" ref="BP126:BQ126" si="410">IF(G126=1,1,0)</f>
        <v>0</v>
      </c>
      <c r="BQ126" s="187">
        <f t="shared" si="410"/>
        <v>0</v>
      </c>
      <c r="BR126" s="187">
        <f t="shared" ref="BR126:BT126" si="411">IF(K126=1,1,0)</f>
        <v>0</v>
      </c>
      <c r="BS126" s="187">
        <f t="shared" si="411"/>
        <v>0</v>
      </c>
      <c r="BT126" s="187">
        <f t="shared" si="411"/>
        <v>0</v>
      </c>
      <c r="BU126" s="187">
        <f t="shared" ref="BU126:BV126" si="412">IF(P126=1,1,0)</f>
        <v>0</v>
      </c>
      <c r="BV126" s="187">
        <f t="shared" si="412"/>
        <v>0</v>
      </c>
      <c r="BW126" s="187">
        <f t="shared" si="177"/>
        <v>0</v>
      </c>
      <c r="BX126" s="187">
        <f t="shared" si="178"/>
        <v>0</v>
      </c>
      <c r="BY126" s="187">
        <f t="shared" si="179"/>
        <v>1</v>
      </c>
      <c r="BZ126" s="187">
        <f t="shared" si="180"/>
        <v>-1</v>
      </c>
      <c r="CA126" s="167">
        <f t="shared" si="181"/>
        <v>74</v>
      </c>
      <c r="CB126" s="167">
        <f t="shared" si="47"/>
        <v>96</v>
      </c>
      <c r="CC126" s="644">
        <f t="shared" si="48"/>
        <v>23</v>
      </c>
      <c r="CD126" s="644">
        <f t="shared" si="49"/>
        <v>19</v>
      </c>
      <c r="CE126" s="644">
        <f t="shared" si="50"/>
        <v>15</v>
      </c>
      <c r="CF126" s="644">
        <f t="shared" si="51"/>
        <v>15</v>
      </c>
      <c r="CG126" s="644">
        <f t="shared" si="52"/>
        <v>9</v>
      </c>
      <c r="CH126" s="644">
        <f t="shared" si="123"/>
        <v>0</v>
      </c>
      <c r="CI126" s="644">
        <f t="shared" si="54"/>
        <v>7</v>
      </c>
      <c r="CJ126" s="644">
        <f t="shared" si="55"/>
        <v>5</v>
      </c>
      <c r="CK126" s="644">
        <f t="shared" si="56"/>
        <v>0</v>
      </c>
      <c r="CL126" s="644">
        <f t="shared" si="57"/>
        <v>0</v>
      </c>
      <c r="CM126" s="644">
        <f t="shared" si="58"/>
        <v>0</v>
      </c>
      <c r="CN126" s="644">
        <f t="shared" si="59"/>
        <v>0</v>
      </c>
      <c r="CO126" s="644">
        <f t="shared" si="60"/>
        <v>0</v>
      </c>
      <c r="CP126" s="644">
        <f t="shared" si="61"/>
        <v>3</v>
      </c>
      <c r="CQ126" s="644">
        <f t="shared" si="62"/>
        <v>0</v>
      </c>
      <c r="CR126" s="644">
        <f t="shared" si="63"/>
        <v>0</v>
      </c>
      <c r="CS126" s="644">
        <f t="shared" si="64"/>
        <v>0</v>
      </c>
      <c r="CT126" s="644">
        <f t="shared" si="65"/>
        <v>2</v>
      </c>
      <c r="CU126" s="644">
        <f t="shared" si="66"/>
        <v>0</v>
      </c>
      <c r="CV126" s="644">
        <f t="shared" si="67"/>
        <v>0</v>
      </c>
      <c r="CW126" s="644">
        <f t="shared" si="68"/>
        <v>0</v>
      </c>
      <c r="CX126" s="644">
        <f t="shared" si="69"/>
        <v>0</v>
      </c>
      <c r="CY126" s="644">
        <f t="shared" si="70"/>
        <v>0</v>
      </c>
      <c r="CZ126" s="624" t="s">
        <v>764</v>
      </c>
      <c r="DA126" s="257"/>
    </row>
    <row r="127" spans="1:105">
      <c r="A127" s="249" t="s">
        <v>593</v>
      </c>
      <c r="B127" s="187"/>
      <c r="C127" s="644"/>
      <c r="D127" s="644"/>
      <c r="E127" s="644">
        <v>1</v>
      </c>
      <c r="F127" s="251"/>
      <c r="G127" s="251"/>
      <c r="H127" s="251"/>
      <c r="I127" s="251"/>
      <c r="J127" s="644"/>
      <c r="K127" s="644"/>
      <c r="L127" s="644"/>
      <c r="M127" s="644"/>
      <c r="N127" s="644"/>
      <c r="O127" s="644"/>
      <c r="P127" s="644"/>
      <c r="Q127" s="644"/>
      <c r="R127" s="644">
        <v>1</v>
      </c>
      <c r="S127" s="644"/>
      <c r="T127" s="644"/>
      <c r="U127" s="644">
        <v>1</v>
      </c>
      <c r="V127" s="644"/>
      <c r="W127" s="644"/>
      <c r="X127" s="644"/>
      <c r="Y127" s="644"/>
      <c r="Z127" s="251"/>
      <c r="AA127" s="644"/>
      <c r="AB127" s="644"/>
      <c r="AC127" s="644"/>
      <c r="AD127" s="644"/>
      <c r="AE127" s="644"/>
      <c r="AF127" s="644"/>
      <c r="AG127" s="644"/>
      <c r="AH127" s="644">
        <v>1</v>
      </c>
      <c r="AI127" s="644"/>
      <c r="AJ127" s="644"/>
      <c r="AK127" s="644"/>
      <c r="AL127" s="167">
        <v>4</v>
      </c>
      <c r="AM127" s="185" t="str">
        <f>HYPERLINK("http://bit.ly/13Nycoy", "Via DM")</f>
        <v>Via DM</v>
      </c>
      <c r="AN127" s="186">
        <v>42001</v>
      </c>
      <c r="AO127" s="187"/>
      <c r="AP127" s="187">
        <f t="shared" si="148"/>
        <v>0</v>
      </c>
      <c r="AQ127" s="187">
        <f t="shared" si="149"/>
        <v>0</v>
      </c>
      <c r="AR127" s="187">
        <f t="shared" si="150"/>
        <v>13</v>
      </c>
      <c r="AS127" s="187">
        <f t="shared" si="151"/>
        <v>13</v>
      </c>
      <c r="AT127" s="187">
        <f t="shared" si="152"/>
        <v>0</v>
      </c>
      <c r="AU127" s="187">
        <f t="shared" si="153"/>
        <v>0</v>
      </c>
      <c r="AV127" s="187">
        <f t="shared" si="154"/>
        <v>0</v>
      </c>
      <c r="AW127" s="187">
        <f t="shared" si="155"/>
        <v>0</v>
      </c>
      <c r="AX127" s="187">
        <f t="shared" si="156"/>
        <v>0</v>
      </c>
      <c r="AY127" s="187">
        <f t="shared" si="157"/>
        <v>0</v>
      </c>
      <c r="AZ127" s="187">
        <f t="shared" si="158"/>
        <v>7</v>
      </c>
      <c r="BA127" s="187">
        <f t="shared" si="159"/>
        <v>7</v>
      </c>
      <c r="BB127" s="187">
        <f t="shared" si="160"/>
        <v>0</v>
      </c>
      <c r="BC127" s="187">
        <f t="shared" si="161"/>
        <v>0</v>
      </c>
      <c r="BD127" s="187">
        <f t="shared" si="162"/>
        <v>0</v>
      </c>
      <c r="BE127" s="187">
        <f t="shared" si="163"/>
        <v>0</v>
      </c>
      <c r="BF127" s="187">
        <f t="shared" si="164"/>
        <v>0</v>
      </c>
      <c r="BG127" s="187">
        <f t="shared" si="165"/>
        <v>0</v>
      </c>
      <c r="BH127" s="187">
        <f t="shared" si="166"/>
        <v>0</v>
      </c>
      <c r="BI127" s="187">
        <f t="shared" si="167"/>
        <v>0</v>
      </c>
      <c r="BJ127" s="187">
        <f t="shared" si="168"/>
        <v>0</v>
      </c>
      <c r="BK127" s="187">
        <f t="shared" si="169"/>
        <v>0</v>
      </c>
      <c r="BL127" s="187">
        <f t="shared" si="170"/>
        <v>0</v>
      </c>
      <c r="BM127" s="187">
        <f t="shared" si="171"/>
        <v>0</v>
      </c>
      <c r="BN127" s="188">
        <f t="shared" si="172"/>
        <v>6</v>
      </c>
      <c r="BO127" s="187">
        <f t="shared" si="173"/>
        <v>0</v>
      </c>
      <c r="BP127" s="187">
        <f t="shared" ref="BP127:BQ127" si="413">IF(G127=1,1,0)</f>
        <v>0</v>
      </c>
      <c r="BQ127" s="187">
        <f t="shared" si="413"/>
        <v>0</v>
      </c>
      <c r="BR127" s="187">
        <f t="shared" ref="BR127:BT127" si="414">IF(K127=1,1,0)</f>
        <v>0</v>
      </c>
      <c r="BS127" s="187">
        <f t="shared" si="414"/>
        <v>0</v>
      </c>
      <c r="BT127" s="187">
        <f t="shared" si="414"/>
        <v>0</v>
      </c>
      <c r="BU127" s="187">
        <f t="shared" ref="BU127:BV127" si="415">IF(P127=1,1,0)</f>
        <v>0</v>
      </c>
      <c r="BV127" s="187">
        <f t="shared" si="415"/>
        <v>0</v>
      </c>
      <c r="BW127" s="187">
        <f t="shared" si="177"/>
        <v>0</v>
      </c>
      <c r="BX127" s="187">
        <f t="shared" si="178"/>
        <v>0</v>
      </c>
      <c r="BY127" s="187">
        <f t="shared" si="179"/>
        <v>6</v>
      </c>
      <c r="BZ127" s="187">
        <f t="shared" si="180"/>
        <v>-36</v>
      </c>
      <c r="CA127" s="167">
        <f t="shared" si="181"/>
        <v>4</v>
      </c>
      <c r="CB127" s="167">
        <f t="shared" si="47"/>
        <v>72</v>
      </c>
      <c r="CC127" s="644">
        <f t="shared" si="48"/>
        <v>23</v>
      </c>
      <c r="CD127" s="644">
        <f t="shared" si="49"/>
        <v>19</v>
      </c>
      <c r="CE127" s="644">
        <f t="shared" si="50"/>
        <v>15</v>
      </c>
      <c r="CF127" s="644">
        <f t="shared" si="51"/>
        <v>15</v>
      </c>
      <c r="CG127" s="644">
        <f t="shared" si="52"/>
        <v>0</v>
      </c>
      <c r="CH127" s="644">
        <f t="shared" si="123"/>
        <v>0</v>
      </c>
      <c r="CI127" s="644">
        <f t="shared" si="54"/>
        <v>0</v>
      </c>
      <c r="CJ127" s="644">
        <f t="shared" si="55"/>
        <v>0</v>
      </c>
      <c r="CK127" s="644">
        <f t="shared" si="56"/>
        <v>0</v>
      </c>
      <c r="CL127" s="644">
        <f t="shared" si="57"/>
        <v>0</v>
      </c>
      <c r="CM127" s="644">
        <f t="shared" si="58"/>
        <v>0</v>
      </c>
      <c r="CN127" s="644">
        <f t="shared" si="59"/>
        <v>0</v>
      </c>
      <c r="CO127" s="644">
        <f t="shared" si="60"/>
        <v>0</v>
      </c>
      <c r="CP127" s="644">
        <f t="shared" si="61"/>
        <v>0</v>
      </c>
      <c r="CQ127" s="644">
        <f t="shared" si="62"/>
        <v>0</v>
      </c>
      <c r="CR127" s="644">
        <f t="shared" si="63"/>
        <v>0</v>
      </c>
      <c r="CS127" s="644">
        <f t="shared" si="64"/>
        <v>0</v>
      </c>
      <c r="CT127" s="644">
        <f t="shared" si="65"/>
        <v>0</v>
      </c>
      <c r="CU127" s="644">
        <f t="shared" si="66"/>
        <v>0</v>
      </c>
      <c r="CV127" s="644">
        <f t="shared" si="67"/>
        <v>0</v>
      </c>
      <c r="CW127" s="644">
        <f t="shared" si="68"/>
        <v>0</v>
      </c>
      <c r="CX127" s="644">
        <f t="shared" si="69"/>
        <v>0</v>
      </c>
      <c r="CY127" s="644">
        <f t="shared" si="70"/>
        <v>0</v>
      </c>
      <c r="CZ127" s="624" t="s">
        <v>752</v>
      </c>
      <c r="DA127" s="257"/>
    </row>
    <row r="128" spans="1:105">
      <c r="A128" s="249" t="s">
        <v>863</v>
      </c>
      <c r="B128" s="187"/>
      <c r="C128" s="644"/>
      <c r="D128" s="644">
        <v>1</v>
      </c>
      <c r="E128" s="250"/>
      <c r="F128" s="251"/>
      <c r="G128" s="251"/>
      <c r="H128" s="251"/>
      <c r="I128" s="251"/>
      <c r="J128" s="644"/>
      <c r="K128" s="644"/>
      <c r="L128" s="644"/>
      <c r="M128" s="644"/>
      <c r="N128" s="644"/>
      <c r="O128" s="644"/>
      <c r="P128" s="644"/>
      <c r="Q128" s="644"/>
      <c r="R128" s="644">
        <v>1</v>
      </c>
      <c r="S128" s="644"/>
      <c r="T128" s="644"/>
      <c r="U128" s="644">
        <v>1</v>
      </c>
      <c r="V128" s="644"/>
      <c r="W128" s="644"/>
      <c r="X128" s="644"/>
      <c r="Y128" s="644"/>
      <c r="Z128" s="258">
        <v>1</v>
      </c>
      <c r="AA128" s="644"/>
      <c r="AB128" s="644">
        <v>1</v>
      </c>
      <c r="AC128" s="644">
        <v>1</v>
      </c>
      <c r="AD128" s="258">
        <v>1</v>
      </c>
      <c r="AE128" s="644"/>
      <c r="AF128" s="644"/>
      <c r="AG128" s="644"/>
      <c r="AH128" s="644">
        <v>1</v>
      </c>
      <c r="AI128" s="644"/>
      <c r="AJ128" s="644">
        <v>1</v>
      </c>
      <c r="AK128" s="644">
        <v>1</v>
      </c>
      <c r="AL128" s="167">
        <v>10</v>
      </c>
      <c r="AM128" s="185" t="s">
        <v>1189</v>
      </c>
      <c r="AN128" s="186">
        <v>41986</v>
      </c>
      <c r="AO128" s="187"/>
      <c r="AP128" s="187">
        <f t="shared" si="148"/>
        <v>0</v>
      </c>
      <c r="AQ128" s="187">
        <f t="shared" si="149"/>
        <v>0</v>
      </c>
      <c r="AR128" s="187">
        <f t="shared" si="150"/>
        <v>13</v>
      </c>
      <c r="AS128" s="187">
        <f t="shared" si="151"/>
        <v>13</v>
      </c>
      <c r="AT128" s="187">
        <f t="shared" si="152"/>
        <v>9</v>
      </c>
      <c r="AU128" s="187">
        <f t="shared" si="153"/>
        <v>9</v>
      </c>
      <c r="AV128" s="187">
        <f t="shared" si="154"/>
        <v>9</v>
      </c>
      <c r="AW128" s="187">
        <f t="shared" si="155"/>
        <v>7</v>
      </c>
      <c r="AX128" s="187">
        <f t="shared" si="156"/>
        <v>7</v>
      </c>
      <c r="AY128" s="187">
        <f t="shared" si="157"/>
        <v>7</v>
      </c>
      <c r="AZ128" s="187">
        <f t="shared" si="158"/>
        <v>7</v>
      </c>
      <c r="BA128" s="187">
        <f t="shared" si="159"/>
        <v>0</v>
      </c>
      <c r="BB128" s="187">
        <f t="shared" si="160"/>
        <v>4</v>
      </c>
      <c r="BC128" s="187">
        <f t="shared" si="161"/>
        <v>0</v>
      </c>
      <c r="BD128" s="187">
        <f t="shared" si="162"/>
        <v>0</v>
      </c>
      <c r="BE128" s="187">
        <f t="shared" si="163"/>
        <v>0</v>
      </c>
      <c r="BF128" s="187">
        <f t="shared" si="164"/>
        <v>0</v>
      </c>
      <c r="BG128" s="187">
        <f t="shared" si="165"/>
        <v>0</v>
      </c>
      <c r="BH128" s="187">
        <f t="shared" si="166"/>
        <v>0</v>
      </c>
      <c r="BI128" s="187">
        <f t="shared" si="167"/>
        <v>0</v>
      </c>
      <c r="BJ128" s="187">
        <f t="shared" si="168"/>
        <v>0</v>
      </c>
      <c r="BK128" s="187">
        <f t="shared" si="169"/>
        <v>0</v>
      </c>
      <c r="BL128" s="187">
        <f t="shared" si="170"/>
        <v>0</v>
      </c>
      <c r="BM128" s="187">
        <f t="shared" si="171"/>
        <v>0</v>
      </c>
      <c r="BN128" s="188">
        <f t="shared" si="172"/>
        <v>0</v>
      </c>
      <c r="BO128" s="187">
        <f t="shared" si="173"/>
        <v>0</v>
      </c>
      <c r="BP128" s="187">
        <f t="shared" ref="BP128:BQ128" si="416">IF(G128=1,1,0)</f>
        <v>0</v>
      </c>
      <c r="BQ128" s="187">
        <f t="shared" si="416"/>
        <v>0</v>
      </c>
      <c r="BR128" s="187">
        <f t="shared" ref="BR128:BT128" si="417">IF(K128=1,1,0)</f>
        <v>0</v>
      </c>
      <c r="BS128" s="187">
        <f t="shared" si="417"/>
        <v>0</v>
      </c>
      <c r="BT128" s="187">
        <f t="shared" si="417"/>
        <v>0</v>
      </c>
      <c r="BU128" s="187">
        <f t="shared" ref="BU128:BV128" si="418">IF(P128=1,1,0)</f>
        <v>0</v>
      </c>
      <c r="BV128" s="187">
        <f t="shared" si="418"/>
        <v>0</v>
      </c>
      <c r="BW128" s="187">
        <f t="shared" si="177"/>
        <v>0</v>
      </c>
      <c r="BX128" s="187">
        <f t="shared" si="178"/>
        <v>0</v>
      </c>
      <c r="BY128" s="187">
        <f t="shared" si="179"/>
        <v>0</v>
      </c>
      <c r="BZ128" s="187">
        <f t="shared" si="180"/>
        <v>0</v>
      </c>
      <c r="CA128" s="167">
        <f t="shared" si="181"/>
        <v>85</v>
      </c>
      <c r="CB128" s="167">
        <f t="shared" si="47"/>
        <v>88</v>
      </c>
      <c r="CC128" s="644">
        <f t="shared" si="48"/>
        <v>23</v>
      </c>
      <c r="CD128" s="644">
        <f t="shared" si="49"/>
        <v>19</v>
      </c>
      <c r="CE128" s="644">
        <f t="shared" si="50"/>
        <v>15</v>
      </c>
      <c r="CF128" s="644">
        <f t="shared" si="51"/>
        <v>0</v>
      </c>
      <c r="CG128" s="644">
        <f t="shared" si="52"/>
        <v>9</v>
      </c>
      <c r="CH128" s="644">
        <f t="shared" si="123"/>
        <v>7</v>
      </c>
      <c r="CI128" s="644">
        <f t="shared" si="54"/>
        <v>7</v>
      </c>
      <c r="CJ128" s="644">
        <f t="shared" si="55"/>
        <v>5</v>
      </c>
      <c r="CK128" s="644">
        <f t="shared" si="56"/>
        <v>0</v>
      </c>
      <c r="CL128" s="644">
        <f t="shared" si="57"/>
        <v>0</v>
      </c>
      <c r="CM128" s="644">
        <f t="shared" si="58"/>
        <v>0</v>
      </c>
      <c r="CN128" s="644">
        <f t="shared" si="59"/>
        <v>0</v>
      </c>
      <c r="CO128" s="644">
        <f t="shared" si="60"/>
        <v>3</v>
      </c>
      <c r="CP128" s="644">
        <f t="shared" si="61"/>
        <v>3</v>
      </c>
      <c r="CQ128" s="644">
        <f t="shared" si="62"/>
        <v>0</v>
      </c>
      <c r="CR128" s="644">
        <f t="shared" si="63"/>
        <v>0</v>
      </c>
      <c r="CS128" s="644">
        <f t="shared" si="64"/>
        <v>2</v>
      </c>
      <c r="CT128" s="644">
        <f t="shared" si="65"/>
        <v>0</v>
      </c>
      <c r="CU128" s="644">
        <f t="shared" si="66"/>
        <v>0</v>
      </c>
      <c r="CV128" s="644">
        <f t="shared" si="67"/>
        <v>0</v>
      </c>
      <c r="CW128" s="644">
        <f t="shared" si="68"/>
        <v>0</v>
      </c>
      <c r="CX128" s="644">
        <f t="shared" si="69"/>
        <v>0</v>
      </c>
      <c r="CY128" s="644">
        <f t="shared" si="70"/>
        <v>0</v>
      </c>
      <c r="CZ128" s="624" t="s">
        <v>1187</v>
      </c>
      <c r="DA128" s="257"/>
    </row>
    <row r="129" spans="1:105">
      <c r="A129" s="249" t="s">
        <v>258</v>
      </c>
      <c r="B129" s="187"/>
      <c r="C129" s="644"/>
      <c r="D129" s="644">
        <v>1</v>
      </c>
      <c r="E129" s="644">
        <v>1</v>
      </c>
      <c r="F129" s="251"/>
      <c r="G129" s="251"/>
      <c r="H129" s="251"/>
      <c r="I129" s="251"/>
      <c r="J129" s="644"/>
      <c r="K129" s="644"/>
      <c r="L129" s="644"/>
      <c r="M129" s="644"/>
      <c r="N129" s="644"/>
      <c r="O129" s="644"/>
      <c r="P129" s="644"/>
      <c r="Q129" s="644"/>
      <c r="R129" s="644">
        <v>1</v>
      </c>
      <c r="S129" s="644"/>
      <c r="T129" s="644">
        <v>1</v>
      </c>
      <c r="U129" s="644">
        <v>1</v>
      </c>
      <c r="V129" s="644"/>
      <c r="W129" s="644"/>
      <c r="X129" s="644"/>
      <c r="Y129" s="644"/>
      <c r="Z129" s="250"/>
      <c r="AA129" s="644"/>
      <c r="AB129" s="644">
        <v>1</v>
      </c>
      <c r="AC129" s="644">
        <v>1</v>
      </c>
      <c r="AD129" s="644"/>
      <c r="AE129" s="644"/>
      <c r="AF129" s="644"/>
      <c r="AG129" s="644">
        <v>1</v>
      </c>
      <c r="AH129" s="644">
        <v>1</v>
      </c>
      <c r="AI129" s="644"/>
      <c r="AJ129" s="644">
        <v>1</v>
      </c>
      <c r="AK129" s="644"/>
      <c r="AL129" s="167">
        <v>10</v>
      </c>
      <c r="AM129" s="185" t="s">
        <v>1190</v>
      </c>
      <c r="AN129" s="186">
        <v>42010</v>
      </c>
      <c r="AO129" s="187"/>
      <c r="AP129" s="187">
        <f t="shared" si="148"/>
        <v>0</v>
      </c>
      <c r="AQ129" s="187">
        <f t="shared" si="149"/>
        <v>0</v>
      </c>
      <c r="AR129" s="187">
        <f t="shared" si="150"/>
        <v>13</v>
      </c>
      <c r="AS129" s="187">
        <f t="shared" si="151"/>
        <v>13</v>
      </c>
      <c r="AT129" s="187">
        <f t="shared" si="152"/>
        <v>9</v>
      </c>
      <c r="AU129" s="187">
        <f t="shared" si="153"/>
        <v>9</v>
      </c>
      <c r="AV129" s="187">
        <f t="shared" si="154"/>
        <v>9</v>
      </c>
      <c r="AW129" s="187">
        <f t="shared" si="155"/>
        <v>7</v>
      </c>
      <c r="AX129" s="187">
        <f t="shared" si="156"/>
        <v>0</v>
      </c>
      <c r="AY129" s="187">
        <f t="shared" si="157"/>
        <v>0</v>
      </c>
      <c r="AZ129" s="187">
        <f t="shared" si="158"/>
        <v>7</v>
      </c>
      <c r="BA129" s="187">
        <f t="shared" si="159"/>
        <v>7</v>
      </c>
      <c r="BB129" s="187">
        <f t="shared" si="160"/>
        <v>0</v>
      </c>
      <c r="BC129" s="187">
        <f t="shared" si="161"/>
        <v>4</v>
      </c>
      <c r="BD129" s="187">
        <f t="shared" si="162"/>
        <v>0</v>
      </c>
      <c r="BE129" s="187">
        <f t="shared" si="163"/>
        <v>0</v>
      </c>
      <c r="BF129" s="187">
        <f t="shared" si="164"/>
        <v>0</v>
      </c>
      <c r="BG129" s="187">
        <f t="shared" si="165"/>
        <v>0</v>
      </c>
      <c r="BH129" s="187">
        <f t="shared" si="166"/>
        <v>0</v>
      </c>
      <c r="BI129" s="187">
        <f t="shared" si="167"/>
        <v>0</v>
      </c>
      <c r="BJ129" s="187">
        <f t="shared" si="168"/>
        <v>1</v>
      </c>
      <c r="BK129" s="187">
        <f t="shared" si="169"/>
        <v>0</v>
      </c>
      <c r="BL129" s="187">
        <f t="shared" si="170"/>
        <v>0</v>
      </c>
      <c r="BM129" s="187">
        <f t="shared" si="171"/>
        <v>0</v>
      </c>
      <c r="BN129" s="188">
        <f t="shared" si="172"/>
        <v>0</v>
      </c>
      <c r="BO129" s="187">
        <f t="shared" si="173"/>
        <v>0</v>
      </c>
      <c r="BP129" s="187">
        <f t="shared" ref="BP129:BQ129" si="419">IF(G129=1,1,0)</f>
        <v>0</v>
      </c>
      <c r="BQ129" s="187">
        <f t="shared" si="419"/>
        <v>0</v>
      </c>
      <c r="BR129" s="187">
        <f t="shared" ref="BR129:BT129" si="420">IF(K129=1,1,0)</f>
        <v>0</v>
      </c>
      <c r="BS129" s="187">
        <f t="shared" si="420"/>
        <v>0</v>
      </c>
      <c r="BT129" s="187">
        <f t="shared" si="420"/>
        <v>0</v>
      </c>
      <c r="BU129" s="187">
        <f t="shared" ref="BU129:BV129" si="421">IF(P129=1,1,0)</f>
        <v>0</v>
      </c>
      <c r="BV129" s="187">
        <f t="shared" si="421"/>
        <v>0</v>
      </c>
      <c r="BW129" s="187">
        <f t="shared" si="177"/>
        <v>0</v>
      </c>
      <c r="BX129" s="187">
        <f t="shared" si="178"/>
        <v>0</v>
      </c>
      <c r="BY129" s="187">
        <f t="shared" si="179"/>
        <v>0</v>
      </c>
      <c r="BZ129" s="187">
        <f t="shared" si="180"/>
        <v>0</v>
      </c>
      <c r="CA129" s="167">
        <f t="shared" si="181"/>
        <v>79</v>
      </c>
      <c r="CB129" s="167">
        <f t="shared" si="47"/>
        <v>98</v>
      </c>
      <c r="CC129" s="644">
        <f t="shared" si="48"/>
        <v>23</v>
      </c>
      <c r="CD129" s="644">
        <f t="shared" si="49"/>
        <v>19</v>
      </c>
      <c r="CE129" s="644">
        <f t="shared" si="50"/>
        <v>15</v>
      </c>
      <c r="CF129" s="644">
        <f t="shared" si="51"/>
        <v>15</v>
      </c>
      <c r="CG129" s="644">
        <f t="shared" si="52"/>
        <v>9</v>
      </c>
      <c r="CH129" s="644">
        <f t="shared" si="123"/>
        <v>7</v>
      </c>
      <c r="CI129" s="644">
        <f t="shared" si="54"/>
        <v>7</v>
      </c>
      <c r="CJ129" s="644">
        <f t="shared" si="55"/>
        <v>0</v>
      </c>
      <c r="CK129" s="644">
        <f t="shared" si="56"/>
        <v>0</v>
      </c>
      <c r="CL129" s="644">
        <f t="shared" si="57"/>
        <v>0</v>
      </c>
      <c r="CM129" s="644">
        <f t="shared" si="58"/>
        <v>3</v>
      </c>
      <c r="CN129" s="644">
        <f t="shared" si="59"/>
        <v>3</v>
      </c>
      <c r="CO129" s="644">
        <f t="shared" si="60"/>
        <v>3</v>
      </c>
      <c r="CP129" s="644">
        <f t="shared" si="61"/>
        <v>0</v>
      </c>
      <c r="CQ129" s="644">
        <f t="shared" si="62"/>
        <v>0</v>
      </c>
      <c r="CR129" s="644">
        <f t="shared" si="63"/>
        <v>0</v>
      </c>
      <c r="CS129" s="644">
        <f t="shared" si="64"/>
        <v>0</v>
      </c>
      <c r="CT129" s="644">
        <f t="shared" si="65"/>
        <v>0</v>
      </c>
      <c r="CU129" s="644">
        <f t="shared" si="66"/>
        <v>0</v>
      </c>
      <c r="CV129" s="644">
        <f t="shared" si="67"/>
        <v>0</v>
      </c>
      <c r="CW129" s="644">
        <f t="shared" si="68"/>
        <v>0</v>
      </c>
      <c r="CX129" s="644">
        <f t="shared" si="69"/>
        <v>0</v>
      </c>
      <c r="CY129" s="644">
        <f t="shared" si="70"/>
        <v>0</v>
      </c>
      <c r="CZ129" s="624" t="s">
        <v>1191</v>
      </c>
      <c r="DA129" s="257"/>
    </row>
    <row r="130" spans="1:105">
      <c r="A130" s="249" t="s">
        <v>259</v>
      </c>
      <c r="B130" s="187"/>
      <c r="C130" s="644"/>
      <c r="D130" s="644">
        <v>1</v>
      </c>
      <c r="E130" s="644">
        <v>1</v>
      </c>
      <c r="F130" s="251">
        <v>1</v>
      </c>
      <c r="G130" s="251"/>
      <c r="H130" s="251"/>
      <c r="I130" s="251">
        <v>1</v>
      </c>
      <c r="J130" s="644"/>
      <c r="K130" s="644"/>
      <c r="L130" s="644"/>
      <c r="M130" s="644"/>
      <c r="N130" s="644"/>
      <c r="O130" s="644"/>
      <c r="P130" s="644"/>
      <c r="Q130" s="644"/>
      <c r="R130" s="644">
        <v>1</v>
      </c>
      <c r="S130" s="644"/>
      <c r="T130" s="644"/>
      <c r="U130" s="644">
        <v>1</v>
      </c>
      <c r="V130" s="644"/>
      <c r="W130" s="644"/>
      <c r="X130" s="644"/>
      <c r="Y130" s="644"/>
      <c r="Z130" s="644"/>
      <c r="AA130" s="644"/>
      <c r="AB130" s="644">
        <v>1</v>
      </c>
      <c r="AC130" s="644">
        <v>1</v>
      </c>
      <c r="AD130" s="258">
        <v>1</v>
      </c>
      <c r="AE130" s="644"/>
      <c r="AF130" s="644"/>
      <c r="AG130" s="644"/>
      <c r="AH130" s="644">
        <v>1</v>
      </c>
      <c r="AI130" s="644"/>
      <c r="AJ130" s="644"/>
      <c r="AK130" s="644"/>
      <c r="AL130" s="167">
        <v>10</v>
      </c>
      <c r="AM130" s="185" t="s">
        <v>1103</v>
      </c>
      <c r="AN130" s="186">
        <v>42008</v>
      </c>
      <c r="AO130" s="187"/>
      <c r="AP130" s="187">
        <f t="shared" si="148"/>
        <v>13</v>
      </c>
      <c r="AQ130" s="187">
        <f t="shared" si="149"/>
        <v>13</v>
      </c>
      <c r="AR130" s="187">
        <f t="shared" si="150"/>
        <v>13</v>
      </c>
      <c r="AS130" s="187">
        <f t="shared" si="151"/>
        <v>13</v>
      </c>
      <c r="AT130" s="187">
        <f t="shared" si="152"/>
        <v>9</v>
      </c>
      <c r="AU130" s="187">
        <f t="shared" si="153"/>
        <v>9</v>
      </c>
      <c r="AV130" s="187">
        <f t="shared" si="154"/>
        <v>9</v>
      </c>
      <c r="AW130" s="187">
        <f t="shared" si="155"/>
        <v>0</v>
      </c>
      <c r="AX130" s="187">
        <f t="shared" si="156"/>
        <v>7</v>
      </c>
      <c r="AY130" s="187">
        <f t="shared" si="157"/>
        <v>0</v>
      </c>
      <c r="AZ130" s="187">
        <f t="shared" si="158"/>
        <v>7</v>
      </c>
      <c r="BA130" s="187">
        <f t="shared" si="159"/>
        <v>7</v>
      </c>
      <c r="BB130" s="187">
        <f t="shared" si="160"/>
        <v>0</v>
      </c>
      <c r="BC130" s="187">
        <f t="shared" si="161"/>
        <v>0</v>
      </c>
      <c r="BD130" s="187">
        <f t="shared" si="162"/>
        <v>0</v>
      </c>
      <c r="BE130" s="187">
        <f t="shared" si="163"/>
        <v>0</v>
      </c>
      <c r="BF130" s="187">
        <f t="shared" si="164"/>
        <v>0</v>
      </c>
      <c r="BG130" s="187">
        <f t="shared" si="165"/>
        <v>0</v>
      </c>
      <c r="BH130" s="187">
        <f t="shared" si="166"/>
        <v>0</v>
      </c>
      <c r="BI130" s="187">
        <f t="shared" si="167"/>
        <v>0</v>
      </c>
      <c r="BJ130" s="187">
        <f t="shared" si="168"/>
        <v>0</v>
      </c>
      <c r="BK130" s="187">
        <f t="shared" si="169"/>
        <v>0</v>
      </c>
      <c r="BL130" s="187">
        <f t="shared" si="170"/>
        <v>0</v>
      </c>
      <c r="BM130" s="187">
        <f t="shared" si="171"/>
        <v>0</v>
      </c>
      <c r="BN130" s="188">
        <f t="shared" si="172"/>
        <v>0</v>
      </c>
      <c r="BO130" s="187">
        <f t="shared" si="173"/>
        <v>0</v>
      </c>
      <c r="BP130" s="187">
        <f t="shared" ref="BP130:BQ130" si="422">IF(G130=1,1,0)</f>
        <v>0</v>
      </c>
      <c r="BQ130" s="187">
        <f t="shared" si="422"/>
        <v>0</v>
      </c>
      <c r="BR130" s="187">
        <f t="shared" ref="BR130:BT130" si="423">IF(K130=1,1,0)</f>
        <v>0</v>
      </c>
      <c r="BS130" s="187">
        <f t="shared" si="423"/>
        <v>0</v>
      </c>
      <c r="BT130" s="187">
        <f t="shared" si="423"/>
        <v>0</v>
      </c>
      <c r="BU130" s="187">
        <f t="shared" ref="BU130:BV130" si="424">IF(P130=1,1,0)</f>
        <v>0</v>
      </c>
      <c r="BV130" s="187">
        <f t="shared" si="424"/>
        <v>0</v>
      </c>
      <c r="BW130" s="187">
        <f t="shared" si="177"/>
        <v>0</v>
      </c>
      <c r="BX130" s="187">
        <f t="shared" si="178"/>
        <v>0</v>
      </c>
      <c r="BY130" s="187">
        <f t="shared" si="179"/>
        <v>0</v>
      </c>
      <c r="BZ130" s="187">
        <f t="shared" si="180"/>
        <v>0</v>
      </c>
      <c r="CA130" s="167">
        <f t="shared" si="181"/>
        <v>100</v>
      </c>
      <c r="CB130" s="167">
        <f t="shared" si="47"/>
        <v>98</v>
      </c>
      <c r="CC130" s="644">
        <f t="shared" si="48"/>
        <v>23</v>
      </c>
      <c r="CD130" s="644">
        <f t="shared" si="49"/>
        <v>19</v>
      </c>
      <c r="CE130" s="644">
        <f t="shared" si="50"/>
        <v>15</v>
      </c>
      <c r="CF130" s="644">
        <f t="shared" si="51"/>
        <v>15</v>
      </c>
      <c r="CG130" s="644">
        <f t="shared" si="52"/>
        <v>9</v>
      </c>
      <c r="CH130" s="644">
        <f t="shared" si="123"/>
        <v>0</v>
      </c>
      <c r="CI130" s="644">
        <f t="shared" si="54"/>
        <v>7</v>
      </c>
      <c r="CJ130" s="644">
        <f t="shared" si="55"/>
        <v>5</v>
      </c>
      <c r="CK130" s="644">
        <f t="shared" si="56"/>
        <v>5</v>
      </c>
      <c r="CL130" s="644">
        <f t="shared" si="57"/>
        <v>5</v>
      </c>
      <c r="CM130" s="644">
        <f t="shared" si="58"/>
        <v>0</v>
      </c>
      <c r="CN130" s="644">
        <f t="shared" si="59"/>
        <v>0</v>
      </c>
      <c r="CO130" s="644">
        <f t="shared" si="60"/>
        <v>0</v>
      </c>
      <c r="CP130" s="644">
        <f t="shared" si="61"/>
        <v>0</v>
      </c>
      <c r="CQ130" s="644">
        <f t="shared" si="62"/>
        <v>0</v>
      </c>
      <c r="CR130" s="644">
        <f t="shared" si="63"/>
        <v>0</v>
      </c>
      <c r="CS130" s="644">
        <f t="shared" si="64"/>
        <v>0</v>
      </c>
      <c r="CT130" s="644">
        <f t="shared" si="65"/>
        <v>0</v>
      </c>
      <c r="CU130" s="644">
        <f t="shared" si="66"/>
        <v>0</v>
      </c>
      <c r="CV130" s="644">
        <f t="shared" si="67"/>
        <v>0</v>
      </c>
      <c r="CW130" s="644">
        <f t="shared" si="68"/>
        <v>0</v>
      </c>
      <c r="CX130" s="644">
        <f t="shared" si="69"/>
        <v>0</v>
      </c>
      <c r="CY130" s="644">
        <f t="shared" si="70"/>
        <v>0</v>
      </c>
      <c r="CZ130" s="624" t="s">
        <v>749</v>
      </c>
      <c r="DA130" s="257"/>
    </row>
    <row r="131" spans="1:105">
      <c r="A131" s="249" t="s">
        <v>261</v>
      </c>
      <c r="B131" s="187"/>
      <c r="C131" s="644"/>
      <c r="D131" s="250"/>
      <c r="E131" s="644">
        <v>1</v>
      </c>
      <c r="F131" s="251">
        <v>1</v>
      </c>
      <c r="G131" s="251"/>
      <c r="H131" s="251"/>
      <c r="I131" s="251">
        <v>1</v>
      </c>
      <c r="J131" s="644"/>
      <c r="K131" s="644"/>
      <c r="L131" s="644"/>
      <c r="M131" s="644"/>
      <c r="N131" s="644"/>
      <c r="O131" s="644"/>
      <c r="P131" s="644"/>
      <c r="Q131" s="644"/>
      <c r="R131" s="644">
        <v>1</v>
      </c>
      <c r="S131" s="644"/>
      <c r="T131" s="644"/>
      <c r="U131" s="644">
        <v>1</v>
      </c>
      <c r="V131" s="644"/>
      <c r="W131" s="644"/>
      <c r="X131" s="644"/>
      <c r="Y131" s="644"/>
      <c r="Z131" s="644"/>
      <c r="AA131" s="644"/>
      <c r="AB131" s="644">
        <v>1</v>
      </c>
      <c r="AC131" s="644">
        <v>1</v>
      </c>
      <c r="AD131" s="644"/>
      <c r="AE131" s="644"/>
      <c r="AF131" s="644">
        <v>1</v>
      </c>
      <c r="AG131" s="644"/>
      <c r="AH131" s="644">
        <v>1</v>
      </c>
      <c r="AI131" s="644"/>
      <c r="AJ131" s="644">
        <v>1</v>
      </c>
      <c r="AK131" s="644"/>
      <c r="AL131" s="167">
        <v>10</v>
      </c>
      <c r="AM131" s="185" t="s">
        <v>1192</v>
      </c>
      <c r="AN131" s="186">
        <v>42005</v>
      </c>
      <c r="AO131" s="187"/>
      <c r="AP131" s="187">
        <f t="shared" si="148"/>
        <v>13</v>
      </c>
      <c r="AQ131" s="187">
        <f t="shared" si="149"/>
        <v>13</v>
      </c>
      <c r="AR131" s="187">
        <f t="shared" si="150"/>
        <v>13</v>
      </c>
      <c r="AS131" s="187">
        <f t="shared" si="151"/>
        <v>13</v>
      </c>
      <c r="AT131" s="187">
        <f t="shared" si="152"/>
        <v>9</v>
      </c>
      <c r="AU131" s="187">
        <f t="shared" si="153"/>
        <v>0</v>
      </c>
      <c r="AV131" s="187">
        <f t="shared" si="154"/>
        <v>9</v>
      </c>
      <c r="AW131" s="187">
        <f t="shared" si="155"/>
        <v>7</v>
      </c>
      <c r="AX131" s="187">
        <f t="shared" si="156"/>
        <v>0</v>
      </c>
      <c r="AY131" s="187">
        <f t="shared" si="157"/>
        <v>0</v>
      </c>
      <c r="AZ131" s="187">
        <f t="shared" si="158"/>
        <v>7</v>
      </c>
      <c r="BA131" s="187">
        <f t="shared" si="159"/>
        <v>7</v>
      </c>
      <c r="BB131" s="187">
        <f t="shared" si="160"/>
        <v>0</v>
      </c>
      <c r="BC131" s="187">
        <f t="shared" si="161"/>
        <v>0</v>
      </c>
      <c r="BD131" s="187">
        <f t="shared" si="162"/>
        <v>0</v>
      </c>
      <c r="BE131" s="187">
        <f t="shared" si="163"/>
        <v>3</v>
      </c>
      <c r="BF131" s="187">
        <f t="shared" si="164"/>
        <v>0</v>
      </c>
      <c r="BG131" s="187">
        <f t="shared" si="165"/>
        <v>0</v>
      </c>
      <c r="BH131" s="187">
        <f t="shared" si="166"/>
        <v>0</v>
      </c>
      <c r="BI131" s="187">
        <f t="shared" si="167"/>
        <v>0</v>
      </c>
      <c r="BJ131" s="187">
        <f t="shared" si="168"/>
        <v>0</v>
      </c>
      <c r="BK131" s="187">
        <f t="shared" si="169"/>
        <v>0</v>
      </c>
      <c r="BL131" s="187">
        <f t="shared" si="170"/>
        <v>0</v>
      </c>
      <c r="BM131" s="187">
        <f t="shared" si="171"/>
        <v>0</v>
      </c>
      <c r="BN131" s="188">
        <f t="shared" si="172"/>
        <v>0</v>
      </c>
      <c r="BO131" s="187">
        <f t="shared" si="173"/>
        <v>0</v>
      </c>
      <c r="BP131" s="187">
        <f t="shared" ref="BP131:BQ131" si="425">IF(G131=1,1,0)</f>
        <v>0</v>
      </c>
      <c r="BQ131" s="187">
        <f t="shared" si="425"/>
        <v>0</v>
      </c>
      <c r="BR131" s="187">
        <f t="shared" ref="BR131:BT131" si="426">IF(K131=1,1,0)</f>
        <v>0</v>
      </c>
      <c r="BS131" s="187">
        <f t="shared" si="426"/>
        <v>0</v>
      </c>
      <c r="BT131" s="187">
        <f t="shared" si="426"/>
        <v>0</v>
      </c>
      <c r="BU131" s="187">
        <f t="shared" ref="BU131:BV131" si="427">IF(P131=1,1,0)</f>
        <v>0</v>
      </c>
      <c r="BV131" s="187">
        <f t="shared" si="427"/>
        <v>0</v>
      </c>
      <c r="BW131" s="187">
        <f t="shared" si="177"/>
        <v>0</v>
      </c>
      <c r="BX131" s="187">
        <f t="shared" si="178"/>
        <v>0</v>
      </c>
      <c r="BY131" s="187">
        <f t="shared" si="179"/>
        <v>0</v>
      </c>
      <c r="BZ131" s="187">
        <f t="shared" si="180"/>
        <v>0</v>
      </c>
      <c r="CA131" s="167">
        <f t="shared" si="181"/>
        <v>94</v>
      </c>
      <c r="CB131" s="167">
        <f t="shared" si="47"/>
        <v>98</v>
      </c>
      <c r="CC131" s="644">
        <f t="shared" si="48"/>
        <v>23</v>
      </c>
      <c r="CD131" s="644">
        <f t="shared" si="49"/>
        <v>19</v>
      </c>
      <c r="CE131" s="644">
        <f t="shared" si="50"/>
        <v>15</v>
      </c>
      <c r="CF131" s="644">
        <f t="shared" si="51"/>
        <v>15</v>
      </c>
      <c r="CG131" s="644">
        <f t="shared" si="52"/>
        <v>9</v>
      </c>
      <c r="CH131" s="644">
        <f t="shared" si="123"/>
        <v>0</v>
      </c>
      <c r="CI131" s="644">
        <f t="shared" si="54"/>
        <v>7</v>
      </c>
      <c r="CJ131" s="644">
        <f t="shared" si="55"/>
        <v>0</v>
      </c>
      <c r="CK131" s="644">
        <f t="shared" si="56"/>
        <v>5</v>
      </c>
      <c r="CL131" s="644">
        <f t="shared" si="57"/>
        <v>5</v>
      </c>
      <c r="CM131" s="644">
        <f t="shared" si="58"/>
        <v>0</v>
      </c>
      <c r="CN131" s="644">
        <f t="shared" si="59"/>
        <v>0</v>
      </c>
      <c r="CO131" s="644">
        <f t="shared" si="60"/>
        <v>3</v>
      </c>
      <c r="CP131" s="644">
        <f t="shared" si="61"/>
        <v>0</v>
      </c>
      <c r="CQ131" s="644">
        <f t="shared" si="62"/>
        <v>0</v>
      </c>
      <c r="CR131" s="644">
        <f t="shared" si="63"/>
        <v>0</v>
      </c>
      <c r="CS131" s="644">
        <f t="shared" si="64"/>
        <v>0</v>
      </c>
      <c r="CT131" s="644">
        <f t="shared" si="65"/>
        <v>2</v>
      </c>
      <c r="CU131" s="644">
        <f t="shared" si="66"/>
        <v>0</v>
      </c>
      <c r="CV131" s="644">
        <f t="shared" si="67"/>
        <v>0</v>
      </c>
      <c r="CW131" s="644">
        <f t="shared" si="68"/>
        <v>0</v>
      </c>
      <c r="CX131" s="644">
        <f t="shared" si="69"/>
        <v>0</v>
      </c>
      <c r="CY131" s="644">
        <f t="shared" si="70"/>
        <v>0</v>
      </c>
      <c r="CZ131" s="624" t="s">
        <v>749</v>
      </c>
      <c r="DA131" s="257"/>
    </row>
    <row r="132" spans="1:105">
      <c r="A132" s="249" t="s">
        <v>262</v>
      </c>
      <c r="B132" s="187"/>
      <c r="C132" s="644"/>
      <c r="D132" s="644">
        <v>1</v>
      </c>
      <c r="E132" s="644">
        <v>1</v>
      </c>
      <c r="F132" s="251"/>
      <c r="G132" s="251"/>
      <c r="H132" s="251"/>
      <c r="I132" s="251"/>
      <c r="J132" s="644"/>
      <c r="K132" s="644"/>
      <c r="L132" s="644"/>
      <c r="M132" s="644"/>
      <c r="N132" s="644"/>
      <c r="O132" s="644"/>
      <c r="P132" s="644"/>
      <c r="Q132" s="644"/>
      <c r="R132" s="644">
        <v>1</v>
      </c>
      <c r="S132" s="644"/>
      <c r="T132" s="644">
        <v>1</v>
      </c>
      <c r="U132" s="644">
        <v>1</v>
      </c>
      <c r="V132" s="644"/>
      <c r="W132" s="644"/>
      <c r="X132" s="644"/>
      <c r="Y132" s="644"/>
      <c r="Z132" s="644"/>
      <c r="AA132" s="644"/>
      <c r="AB132" s="644">
        <v>1</v>
      </c>
      <c r="AC132" s="644"/>
      <c r="AD132" s="644">
        <v>1</v>
      </c>
      <c r="AE132" s="644"/>
      <c r="AF132" s="644"/>
      <c r="AG132" s="644"/>
      <c r="AH132" s="644">
        <v>1</v>
      </c>
      <c r="AI132" s="644"/>
      <c r="AJ132" s="644">
        <v>1</v>
      </c>
      <c r="AK132" s="644">
        <v>1</v>
      </c>
      <c r="AL132" s="167">
        <v>10</v>
      </c>
      <c r="AM132" s="185" t="s">
        <v>1193</v>
      </c>
      <c r="AN132" s="186">
        <v>42003</v>
      </c>
      <c r="AO132" s="187"/>
      <c r="AP132" s="187">
        <f t="shared" si="148"/>
        <v>0</v>
      </c>
      <c r="AQ132" s="187">
        <f t="shared" si="149"/>
        <v>0</v>
      </c>
      <c r="AR132" s="187">
        <f t="shared" si="150"/>
        <v>13</v>
      </c>
      <c r="AS132" s="187">
        <f t="shared" si="151"/>
        <v>13</v>
      </c>
      <c r="AT132" s="187">
        <f t="shared" si="152"/>
        <v>9</v>
      </c>
      <c r="AU132" s="187">
        <f t="shared" si="153"/>
        <v>9</v>
      </c>
      <c r="AV132" s="187">
        <f t="shared" si="154"/>
        <v>0</v>
      </c>
      <c r="AW132" s="187">
        <f t="shared" si="155"/>
        <v>7</v>
      </c>
      <c r="AX132" s="187">
        <f t="shared" si="156"/>
        <v>7</v>
      </c>
      <c r="AY132" s="187">
        <f t="shared" si="157"/>
        <v>0</v>
      </c>
      <c r="AZ132" s="187">
        <f t="shared" si="158"/>
        <v>7</v>
      </c>
      <c r="BA132" s="187">
        <f t="shared" si="159"/>
        <v>7</v>
      </c>
      <c r="BB132" s="187">
        <f t="shared" si="160"/>
        <v>4</v>
      </c>
      <c r="BC132" s="187">
        <f t="shared" si="161"/>
        <v>4</v>
      </c>
      <c r="BD132" s="187">
        <f t="shared" si="162"/>
        <v>0</v>
      </c>
      <c r="BE132" s="187">
        <f t="shared" si="163"/>
        <v>0</v>
      </c>
      <c r="BF132" s="187">
        <f t="shared" si="164"/>
        <v>0</v>
      </c>
      <c r="BG132" s="187">
        <f t="shared" si="165"/>
        <v>0</v>
      </c>
      <c r="BH132" s="187">
        <f t="shared" si="166"/>
        <v>0</v>
      </c>
      <c r="BI132" s="187">
        <f t="shared" si="167"/>
        <v>0</v>
      </c>
      <c r="BJ132" s="187">
        <f t="shared" si="168"/>
        <v>0</v>
      </c>
      <c r="BK132" s="187">
        <f t="shared" si="169"/>
        <v>0</v>
      </c>
      <c r="BL132" s="187">
        <f t="shared" si="170"/>
        <v>0</v>
      </c>
      <c r="BM132" s="187">
        <f t="shared" si="171"/>
        <v>0</v>
      </c>
      <c r="BN132" s="188">
        <f t="shared" si="172"/>
        <v>0</v>
      </c>
      <c r="BO132" s="187">
        <f t="shared" si="173"/>
        <v>0</v>
      </c>
      <c r="BP132" s="187">
        <f t="shared" ref="BP132:BQ132" si="428">IF(G132=1,1,0)</f>
        <v>0</v>
      </c>
      <c r="BQ132" s="187">
        <f t="shared" si="428"/>
        <v>0</v>
      </c>
      <c r="BR132" s="187">
        <f t="shared" ref="BR132:BT132" si="429">IF(K132=1,1,0)</f>
        <v>0</v>
      </c>
      <c r="BS132" s="187">
        <f t="shared" si="429"/>
        <v>0</v>
      </c>
      <c r="BT132" s="187">
        <f t="shared" si="429"/>
        <v>0</v>
      </c>
      <c r="BU132" s="187">
        <f t="shared" ref="BU132:BV132" si="430">IF(P132=1,1,0)</f>
        <v>0</v>
      </c>
      <c r="BV132" s="187">
        <f t="shared" si="430"/>
        <v>0</v>
      </c>
      <c r="BW132" s="187">
        <f t="shared" si="177"/>
        <v>0</v>
      </c>
      <c r="BX132" s="187">
        <f t="shared" si="178"/>
        <v>0</v>
      </c>
      <c r="BY132" s="187">
        <f t="shared" si="179"/>
        <v>0</v>
      </c>
      <c r="BZ132" s="187">
        <f t="shared" si="180"/>
        <v>0</v>
      </c>
      <c r="CA132" s="167">
        <f t="shared" si="181"/>
        <v>80</v>
      </c>
      <c r="CB132" s="167">
        <f t="shared" si="47"/>
        <v>96</v>
      </c>
      <c r="CC132" s="644">
        <f t="shared" si="48"/>
        <v>23</v>
      </c>
      <c r="CD132" s="644">
        <f t="shared" si="49"/>
        <v>19</v>
      </c>
      <c r="CE132" s="644">
        <f t="shared" si="50"/>
        <v>15</v>
      </c>
      <c r="CF132" s="644">
        <f t="shared" si="51"/>
        <v>15</v>
      </c>
      <c r="CG132" s="644">
        <f t="shared" si="52"/>
        <v>9</v>
      </c>
      <c r="CH132" s="644">
        <f t="shared" si="123"/>
        <v>7</v>
      </c>
      <c r="CI132" s="644">
        <f t="shared" si="54"/>
        <v>0</v>
      </c>
      <c r="CJ132" s="644">
        <f t="shared" si="55"/>
        <v>5</v>
      </c>
      <c r="CK132" s="644">
        <f t="shared" si="56"/>
        <v>0</v>
      </c>
      <c r="CL132" s="644">
        <f t="shared" si="57"/>
        <v>0</v>
      </c>
      <c r="CM132" s="644">
        <f t="shared" si="58"/>
        <v>0</v>
      </c>
      <c r="CN132" s="644">
        <f t="shared" si="59"/>
        <v>3</v>
      </c>
      <c r="CO132" s="644">
        <f t="shared" si="60"/>
        <v>3</v>
      </c>
      <c r="CP132" s="644">
        <f t="shared" si="61"/>
        <v>0</v>
      </c>
      <c r="CQ132" s="644">
        <f t="shared" si="62"/>
        <v>0</v>
      </c>
      <c r="CR132" s="644">
        <f t="shared" si="63"/>
        <v>0</v>
      </c>
      <c r="CS132" s="644">
        <f t="shared" si="64"/>
        <v>2</v>
      </c>
      <c r="CT132" s="644">
        <f t="shared" si="65"/>
        <v>0</v>
      </c>
      <c r="CU132" s="644">
        <f t="shared" si="66"/>
        <v>0</v>
      </c>
      <c r="CV132" s="644">
        <f t="shared" si="67"/>
        <v>0</v>
      </c>
      <c r="CW132" s="644">
        <f t="shared" si="68"/>
        <v>0</v>
      </c>
      <c r="CX132" s="644">
        <f t="shared" si="69"/>
        <v>0</v>
      </c>
      <c r="CY132" s="644">
        <f t="shared" si="70"/>
        <v>0</v>
      </c>
      <c r="CZ132" s="624" t="s">
        <v>749</v>
      </c>
      <c r="DA132" s="257"/>
    </row>
    <row r="133" spans="1:105" ht="25.5">
      <c r="A133" s="249" t="s">
        <v>985</v>
      </c>
      <c r="B133" s="187"/>
      <c r="C133" s="644"/>
      <c r="D133" s="258">
        <v>1</v>
      </c>
      <c r="E133" s="644">
        <v>1</v>
      </c>
      <c r="F133" s="251"/>
      <c r="G133" s="251"/>
      <c r="H133" s="251"/>
      <c r="I133" s="251"/>
      <c r="J133" s="644"/>
      <c r="K133" s="644"/>
      <c r="L133" s="644"/>
      <c r="M133" s="644"/>
      <c r="N133" s="644"/>
      <c r="O133" s="644"/>
      <c r="P133" s="644"/>
      <c r="Q133" s="644"/>
      <c r="R133" s="644">
        <v>1</v>
      </c>
      <c r="S133" s="644"/>
      <c r="T133" s="644"/>
      <c r="U133" s="644">
        <v>1</v>
      </c>
      <c r="V133" s="644"/>
      <c r="W133" s="644">
        <v>1</v>
      </c>
      <c r="X133" s="644"/>
      <c r="Y133" s="644"/>
      <c r="Z133" s="644">
        <v>1</v>
      </c>
      <c r="AA133" s="644"/>
      <c r="AB133" s="644">
        <v>1</v>
      </c>
      <c r="AC133" s="644"/>
      <c r="AD133" s="644"/>
      <c r="AE133" s="644"/>
      <c r="AF133" s="644">
        <v>1</v>
      </c>
      <c r="AG133" s="644">
        <v>1</v>
      </c>
      <c r="AH133" s="644">
        <v>1</v>
      </c>
      <c r="AI133" s="644"/>
      <c r="AJ133" s="644"/>
      <c r="AK133" s="644"/>
      <c r="AL133" s="167">
        <v>10</v>
      </c>
      <c r="AM133" s="185" t="s">
        <v>1194</v>
      </c>
      <c r="AN133" s="186">
        <v>41996</v>
      </c>
      <c r="AO133" s="187"/>
      <c r="AP133" s="187">
        <f t="shared" si="148"/>
        <v>0</v>
      </c>
      <c r="AQ133" s="187">
        <f t="shared" si="149"/>
        <v>0</v>
      </c>
      <c r="AR133" s="187">
        <f t="shared" si="150"/>
        <v>13</v>
      </c>
      <c r="AS133" s="187">
        <f t="shared" si="151"/>
        <v>13</v>
      </c>
      <c r="AT133" s="187">
        <f t="shared" si="152"/>
        <v>9</v>
      </c>
      <c r="AU133" s="187">
        <f t="shared" si="153"/>
        <v>9</v>
      </c>
      <c r="AV133" s="187">
        <f t="shared" si="154"/>
        <v>0</v>
      </c>
      <c r="AW133" s="187">
        <f t="shared" si="155"/>
        <v>0</v>
      </c>
      <c r="AX133" s="187">
        <f t="shared" si="156"/>
        <v>0</v>
      </c>
      <c r="AY133" s="187">
        <f t="shared" si="157"/>
        <v>7</v>
      </c>
      <c r="AZ133" s="187">
        <f t="shared" si="158"/>
        <v>7</v>
      </c>
      <c r="BA133" s="187">
        <f t="shared" si="159"/>
        <v>7</v>
      </c>
      <c r="BB133" s="187">
        <f t="shared" si="160"/>
        <v>0</v>
      </c>
      <c r="BC133" s="187">
        <f t="shared" si="161"/>
        <v>0</v>
      </c>
      <c r="BD133" s="187">
        <f t="shared" si="162"/>
        <v>0</v>
      </c>
      <c r="BE133" s="187">
        <f t="shared" si="163"/>
        <v>3</v>
      </c>
      <c r="BF133" s="187">
        <f t="shared" si="164"/>
        <v>3</v>
      </c>
      <c r="BG133" s="187">
        <f t="shared" si="165"/>
        <v>0</v>
      </c>
      <c r="BH133" s="187">
        <f t="shared" si="166"/>
        <v>0</v>
      </c>
      <c r="BI133" s="187">
        <f t="shared" si="167"/>
        <v>0</v>
      </c>
      <c r="BJ133" s="187">
        <f t="shared" si="168"/>
        <v>1</v>
      </c>
      <c r="BK133" s="187">
        <f t="shared" si="169"/>
        <v>0</v>
      </c>
      <c r="BL133" s="187">
        <f t="shared" si="170"/>
        <v>0</v>
      </c>
      <c r="BM133" s="187">
        <f t="shared" si="171"/>
        <v>0</v>
      </c>
      <c r="BN133" s="188">
        <f t="shared" si="172"/>
        <v>0</v>
      </c>
      <c r="BO133" s="187">
        <f t="shared" si="173"/>
        <v>0</v>
      </c>
      <c r="BP133" s="187">
        <f t="shared" ref="BP133:BQ133" si="431">IF(G133=1,1,0)</f>
        <v>0</v>
      </c>
      <c r="BQ133" s="187">
        <f t="shared" si="431"/>
        <v>0</v>
      </c>
      <c r="BR133" s="187">
        <f t="shared" ref="BR133:BT133" si="432">IF(K133=1,1,0)</f>
        <v>0</v>
      </c>
      <c r="BS133" s="187">
        <f t="shared" si="432"/>
        <v>0</v>
      </c>
      <c r="BT133" s="187">
        <f t="shared" si="432"/>
        <v>0</v>
      </c>
      <c r="BU133" s="187">
        <f t="shared" ref="BU133:BV133" si="433">IF(P133=1,1,0)</f>
        <v>0</v>
      </c>
      <c r="BV133" s="187">
        <f t="shared" si="433"/>
        <v>0</v>
      </c>
      <c r="BW133" s="187">
        <f t="shared" si="177"/>
        <v>0</v>
      </c>
      <c r="BX133" s="187">
        <f t="shared" si="178"/>
        <v>0</v>
      </c>
      <c r="BY133" s="187">
        <f t="shared" si="179"/>
        <v>0</v>
      </c>
      <c r="BZ133" s="187">
        <f t="shared" si="180"/>
        <v>0</v>
      </c>
      <c r="CA133" s="167">
        <f t="shared" si="181"/>
        <v>72</v>
      </c>
      <c r="CB133" s="167">
        <f t="shared" si="47"/>
        <v>94</v>
      </c>
      <c r="CC133" s="644">
        <f t="shared" si="48"/>
        <v>23</v>
      </c>
      <c r="CD133" s="644">
        <f t="shared" si="49"/>
        <v>19</v>
      </c>
      <c r="CE133" s="644">
        <f t="shared" si="50"/>
        <v>15</v>
      </c>
      <c r="CF133" s="644">
        <f t="shared" si="51"/>
        <v>15</v>
      </c>
      <c r="CG133" s="644">
        <f t="shared" si="52"/>
        <v>9</v>
      </c>
      <c r="CH133" s="644">
        <f t="shared" si="123"/>
        <v>7</v>
      </c>
      <c r="CI133" s="644">
        <f t="shared" si="54"/>
        <v>0</v>
      </c>
      <c r="CJ133" s="644">
        <f t="shared" si="55"/>
        <v>0</v>
      </c>
      <c r="CK133" s="644">
        <f t="shared" si="56"/>
        <v>0</v>
      </c>
      <c r="CL133" s="644">
        <f t="shared" si="57"/>
        <v>0</v>
      </c>
      <c r="CM133" s="644">
        <f t="shared" si="58"/>
        <v>3</v>
      </c>
      <c r="CN133" s="644">
        <f t="shared" si="59"/>
        <v>0</v>
      </c>
      <c r="CO133" s="644">
        <f t="shared" si="60"/>
        <v>0</v>
      </c>
      <c r="CP133" s="644">
        <f t="shared" si="61"/>
        <v>3</v>
      </c>
      <c r="CQ133" s="644">
        <f t="shared" si="62"/>
        <v>0</v>
      </c>
      <c r="CR133" s="644">
        <f t="shared" si="63"/>
        <v>2</v>
      </c>
      <c r="CS133" s="644">
        <f t="shared" si="64"/>
        <v>0</v>
      </c>
      <c r="CT133" s="644">
        <f t="shared" si="65"/>
        <v>2</v>
      </c>
      <c r="CU133" s="644">
        <f t="shared" si="66"/>
        <v>0</v>
      </c>
      <c r="CV133" s="644">
        <f t="shared" si="67"/>
        <v>0</v>
      </c>
      <c r="CW133" s="644">
        <f t="shared" si="68"/>
        <v>0</v>
      </c>
      <c r="CX133" s="644">
        <f t="shared" si="69"/>
        <v>0</v>
      </c>
      <c r="CY133" s="644">
        <f t="shared" si="70"/>
        <v>0</v>
      </c>
      <c r="CZ133" s="624" t="s">
        <v>756</v>
      </c>
      <c r="DA133" s="257"/>
    </row>
    <row r="134" spans="1:105" ht="25.5">
      <c r="A134" s="249" t="s">
        <v>601</v>
      </c>
      <c r="B134" s="187"/>
      <c r="C134" s="644"/>
      <c r="D134" s="644">
        <v>1</v>
      </c>
      <c r="E134" s="644">
        <v>1</v>
      </c>
      <c r="F134" s="251">
        <v>1</v>
      </c>
      <c r="G134" s="251"/>
      <c r="H134" s="251"/>
      <c r="I134" s="251">
        <v>1</v>
      </c>
      <c r="J134" s="644"/>
      <c r="K134" s="644"/>
      <c r="L134" s="644"/>
      <c r="M134" s="644"/>
      <c r="N134" s="644"/>
      <c r="O134" s="644"/>
      <c r="P134" s="644"/>
      <c r="Q134" s="644"/>
      <c r="R134" s="644">
        <v>1</v>
      </c>
      <c r="S134" s="644">
        <v>1</v>
      </c>
      <c r="T134" s="644"/>
      <c r="U134" s="644">
        <v>1</v>
      </c>
      <c r="V134" s="644"/>
      <c r="W134" s="644"/>
      <c r="X134" s="644">
        <v>1</v>
      </c>
      <c r="Y134" s="644"/>
      <c r="Z134" s="644"/>
      <c r="AA134" s="644"/>
      <c r="AB134" s="250"/>
      <c r="AC134" s="644"/>
      <c r="AD134" s="644"/>
      <c r="AE134" s="644"/>
      <c r="AF134" s="644"/>
      <c r="AG134" s="644">
        <v>1</v>
      </c>
      <c r="AH134" s="644">
        <v>1</v>
      </c>
      <c r="AI134" s="644"/>
      <c r="AJ134" s="644"/>
      <c r="AK134" s="644"/>
      <c r="AL134" s="167">
        <v>10</v>
      </c>
      <c r="AM134" s="185" t="s">
        <v>1195</v>
      </c>
      <c r="AN134" s="186">
        <v>41997</v>
      </c>
      <c r="AO134" s="187"/>
      <c r="AP134" s="187">
        <f t="shared" si="148"/>
        <v>13</v>
      </c>
      <c r="AQ134" s="187">
        <f t="shared" si="149"/>
        <v>13</v>
      </c>
      <c r="AR134" s="187">
        <f t="shared" si="150"/>
        <v>13</v>
      </c>
      <c r="AS134" s="187">
        <f t="shared" si="151"/>
        <v>13</v>
      </c>
      <c r="AT134" s="187">
        <f t="shared" si="152"/>
        <v>0</v>
      </c>
      <c r="AU134" s="187">
        <f t="shared" si="153"/>
        <v>9</v>
      </c>
      <c r="AV134" s="187">
        <f t="shared" si="154"/>
        <v>0</v>
      </c>
      <c r="AW134" s="187">
        <f t="shared" si="155"/>
        <v>0</v>
      </c>
      <c r="AX134" s="187">
        <f t="shared" si="156"/>
        <v>0</v>
      </c>
      <c r="AY134" s="187">
        <f t="shared" si="157"/>
        <v>0</v>
      </c>
      <c r="AZ134" s="187">
        <f t="shared" si="158"/>
        <v>7</v>
      </c>
      <c r="BA134" s="187">
        <f t="shared" si="159"/>
        <v>7</v>
      </c>
      <c r="BB134" s="187">
        <f t="shared" si="160"/>
        <v>0</v>
      </c>
      <c r="BC134" s="187">
        <f t="shared" si="161"/>
        <v>0</v>
      </c>
      <c r="BD134" s="187">
        <f t="shared" si="162"/>
        <v>4</v>
      </c>
      <c r="BE134" s="187">
        <f t="shared" si="163"/>
        <v>0</v>
      </c>
      <c r="BF134" s="187">
        <f t="shared" si="164"/>
        <v>0</v>
      </c>
      <c r="BG134" s="187">
        <f t="shared" si="165"/>
        <v>0</v>
      </c>
      <c r="BH134" s="187">
        <f t="shared" si="166"/>
        <v>2</v>
      </c>
      <c r="BI134" s="187">
        <f t="shared" si="167"/>
        <v>0</v>
      </c>
      <c r="BJ134" s="187">
        <f t="shared" si="168"/>
        <v>1</v>
      </c>
      <c r="BK134" s="187">
        <f t="shared" si="169"/>
        <v>0</v>
      </c>
      <c r="BL134" s="187">
        <f t="shared" si="170"/>
        <v>0</v>
      </c>
      <c r="BM134" s="187">
        <f t="shared" si="171"/>
        <v>0</v>
      </c>
      <c r="BN134" s="188">
        <f t="shared" si="172"/>
        <v>0</v>
      </c>
      <c r="BO134" s="187">
        <f t="shared" si="173"/>
        <v>0</v>
      </c>
      <c r="BP134" s="187">
        <f t="shared" ref="BP134:BQ134" si="434">IF(G134=1,1,0)</f>
        <v>0</v>
      </c>
      <c r="BQ134" s="187">
        <f t="shared" si="434"/>
        <v>0</v>
      </c>
      <c r="BR134" s="187">
        <f t="shared" ref="BR134:BT134" si="435">IF(K134=1,1,0)</f>
        <v>0</v>
      </c>
      <c r="BS134" s="187">
        <f t="shared" si="435"/>
        <v>0</v>
      </c>
      <c r="BT134" s="187">
        <f t="shared" si="435"/>
        <v>0</v>
      </c>
      <c r="BU134" s="187">
        <f t="shared" ref="BU134:BV134" si="436">IF(P134=1,1,0)</f>
        <v>0</v>
      </c>
      <c r="BV134" s="187">
        <f t="shared" si="436"/>
        <v>0</v>
      </c>
      <c r="BW134" s="187">
        <f t="shared" si="177"/>
        <v>0</v>
      </c>
      <c r="BX134" s="187">
        <f t="shared" si="178"/>
        <v>0</v>
      </c>
      <c r="BY134" s="187">
        <f t="shared" si="179"/>
        <v>0</v>
      </c>
      <c r="BZ134" s="187">
        <f t="shared" si="180"/>
        <v>0</v>
      </c>
      <c r="CA134" s="167">
        <f t="shared" si="181"/>
        <v>82</v>
      </c>
      <c r="CB134" s="167">
        <f t="shared" si="47"/>
        <v>92</v>
      </c>
      <c r="CC134" s="644">
        <f t="shared" si="48"/>
        <v>23</v>
      </c>
      <c r="CD134" s="644">
        <f t="shared" si="49"/>
        <v>19</v>
      </c>
      <c r="CE134" s="644">
        <f t="shared" si="50"/>
        <v>15</v>
      </c>
      <c r="CF134" s="644">
        <f t="shared" si="51"/>
        <v>15</v>
      </c>
      <c r="CG134" s="644">
        <f t="shared" si="52"/>
        <v>0</v>
      </c>
      <c r="CH134" s="644">
        <f t="shared" si="123"/>
        <v>7</v>
      </c>
      <c r="CI134" s="644">
        <f t="shared" si="54"/>
        <v>0</v>
      </c>
      <c r="CJ134" s="644">
        <f t="shared" si="55"/>
        <v>0</v>
      </c>
      <c r="CK134" s="644">
        <f t="shared" si="56"/>
        <v>5</v>
      </c>
      <c r="CL134" s="644">
        <f t="shared" si="57"/>
        <v>5</v>
      </c>
      <c r="CM134" s="644">
        <f t="shared" si="58"/>
        <v>3</v>
      </c>
      <c r="CN134" s="644">
        <f t="shared" si="59"/>
        <v>0</v>
      </c>
      <c r="CO134" s="644">
        <f t="shared" si="60"/>
        <v>0</v>
      </c>
      <c r="CP134" s="644">
        <f t="shared" si="61"/>
        <v>0</v>
      </c>
      <c r="CQ134" s="644">
        <f t="shared" si="62"/>
        <v>2</v>
      </c>
      <c r="CR134" s="644">
        <f t="shared" si="63"/>
        <v>0</v>
      </c>
      <c r="CS134" s="644">
        <f t="shared" si="64"/>
        <v>0</v>
      </c>
      <c r="CT134" s="644">
        <f t="shared" si="65"/>
        <v>0</v>
      </c>
      <c r="CU134" s="644">
        <f t="shared" si="66"/>
        <v>1</v>
      </c>
      <c r="CV134" s="644">
        <f t="shared" si="67"/>
        <v>0</v>
      </c>
      <c r="CW134" s="644">
        <f t="shared" si="68"/>
        <v>0</v>
      </c>
      <c r="CX134" s="644">
        <f t="shared" si="69"/>
        <v>0</v>
      </c>
      <c r="CY134" s="644">
        <f t="shared" si="70"/>
        <v>0</v>
      </c>
      <c r="CZ134" s="624" t="s">
        <v>752</v>
      </c>
      <c r="DA134" s="257"/>
    </row>
    <row r="135" spans="1:105">
      <c r="A135" s="249" t="s">
        <v>267</v>
      </c>
      <c r="B135" s="187"/>
      <c r="C135" s="644"/>
      <c r="D135" s="644">
        <v>1</v>
      </c>
      <c r="E135" s="644">
        <v>1</v>
      </c>
      <c r="F135" s="251">
        <v>1</v>
      </c>
      <c r="G135" s="251"/>
      <c r="H135" s="251"/>
      <c r="I135" s="251">
        <v>1</v>
      </c>
      <c r="J135" s="644"/>
      <c r="K135" s="644"/>
      <c r="L135" s="644"/>
      <c r="M135" s="644"/>
      <c r="N135" s="644"/>
      <c r="O135" s="644"/>
      <c r="P135" s="644"/>
      <c r="Q135" s="644"/>
      <c r="R135" s="644">
        <v>1</v>
      </c>
      <c r="S135" s="644"/>
      <c r="T135" s="644"/>
      <c r="U135" s="644">
        <v>1</v>
      </c>
      <c r="V135" s="644"/>
      <c r="W135" s="644"/>
      <c r="X135" s="644"/>
      <c r="Y135" s="644"/>
      <c r="Z135" s="644"/>
      <c r="AA135" s="644"/>
      <c r="AB135" s="644">
        <v>1</v>
      </c>
      <c r="AC135" s="644">
        <v>1</v>
      </c>
      <c r="AD135" s="644">
        <v>1</v>
      </c>
      <c r="AE135" s="644"/>
      <c r="AF135" s="644"/>
      <c r="AG135" s="644"/>
      <c r="AH135" s="644">
        <v>1</v>
      </c>
      <c r="AI135" s="644"/>
      <c r="AJ135" s="644"/>
      <c r="AK135" s="644"/>
      <c r="AL135" s="167">
        <v>10</v>
      </c>
      <c r="AM135" s="185" t="str">
        <f>HYPERLINK("http://bit.ly/1wzmkx2", "Ross Carey Podcast")</f>
        <v>Ross Carey Podcast</v>
      </c>
      <c r="AN135" s="186">
        <v>42003</v>
      </c>
      <c r="AO135" s="187"/>
      <c r="AP135" s="187">
        <f t="shared" si="148"/>
        <v>13</v>
      </c>
      <c r="AQ135" s="187">
        <f t="shared" si="149"/>
        <v>13</v>
      </c>
      <c r="AR135" s="187">
        <f t="shared" si="150"/>
        <v>13</v>
      </c>
      <c r="AS135" s="187">
        <f t="shared" si="151"/>
        <v>13</v>
      </c>
      <c r="AT135" s="187">
        <f t="shared" si="152"/>
        <v>9</v>
      </c>
      <c r="AU135" s="187">
        <f t="shared" si="153"/>
        <v>9</v>
      </c>
      <c r="AV135" s="187">
        <f t="shared" si="154"/>
        <v>9</v>
      </c>
      <c r="AW135" s="187">
        <f t="shared" si="155"/>
        <v>0</v>
      </c>
      <c r="AX135" s="187">
        <f t="shared" si="156"/>
        <v>7</v>
      </c>
      <c r="AY135" s="187">
        <f t="shared" si="157"/>
        <v>0</v>
      </c>
      <c r="AZ135" s="187">
        <f t="shared" si="158"/>
        <v>7</v>
      </c>
      <c r="BA135" s="187">
        <f t="shared" si="159"/>
        <v>7</v>
      </c>
      <c r="BB135" s="187">
        <f t="shared" si="160"/>
        <v>0</v>
      </c>
      <c r="BC135" s="187">
        <f t="shared" si="161"/>
        <v>0</v>
      </c>
      <c r="BD135" s="187">
        <f t="shared" si="162"/>
        <v>0</v>
      </c>
      <c r="BE135" s="187">
        <f t="shared" si="163"/>
        <v>0</v>
      </c>
      <c r="BF135" s="187">
        <f t="shared" si="164"/>
        <v>0</v>
      </c>
      <c r="BG135" s="187">
        <f t="shared" si="165"/>
        <v>0</v>
      </c>
      <c r="BH135" s="187">
        <f t="shared" si="166"/>
        <v>0</v>
      </c>
      <c r="BI135" s="187">
        <f t="shared" si="167"/>
        <v>0</v>
      </c>
      <c r="BJ135" s="187">
        <f t="shared" si="168"/>
        <v>0</v>
      </c>
      <c r="BK135" s="187">
        <f t="shared" si="169"/>
        <v>0</v>
      </c>
      <c r="BL135" s="187">
        <f t="shared" si="170"/>
        <v>0</v>
      </c>
      <c r="BM135" s="187">
        <f t="shared" si="171"/>
        <v>0</v>
      </c>
      <c r="BN135" s="188">
        <f t="shared" si="172"/>
        <v>0</v>
      </c>
      <c r="BO135" s="187">
        <f t="shared" si="173"/>
        <v>0</v>
      </c>
      <c r="BP135" s="187">
        <f t="shared" ref="BP135:BQ135" si="437">IF(G135=1,1,0)</f>
        <v>0</v>
      </c>
      <c r="BQ135" s="187">
        <f t="shared" si="437"/>
        <v>0</v>
      </c>
      <c r="BR135" s="187">
        <f t="shared" ref="BR135:BT135" si="438">IF(K135=1,1,0)</f>
        <v>0</v>
      </c>
      <c r="BS135" s="187">
        <f t="shared" si="438"/>
        <v>0</v>
      </c>
      <c r="BT135" s="187">
        <f t="shared" si="438"/>
        <v>0</v>
      </c>
      <c r="BU135" s="187">
        <f t="shared" ref="BU135:BV135" si="439">IF(P135=1,1,0)</f>
        <v>0</v>
      </c>
      <c r="BV135" s="187">
        <f t="shared" si="439"/>
        <v>0</v>
      </c>
      <c r="BW135" s="187">
        <f t="shared" si="177"/>
        <v>0</v>
      </c>
      <c r="BX135" s="187">
        <f t="shared" si="178"/>
        <v>0</v>
      </c>
      <c r="BY135" s="187">
        <f t="shared" si="179"/>
        <v>0</v>
      </c>
      <c r="BZ135" s="187">
        <f t="shared" si="180"/>
        <v>0</v>
      </c>
      <c r="CA135" s="167">
        <f t="shared" si="181"/>
        <v>100</v>
      </c>
      <c r="CB135" s="167">
        <f t="shared" si="47"/>
        <v>98</v>
      </c>
      <c r="CC135" s="644">
        <f t="shared" si="48"/>
        <v>23</v>
      </c>
      <c r="CD135" s="644">
        <f t="shared" si="49"/>
        <v>19</v>
      </c>
      <c r="CE135" s="644">
        <f t="shared" si="50"/>
        <v>15</v>
      </c>
      <c r="CF135" s="644">
        <f t="shared" si="51"/>
        <v>15</v>
      </c>
      <c r="CG135" s="644">
        <f t="shared" si="52"/>
        <v>9</v>
      </c>
      <c r="CH135" s="644">
        <f t="shared" si="123"/>
        <v>0</v>
      </c>
      <c r="CI135" s="644">
        <f t="shared" si="54"/>
        <v>7</v>
      </c>
      <c r="CJ135" s="644">
        <f t="shared" si="55"/>
        <v>5</v>
      </c>
      <c r="CK135" s="644">
        <f t="shared" si="56"/>
        <v>5</v>
      </c>
      <c r="CL135" s="644">
        <f t="shared" si="57"/>
        <v>5</v>
      </c>
      <c r="CM135" s="644">
        <f t="shared" si="58"/>
        <v>0</v>
      </c>
      <c r="CN135" s="644">
        <f t="shared" si="59"/>
        <v>0</v>
      </c>
      <c r="CO135" s="644">
        <f t="shared" si="60"/>
        <v>0</v>
      </c>
      <c r="CP135" s="644">
        <f t="shared" si="61"/>
        <v>0</v>
      </c>
      <c r="CQ135" s="644">
        <f t="shared" si="62"/>
        <v>0</v>
      </c>
      <c r="CR135" s="644">
        <f t="shared" si="63"/>
        <v>0</v>
      </c>
      <c r="CS135" s="644">
        <f t="shared" si="64"/>
        <v>0</v>
      </c>
      <c r="CT135" s="644">
        <f t="shared" si="65"/>
        <v>0</v>
      </c>
      <c r="CU135" s="644">
        <f t="shared" si="66"/>
        <v>0</v>
      </c>
      <c r="CV135" s="644">
        <f t="shared" si="67"/>
        <v>0</v>
      </c>
      <c r="CW135" s="644">
        <f t="shared" si="68"/>
        <v>0</v>
      </c>
      <c r="CX135" s="644">
        <f t="shared" si="69"/>
        <v>0</v>
      </c>
      <c r="CY135" s="644">
        <f t="shared" si="70"/>
        <v>0</v>
      </c>
      <c r="CZ135" s="624" t="s">
        <v>756</v>
      </c>
      <c r="DA135" s="257"/>
    </row>
    <row r="136" spans="1:105" ht="25.5">
      <c r="A136" s="249" t="s">
        <v>271</v>
      </c>
      <c r="B136" s="187"/>
      <c r="C136" s="644"/>
      <c r="D136" s="644">
        <v>1</v>
      </c>
      <c r="E136" s="644">
        <v>1</v>
      </c>
      <c r="F136" s="251"/>
      <c r="G136" s="251"/>
      <c r="H136" s="251"/>
      <c r="I136" s="251"/>
      <c r="J136" s="644"/>
      <c r="K136" s="644"/>
      <c r="L136" s="644"/>
      <c r="M136" s="644"/>
      <c r="N136" s="644"/>
      <c r="O136" s="644"/>
      <c r="P136" s="644"/>
      <c r="Q136" s="644"/>
      <c r="R136" s="644">
        <v>1</v>
      </c>
      <c r="S136" s="644"/>
      <c r="T136" s="644"/>
      <c r="U136" s="644">
        <v>1</v>
      </c>
      <c r="V136" s="644"/>
      <c r="W136" s="644">
        <v>1</v>
      </c>
      <c r="X136" s="644"/>
      <c r="Y136" s="644"/>
      <c r="Z136" s="644">
        <v>1</v>
      </c>
      <c r="AA136" s="644"/>
      <c r="AB136" s="644">
        <v>1</v>
      </c>
      <c r="AC136" s="644"/>
      <c r="AD136" s="250"/>
      <c r="AE136" s="644"/>
      <c r="AF136" s="644"/>
      <c r="AG136" s="644"/>
      <c r="AH136" s="644">
        <v>1</v>
      </c>
      <c r="AI136" s="644"/>
      <c r="AJ136" s="644">
        <v>1</v>
      </c>
      <c r="AK136" s="644"/>
      <c r="AL136" s="167">
        <v>9</v>
      </c>
      <c r="AM136" s="185" t="str">
        <f>HYPERLINK("http://bit.ly/1CHsLqd", "12/5 Podcast + Column Clarifies")</f>
        <v>12/5 Podcast + Column Clarifies</v>
      </c>
      <c r="AN136" s="186">
        <v>41992</v>
      </c>
      <c r="AO136" s="187"/>
      <c r="AP136" s="187">
        <f t="shared" si="148"/>
        <v>0</v>
      </c>
      <c r="AQ136" s="187">
        <f t="shared" si="149"/>
        <v>0</v>
      </c>
      <c r="AR136" s="187">
        <f t="shared" si="150"/>
        <v>13</v>
      </c>
      <c r="AS136" s="187">
        <f t="shared" si="151"/>
        <v>13</v>
      </c>
      <c r="AT136" s="187">
        <f t="shared" si="152"/>
        <v>9</v>
      </c>
      <c r="AU136" s="187">
        <f t="shared" si="153"/>
        <v>9</v>
      </c>
      <c r="AV136" s="187">
        <f t="shared" si="154"/>
        <v>0</v>
      </c>
      <c r="AW136" s="187">
        <f t="shared" si="155"/>
        <v>7</v>
      </c>
      <c r="AX136" s="187">
        <f t="shared" si="156"/>
        <v>0</v>
      </c>
      <c r="AY136" s="187">
        <f t="shared" si="157"/>
        <v>7</v>
      </c>
      <c r="AZ136" s="187">
        <f t="shared" si="158"/>
        <v>7</v>
      </c>
      <c r="BA136" s="187">
        <f t="shared" si="159"/>
        <v>7</v>
      </c>
      <c r="BB136" s="187">
        <f t="shared" si="160"/>
        <v>0</v>
      </c>
      <c r="BC136" s="187">
        <f t="shared" si="161"/>
        <v>0</v>
      </c>
      <c r="BD136" s="187">
        <f t="shared" si="162"/>
        <v>0</v>
      </c>
      <c r="BE136" s="187">
        <f t="shared" si="163"/>
        <v>0</v>
      </c>
      <c r="BF136" s="187">
        <f t="shared" si="164"/>
        <v>3</v>
      </c>
      <c r="BG136" s="187">
        <f t="shared" si="165"/>
        <v>0</v>
      </c>
      <c r="BH136" s="187">
        <f t="shared" si="166"/>
        <v>0</v>
      </c>
      <c r="BI136" s="187">
        <f t="shared" si="167"/>
        <v>0</v>
      </c>
      <c r="BJ136" s="187">
        <f t="shared" si="168"/>
        <v>0</v>
      </c>
      <c r="BK136" s="187">
        <f t="shared" si="169"/>
        <v>0</v>
      </c>
      <c r="BL136" s="187">
        <f t="shared" si="170"/>
        <v>0</v>
      </c>
      <c r="BM136" s="187">
        <f t="shared" si="171"/>
        <v>0</v>
      </c>
      <c r="BN136" s="188">
        <f t="shared" si="172"/>
        <v>1</v>
      </c>
      <c r="BO136" s="187">
        <f t="shared" si="173"/>
        <v>0</v>
      </c>
      <c r="BP136" s="187">
        <f t="shared" ref="BP136:BQ136" si="440">IF(G136=1,1,0)</f>
        <v>0</v>
      </c>
      <c r="BQ136" s="187">
        <f t="shared" si="440"/>
        <v>0</v>
      </c>
      <c r="BR136" s="187">
        <f t="shared" ref="BR136:BT136" si="441">IF(K136=1,1,0)</f>
        <v>0</v>
      </c>
      <c r="BS136" s="187">
        <f t="shared" si="441"/>
        <v>0</v>
      </c>
      <c r="BT136" s="187">
        <f t="shared" si="441"/>
        <v>0</v>
      </c>
      <c r="BU136" s="187">
        <f t="shared" ref="BU136:BV136" si="442">IF(P136=1,1,0)</f>
        <v>0</v>
      </c>
      <c r="BV136" s="187">
        <f t="shared" si="442"/>
        <v>0</v>
      </c>
      <c r="BW136" s="187">
        <f t="shared" si="177"/>
        <v>0</v>
      </c>
      <c r="BX136" s="187">
        <f t="shared" si="178"/>
        <v>0</v>
      </c>
      <c r="BY136" s="187">
        <f t="shared" si="179"/>
        <v>1</v>
      </c>
      <c r="BZ136" s="187">
        <f t="shared" si="180"/>
        <v>-1</v>
      </c>
      <c r="CA136" s="167">
        <f t="shared" si="181"/>
        <v>74</v>
      </c>
      <c r="CB136" s="167">
        <f t="shared" si="47"/>
        <v>94</v>
      </c>
      <c r="CC136" s="644">
        <f t="shared" si="48"/>
        <v>23</v>
      </c>
      <c r="CD136" s="644">
        <f t="shared" si="49"/>
        <v>19</v>
      </c>
      <c r="CE136" s="644">
        <f t="shared" si="50"/>
        <v>15</v>
      </c>
      <c r="CF136" s="644">
        <f t="shared" si="51"/>
        <v>15</v>
      </c>
      <c r="CG136" s="644">
        <f t="shared" si="52"/>
        <v>9</v>
      </c>
      <c r="CH136" s="644">
        <f t="shared" si="123"/>
        <v>7</v>
      </c>
      <c r="CI136" s="644">
        <f t="shared" si="54"/>
        <v>0</v>
      </c>
      <c r="CJ136" s="644">
        <f t="shared" si="55"/>
        <v>0</v>
      </c>
      <c r="CK136" s="644">
        <f t="shared" si="56"/>
        <v>0</v>
      </c>
      <c r="CL136" s="644">
        <f t="shared" si="57"/>
        <v>0</v>
      </c>
      <c r="CM136" s="644">
        <f t="shared" si="58"/>
        <v>0</v>
      </c>
      <c r="CN136" s="644">
        <f t="shared" si="59"/>
        <v>0</v>
      </c>
      <c r="CO136" s="644">
        <f t="shared" si="60"/>
        <v>3</v>
      </c>
      <c r="CP136" s="644">
        <f t="shared" si="61"/>
        <v>3</v>
      </c>
      <c r="CQ136" s="644">
        <f t="shared" si="62"/>
        <v>0</v>
      </c>
      <c r="CR136" s="644">
        <f t="shared" si="63"/>
        <v>2</v>
      </c>
      <c r="CS136" s="644">
        <f t="shared" si="64"/>
        <v>0</v>
      </c>
      <c r="CT136" s="644">
        <f t="shared" si="65"/>
        <v>0</v>
      </c>
      <c r="CU136" s="644">
        <f t="shared" si="66"/>
        <v>0</v>
      </c>
      <c r="CV136" s="644">
        <f t="shared" si="67"/>
        <v>0</v>
      </c>
      <c r="CW136" s="644">
        <f t="shared" si="68"/>
        <v>0</v>
      </c>
      <c r="CX136" s="644">
        <f t="shared" si="69"/>
        <v>0</v>
      </c>
      <c r="CY136" s="644">
        <f t="shared" si="70"/>
        <v>0</v>
      </c>
      <c r="CZ136" s="624" t="s">
        <v>749</v>
      </c>
      <c r="DA136" s="257"/>
    </row>
    <row r="137" spans="1:105">
      <c r="A137" s="249" t="s">
        <v>272</v>
      </c>
      <c r="B137" s="187"/>
      <c r="C137" s="644"/>
      <c r="D137" s="644"/>
      <c r="E137" s="258">
        <v>1</v>
      </c>
      <c r="F137" s="251">
        <v>1</v>
      </c>
      <c r="G137" s="251"/>
      <c r="H137" s="251"/>
      <c r="I137" s="251">
        <v>1</v>
      </c>
      <c r="J137" s="644"/>
      <c r="K137" s="644"/>
      <c r="L137" s="644"/>
      <c r="M137" s="644"/>
      <c r="N137" s="644"/>
      <c r="O137" s="644"/>
      <c r="P137" s="644"/>
      <c r="Q137" s="644"/>
      <c r="R137" s="644">
        <v>1</v>
      </c>
      <c r="S137" s="644"/>
      <c r="T137" s="644"/>
      <c r="U137" s="644">
        <v>1</v>
      </c>
      <c r="V137" s="644"/>
      <c r="W137" s="644"/>
      <c r="X137" s="644">
        <v>1</v>
      </c>
      <c r="Y137" s="644"/>
      <c r="Z137" s="644"/>
      <c r="AA137" s="644"/>
      <c r="AB137" s="644">
        <v>1</v>
      </c>
      <c r="AC137" s="319"/>
      <c r="AD137" s="183">
        <v>1</v>
      </c>
      <c r="AE137" s="644"/>
      <c r="AF137" s="644"/>
      <c r="AG137" s="644"/>
      <c r="AH137" s="644">
        <v>1</v>
      </c>
      <c r="AI137" s="644">
        <v>1</v>
      </c>
      <c r="AJ137" s="644"/>
      <c r="AK137" s="644"/>
      <c r="AL137" s="167">
        <v>10</v>
      </c>
      <c r="AM137" s="185" t="s">
        <v>1196</v>
      </c>
      <c r="AN137" s="186">
        <v>41644</v>
      </c>
      <c r="AO137" s="187"/>
      <c r="AP137" s="187">
        <f t="shared" si="148"/>
        <v>13</v>
      </c>
      <c r="AQ137" s="187">
        <f t="shared" si="149"/>
        <v>13</v>
      </c>
      <c r="AR137" s="187">
        <f t="shared" si="150"/>
        <v>13</v>
      </c>
      <c r="AS137" s="187">
        <f t="shared" si="151"/>
        <v>13</v>
      </c>
      <c r="AT137" s="187">
        <f t="shared" si="152"/>
        <v>9</v>
      </c>
      <c r="AU137" s="187">
        <f t="shared" si="153"/>
        <v>0</v>
      </c>
      <c r="AV137" s="187">
        <f t="shared" si="154"/>
        <v>0</v>
      </c>
      <c r="AW137" s="187">
        <f t="shared" si="155"/>
        <v>0</v>
      </c>
      <c r="AX137" s="187">
        <f t="shared" si="156"/>
        <v>7</v>
      </c>
      <c r="AY137" s="187">
        <f t="shared" si="157"/>
        <v>0</v>
      </c>
      <c r="AZ137" s="187">
        <f t="shared" si="158"/>
        <v>7</v>
      </c>
      <c r="BA137" s="187">
        <f t="shared" si="159"/>
        <v>7</v>
      </c>
      <c r="BB137" s="187">
        <f t="shared" si="160"/>
        <v>0</v>
      </c>
      <c r="BC137" s="187">
        <f t="shared" si="161"/>
        <v>0</v>
      </c>
      <c r="BD137" s="187">
        <f t="shared" si="162"/>
        <v>4</v>
      </c>
      <c r="BE137" s="187">
        <f t="shared" si="163"/>
        <v>0</v>
      </c>
      <c r="BF137" s="187">
        <f t="shared" si="164"/>
        <v>0</v>
      </c>
      <c r="BG137" s="187">
        <f t="shared" si="165"/>
        <v>2</v>
      </c>
      <c r="BH137" s="187">
        <f t="shared" si="166"/>
        <v>0</v>
      </c>
      <c r="BI137" s="187">
        <f t="shared" si="167"/>
        <v>0</v>
      </c>
      <c r="BJ137" s="187">
        <f t="shared" si="168"/>
        <v>0</v>
      </c>
      <c r="BK137" s="187">
        <f t="shared" si="169"/>
        <v>0</v>
      </c>
      <c r="BL137" s="187">
        <f t="shared" si="170"/>
        <v>0</v>
      </c>
      <c r="BM137" s="187">
        <f t="shared" si="171"/>
        <v>0</v>
      </c>
      <c r="BN137" s="188">
        <f t="shared" si="172"/>
        <v>0</v>
      </c>
      <c r="BO137" s="187">
        <f t="shared" si="173"/>
        <v>0</v>
      </c>
      <c r="BP137" s="187">
        <f t="shared" ref="BP137:BQ137" si="443">IF(G137=1,1,0)</f>
        <v>0</v>
      </c>
      <c r="BQ137" s="187">
        <f t="shared" si="443"/>
        <v>0</v>
      </c>
      <c r="BR137" s="187">
        <f t="shared" ref="BR137:BT137" si="444">IF(K137=1,1,0)</f>
        <v>0</v>
      </c>
      <c r="BS137" s="187">
        <f t="shared" si="444"/>
        <v>0</v>
      </c>
      <c r="BT137" s="187">
        <f t="shared" si="444"/>
        <v>0</v>
      </c>
      <c r="BU137" s="187">
        <f t="shared" ref="BU137:BV137" si="445">IF(P137=1,1,0)</f>
        <v>0</v>
      </c>
      <c r="BV137" s="187">
        <f t="shared" si="445"/>
        <v>0</v>
      </c>
      <c r="BW137" s="187">
        <f t="shared" si="177"/>
        <v>0</v>
      </c>
      <c r="BX137" s="187">
        <f t="shared" si="178"/>
        <v>0</v>
      </c>
      <c r="BY137" s="187">
        <f t="shared" si="179"/>
        <v>0</v>
      </c>
      <c r="BZ137" s="187">
        <f t="shared" si="180"/>
        <v>0</v>
      </c>
      <c r="CA137" s="167">
        <f t="shared" si="181"/>
        <v>88</v>
      </c>
      <c r="CB137" s="167">
        <f t="shared" si="47"/>
        <v>98</v>
      </c>
      <c r="CC137" s="644">
        <f t="shared" si="48"/>
        <v>23</v>
      </c>
      <c r="CD137" s="644">
        <f t="shared" si="49"/>
        <v>19</v>
      </c>
      <c r="CE137" s="644">
        <f t="shared" si="50"/>
        <v>15</v>
      </c>
      <c r="CF137" s="644">
        <f t="shared" si="51"/>
        <v>15</v>
      </c>
      <c r="CG137" s="644">
        <f t="shared" si="52"/>
        <v>9</v>
      </c>
      <c r="CH137" s="644">
        <f t="shared" si="123"/>
        <v>7</v>
      </c>
      <c r="CI137" s="644">
        <f t="shared" si="54"/>
        <v>0</v>
      </c>
      <c r="CJ137" s="644">
        <f t="shared" si="55"/>
        <v>5</v>
      </c>
      <c r="CK137" s="644">
        <f t="shared" si="56"/>
        <v>5</v>
      </c>
      <c r="CL137" s="644">
        <f t="shared" si="57"/>
        <v>5</v>
      </c>
      <c r="CM137" s="644">
        <f t="shared" si="58"/>
        <v>0</v>
      </c>
      <c r="CN137" s="644">
        <f t="shared" si="59"/>
        <v>0</v>
      </c>
      <c r="CO137" s="644">
        <f t="shared" si="60"/>
        <v>0</v>
      </c>
      <c r="CP137" s="644">
        <f t="shared" si="61"/>
        <v>0</v>
      </c>
      <c r="CQ137" s="644">
        <f t="shared" si="62"/>
        <v>0</v>
      </c>
      <c r="CR137" s="644">
        <f t="shared" si="63"/>
        <v>0</v>
      </c>
      <c r="CS137" s="644">
        <f t="shared" si="64"/>
        <v>0</v>
      </c>
      <c r="CT137" s="644">
        <f t="shared" si="65"/>
        <v>0</v>
      </c>
      <c r="CU137" s="644">
        <f t="shared" si="66"/>
        <v>1</v>
      </c>
      <c r="CV137" s="644">
        <f t="shared" si="67"/>
        <v>0</v>
      </c>
      <c r="CW137" s="644">
        <f t="shared" si="68"/>
        <v>1</v>
      </c>
      <c r="CX137" s="644">
        <f t="shared" si="69"/>
        <v>0</v>
      </c>
      <c r="CY137" s="644">
        <f t="shared" si="70"/>
        <v>0</v>
      </c>
      <c r="CZ137" s="624" t="s">
        <v>1113</v>
      </c>
      <c r="DA137" s="266"/>
    </row>
    <row r="138" spans="1:105">
      <c r="A138" s="249" t="s">
        <v>450</v>
      </c>
      <c r="B138" s="187"/>
      <c r="C138" s="644"/>
      <c r="D138" s="644"/>
      <c r="E138" s="644">
        <v>1</v>
      </c>
      <c r="F138" s="251"/>
      <c r="G138" s="251"/>
      <c r="H138" s="251"/>
      <c r="I138" s="251"/>
      <c r="J138" s="644"/>
      <c r="K138" s="644"/>
      <c r="L138" s="644"/>
      <c r="M138" s="644"/>
      <c r="N138" s="644"/>
      <c r="O138" s="644"/>
      <c r="P138" s="644"/>
      <c r="Q138" s="644"/>
      <c r="R138" s="644">
        <v>1</v>
      </c>
      <c r="S138" s="644">
        <v>1</v>
      </c>
      <c r="T138" s="644"/>
      <c r="U138" s="644">
        <v>1</v>
      </c>
      <c r="V138" s="644"/>
      <c r="W138" s="644">
        <v>1</v>
      </c>
      <c r="X138" s="644"/>
      <c r="Y138" s="644"/>
      <c r="Z138" s="644"/>
      <c r="AA138" s="644"/>
      <c r="AB138" s="644"/>
      <c r="AC138" s="644"/>
      <c r="AD138" s="644">
        <v>1</v>
      </c>
      <c r="AE138" s="644"/>
      <c r="AF138" s="644"/>
      <c r="AG138" s="644"/>
      <c r="AH138" s="644">
        <v>1</v>
      </c>
      <c r="AI138" s="644"/>
      <c r="AJ138" s="644"/>
      <c r="AK138" s="644"/>
      <c r="AL138" s="167">
        <v>7</v>
      </c>
      <c r="AM138" s="185" t="s">
        <v>1160</v>
      </c>
      <c r="AN138" s="186">
        <v>42010</v>
      </c>
      <c r="AO138" s="187"/>
      <c r="AP138" s="187">
        <f t="shared" si="148"/>
        <v>0</v>
      </c>
      <c r="AQ138" s="187">
        <f t="shared" si="149"/>
        <v>0</v>
      </c>
      <c r="AR138" s="187">
        <f t="shared" si="150"/>
        <v>13</v>
      </c>
      <c r="AS138" s="187">
        <f t="shared" si="151"/>
        <v>13</v>
      </c>
      <c r="AT138" s="187">
        <f t="shared" si="152"/>
        <v>0</v>
      </c>
      <c r="AU138" s="187">
        <f t="shared" si="153"/>
        <v>0</v>
      </c>
      <c r="AV138" s="187">
        <f t="shared" si="154"/>
        <v>0</v>
      </c>
      <c r="AW138" s="187">
        <f t="shared" si="155"/>
        <v>0</v>
      </c>
      <c r="AX138" s="187">
        <f t="shared" si="156"/>
        <v>7</v>
      </c>
      <c r="AY138" s="187">
        <f t="shared" si="157"/>
        <v>0</v>
      </c>
      <c r="AZ138" s="187">
        <f t="shared" si="158"/>
        <v>7</v>
      </c>
      <c r="BA138" s="187">
        <f t="shared" si="159"/>
        <v>7</v>
      </c>
      <c r="BB138" s="187">
        <f t="shared" si="160"/>
        <v>0</v>
      </c>
      <c r="BC138" s="187">
        <f t="shared" si="161"/>
        <v>0</v>
      </c>
      <c r="BD138" s="187">
        <f t="shared" si="162"/>
        <v>0</v>
      </c>
      <c r="BE138" s="187">
        <f t="shared" si="163"/>
        <v>0</v>
      </c>
      <c r="BF138" s="187">
        <f t="shared" si="164"/>
        <v>3</v>
      </c>
      <c r="BG138" s="187">
        <f t="shared" si="165"/>
        <v>0</v>
      </c>
      <c r="BH138" s="187">
        <f t="shared" si="166"/>
        <v>2</v>
      </c>
      <c r="BI138" s="187">
        <f t="shared" si="167"/>
        <v>0</v>
      </c>
      <c r="BJ138" s="187">
        <f t="shared" si="168"/>
        <v>0</v>
      </c>
      <c r="BK138" s="187">
        <f t="shared" si="169"/>
        <v>0</v>
      </c>
      <c r="BL138" s="187">
        <f t="shared" si="170"/>
        <v>0</v>
      </c>
      <c r="BM138" s="187">
        <f t="shared" si="171"/>
        <v>0</v>
      </c>
      <c r="BN138" s="188">
        <f t="shared" si="172"/>
        <v>3</v>
      </c>
      <c r="BO138" s="187">
        <f t="shared" si="173"/>
        <v>0</v>
      </c>
      <c r="BP138" s="187">
        <f t="shared" ref="BP138:BQ138" si="446">IF(G138=1,1,0)</f>
        <v>0</v>
      </c>
      <c r="BQ138" s="187">
        <f t="shared" si="446"/>
        <v>0</v>
      </c>
      <c r="BR138" s="187">
        <f t="shared" ref="BR138:BT138" si="447">IF(K138=1,1,0)</f>
        <v>0</v>
      </c>
      <c r="BS138" s="187">
        <f t="shared" si="447"/>
        <v>0</v>
      </c>
      <c r="BT138" s="187">
        <f t="shared" si="447"/>
        <v>0</v>
      </c>
      <c r="BU138" s="187">
        <f t="shared" ref="BU138:BV138" si="448">IF(P138=1,1,0)</f>
        <v>0</v>
      </c>
      <c r="BV138" s="187">
        <f t="shared" si="448"/>
        <v>0</v>
      </c>
      <c r="BW138" s="187">
        <f t="shared" si="177"/>
        <v>0</v>
      </c>
      <c r="BX138" s="187">
        <f t="shared" si="178"/>
        <v>0</v>
      </c>
      <c r="BY138" s="187">
        <f t="shared" si="179"/>
        <v>3</v>
      </c>
      <c r="BZ138" s="187">
        <f t="shared" si="180"/>
        <v>-9</v>
      </c>
      <c r="CA138" s="167">
        <f t="shared" si="181"/>
        <v>43</v>
      </c>
      <c r="CB138" s="167">
        <f t="shared" si="47"/>
        <v>81</v>
      </c>
      <c r="CC138" s="644">
        <f t="shared" si="48"/>
        <v>23</v>
      </c>
      <c r="CD138" s="644">
        <f t="shared" si="49"/>
        <v>19</v>
      </c>
      <c r="CE138" s="644">
        <f t="shared" si="50"/>
        <v>15</v>
      </c>
      <c r="CF138" s="644">
        <f t="shared" si="51"/>
        <v>15</v>
      </c>
      <c r="CG138" s="644">
        <f t="shared" si="52"/>
        <v>0</v>
      </c>
      <c r="CH138" s="644">
        <f t="shared" si="123"/>
        <v>0</v>
      </c>
      <c r="CI138" s="644">
        <f t="shared" si="54"/>
        <v>0</v>
      </c>
      <c r="CJ138" s="644">
        <f t="shared" si="55"/>
        <v>5</v>
      </c>
      <c r="CK138" s="644">
        <f t="shared" si="56"/>
        <v>0</v>
      </c>
      <c r="CL138" s="644">
        <f t="shared" si="57"/>
        <v>0</v>
      </c>
      <c r="CM138" s="644">
        <f t="shared" si="58"/>
        <v>0</v>
      </c>
      <c r="CN138" s="644">
        <f t="shared" si="59"/>
        <v>0</v>
      </c>
      <c r="CO138" s="644">
        <f t="shared" si="60"/>
        <v>0</v>
      </c>
      <c r="CP138" s="644">
        <f t="shared" si="61"/>
        <v>0</v>
      </c>
      <c r="CQ138" s="644">
        <f t="shared" si="62"/>
        <v>2</v>
      </c>
      <c r="CR138" s="644">
        <f t="shared" si="63"/>
        <v>2</v>
      </c>
      <c r="CS138" s="644">
        <f t="shared" si="64"/>
        <v>0</v>
      </c>
      <c r="CT138" s="644">
        <f t="shared" si="65"/>
        <v>0</v>
      </c>
      <c r="CU138" s="644">
        <f t="shared" si="66"/>
        <v>0</v>
      </c>
      <c r="CV138" s="644">
        <f t="shared" si="67"/>
        <v>0</v>
      </c>
      <c r="CW138" s="644">
        <f t="shared" si="68"/>
        <v>0</v>
      </c>
      <c r="CX138" s="644">
        <f t="shared" si="69"/>
        <v>0</v>
      </c>
      <c r="CY138" s="644">
        <f t="shared" si="70"/>
        <v>0</v>
      </c>
      <c r="CZ138" s="624" t="s">
        <v>756</v>
      </c>
      <c r="DA138" s="257"/>
    </row>
    <row r="139" spans="1:105">
      <c r="A139" s="249" t="s">
        <v>273</v>
      </c>
      <c r="B139" s="187"/>
      <c r="C139" s="644"/>
      <c r="D139" s="258">
        <v>1</v>
      </c>
      <c r="E139" s="258">
        <v>1</v>
      </c>
      <c r="F139" s="251">
        <v>1</v>
      </c>
      <c r="G139" s="251"/>
      <c r="H139" s="251"/>
      <c r="I139" s="251">
        <v>1</v>
      </c>
      <c r="J139" s="644"/>
      <c r="K139" s="644"/>
      <c r="L139" s="644"/>
      <c r="M139" s="644"/>
      <c r="N139" s="644"/>
      <c r="O139" s="644"/>
      <c r="P139" s="644"/>
      <c r="Q139" s="644"/>
      <c r="R139" s="644">
        <v>1</v>
      </c>
      <c r="S139" s="644"/>
      <c r="T139" s="644"/>
      <c r="U139" s="644">
        <v>1</v>
      </c>
      <c r="V139" s="644"/>
      <c r="W139" s="644"/>
      <c r="X139" s="644"/>
      <c r="Y139" s="644"/>
      <c r="Z139" s="644"/>
      <c r="AA139" s="644"/>
      <c r="AB139" s="644">
        <v>1</v>
      </c>
      <c r="AC139" s="258">
        <v>1</v>
      </c>
      <c r="AD139" s="258">
        <v>1</v>
      </c>
      <c r="AE139" s="644"/>
      <c r="AF139" s="644"/>
      <c r="AG139" s="644"/>
      <c r="AH139" s="644">
        <v>1</v>
      </c>
      <c r="AI139" s="644"/>
      <c r="AJ139" s="644"/>
      <c r="AK139" s="644"/>
      <c r="AL139" s="167">
        <v>10</v>
      </c>
      <c r="AM139" s="185" t="s">
        <v>1197</v>
      </c>
      <c r="AN139" s="186">
        <v>42010</v>
      </c>
      <c r="AO139" s="187"/>
      <c r="AP139" s="187">
        <f t="shared" si="148"/>
        <v>13</v>
      </c>
      <c r="AQ139" s="187">
        <f t="shared" si="149"/>
        <v>13</v>
      </c>
      <c r="AR139" s="187">
        <f t="shared" si="150"/>
        <v>13</v>
      </c>
      <c r="AS139" s="187">
        <f t="shared" si="151"/>
        <v>13</v>
      </c>
      <c r="AT139" s="187">
        <f t="shared" si="152"/>
        <v>9</v>
      </c>
      <c r="AU139" s="187">
        <f t="shared" si="153"/>
        <v>9</v>
      </c>
      <c r="AV139" s="187">
        <f t="shared" si="154"/>
        <v>9</v>
      </c>
      <c r="AW139" s="187">
        <f t="shared" si="155"/>
        <v>0</v>
      </c>
      <c r="AX139" s="187">
        <f t="shared" si="156"/>
        <v>7</v>
      </c>
      <c r="AY139" s="187">
        <f t="shared" si="157"/>
        <v>0</v>
      </c>
      <c r="AZ139" s="187">
        <f t="shared" si="158"/>
        <v>7</v>
      </c>
      <c r="BA139" s="187">
        <f t="shared" si="159"/>
        <v>7</v>
      </c>
      <c r="BB139" s="187">
        <f t="shared" si="160"/>
        <v>0</v>
      </c>
      <c r="BC139" s="187">
        <f t="shared" si="161"/>
        <v>0</v>
      </c>
      <c r="BD139" s="187">
        <f t="shared" si="162"/>
        <v>0</v>
      </c>
      <c r="BE139" s="187">
        <f t="shared" si="163"/>
        <v>0</v>
      </c>
      <c r="BF139" s="187">
        <f t="shared" si="164"/>
        <v>0</v>
      </c>
      <c r="BG139" s="187">
        <f t="shared" si="165"/>
        <v>0</v>
      </c>
      <c r="BH139" s="187">
        <f t="shared" si="166"/>
        <v>0</v>
      </c>
      <c r="BI139" s="187">
        <f t="shared" si="167"/>
        <v>0</v>
      </c>
      <c r="BJ139" s="187">
        <f t="shared" si="168"/>
        <v>0</v>
      </c>
      <c r="BK139" s="187">
        <f t="shared" si="169"/>
        <v>0</v>
      </c>
      <c r="BL139" s="187">
        <f t="shared" si="170"/>
        <v>0</v>
      </c>
      <c r="BM139" s="187">
        <f t="shared" si="171"/>
        <v>0</v>
      </c>
      <c r="BN139" s="188">
        <f t="shared" si="172"/>
        <v>0</v>
      </c>
      <c r="BO139" s="187">
        <f t="shared" si="173"/>
        <v>0</v>
      </c>
      <c r="BP139" s="187">
        <f t="shared" ref="BP139:BQ139" si="449">IF(G139=1,1,0)</f>
        <v>0</v>
      </c>
      <c r="BQ139" s="187">
        <f t="shared" si="449"/>
        <v>0</v>
      </c>
      <c r="BR139" s="187">
        <f t="shared" ref="BR139:BT139" si="450">IF(K139=1,1,0)</f>
        <v>0</v>
      </c>
      <c r="BS139" s="187">
        <f t="shared" si="450"/>
        <v>0</v>
      </c>
      <c r="BT139" s="187">
        <f t="shared" si="450"/>
        <v>0</v>
      </c>
      <c r="BU139" s="187">
        <f t="shared" ref="BU139:BV139" si="451">IF(P139=1,1,0)</f>
        <v>0</v>
      </c>
      <c r="BV139" s="187">
        <f t="shared" si="451"/>
        <v>0</v>
      </c>
      <c r="BW139" s="187">
        <f t="shared" si="177"/>
        <v>0</v>
      </c>
      <c r="BX139" s="187">
        <f t="shared" si="178"/>
        <v>0</v>
      </c>
      <c r="BY139" s="187">
        <f t="shared" si="179"/>
        <v>0</v>
      </c>
      <c r="BZ139" s="187">
        <f t="shared" si="180"/>
        <v>0</v>
      </c>
      <c r="CA139" s="167">
        <f t="shared" si="181"/>
        <v>100</v>
      </c>
      <c r="CB139" s="167">
        <f t="shared" si="47"/>
        <v>98</v>
      </c>
      <c r="CC139" s="644">
        <f t="shared" si="48"/>
        <v>23</v>
      </c>
      <c r="CD139" s="644">
        <f t="shared" si="49"/>
        <v>19</v>
      </c>
      <c r="CE139" s="644">
        <f t="shared" si="50"/>
        <v>15</v>
      </c>
      <c r="CF139" s="644">
        <f t="shared" si="51"/>
        <v>15</v>
      </c>
      <c r="CG139" s="644">
        <f t="shared" si="52"/>
        <v>9</v>
      </c>
      <c r="CH139" s="644">
        <f t="shared" si="123"/>
        <v>0</v>
      </c>
      <c r="CI139" s="644">
        <f t="shared" si="54"/>
        <v>7</v>
      </c>
      <c r="CJ139" s="644">
        <f t="shared" si="55"/>
        <v>5</v>
      </c>
      <c r="CK139" s="644">
        <f t="shared" si="56"/>
        <v>5</v>
      </c>
      <c r="CL139" s="644">
        <f t="shared" si="57"/>
        <v>5</v>
      </c>
      <c r="CM139" s="644">
        <f t="shared" si="58"/>
        <v>0</v>
      </c>
      <c r="CN139" s="644">
        <f t="shared" si="59"/>
        <v>0</v>
      </c>
      <c r="CO139" s="644">
        <f t="shared" si="60"/>
        <v>0</v>
      </c>
      <c r="CP139" s="644">
        <f t="shared" si="61"/>
        <v>0</v>
      </c>
      <c r="CQ139" s="644">
        <f t="shared" si="62"/>
        <v>0</v>
      </c>
      <c r="CR139" s="644">
        <f t="shared" si="63"/>
        <v>0</v>
      </c>
      <c r="CS139" s="644">
        <f t="shared" si="64"/>
        <v>0</v>
      </c>
      <c r="CT139" s="644">
        <f t="shared" si="65"/>
        <v>0</v>
      </c>
      <c r="CU139" s="644">
        <f t="shared" si="66"/>
        <v>0</v>
      </c>
      <c r="CV139" s="644">
        <f t="shared" si="67"/>
        <v>0</v>
      </c>
      <c r="CW139" s="644">
        <f t="shared" si="68"/>
        <v>0</v>
      </c>
      <c r="CX139" s="644">
        <f t="shared" si="69"/>
        <v>0</v>
      </c>
      <c r="CY139" s="644">
        <f t="shared" si="70"/>
        <v>0</v>
      </c>
      <c r="CZ139" s="624" t="s">
        <v>843</v>
      </c>
      <c r="DA139" s="257"/>
    </row>
    <row r="140" spans="1:105">
      <c r="A140" s="249" t="s">
        <v>274</v>
      </c>
      <c r="B140" s="187"/>
      <c r="C140" s="644"/>
      <c r="D140" s="644">
        <v>1</v>
      </c>
      <c r="E140" s="644">
        <v>1</v>
      </c>
      <c r="F140" s="251">
        <v>1</v>
      </c>
      <c r="G140" s="251"/>
      <c r="H140" s="251"/>
      <c r="I140" s="251">
        <v>1</v>
      </c>
      <c r="J140" s="644"/>
      <c r="K140" s="644"/>
      <c r="L140" s="644"/>
      <c r="M140" s="644"/>
      <c r="N140" s="644"/>
      <c r="O140" s="644"/>
      <c r="P140" s="644"/>
      <c r="Q140" s="644"/>
      <c r="R140" s="644">
        <v>1</v>
      </c>
      <c r="S140" s="644"/>
      <c r="T140" s="644"/>
      <c r="U140" s="644">
        <v>1</v>
      </c>
      <c r="V140" s="644"/>
      <c r="W140" s="644"/>
      <c r="X140" s="644"/>
      <c r="Y140" s="644"/>
      <c r="Z140" s="644"/>
      <c r="AA140" s="644"/>
      <c r="AB140" s="644">
        <v>1</v>
      </c>
      <c r="AC140" s="644"/>
      <c r="AD140" s="644"/>
      <c r="AE140" s="644"/>
      <c r="AF140" s="644">
        <v>1</v>
      </c>
      <c r="AG140" s="644"/>
      <c r="AH140" s="644">
        <v>1</v>
      </c>
      <c r="AI140" s="644"/>
      <c r="AJ140" s="644"/>
      <c r="AK140" s="644">
        <v>1</v>
      </c>
      <c r="AL140" s="167">
        <v>10</v>
      </c>
      <c r="AM140" s="185" t="s">
        <v>1198</v>
      </c>
      <c r="AN140" s="186">
        <v>42001</v>
      </c>
      <c r="AO140" s="187"/>
      <c r="AP140" s="187">
        <f t="shared" si="148"/>
        <v>13</v>
      </c>
      <c r="AQ140" s="187">
        <f t="shared" si="149"/>
        <v>13</v>
      </c>
      <c r="AR140" s="187">
        <f t="shared" si="150"/>
        <v>13</v>
      </c>
      <c r="AS140" s="187">
        <f t="shared" si="151"/>
        <v>13</v>
      </c>
      <c r="AT140" s="187">
        <f t="shared" si="152"/>
        <v>9</v>
      </c>
      <c r="AU140" s="187">
        <f t="shared" si="153"/>
        <v>9</v>
      </c>
      <c r="AV140" s="187">
        <f t="shared" si="154"/>
        <v>0</v>
      </c>
      <c r="AW140" s="187">
        <f t="shared" si="155"/>
        <v>0</v>
      </c>
      <c r="AX140" s="187">
        <f t="shared" si="156"/>
        <v>0</v>
      </c>
      <c r="AY140" s="187">
        <f t="shared" si="157"/>
        <v>0</v>
      </c>
      <c r="AZ140" s="187">
        <f t="shared" si="158"/>
        <v>7</v>
      </c>
      <c r="BA140" s="187">
        <f t="shared" si="159"/>
        <v>7</v>
      </c>
      <c r="BB140" s="187">
        <f t="shared" si="160"/>
        <v>4</v>
      </c>
      <c r="BC140" s="187">
        <f t="shared" si="161"/>
        <v>0</v>
      </c>
      <c r="BD140" s="187">
        <f t="shared" si="162"/>
        <v>0</v>
      </c>
      <c r="BE140" s="187">
        <f t="shared" si="163"/>
        <v>3</v>
      </c>
      <c r="BF140" s="187">
        <f t="shared" si="164"/>
        <v>0</v>
      </c>
      <c r="BG140" s="187">
        <f t="shared" si="165"/>
        <v>0</v>
      </c>
      <c r="BH140" s="187">
        <f t="shared" si="166"/>
        <v>0</v>
      </c>
      <c r="BI140" s="187">
        <f t="shared" si="167"/>
        <v>0</v>
      </c>
      <c r="BJ140" s="187">
        <f t="shared" si="168"/>
        <v>0</v>
      </c>
      <c r="BK140" s="187">
        <f t="shared" si="169"/>
        <v>0</v>
      </c>
      <c r="BL140" s="187">
        <f t="shared" si="170"/>
        <v>0</v>
      </c>
      <c r="BM140" s="187">
        <f t="shared" si="171"/>
        <v>0</v>
      </c>
      <c r="BN140" s="188">
        <f t="shared" si="172"/>
        <v>0</v>
      </c>
      <c r="BO140" s="187">
        <f t="shared" si="173"/>
        <v>0</v>
      </c>
      <c r="BP140" s="187">
        <f t="shared" ref="BP140:BQ140" si="452">IF(G140=1,1,0)</f>
        <v>0</v>
      </c>
      <c r="BQ140" s="187">
        <f t="shared" si="452"/>
        <v>0</v>
      </c>
      <c r="BR140" s="187">
        <f t="shared" ref="BR140:BT140" si="453">IF(K140=1,1,0)</f>
        <v>0</v>
      </c>
      <c r="BS140" s="187">
        <f t="shared" si="453"/>
        <v>0</v>
      </c>
      <c r="BT140" s="187">
        <f t="shared" si="453"/>
        <v>0</v>
      </c>
      <c r="BU140" s="187">
        <f t="shared" ref="BU140:BV140" si="454">IF(P140=1,1,0)</f>
        <v>0</v>
      </c>
      <c r="BV140" s="187">
        <f t="shared" si="454"/>
        <v>0</v>
      </c>
      <c r="BW140" s="187">
        <f t="shared" si="177"/>
        <v>0</v>
      </c>
      <c r="BX140" s="187">
        <f t="shared" si="178"/>
        <v>0</v>
      </c>
      <c r="BY140" s="187">
        <f t="shared" si="179"/>
        <v>0</v>
      </c>
      <c r="BZ140" s="187">
        <f t="shared" si="180"/>
        <v>0</v>
      </c>
      <c r="CA140" s="167">
        <f t="shared" si="181"/>
        <v>91</v>
      </c>
      <c r="CB140" s="167">
        <f t="shared" si="47"/>
        <v>93</v>
      </c>
      <c r="CC140" s="644">
        <f t="shared" si="48"/>
        <v>23</v>
      </c>
      <c r="CD140" s="644">
        <f t="shared" si="49"/>
        <v>19</v>
      </c>
      <c r="CE140" s="644">
        <f t="shared" si="50"/>
        <v>15</v>
      </c>
      <c r="CF140" s="644">
        <f t="shared" si="51"/>
        <v>15</v>
      </c>
      <c r="CG140" s="644">
        <f t="shared" si="52"/>
        <v>9</v>
      </c>
      <c r="CH140" s="644">
        <f t="shared" si="123"/>
        <v>0</v>
      </c>
      <c r="CI140" s="644">
        <f t="shared" si="54"/>
        <v>0</v>
      </c>
      <c r="CJ140" s="644">
        <f t="shared" si="55"/>
        <v>0</v>
      </c>
      <c r="CK140" s="644">
        <f t="shared" si="56"/>
        <v>5</v>
      </c>
      <c r="CL140" s="644">
        <f t="shared" si="57"/>
        <v>5</v>
      </c>
      <c r="CM140" s="644">
        <f t="shared" si="58"/>
        <v>0</v>
      </c>
      <c r="CN140" s="644">
        <f t="shared" si="59"/>
        <v>0</v>
      </c>
      <c r="CO140" s="644">
        <f t="shared" si="60"/>
        <v>0</v>
      </c>
      <c r="CP140" s="644">
        <f t="shared" si="61"/>
        <v>0</v>
      </c>
      <c r="CQ140" s="644">
        <f t="shared" si="62"/>
        <v>0</v>
      </c>
      <c r="CR140" s="644">
        <f t="shared" si="63"/>
        <v>0</v>
      </c>
      <c r="CS140" s="644">
        <f t="shared" si="64"/>
        <v>2</v>
      </c>
      <c r="CT140" s="644">
        <f t="shared" si="65"/>
        <v>2</v>
      </c>
      <c r="CU140" s="644">
        <f t="shared" si="66"/>
        <v>0</v>
      </c>
      <c r="CV140" s="644">
        <f t="shared" si="67"/>
        <v>0</v>
      </c>
      <c r="CW140" s="644">
        <f t="shared" si="68"/>
        <v>0</v>
      </c>
      <c r="CX140" s="644">
        <f t="shared" si="69"/>
        <v>0</v>
      </c>
      <c r="CY140" s="644">
        <f t="shared" si="70"/>
        <v>0</v>
      </c>
      <c r="CZ140" s="624" t="s">
        <v>766</v>
      </c>
      <c r="DA140" s="257"/>
    </row>
    <row r="141" spans="1:105">
      <c r="A141" s="249" t="s">
        <v>275</v>
      </c>
      <c r="B141" s="187"/>
      <c r="C141" s="644"/>
      <c r="D141" s="258">
        <v>1</v>
      </c>
      <c r="E141" s="644">
        <v>1</v>
      </c>
      <c r="F141" s="644"/>
      <c r="G141" s="644"/>
      <c r="H141" s="644"/>
      <c r="I141" s="644"/>
      <c r="J141" s="644"/>
      <c r="K141" s="644"/>
      <c r="L141" s="644"/>
      <c r="M141" s="644"/>
      <c r="N141" s="644"/>
      <c r="O141" s="644"/>
      <c r="P141" s="644"/>
      <c r="Q141" s="644"/>
      <c r="R141" s="644">
        <v>1</v>
      </c>
      <c r="S141" s="644"/>
      <c r="T141" s="644"/>
      <c r="U141" s="644">
        <v>1</v>
      </c>
      <c r="V141" s="644"/>
      <c r="W141" s="644"/>
      <c r="X141" s="644"/>
      <c r="Y141" s="644"/>
      <c r="Z141" s="644">
        <v>1</v>
      </c>
      <c r="AA141" s="644"/>
      <c r="AB141" s="258">
        <v>1</v>
      </c>
      <c r="AC141" s="644">
        <v>1</v>
      </c>
      <c r="AD141" s="258">
        <v>1</v>
      </c>
      <c r="AE141" s="644"/>
      <c r="AF141" s="644"/>
      <c r="AG141" s="644"/>
      <c r="AH141" s="644">
        <v>1</v>
      </c>
      <c r="AI141" s="644"/>
      <c r="AJ141" s="644"/>
      <c r="AK141" s="644"/>
      <c r="AL141" s="267">
        <v>9</v>
      </c>
      <c r="AM141" s="185" t="s">
        <v>1199</v>
      </c>
      <c r="AN141" s="186">
        <v>42010</v>
      </c>
      <c r="AO141" s="187"/>
      <c r="AP141" s="187">
        <f t="shared" si="148"/>
        <v>0</v>
      </c>
      <c r="AQ141" s="187">
        <f t="shared" si="149"/>
        <v>0</v>
      </c>
      <c r="AR141" s="187">
        <f t="shared" si="150"/>
        <v>13</v>
      </c>
      <c r="AS141" s="187">
        <f t="shared" si="151"/>
        <v>13</v>
      </c>
      <c r="AT141" s="187">
        <f t="shared" si="152"/>
        <v>9</v>
      </c>
      <c r="AU141" s="187">
        <f t="shared" si="153"/>
        <v>9</v>
      </c>
      <c r="AV141" s="187">
        <f t="shared" si="154"/>
        <v>9</v>
      </c>
      <c r="AW141" s="187">
        <f t="shared" si="155"/>
        <v>0</v>
      </c>
      <c r="AX141" s="187">
        <f t="shared" si="156"/>
        <v>7</v>
      </c>
      <c r="AY141" s="187">
        <f t="shared" si="157"/>
        <v>7</v>
      </c>
      <c r="AZ141" s="187">
        <f t="shared" si="158"/>
        <v>7</v>
      </c>
      <c r="BA141" s="187">
        <f t="shared" si="159"/>
        <v>7</v>
      </c>
      <c r="BB141" s="187">
        <f t="shared" si="160"/>
        <v>0</v>
      </c>
      <c r="BC141" s="187">
        <f t="shared" si="161"/>
        <v>0</v>
      </c>
      <c r="BD141" s="187">
        <f t="shared" si="162"/>
        <v>0</v>
      </c>
      <c r="BE141" s="187">
        <f t="shared" si="163"/>
        <v>0</v>
      </c>
      <c r="BF141" s="187">
        <f t="shared" si="164"/>
        <v>0</v>
      </c>
      <c r="BG141" s="187">
        <f t="shared" si="165"/>
        <v>0</v>
      </c>
      <c r="BH141" s="187">
        <f t="shared" si="166"/>
        <v>0</v>
      </c>
      <c r="BI141" s="187">
        <f t="shared" si="167"/>
        <v>0</v>
      </c>
      <c r="BJ141" s="187">
        <f t="shared" si="168"/>
        <v>0</v>
      </c>
      <c r="BK141" s="187">
        <f t="shared" si="169"/>
        <v>0</v>
      </c>
      <c r="BL141" s="187">
        <f t="shared" si="170"/>
        <v>0</v>
      </c>
      <c r="BM141" s="187">
        <f t="shared" si="171"/>
        <v>0</v>
      </c>
      <c r="BN141" s="188">
        <f t="shared" si="172"/>
        <v>1</v>
      </c>
      <c r="BO141" s="187">
        <f t="shared" si="173"/>
        <v>0</v>
      </c>
      <c r="BP141" s="187">
        <f t="shared" ref="BP141:BQ141" si="455">IF(G141=1,1,0)</f>
        <v>0</v>
      </c>
      <c r="BQ141" s="187">
        <f t="shared" si="455"/>
        <v>0</v>
      </c>
      <c r="BR141" s="187">
        <f t="shared" ref="BR141:BT141" si="456">IF(K141=1,1,0)</f>
        <v>0</v>
      </c>
      <c r="BS141" s="187">
        <f t="shared" si="456"/>
        <v>0</v>
      </c>
      <c r="BT141" s="187">
        <f t="shared" si="456"/>
        <v>0</v>
      </c>
      <c r="BU141" s="187">
        <f t="shared" ref="BU141:BV141" si="457">IF(P141=1,1,0)</f>
        <v>0</v>
      </c>
      <c r="BV141" s="187">
        <f t="shared" si="457"/>
        <v>0</v>
      </c>
      <c r="BW141" s="187">
        <f t="shared" si="177"/>
        <v>0</v>
      </c>
      <c r="BX141" s="187">
        <f t="shared" si="178"/>
        <v>0</v>
      </c>
      <c r="BY141" s="187">
        <f t="shared" si="179"/>
        <v>1</v>
      </c>
      <c r="BZ141" s="187">
        <f t="shared" si="180"/>
        <v>-1</v>
      </c>
      <c r="CA141" s="167">
        <f t="shared" si="181"/>
        <v>80</v>
      </c>
      <c r="CB141" s="167">
        <f t="shared" si="47"/>
        <v>100</v>
      </c>
      <c r="CC141" s="644">
        <f t="shared" si="48"/>
        <v>23</v>
      </c>
      <c r="CD141" s="644">
        <f t="shared" si="49"/>
        <v>19</v>
      </c>
      <c r="CE141" s="644">
        <f t="shared" si="50"/>
        <v>15</v>
      </c>
      <c r="CF141" s="644">
        <f t="shared" si="51"/>
        <v>15</v>
      </c>
      <c r="CG141" s="644">
        <f t="shared" si="52"/>
        <v>9</v>
      </c>
      <c r="CH141" s="644">
        <f t="shared" si="123"/>
        <v>7</v>
      </c>
      <c r="CI141" s="644">
        <f t="shared" si="54"/>
        <v>7</v>
      </c>
      <c r="CJ141" s="644">
        <f t="shared" si="55"/>
        <v>5</v>
      </c>
      <c r="CK141" s="644">
        <f t="shared" si="56"/>
        <v>0</v>
      </c>
      <c r="CL141" s="644">
        <f t="shared" si="57"/>
        <v>0</v>
      </c>
      <c r="CM141" s="644">
        <f t="shared" si="58"/>
        <v>0</v>
      </c>
      <c r="CN141" s="644">
        <f t="shared" si="59"/>
        <v>0</v>
      </c>
      <c r="CO141" s="644">
        <f t="shared" si="60"/>
        <v>0</v>
      </c>
      <c r="CP141" s="644">
        <f t="shared" si="61"/>
        <v>3</v>
      </c>
      <c r="CQ141" s="644">
        <f t="shared" si="62"/>
        <v>0</v>
      </c>
      <c r="CR141" s="644">
        <f t="shared" si="63"/>
        <v>0</v>
      </c>
      <c r="CS141" s="644">
        <f t="shared" si="64"/>
        <v>0</v>
      </c>
      <c r="CT141" s="644">
        <f t="shared" si="65"/>
        <v>0</v>
      </c>
      <c r="CU141" s="644">
        <f t="shared" si="66"/>
        <v>0</v>
      </c>
      <c r="CV141" s="644">
        <f t="shared" si="67"/>
        <v>0</v>
      </c>
      <c r="CW141" s="644">
        <f t="shared" si="68"/>
        <v>0</v>
      </c>
      <c r="CX141" s="644">
        <f t="shared" si="69"/>
        <v>0</v>
      </c>
      <c r="CY141" s="644">
        <f t="shared" si="70"/>
        <v>0</v>
      </c>
      <c r="CZ141" s="624" t="s">
        <v>750</v>
      </c>
      <c r="DA141" s="257"/>
    </row>
    <row r="142" spans="1:105" ht="25.5">
      <c r="A142" s="249" t="s">
        <v>276</v>
      </c>
      <c r="B142" s="187"/>
      <c r="C142" s="644"/>
      <c r="D142" s="644"/>
      <c r="E142" s="258">
        <v>1</v>
      </c>
      <c r="F142" s="251"/>
      <c r="G142" s="251"/>
      <c r="H142" s="251"/>
      <c r="I142" s="251"/>
      <c r="J142" s="644"/>
      <c r="K142" s="644"/>
      <c r="L142" s="644"/>
      <c r="M142" s="644"/>
      <c r="N142" s="644"/>
      <c r="O142" s="644"/>
      <c r="P142" s="644"/>
      <c r="Q142" s="644"/>
      <c r="R142" s="644">
        <v>1</v>
      </c>
      <c r="S142" s="644"/>
      <c r="T142" s="644"/>
      <c r="U142" s="644">
        <v>1</v>
      </c>
      <c r="V142" s="644"/>
      <c r="W142" s="644"/>
      <c r="X142" s="644"/>
      <c r="Y142" s="644"/>
      <c r="Z142" s="644"/>
      <c r="AA142" s="644"/>
      <c r="AB142" s="644"/>
      <c r="AC142" s="644"/>
      <c r="AD142" s="644"/>
      <c r="AE142" s="644"/>
      <c r="AF142" s="644"/>
      <c r="AG142" s="644"/>
      <c r="AH142" s="644"/>
      <c r="AI142" s="644"/>
      <c r="AJ142" s="644"/>
      <c r="AK142" s="644"/>
      <c r="AL142" s="167">
        <v>3</v>
      </c>
      <c r="AM142" s="185" t="s">
        <v>1200</v>
      </c>
      <c r="AN142" s="186">
        <v>42009</v>
      </c>
      <c r="AO142" s="187"/>
      <c r="AP142" s="187">
        <f t="shared" si="148"/>
        <v>0</v>
      </c>
      <c r="AQ142" s="187">
        <f t="shared" si="149"/>
        <v>0</v>
      </c>
      <c r="AR142" s="187">
        <f t="shared" si="150"/>
        <v>13</v>
      </c>
      <c r="AS142" s="187">
        <f t="shared" si="151"/>
        <v>13</v>
      </c>
      <c r="AT142" s="187">
        <f t="shared" si="152"/>
        <v>0</v>
      </c>
      <c r="AU142" s="187">
        <f t="shared" si="153"/>
        <v>0</v>
      </c>
      <c r="AV142" s="187">
        <f t="shared" si="154"/>
        <v>0</v>
      </c>
      <c r="AW142" s="187">
        <f t="shared" si="155"/>
        <v>0</v>
      </c>
      <c r="AX142" s="187">
        <f t="shared" si="156"/>
        <v>0</v>
      </c>
      <c r="AY142" s="187">
        <f t="shared" si="157"/>
        <v>0</v>
      </c>
      <c r="AZ142" s="187">
        <f t="shared" si="158"/>
        <v>0</v>
      </c>
      <c r="BA142" s="187">
        <f t="shared" si="159"/>
        <v>7</v>
      </c>
      <c r="BB142" s="187">
        <f t="shared" si="160"/>
        <v>0</v>
      </c>
      <c r="BC142" s="187">
        <f t="shared" si="161"/>
        <v>0</v>
      </c>
      <c r="BD142" s="187">
        <f t="shared" si="162"/>
        <v>0</v>
      </c>
      <c r="BE142" s="187">
        <f t="shared" si="163"/>
        <v>0</v>
      </c>
      <c r="BF142" s="187">
        <f t="shared" si="164"/>
        <v>0</v>
      </c>
      <c r="BG142" s="187">
        <f t="shared" si="165"/>
        <v>0</v>
      </c>
      <c r="BH142" s="187">
        <f t="shared" si="166"/>
        <v>0</v>
      </c>
      <c r="BI142" s="187">
        <f t="shared" si="167"/>
        <v>0</v>
      </c>
      <c r="BJ142" s="187">
        <f t="shared" si="168"/>
        <v>0</v>
      </c>
      <c r="BK142" s="187">
        <f t="shared" si="169"/>
        <v>0</v>
      </c>
      <c r="BL142" s="187">
        <f t="shared" si="170"/>
        <v>0</v>
      </c>
      <c r="BM142" s="187">
        <f t="shared" si="171"/>
        <v>0</v>
      </c>
      <c r="BN142" s="188">
        <f t="shared" si="172"/>
        <v>7</v>
      </c>
      <c r="BO142" s="187">
        <f t="shared" si="173"/>
        <v>0</v>
      </c>
      <c r="BP142" s="187">
        <f t="shared" ref="BP142:BQ142" si="458">IF(G142=1,1,0)</f>
        <v>0</v>
      </c>
      <c r="BQ142" s="187">
        <f t="shared" si="458"/>
        <v>0</v>
      </c>
      <c r="BR142" s="187">
        <f t="shared" ref="BR142:BT142" si="459">IF(K142=1,1,0)</f>
        <v>0</v>
      </c>
      <c r="BS142" s="187">
        <f t="shared" si="459"/>
        <v>0</v>
      </c>
      <c r="BT142" s="187">
        <f t="shared" si="459"/>
        <v>0</v>
      </c>
      <c r="BU142" s="187">
        <f t="shared" ref="BU142:BV142" si="460">IF(P142=1,1,0)</f>
        <v>0</v>
      </c>
      <c r="BV142" s="187">
        <f t="shared" si="460"/>
        <v>0</v>
      </c>
      <c r="BW142" s="187">
        <f t="shared" si="177"/>
        <v>0</v>
      </c>
      <c r="BX142" s="187">
        <f t="shared" si="178"/>
        <v>0</v>
      </c>
      <c r="BY142" s="187">
        <f t="shared" si="179"/>
        <v>7</v>
      </c>
      <c r="BZ142" s="187">
        <f t="shared" si="180"/>
        <v>-49</v>
      </c>
      <c r="CA142" s="167">
        <f t="shared" si="181"/>
        <v>-16</v>
      </c>
      <c r="CB142" s="167">
        <f t="shared" si="47"/>
        <v>57</v>
      </c>
      <c r="CC142" s="644">
        <f t="shared" si="48"/>
        <v>23</v>
      </c>
      <c r="CD142" s="644">
        <f t="shared" si="49"/>
        <v>19</v>
      </c>
      <c r="CE142" s="644">
        <f t="shared" si="50"/>
        <v>0</v>
      </c>
      <c r="CF142" s="644">
        <f t="shared" si="51"/>
        <v>15</v>
      </c>
      <c r="CG142" s="644">
        <f t="shared" si="52"/>
        <v>0</v>
      </c>
      <c r="CH142" s="644">
        <f t="shared" si="123"/>
        <v>0</v>
      </c>
      <c r="CI142" s="644">
        <f t="shared" si="54"/>
        <v>0</v>
      </c>
      <c r="CJ142" s="644">
        <f t="shared" si="55"/>
        <v>0</v>
      </c>
      <c r="CK142" s="644">
        <f t="shared" si="56"/>
        <v>0</v>
      </c>
      <c r="CL142" s="644">
        <f t="shared" si="57"/>
        <v>0</v>
      </c>
      <c r="CM142" s="644">
        <f t="shared" si="58"/>
        <v>0</v>
      </c>
      <c r="CN142" s="644">
        <f t="shared" si="59"/>
        <v>0</v>
      </c>
      <c r="CO142" s="644">
        <f t="shared" si="60"/>
        <v>0</v>
      </c>
      <c r="CP142" s="644">
        <f t="shared" si="61"/>
        <v>0</v>
      </c>
      <c r="CQ142" s="644">
        <f t="shared" si="62"/>
        <v>0</v>
      </c>
      <c r="CR142" s="644">
        <f t="shared" si="63"/>
        <v>0</v>
      </c>
      <c r="CS142" s="644">
        <f t="shared" si="64"/>
        <v>0</v>
      </c>
      <c r="CT142" s="644">
        <f t="shared" si="65"/>
        <v>0</v>
      </c>
      <c r="CU142" s="644">
        <f t="shared" si="66"/>
        <v>0</v>
      </c>
      <c r="CV142" s="644">
        <f t="shared" si="67"/>
        <v>0</v>
      </c>
      <c r="CW142" s="644">
        <f t="shared" si="68"/>
        <v>0</v>
      </c>
      <c r="CX142" s="644">
        <f t="shared" si="69"/>
        <v>0</v>
      </c>
      <c r="CY142" s="644">
        <f t="shared" si="70"/>
        <v>0</v>
      </c>
      <c r="CZ142" s="624" t="s">
        <v>756</v>
      </c>
      <c r="DA142" s="257"/>
    </row>
    <row r="143" spans="1:105">
      <c r="A143" s="249" t="s">
        <v>1201</v>
      </c>
      <c r="B143" s="187"/>
      <c r="C143" s="644"/>
      <c r="D143" s="644"/>
      <c r="E143" s="644">
        <v>1</v>
      </c>
      <c r="F143" s="251"/>
      <c r="G143" s="251"/>
      <c r="H143" s="251"/>
      <c r="I143" s="251"/>
      <c r="J143" s="644"/>
      <c r="K143" s="644"/>
      <c r="L143" s="644"/>
      <c r="M143" s="644"/>
      <c r="N143" s="644"/>
      <c r="O143" s="644"/>
      <c r="P143" s="644"/>
      <c r="Q143" s="644"/>
      <c r="R143" s="644">
        <v>1</v>
      </c>
      <c r="S143" s="644"/>
      <c r="T143" s="644">
        <v>1</v>
      </c>
      <c r="U143" s="644">
        <v>1</v>
      </c>
      <c r="V143" s="644">
        <v>1</v>
      </c>
      <c r="W143" s="644"/>
      <c r="X143" s="644"/>
      <c r="Y143" s="644"/>
      <c r="Z143" s="644"/>
      <c r="AA143" s="644"/>
      <c r="AB143" s="644"/>
      <c r="AC143" s="644"/>
      <c r="AD143" s="644"/>
      <c r="AE143" s="644"/>
      <c r="AF143" s="644"/>
      <c r="AG143" s="644"/>
      <c r="AH143" s="644"/>
      <c r="AI143" s="644"/>
      <c r="AJ143" s="644"/>
      <c r="AK143" s="644"/>
      <c r="AL143" s="167">
        <v>5</v>
      </c>
      <c r="AM143" s="185" t="s">
        <v>1202</v>
      </c>
      <c r="AN143" s="186">
        <v>42008</v>
      </c>
      <c r="AO143" s="187"/>
      <c r="AP143" s="187">
        <f t="shared" si="148"/>
        <v>0</v>
      </c>
      <c r="AQ143" s="187">
        <f t="shared" si="149"/>
        <v>0</v>
      </c>
      <c r="AR143" s="187">
        <f t="shared" si="150"/>
        <v>13</v>
      </c>
      <c r="AS143" s="187">
        <f t="shared" si="151"/>
        <v>13</v>
      </c>
      <c r="AT143" s="187">
        <f t="shared" si="152"/>
        <v>0</v>
      </c>
      <c r="AU143" s="187">
        <f t="shared" si="153"/>
        <v>0</v>
      </c>
      <c r="AV143" s="187">
        <f t="shared" si="154"/>
        <v>0</v>
      </c>
      <c r="AW143" s="187">
        <f t="shared" si="155"/>
        <v>0</v>
      </c>
      <c r="AX143" s="187">
        <f t="shared" si="156"/>
        <v>0</v>
      </c>
      <c r="AY143" s="187">
        <f t="shared" si="157"/>
        <v>0</v>
      </c>
      <c r="AZ143" s="187">
        <f t="shared" si="158"/>
        <v>0</v>
      </c>
      <c r="BA143" s="187">
        <f t="shared" si="159"/>
        <v>7</v>
      </c>
      <c r="BB143" s="187">
        <f t="shared" si="160"/>
        <v>0</v>
      </c>
      <c r="BC143" s="187">
        <f t="shared" si="161"/>
        <v>4</v>
      </c>
      <c r="BD143" s="187">
        <f t="shared" si="162"/>
        <v>0</v>
      </c>
      <c r="BE143" s="187">
        <f t="shared" si="163"/>
        <v>0</v>
      </c>
      <c r="BF143" s="187">
        <f t="shared" si="164"/>
        <v>0</v>
      </c>
      <c r="BG143" s="187">
        <f t="shared" si="165"/>
        <v>0</v>
      </c>
      <c r="BH143" s="187">
        <f t="shared" si="166"/>
        <v>0</v>
      </c>
      <c r="BI143" s="187">
        <f t="shared" si="167"/>
        <v>1</v>
      </c>
      <c r="BJ143" s="187">
        <f t="shared" si="168"/>
        <v>0</v>
      </c>
      <c r="BK143" s="187">
        <f t="shared" si="169"/>
        <v>0</v>
      </c>
      <c r="BL143" s="187">
        <f t="shared" si="170"/>
        <v>0</v>
      </c>
      <c r="BM143" s="187">
        <f t="shared" si="171"/>
        <v>0</v>
      </c>
      <c r="BN143" s="188">
        <f t="shared" si="172"/>
        <v>5</v>
      </c>
      <c r="BO143" s="187">
        <f t="shared" si="173"/>
        <v>0</v>
      </c>
      <c r="BP143" s="187">
        <f t="shared" ref="BP143:BQ143" si="461">IF(G143=1,1,0)</f>
        <v>0</v>
      </c>
      <c r="BQ143" s="187">
        <f t="shared" si="461"/>
        <v>0</v>
      </c>
      <c r="BR143" s="187">
        <f t="shared" ref="BR143:BT143" si="462">IF(K143=1,1,0)</f>
        <v>0</v>
      </c>
      <c r="BS143" s="187">
        <f t="shared" si="462"/>
        <v>0</v>
      </c>
      <c r="BT143" s="187">
        <f t="shared" si="462"/>
        <v>0</v>
      </c>
      <c r="BU143" s="187">
        <f t="shared" ref="BU143:BV143" si="463">IF(P143=1,1,0)</f>
        <v>0</v>
      </c>
      <c r="BV143" s="187">
        <f t="shared" si="463"/>
        <v>0</v>
      </c>
      <c r="BW143" s="187">
        <f t="shared" si="177"/>
        <v>0</v>
      </c>
      <c r="BX143" s="187">
        <f t="shared" si="178"/>
        <v>0</v>
      </c>
      <c r="BY143" s="187">
        <f t="shared" si="179"/>
        <v>5</v>
      </c>
      <c r="BZ143" s="187">
        <f t="shared" si="180"/>
        <v>-25</v>
      </c>
      <c r="CA143" s="167">
        <f t="shared" si="181"/>
        <v>13</v>
      </c>
      <c r="CB143" s="167">
        <f t="shared" si="47"/>
        <v>61</v>
      </c>
      <c r="CC143" s="644">
        <f t="shared" si="48"/>
        <v>23</v>
      </c>
      <c r="CD143" s="644">
        <f t="shared" si="49"/>
        <v>19</v>
      </c>
      <c r="CE143" s="644">
        <f t="shared" si="50"/>
        <v>0</v>
      </c>
      <c r="CF143" s="644">
        <f t="shared" si="51"/>
        <v>15</v>
      </c>
      <c r="CG143" s="644">
        <f t="shared" si="52"/>
        <v>0</v>
      </c>
      <c r="CH143" s="644">
        <f t="shared" si="123"/>
        <v>0</v>
      </c>
      <c r="CI143" s="644">
        <f t="shared" si="54"/>
        <v>0</v>
      </c>
      <c r="CJ143" s="644">
        <f t="shared" si="55"/>
        <v>0</v>
      </c>
      <c r="CK143" s="644">
        <f t="shared" si="56"/>
        <v>0</v>
      </c>
      <c r="CL143" s="644">
        <f t="shared" si="57"/>
        <v>0</v>
      </c>
      <c r="CM143" s="644">
        <f t="shared" si="58"/>
        <v>0</v>
      </c>
      <c r="CN143" s="644">
        <f t="shared" si="59"/>
        <v>3</v>
      </c>
      <c r="CO143" s="644">
        <f t="shared" si="60"/>
        <v>0</v>
      </c>
      <c r="CP143" s="644">
        <f t="shared" si="61"/>
        <v>0</v>
      </c>
      <c r="CQ143" s="644">
        <f t="shared" si="62"/>
        <v>0</v>
      </c>
      <c r="CR143" s="644">
        <f t="shared" si="63"/>
        <v>0</v>
      </c>
      <c r="CS143" s="644">
        <f t="shared" si="64"/>
        <v>0</v>
      </c>
      <c r="CT143" s="644">
        <f t="shared" si="65"/>
        <v>0</v>
      </c>
      <c r="CU143" s="644">
        <f t="shared" si="66"/>
        <v>0</v>
      </c>
      <c r="CV143" s="644">
        <f t="shared" si="67"/>
        <v>1</v>
      </c>
      <c r="CW143" s="644">
        <f t="shared" si="68"/>
        <v>0</v>
      </c>
      <c r="CX143" s="644">
        <f t="shared" si="69"/>
        <v>0</v>
      </c>
      <c r="CY143" s="644">
        <f t="shared" si="70"/>
        <v>0</v>
      </c>
      <c r="CZ143" s="624" t="s">
        <v>768</v>
      </c>
      <c r="DA143" s="257"/>
    </row>
    <row r="144" spans="1:105" ht="25.5">
      <c r="A144" s="249" t="s">
        <v>278</v>
      </c>
      <c r="B144" s="187"/>
      <c r="C144" s="644"/>
      <c r="D144" s="644"/>
      <c r="E144" s="644"/>
      <c r="F144" s="251">
        <v>1</v>
      </c>
      <c r="G144" s="251"/>
      <c r="H144" s="251"/>
      <c r="I144" s="251">
        <v>1</v>
      </c>
      <c r="J144" s="644"/>
      <c r="K144" s="644"/>
      <c r="L144" s="644"/>
      <c r="M144" s="644"/>
      <c r="N144" s="644"/>
      <c r="O144" s="644"/>
      <c r="P144" s="644"/>
      <c r="Q144" s="644"/>
      <c r="R144" s="644">
        <v>1</v>
      </c>
      <c r="S144" s="644"/>
      <c r="T144" s="644">
        <v>1</v>
      </c>
      <c r="U144" s="644">
        <v>1</v>
      </c>
      <c r="V144" s="644"/>
      <c r="W144" s="644"/>
      <c r="X144" s="644"/>
      <c r="Y144" s="644"/>
      <c r="Z144" s="644"/>
      <c r="AA144" s="644"/>
      <c r="AB144" s="644"/>
      <c r="AC144" s="644"/>
      <c r="AD144" s="644"/>
      <c r="AE144" s="644"/>
      <c r="AF144" s="644"/>
      <c r="AG144" s="644"/>
      <c r="AH144" s="644"/>
      <c r="AI144" s="644"/>
      <c r="AJ144" s="644"/>
      <c r="AK144" s="644"/>
      <c r="AL144" s="167">
        <v>5</v>
      </c>
      <c r="AM144" s="187" t="s">
        <v>1203</v>
      </c>
      <c r="AN144" s="186">
        <v>41996</v>
      </c>
      <c r="AO144" s="187"/>
      <c r="AP144" s="187">
        <f t="shared" si="148"/>
        <v>13</v>
      </c>
      <c r="AQ144" s="187">
        <f t="shared" si="149"/>
        <v>13</v>
      </c>
      <c r="AR144" s="187">
        <f t="shared" si="150"/>
        <v>13</v>
      </c>
      <c r="AS144" s="187">
        <f t="shared" si="151"/>
        <v>13</v>
      </c>
      <c r="AT144" s="187">
        <f t="shared" si="152"/>
        <v>0</v>
      </c>
      <c r="AU144" s="187">
        <f t="shared" si="153"/>
        <v>0</v>
      </c>
      <c r="AV144" s="187">
        <f t="shared" si="154"/>
        <v>0</v>
      </c>
      <c r="AW144" s="187">
        <f t="shared" si="155"/>
        <v>0</v>
      </c>
      <c r="AX144" s="187">
        <f t="shared" si="156"/>
        <v>0</v>
      </c>
      <c r="AY144" s="187">
        <f t="shared" si="157"/>
        <v>0</v>
      </c>
      <c r="AZ144" s="187">
        <f t="shared" si="158"/>
        <v>0</v>
      </c>
      <c r="BA144" s="187">
        <f t="shared" si="159"/>
        <v>0</v>
      </c>
      <c r="BB144" s="187">
        <f t="shared" si="160"/>
        <v>0</v>
      </c>
      <c r="BC144" s="187">
        <f t="shared" si="161"/>
        <v>4</v>
      </c>
      <c r="BD144" s="187">
        <f t="shared" si="162"/>
        <v>0</v>
      </c>
      <c r="BE144" s="187">
        <f t="shared" si="163"/>
        <v>0</v>
      </c>
      <c r="BF144" s="187">
        <f t="shared" si="164"/>
        <v>0</v>
      </c>
      <c r="BG144" s="187">
        <f t="shared" si="165"/>
        <v>0</v>
      </c>
      <c r="BH144" s="187">
        <f t="shared" si="166"/>
        <v>0</v>
      </c>
      <c r="BI144" s="187">
        <f t="shared" si="167"/>
        <v>0</v>
      </c>
      <c r="BJ144" s="187">
        <f t="shared" si="168"/>
        <v>0</v>
      </c>
      <c r="BK144" s="187">
        <f t="shared" si="169"/>
        <v>0</v>
      </c>
      <c r="BL144" s="187">
        <f t="shared" si="170"/>
        <v>0</v>
      </c>
      <c r="BM144" s="187">
        <f t="shared" si="171"/>
        <v>0</v>
      </c>
      <c r="BN144" s="188">
        <f t="shared" si="172"/>
        <v>5</v>
      </c>
      <c r="BO144" s="187">
        <f t="shared" si="173"/>
        <v>0</v>
      </c>
      <c r="BP144" s="187">
        <f t="shared" ref="BP144:BQ144" si="464">IF(G144=1,1,0)</f>
        <v>0</v>
      </c>
      <c r="BQ144" s="187">
        <f t="shared" si="464"/>
        <v>0</v>
      </c>
      <c r="BR144" s="187">
        <f t="shared" ref="BR144:BT144" si="465">IF(K144=1,1,0)</f>
        <v>0</v>
      </c>
      <c r="BS144" s="187">
        <f t="shared" si="465"/>
        <v>0</v>
      </c>
      <c r="BT144" s="187">
        <f t="shared" si="465"/>
        <v>0</v>
      </c>
      <c r="BU144" s="187">
        <f t="shared" ref="BU144:BV144" si="466">IF(P144=1,1,0)</f>
        <v>0</v>
      </c>
      <c r="BV144" s="187">
        <f t="shared" si="466"/>
        <v>0</v>
      </c>
      <c r="BW144" s="187">
        <f t="shared" si="177"/>
        <v>0</v>
      </c>
      <c r="BX144" s="187">
        <f t="shared" si="178"/>
        <v>0</v>
      </c>
      <c r="BY144" s="187">
        <f t="shared" si="179"/>
        <v>5</v>
      </c>
      <c r="BZ144" s="187">
        <f t="shared" si="180"/>
        <v>-25</v>
      </c>
      <c r="CA144" s="167">
        <f t="shared" si="181"/>
        <v>31</v>
      </c>
      <c r="CB144" s="167">
        <f t="shared" si="47"/>
        <v>55</v>
      </c>
      <c r="CC144" s="644">
        <f t="shared" si="48"/>
        <v>23</v>
      </c>
      <c r="CD144" s="644">
        <f t="shared" si="49"/>
        <v>19</v>
      </c>
      <c r="CE144" s="644">
        <f t="shared" si="50"/>
        <v>0</v>
      </c>
      <c r="CF144" s="644">
        <f t="shared" si="51"/>
        <v>0</v>
      </c>
      <c r="CG144" s="644">
        <f t="shared" si="52"/>
        <v>0</v>
      </c>
      <c r="CH144" s="644">
        <f t="shared" si="123"/>
        <v>0</v>
      </c>
      <c r="CI144" s="644">
        <f t="shared" si="54"/>
        <v>0</v>
      </c>
      <c r="CJ144" s="644">
        <f t="shared" si="55"/>
        <v>0</v>
      </c>
      <c r="CK144" s="644">
        <f t="shared" si="56"/>
        <v>5</v>
      </c>
      <c r="CL144" s="644">
        <f t="shared" si="57"/>
        <v>5</v>
      </c>
      <c r="CM144" s="644">
        <f t="shared" si="58"/>
        <v>0</v>
      </c>
      <c r="CN144" s="644">
        <f t="shared" si="59"/>
        <v>3</v>
      </c>
      <c r="CO144" s="644">
        <f t="shared" si="60"/>
        <v>0</v>
      </c>
      <c r="CP144" s="644">
        <f t="shared" si="61"/>
        <v>0</v>
      </c>
      <c r="CQ144" s="644">
        <f t="shared" si="62"/>
        <v>0</v>
      </c>
      <c r="CR144" s="644">
        <f t="shared" si="63"/>
        <v>0</v>
      </c>
      <c r="CS144" s="644">
        <f t="shared" si="64"/>
        <v>0</v>
      </c>
      <c r="CT144" s="644">
        <f t="shared" si="65"/>
        <v>0</v>
      </c>
      <c r="CU144" s="644">
        <f t="shared" si="66"/>
        <v>0</v>
      </c>
      <c r="CV144" s="644">
        <f t="shared" si="67"/>
        <v>0</v>
      </c>
      <c r="CW144" s="644">
        <f t="shared" si="68"/>
        <v>0</v>
      </c>
      <c r="CX144" s="644">
        <f t="shared" si="69"/>
        <v>0</v>
      </c>
      <c r="CY144" s="644">
        <f t="shared" si="70"/>
        <v>0</v>
      </c>
      <c r="CZ144" s="624" t="s">
        <v>740</v>
      </c>
      <c r="DA144" s="257"/>
    </row>
    <row r="145" spans="1:105">
      <c r="A145" s="249" t="s">
        <v>281</v>
      </c>
      <c r="B145" s="187"/>
      <c r="C145" s="644"/>
      <c r="D145" s="644"/>
      <c r="E145" s="644">
        <v>1</v>
      </c>
      <c r="F145" s="251">
        <v>1</v>
      </c>
      <c r="G145" s="251"/>
      <c r="H145" s="251"/>
      <c r="I145" s="251">
        <v>1</v>
      </c>
      <c r="J145" s="644"/>
      <c r="K145" s="644"/>
      <c r="L145" s="644"/>
      <c r="M145" s="644"/>
      <c r="N145" s="644"/>
      <c r="O145" s="644"/>
      <c r="P145" s="644"/>
      <c r="Q145" s="644"/>
      <c r="R145" s="644">
        <v>1</v>
      </c>
      <c r="S145" s="644"/>
      <c r="T145" s="644"/>
      <c r="U145" s="644">
        <v>1</v>
      </c>
      <c r="V145" s="644"/>
      <c r="W145" s="644"/>
      <c r="X145" s="644">
        <v>1</v>
      </c>
      <c r="Y145" s="644"/>
      <c r="Z145" s="644"/>
      <c r="AA145" s="644"/>
      <c r="AB145" s="644">
        <v>1</v>
      </c>
      <c r="AC145" s="644"/>
      <c r="AD145" s="644"/>
      <c r="AE145" s="644"/>
      <c r="AF145" s="644"/>
      <c r="AG145" s="644"/>
      <c r="AH145" s="644">
        <v>1</v>
      </c>
      <c r="AI145" s="644"/>
      <c r="AJ145" s="644">
        <v>1</v>
      </c>
      <c r="AK145" s="644"/>
      <c r="AL145" s="167">
        <v>9</v>
      </c>
      <c r="AM145" s="268" t="str">
        <f>HYPERLINK("http://bit.ly/1yQcfAV", "10 w/Rose http://bit.ly/1yQcfAV")</f>
        <v>10 w/Rose http://bit.ly/1yQcfAV</v>
      </c>
      <c r="AN145" s="186">
        <v>41976</v>
      </c>
      <c r="AO145" s="187"/>
      <c r="AP145" s="187">
        <f t="shared" si="148"/>
        <v>13</v>
      </c>
      <c r="AQ145" s="187">
        <f t="shared" si="149"/>
        <v>13</v>
      </c>
      <c r="AR145" s="187">
        <f t="shared" si="150"/>
        <v>13</v>
      </c>
      <c r="AS145" s="187">
        <f t="shared" si="151"/>
        <v>13</v>
      </c>
      <c r="AT145" s="187">
        <f t="shared" si="152"/>
        <v>9</v>
      </c>
      <c r="AU145" s="187">
        <f t="shared" si="153"/>
        <v>0</v>
      </c>
      <c r="AV145" s="187">
        <f t="shared" si="154"/>
        <v>0</v>
      </c>
      <c r="AW145" s="187">
        <f t="shared" si="155"/>
        <v>7</v>
      </c>
      <c r="AX145" s="187">
        <f t="shared" si="156"/>
        <v>0</v>
      </c>
      <c r="AY145" s="187">
        <f t="shared" si="157"/>
        <v>0</v>
      </c>
      <c r="AZ145" s="187">
        <f t="shared" si="158"/>
        <v>7</v>
      </c>
      <c r="BA145" s="187">
        <f t="shared" si="159"/>
        <v>7</v>
      </c>
      <c r="BB145" s="187">
        <f t="shared" si="160"/>
        <v>0</v>
      </c>
      <c r="BC145" s="187">
        <f t="shared" si="161"/>
        <v>0</v>
      </c>
      <c r="BD145" s="187">
        <f t="shared" si="162"/>
        <v>4</v>
      </c>
      <c r="BE145" s="187">
        <f t="shared" si="163"/>
        <v>0</v>
      </c>
      <c r="BF145" s="187">
        <f t="shared" si="164"/>
        <v>0</v>
      </c>
      <c r="BG145" s="187">
        <f t="shared" si="165"/>
        <v>0</v>
      </c>
      <c r="BH145" s="187">
        <f t="shared" si="166"/>
        <v>0</v>
      </c>
      <c r="BI145" s="187">
        <f t="shared" si="167"/>
        <v>0</v>
      </c>
      <c r="BJ145" s="187">
        <f t="shared" si="168"/>
        <v>0</v>
      </c>
      <c r="BK145" s="187">
        <f t="shared" si="169"/>
        <v>0</v>
      </c>
      <c r="BL145" s="187">
        <f t="shared" si="170"/>
        <v>0</v>
      </c>
      <c r="BM145" s="187">
        <f t="shared" si="171"/>
        <v>0</v>
      </c>
      <c r="BN145" s="188">
        <f t="shared" si="172"/>
        <v>1</v>
      </c>
      <c r="BO145" s="187">
        <f t="shared" si="173"/>
        <v>0</v>
      </c>
      <c r="BP145" s="187">
        <f t="shared" ref="BP145:BQ145" si="467">IF(G145=1,1,0)</f>
        <v>0</v>
      </c>
      <c r="BQ145" s="187">
        <f t="shared" si="467"/>
        <v>0</v>
      </c>
      <c r="BR145" s="187">
        <f t="shared" ref="BR145:BT145" si="468">IF(K145=1,1,0)</f>
        <v>0</v>
      </c>
      <c r="BS145" s="187">
        <f t="shared" si="468"/>
        <v>0</v>
      </c>
      <c r="BT145" s="187">
        <f t="shared" si="468"/>
        <v>0</v>
      </c>
      <c r="BU145" s="187">
        <f t="shared" ref="BU145:BV145" si="469">IF(P145=1,1,0)</f>
        <v>0</v>
      </c>
      <c r="BV145" s="187">
        <f t="shared" si="469"/>
        <v>0</v>
      </c>
      <c r="BW145" s="187">
        <f t="shared" si="177"/>
        <v>0</v>
      </c>
      <c r="BX145" s="187">
        <f t="shared" si="178"/>
        <v>0</v>
      </c>
      <c r="BY145" s="187">
        <f t="shared" si="179"/>
        <v>1</v>
      </c>
      <c r="BZ145" s="187">
        <f t="shared" si="180"/>
        <v>-1</v>
      </c>
      <c r="CA145" s="167">
        <f t="shared" si="181"/>
        <v>85</v>
      </c>
      <c r="CB145" s="167">
        <f t="shared" si="47"/>
        <v>94</v>
      </c>
      <c r="CC145" s="644">
        <f t="shared" si="48"/>
        <v>23</v>
      </c>
      <c r="CD145" s="644">
        <f t="shared" si="49"/>
        <v>19</v>
      </c>
      <c r="CE145" s="644">
        <f t="shared" si="50"/>
        <v>15</v>
      </c>
      <c r="CF145" s="644">
        <f t="shared" si="51"/>
        <v>15</v>
      </c>
      <c r="CG145" s="644">
        <f t="shared" si="52"/>
        <v>9</v>
      </c>
      <c r="CH145" s="644">
        <f t="shared" si="123"/>
        <v>0</v>
      </c>
      <c r="CI145" s="644">
        <f t="shared" si="54"/>
        <v>0</v>
      </c>
      <c r="CJ145" s="644">
        <f t="shared" si="55"/>
        <v>0</v>
      </c>
      <c r="CK145" s="644">
        <f t="shared" si="56"/>
        <v>5</v>
      </c>
      <c r="CL145" s="644">
        <f t="shared" si="57"/>
        <v>5</v>
      </c>
      <c r="CM145" s="644">
        <f t="shared" si="58"/>
        <v>0</v>
      </c>
      <c r="CN145" s="644">
        <f t="shared" si="59"/>
        <v>0</v>
      </c>
      <c r="CO145" s="644">
        <f t="shared" si="60"/>
        <v>3</v>
      </c>
      <c r="CP145" s="644">
        <f t="shared" si="61"/>
        <v>0</v>
      </c>
      <c r="CQ145" s="644">
        <f t="shared" si="62"/>
        <v>0</v>
      </c>
      <c r="CR145" s="644">
        <f t="shared" si="63"/>
        <v>0</v>
      </c>
      <c r="CS145" s="644">
        <f t="shared" si="64"/>
        <v>0</v>
      </c>
      <c r="CT145" s="644">
        <f t="shared" si="65"/>
        <v>0</v>
      </c>
      <c r="CU145" s="644">
        <f t="shared" si="66"/>
        <v>1</v>
      </c>
      <c r="CV145" s="644">
        <f t="shared" si="67"/>
        <v>0</v>
      </c>
      <c r="CW145" s="644">
        <f t="shared" si="68"/>
        <v>0</v>
      </c>
      <c r="CX145" s="644">
        <f t="shared" si="69"/>
        <v>0</v>
      </c>
      <c r="CY145" s="644">
        <f t="shared" si="70"/>
        <v>0</v>
      </c>
      <c r="CZ145" s="624" t="s">
        <v>1113</v>
      </c>
      <c r="DA145" s="257"/>
    </row>
    <row r="146" spans="1:105">
      <c r="A146" s="249" t="s">
        <v>283</v>
      </c>
      <c r="B146" s="187"/>
      <c r="C146" s="644"/>
      <c r="D146" s="644">
        <v>1</v>
      </c>
      <c r="E146" s="258">
        <v>1</v>
      </c>
      <c r="F146" s="251"/>
      <c r="G146" s="251"/>
      <c r="H146" s="251"/>
      <c r="I146" s="251"/>
      <c r="J146" s="644"/>
      <c r="K146" s="644"/>
      <c r="L146" s="644"/>
      <c r="M146" s="644"/>
      <c r="N146" s="644"/>
      <c r="O146" s="644"/>
      <c r="P146" s="644"/>
      <c r="Q146" s="644"/>
      <c r="R146" s="644">
        <v>1</v>
      </c>
      <c r="S146" s="644"/>
      <c r="T146" s="644">
        <v>1</v>
      </c>
      <c r="U146" s="644">
        <v>1</v>
      </c>
      <c r="V146" s="644"/>
      <c r="W146" s="644"/>
      <c r="X146" s="644"/>
      <c r="Y146" s="644"/>
      <c r="Z146" s="644">
        <v>1</v>
      </c>
      <c r="AA146" s="644"/>
      <c r="AB146" s="644">
        <v>1</v>
      </c>
      <c r="AC146" s="644">
        <v>1</v>
      </c>
      <c r="AD146" s="644">
        <v>1</v>
      </c>
      <c r="AE146" s="644"/>
      <c r="AF146" s="644"/>
      <c r="AG146" s="644"/>
      <c r="AH146" s="644">
        <v>1</v>
      </c>
      <c r="AI146" s="644"/>
      <c r="AJ146" s="644"/>
      <c r="AK146" s="644"/>
      <c r="AL146" s="167">
        <v>10</v>
      </c>
      <c r="AM146" s="185" t="s">
        <v>1160</v>
      </c>
      <c r="AN146" s="186">
        <v>42010</v>
      </c>
      <c r="AO146" s="187"/>
      <c r="AP146" s="187">
        <f t="shared" si="148"/>
        <v>0</v>
      </c>
      <c r="AQ146" s="187">
        <f t="shared" si="149"/>
        <v>0</v>
      </c>
      <c r="AR146" s="187">
        <f t="shared" si="150"/>
        <v>13</v>
      </c>
      <c r="AS146" s="187">
        <f t="shared" si="151"/>
        <v>13</v>
      </c>
      <c r="AT146" s="187">
        <f t="shared" si="152"/>
        <v>9</v>
      </c>
      <c r="AU146" s="187">
        <f t="shared" si="153"/>
        <v>9</v>
      </c>
      <c r="AV146" s="187">
        <f t="shared" si="154"/>
        <v>9</v>
      </c>
      <c r="AW146" s="187">
        <f t="shared" si="155"/>
        <v>0</v>
      </c>
      <c r="AX146" s="187">
        <f t="shared" si="156"/>
        <v>7</v>
      </c>
      <c r="AY146" s="187">
        <f t="shared" si="157"/>
        <v>7</v>
      </c>
      <c r="AZ146" s="187">
        <f t="shared" si="158"/>
        <v>7</v>
      </c>
      <c r="BA146" s="187">
        <f t="shared" si="159"/>
        <v>7</v>
      </c>
      <c r="BB146" s="187">
        <f t="shared" si="160"/>
        <v>0</v>
      </c>
      <c r="BC146" s="187">
        <f t="shared" si="161"/>
        <v>4</v>
      </c>
      <c r="BD146" s="187">
        <f t="shared" si="162"/>
        <v>0</v>
      </c>
      <c r="BE146" s="187">
        <f t="shared" si="163"/>
        <v>0</v>
      </c>
      <c r="BF146" s="187">
        <f t="shared" si="164"/>
        <v>0</v>
      </c>
      <c r="BG146" s="187">
        <f t="shared" si="165"/>
        <v>0</v>
      </c>
      <c r="BH146" s="187">
        <f t="shared" si="166"/>
        <v>0</v>
      </c>
      <c r="BI146" s="187">
        <f t="shared" si="167"/>
        <v>0</v>
      </c>
      <c r="BJ146" s="187">
        <f t="shared" si="168"/>
        <v>0</v>
      </c>
      <c r="BK146" s="187">
        <f t="shared" si="169"/>
        <v>0</v>
      </c>
      <c r="BL146" s="187">
        <f t="shared" si="170"/>
        <v>0</v>
      </c>
      <c r="BM146" s="187">
        <f t="shared" si="171"/>
        <v>0</v>
      </c>
      <c r="BN146" s="188">
        <f t="shared" si="172"/>
        <v>0</v>
      </c>
      <c r="BO146" s="187">
        <f t="shared" si="173"/>
        <v>0</v>
      </c>
      <c r="BP146" s="187">
        <f t="shared" ref="BP146:BQ146" si="470">IF(G146=1,1,0)</f>
        <v>0</v>
      </c>
      <c r="BQ146" s="187">
        <f t="shared" si="470"/>
        <v>0</v>
      </c>
      <c r="BR146" s="187">
        <f t="shared" ref="BR146:BT146" si="471">IF(K146=1,1,0)</f>
        <v>0</v>
      </c>
      <c r="BS146" s="187">
        <f t="shared" si="471"/>
        <v>0</v>
      </c>
      <c r="BT146" s="187">
        <f t="shared" si="471"/>
        <v>0</v>
      </c>
      <c r="BU146" s="187">
        <f t="shared" ref="BU146:BV146" si="472">IF(P146=1,1,0)</f>
        <v>0</v>
      </c>
      <c r="BV146" s="187">
        <f t="shared" si="472"/>
        <v>0</v>
      </c>
      <c r="BW146" s="187">
        <f t="shared" si="177"/>
        <v>0</v>
      </c>
      <c r="BX146" s="187">
        <f t="shared" si="178"/>
        <v>0</v>
      </c>
      <c r="BY146" s="187">
        <f t="shared" si="179"/>
        <v>0</v>
      </c>
      <c r="BZ146" s="187">
        <f t="shared" si="180"/>
        <v>0</v>
      </c>
      <c r="CA146" s="167">
        <f t="shared" si="181"/>
        <v>85</v>
      </c>
      <c r="CB146" s="167">
        <f t="shared" si="47"/>
        <v>100</v>
      </c>
      <c r="CC146" s="644">
        <f t="shared" si="48"/>
        <v>23</v>
      </c>
      <c r="CD146" s="644">
        <f t="shared" si="49"/>
        <v>19</v>
      </c>
      <c r="CE146" s="644">
        <f t="shared" si="50"/>
        <v>15</v>
      </c>
      <c r="CF146" s="644">
        <f t="shared" si="51"/>
        <v>15</v>
      </c>
      <c r="CG146" s="644">
        <f t="shared" si="52"/>
        <v>9</v>
      </c>
      <c r="CH146" s="644">
        <f t="shared" si="123"/>
        <v>7</v>
      </c>
      <c r="CI146" s="644">
        <f t="shared" si="54"/>
        <v>7</v>
      </c>
      <c r="CJ146" s="644">
        <f t="shared" si="55"/>
        <v>5</v>
      </c>
      <c r="CK146" s="644">
        <f t="shared" si="56"/>
        <v>0</v>
      </c>
      <c r="CL146" s="644">
        <f t="shared" si="57"/>
        <v>0</v>
      </c>
      <c r="CM146" s="644">
        <f t="shared" si="58"/>
        <v>0</v>
      </c>
      <c r="CN146" s="644">
        <f t="shared" si="59"/>
        <v>3</v>
      </c>
      <c r="CO146" s="644">
        <f t="shared" si="60"/>
        <v>0</v>
      </c>
      <c r="CP146" s="644">
        <f t="shared" si="61"/>
        <v>3</v>
      </c>
      <c r="CQ146" s="644">
        <f t="shared" si="62"/>
        <v>0</v>
      </c>
      <c r="CR146" s="644">
        <f t="shared" si="63"/>
        <v>0</v>
      </c>
      <c r="CS146" s="644">
        <f t="shared" si="64"/>
        <v>0</v>
      </c>
      <c r="CT146" s="644">
        <f t="shared" si="65"/>
        <v>0</v>
      </c>
      <c r="CU146" s="644">
        <f t="shared" si="66"/>
        <v>0</v>
      </c>
      <c r="CV146" s="644">
        <f t="shared" si="67"/>
        <v>0</v>
      </c>
      <c r="CW146" s="644">
        <f t="shared" si="68"/>
        <v>0</v>
      </c>
      <c r="CX146" s="644">
        <f t="shared" si="69"/>
        <v>0</v>
      </c>
      <c r="CY146" s="644">
        <f t="shared" si="70"/>
        <v>0</v>
      </c>
      <c r="CZ146" s="624" t="s">
        <v>756</v>
      </c>
      <c r="DA146" s="257"/>
    </row>
    <row r="147" spans="1:105">
      <c r="A147" s="249" t="s">
        <v>287</v>
      </c>
      <c r="B147" s="187"/>
      <c r="C147" s="644"/>
      <c r="D147" s="644">
        <v>1</v>
      </c>
      <c r="E147" s="644">
        <v>1</v>
      </c>
      <c r="F147" s="251"/>
      <c r="G147" s="251"/>
      <c r="H147" s="251"/>
      <c r="I147" s="251"/>
      <c r="J147" s="644"/>
      <c r="K147" s="644"/>
      <c r="L147" s="644"/>
      <c r="M147" s="644"/>
      <c r="N147" s="644"/>
      <c r="O147" s="644"/>
      <c r="P147" s="644"/>
      <c r="Q147" s="644"/>
      <c r="R147" s="644">
        <v>1</v>
      </c>
      <c r="S147" s="644"/>
      <c r="T147" s="644">
        <v>1</v>
      </c>
      <c r="U147" s="644">
        <v>1</v>
      </c>
      <c r="V147" s="644"/>
      <c r="W147" s="644"/>
      <c r="X147" s="644"/>
      <c r="Y147" s="644"/>
      <c r="Z147" s="644">
        <v>1</v>
      </c>
      <c r="AA147" s="644"/>
      <c r="AB147" s="644">
        <v>1</v>
      </c>
      <c r="AC147" s="644">
        <v>1</v>
      </c>
      <c r="AD147" s="644">
        <v>1</v>
      </c>
      <c r="AE147" s="644"/>
      <c r="AF147" s="644"/>
      <c r="AG147" s="644"/>
      <c r="AH147" s="644">
        <v>1</v>
      </c>
      <c r="AI147" s="644"/>
      <c r="AJ147" s="644"/>
      <c r="AK147" s="644"/>
      <c r="AL147" s="167">
        <v>10</v>
      </c>
      <c r="AM147" s="185" t="s">
        <v>1204</v>
      </c>
      <c r="AN147" s="186">
        <v>41997</v>
      </c>
      <c r="AO147" s="187"/>
      <c r="AP147" s="187">
        <f t="shared" si="148"/>
        <v>0</v>
      </c>
      <c r="AQ147" s="187">
        <f t="shared" si="149"/>
        <v>0</v>
      </c>
      <c r="AR147" s="187">
        <f t="shared" si="150"/>
        <v>13</v>
      </c>
      <c r="AS147" s="187">
        <f t="shared" si="151"/>
        <v>13</v>
      </c>
      <c r="AT147" s="187">
        <f t="shared" si="152"/>
        <v>9</v>
      </c>
      <c r="AU147" s="187">
        <f t="shared" si="153"/>
        <v>9</v>
      </c>
      <c r="AV147" s="187">
        <f t="shared" si="154"/>
        <v>9</v>
      </c>
      <c r="AW147" s="187">
        <f t="shared" si="155"/>
        <v>0</v>
      </c>
      <c r="AX147" s="187">
        <f t="shared" si="156"/>
        <v>7</v>
      </c>
      <c r="AY147" s="187">
        <f t="shared" si="157"/>
        <v>7</v>
      </c>
      <c r="AZ147" s="187">
        <f t="shared" si="158"/>
        <v>7</v>
      </c>
      <c r="BA147" s="187">
        <f t="shared" si="159"/>
        <v>7</v>
      </c>
      <c r="BB147" s="187">
        <f t="shared" si="160"/>
        <v>0</v>
      </c>
      <c r="BC147" s="187">
        <f t="shared" si="161"/>
        <v>4</v>
      </c>
      <c r="BD147" s="187">
        <f t="shared" si="162"/>
        <v>0</v>
      </c>
      <c r="BE147" s="187">
        <f t="shared" si="163"/>
        <v>0</v>
      </c>
      <c r="BF147" s="187">
        <f t="shared" si="164"/>
        <v>0</v>
      </c>
      <c r="BG147" s="187">
        <f t="shared" si="165"/>
        <v>0</v>
      </c>
      <c r="BH147" s="187">
        <f t="shared" si="166"/>
        <v>0</v>
      </c>
      <c r="BI147" s="187">
        <f t="shared" si="167"/>
        <v>0</v>
      </c>
      <c r="BJ147" s="187">
        <f t="shared" si="168"/>
        <v>0</v>
      </c>
      <c r="BK147" s="187">
        <f t="shared" si="169"/>
        <v>0</v>
      </c>
      <c r="BL147" s="187">
        <f t="shared" si="170"/>
        <v>0</v>
      </c>
      <c r="BM147" s="187">
        <f t="shared" si="171"/>
        <v>0</v>
      </c>
      <c r="BN147" s="188">
        <f t="shared" si="172"/>
        <v>0</v>
      </c>
      <c r="BO147" s="187">
        <f t="shared" si="173"/>
        <v>0</v>
      </c>
      <c r="BP147" s="187">
        <f t="shared" ref="BP147:BQ147" si="473">IF(G147=1,1,0)</f>
        <v>0</v>
      </c>
      <c r="BQ147" s="187">
        <f t="shared" si="473"/>
        <v>0</v>
      </c>
      <c r="BR147" s="187">
        <f t="shared" ref="BR147:BT147" si="474">IF(K147=1,1,0)</f>
        <v>0</v>
      </c>
      <c r="BS147" s="187">
        <f t="shared" si="474"/>
        <v>0</v>
      </c>
      <c r="BT147" s="187">
        <f t="shared" si="474"/>
        <v>0</v>
      </c>
      <c r="BU147" s="187">
        <f t="shared" ref="BU147:BV147" si="475">IF(P147=1,1,0)</f>
        <v>0</v>
      </c>
      <c r="BV147" s="187">
        <f t="shared" si="475"/>
        <v>0</v>
      </c>
      <c r="BW147" s="187">
        <f t="shared" si="177"/>
        <v>0</v>
      </c>
      <c r="BX147" s="187">
        <f t="shared" si="178"/>
        <v>0</v>
      </c>
      <c r="BY147" s="187">
        <f t="shared" si="179"/>
        <v>0</v>
      </c>
      <c r="BZ147" s="187">
        <f t="shared" si="180"/>
        <v>0</v>
      </c>
      <c r="CA147" s="167">
        <f t="shared" si="181"/>
        <v>85</v>
      </c>
      <c r="CB147" s="167">
        <f t="shared" si="47"/>
        <v>100</v>
      </c>
      <c r="CC147" s="644">
        <f t="shared" si="48"/>
        <v>23</v>
      </c>
      <c r="CD147" s="644">
        <f t="shared" si="49"/>
        <v>19</v>
      </c>
      <c r="CE147" s="644">
        <f t="shared" si="50"/>
        <v>15</v>
      </c>
      <c r="CF147" s="644">
        <f t="shared" si="51"/>
        <v>15</v>
      </c>
      <c r="CG147" s="644">
        <f t="shared" si="52"/>
        <v>9</v>
      </c>
      <c r="CH147" s="644">
        <f t="shared" si="123"/>
        <v>7</v>
      </c>
      <c r="CI147" s="644">
        <f t="shared" si="54"/>
        <v>7</v>
      </c>
      <c r="CJ147" s="644">
        <f t="shared" si="55"/>
        <v>5</v>
      </c>
      <c r="CK147" s="644">
        <f t="shared" si="56"/>
        <v>0</v>
      </c>
      <c r="CL147" s="644">
        <f t="shared" si="57"/>
        <v>0</v>
      </c>
      <c r="CM147" s="644">
        <f t="shared" si="58"/>
        <v>0</v>
      </c>
      <c r="CN147" s="644">
        <f t="shared" si="59"/>
        <v>3</v>
      </c>
      <c r="CO147" s="644">
        <f t="shared" si="60"/>
        <v>0</v>
      </c>
      <c r="CP147" s="644">
        <f t="shared" si="61"/>
        <v>3</v>
      </c>
      <c r="CQ147" s="644">
        <f t="shared" si="62"/>
        <v>0</v>
      </c>
      <c r="CR147" s="644">
        <f t="shared" si="63"/>
        <v>0</v>
      </c>
      <c r="CS147" s="644">
        <f t="shared" si="64"/>
        <v>0</v>
      </c>
      <c r="CT147" s="644">
        <f t="shared" si="65"/>
        <v>0</v>
      </c>
      <c r="CU147" s="644">
        <f t="shared" si="66"/>
        <v>0</v>
      </c>
      <c r="CV147" s="644">
        <f t="shared" si="67"/>
        <v>0</v>
      </c>
      <c r="CW147" s="644">
        <f t="shared" si="68"/>
        <v>0</v>
      </c>
      <c r="CX147" s="644">
        <f t="shared" si="69"/>
        <v>0</v>
      </c>
      <c r="CY147" s="644">
        <f t="shared" si="70"/>
        <v>0</v>
      </c>
      <c r="CZ147" s="624" t="s">
        <v>748</v>
      </c>
      <c r="DA147" s="257"/>
    </row>
    <row r="148" spans="1:105">
      <c r="A148" s="249" t="s">
        <v>1205</v>
      </c>
      <c r="B148" s="187"/>
      <c r="C148" s="644"/>
      <c r="D148" s="644">
        <v>1</v>
      </c>
      <c r="E148" s="644">
        <v>1</v>
      </c>
      <c r="F148" s="251">
        <v>1</v>
      </c>
      <c r="G148" s="251"/>
      <c r="H148" s="251"/>
      <c r="I148" s="251">
        <v>1</v>
      </c>
      <c r="J148" s="644"/>
      <c r="K148" s="644"/>
      <c r="L148" s="644"/>
      <c r="M148" s="644"/>
      <c r="N148" s="644"/>
      <c r="O148" s="644"/>
      <c r="P148" s="644"/>
      <c r="Q148" s="644"/>
      <c r="R148" s="644">
        <v>1</v>
      </c>
      <c r="S148" s="644">
        <v>1</v>
      </c>
      <c r="T148" s="644"/>
      <c r="U148" s="644">
        <v>1</v>
      </c>
      <c r="V148" s="644"/>
      <c r="W148" s="644"/>
      <c r="X148" s="644"/>
      <c r="Y148" s="644"/>
      <c r="Z148" s="644"/>
      <c r="AA148" s="644"/>
      <c r="AB148" s="644">
        <v>1</v>
      </c>
      <c r="AC148" s="250"/>
      <c r="AD148" s="644"/>
      <c r="AE148" s="644"/>
      <c r="AF148" s="644"/>
      <c r="AG148" s="644"/>
      <c r="AH148" s="644">
        <v>1</v>
      </c>
      <c r="AI148" s="644"/>
      <c r="AJ148" s="644"/>
      <c r="AK148" s="644"/>
      <c r="AL148" s="167">
        <v>9</v>
      </c>
      <c r="AM148" s="187" t="s">
        <v>1137</v>
      </c>
      <c r="AN148" s="186">
        <v>42006</v>
      </c>
      <c r="AO148" s="187"/>
      <c r="AP148" s="187">
        <f t="shared" si="148"/>
        <v>13</v>
      </c>
      <c r="AQ148" s="187">
        <f t="shared" si="149"/>
        <v>13</v>
      </c>
      <c r="AR148" s="187">
        <f t="shared" si="150"/>
        <v>13</v>
      </c>
      <c r="AS148" s="187">
        <f t="shared" si="151"/>
        <v>13</v>
      </c>
      <c r="AT148" s="187">
        <f t="shared" si="152"/>
        <v>9</v>
      </c>
      <c r="AU148" s="187">
        <f t="shared" si="153"/>
        <v>9</v>
      </c>
      <c r="AV148" s="187">
        <f t="shared" si="154"/>
        <v>0</v>
      </c>
      <c r="AW148" s="187">
        <f t="shared" si="155"/>
        <v>0</v>
      </c>
      <c r="AX148" s="187">
        <f t="shared" si="156"/>
        <v>0</v>
      </c>
      <c r="AY148" s="187">
        <f t="shared" si="157"/>
        <v>0</v>
      </c>
      <c r="AZ148" s="187">
        <f t="shared" si="158"/>
        <v>7</v>
      </c>
      <c r="BA148" s="187">
        <f t="shared" si="159"/>
        <v>7</v>
      </c>
      <c r="BB148" s="187">
        <f t="shared" si="160"/>
        <v>0</v>
      </c>
      <c r="BC148" s="187">
        <f t="shared" si="161"/>
        <v>0</v>
      </c>
      <c r="BD148" s="187">
        <f t="shared" si="162"/>
        <v>0</v>
      </c>
      <c r="BE148" s="187">
        <f t="shared" si="163"/>
        <v>0</v>
      </c>
      <c r="BF148" s="187">
        <f t="shared" si="164"/>
        <v>0</v>
      </c>
      <c r="BG148" s="187">
        <f t="shared" si="165"/>
        <v>0</v>
      </c>
      <c r="BH148" s="187">
        <f t="shared" si="166"/>
        <v>2</v>
      </c>
      <c r="BI148" s="187">
        <f t="shared" si="167"/>
        <v>0</v>
      </c>
      <c r="BJ148" s="187">
        <f t="shared" si="168"/>
        <v>0</v>
      </c>
      <c r="BK148" s="187">
        <f t="shared" si="169"/>
        <v>0</v>
      </c>
      <c r="BL148" s="187">
        <f t="shared" si="170"/>
        <v>0</v>
      </c>
      <c r="BM148" s="187">
        <f t="shared" si="171"/>
        <v>0</v>
      </c>
      <c r="BN148" s="188">
        <f t="shared" si="172"/>
        <v>1</v>
      </c>
      <c r="BO148" s="187">
        <f t="shared" si="173"/>
        <v>0</v>
      </c>
      <c r="BP148" s="187">
        <f t="shared" ref="BP148:BQ148" si="476">IF(G148=1,1,0)</f>
        <v>0</v>
      </c>
      <c r="BQ148" s="187">
        <f t="shared" si="476"/>
        <v>0</v>
      </c>
      <c r="BR148" s="187">
        <f t="shared" ref="BR148:BT148" si="477">IF(K148=1,1,0)</f>
        <v>0</v>
      </c>
      <c r="BS148" s="187">
        <f t="shared" si="477"/>
        <v>0</v>
      </c>
      <c r="BT148" s="187">
        <f t="shared" si="477"/>
        <v>0</v>
      </c>
      <c r="BU148" s="187">
        <f t="shared" ref="BU148:BV148" si="478">IF(P148=1,1,0)</f>
        <v>0</v>
      </c>
      <c r="BV148" s="187">
        <f t="shared" si="478"/>
        <v>0</v>
      </c>
      <c r="BW148" s="187">
        <f t="shared" si="177"/>
        <v>0</v>
      </c>
      <c r="BX148" s="187">
        <f t="shared" si="178"/>
        <v>0</v>
      </c>
      <c r="BY148" s="187">
        <f t="shared" si="179"/>
        <v>1</v>
      </c>
      <c r="BZ148" s="187">
        <f t="shared" si="180"/>
        <v>-1</v>
      </c>
      <c r="CA148" s="167">
        <f t="shared" si="181"/>
        <v>85</v>
      </c>
      <c r="CB148" s="167">
        <f t="shared" si="47"/>
        <v>98</v>
      </c>
      <c r="CC148" s="644">
        <f t="shared" si="48"/>
        <v>23</v>
      </c>
      <c r="CD148" s="644">
        <f t="shared" si="49"/>
        <v>19</v>
      </c>
      <c r="CE148" s="644">
        <f t="shared" si="50"/>
        <v>15</v>
      </c>
      <c r="CF148" s="644">
        <f t="shared" si="51"/>
        <v>15</v>
      </c>
      <c r="CG148" s="644">
        <f t="shared" si="52"/>
        <v>9</v>
      </c>
      <c r="CH148" s="644">
        <f t="shared" si="123"/>
        <v>7</v>
      </c>
      <c r="CI148" s="644">
        <f t="shared" si="54"/>
        <v>0</v>
      </c>
      <c r="CJ148" s="644">
        <f t="shared" si="55"/>
        <v>0</v>
      </c>
      <c r="CK148" s="644">
        <f t="shared" si="56"/>
        <v>5</v>
      </c>
      <c r="CL148" s="644">
        <f t="shared" si="57"/>
        <v>5</v>
      </c>
      <c r="CM148" s="644">
        <f t="shared" si="58"/>
        <v>0</v>
      </c>
      <c r="CN148" s="644">
        <f t="shared" si="59"/>
        <v>0</v>
      </c>
      <c r="CO148" s="644">
        <f t="shared" si="60"/>
        <v>0</v>
      </c>
      <c r="CP148" s="644">
        <f t="shared" si="61"/>
        <v>0</v>
      </c>
      <c r="CQ148" s="644">
        <f t="shared" si="62"/>
        <v>2</v>
      </c>
      <c r="CR148" s="644">
        <f t="shared" si="63"/>
        <v>0</v>
      </c>
      <c r="CS148" s="644">
        <f t="shared" si="64"/>
        <v>0</v>
      </c>
      <c r="CT148" s="644">
        <f t="shared" si="65"/>
        <v>0</v>
      </c>
      <c r="CU148" s="644">
        <f t="shared" si="66"/>
        <v>0</v>
      </c>
      <c r="CV148" s="644">
        <f t="shared" si="67"/>
        <v>0</v>
      </c>
      <c r="CW148" s="644">
        <f t="shared" si="68"/>
        <v>0</v>
      </c>
      <c r="CX148" s="644">
        <f t="shared" si="69"/>
        <v>0</v>
      </c>
      <c r="CY148" s="644">
        <f t="shared" si="70"/>
        <v>0</v>
      </c>
      <c r="CZ148" s="624" t="s">
        <v>853</v>
      </c>
      <c r="DA148" s="257"/>
    </row>
    <row r="149" spans="1:105">
      <c r="A149" s="249" t="s">
        <v>1206</v>
      </c>
      <c r="B149" s="187"/>
      <c r="C149" s="187"/>
      <c r="D149" s="644">
        <v>1</v>
      </c>
      <c r="E149" s="644">
        <v>1</v>
      </c>
      <c r="F149" s="251">
        <v>1</v>
      </c>
      <c r="G149" s="251"/>
      <c r="H149" s="251"/>
      <c r="I149" s="251">
        <v>1</v>
      </c>
      <c r="J149" s="644"/>
      <c r="K149" s="644"/>
      <c r="L149" s="644"/>
      <c r="M149" s="644"/>
      <c r="N149" s="644"/>
      <c r="O149" s="644"/>
      <c r="P149" s="644"/>
      <c r="Q149" s="644"/>
      <c r="R149" s="644">
        <v>1</v>
      </c>
      <c r="S149" s="644"/>
      <c r="T149" s="644">
        <v>1</v>
      </c>
      <c r="U149" s="644">
        <v>1</v>
      </c>
      <c r="V149" s="644"/>
      <c r="W149" s="644"/>
      <c r="X149" s="644"/>
      <c r="Y149" s="644"/>
      <c r="Z149" s="644"/>
      <c r="AA149" s="644"/>
      <c r="AB149" s="644">
        <v>1</v>
      </c>
      <c r="AC149" s="644"/>
      <c r="AD149" s="644">
        <v>1</v>
      </c>
      <c r="AE149" s="644"/>
      <c r="AF149" s="644"/>
      <c r="AG149" s="644"/>
      <c r="AH149" s="644">
        <v>1</v>
      </c>
      <c r="AI149" s="644"/>
      <c r="AJ149" s="644"/>
      <c r="AK149" s="644"/>
      <c r="AL149" s="267">
        <v>10</v>
      </c>
      <c r="AM149" s="187" t="s">
        <v>138</v>
      </c>
      <c r="AN149" s="186">
        <v>41998</v>
      </c>
      <c r="AO149" s="187"/>
      <c r="AP149" s="187">
        <f t="shared" si="148"/>
        <v>13</v>
      </c>
      <c r="AQ149" s="187">
        <f t="shared" si="149"/>
        <v>13</v>
      </c>
      <c r="AR149" s="187">
        <f t="shared" si="150"/>
        <v>13</v>
      </c>
      <c r="AS149" s="187">
        <f t="shared" si="151"/>
        <v>13</v>
      </c>
      <c r="AT149" s="187">
        <f t="shared" si="152"/>
        <v>9</v>
      </c>
      <c r="AU149" s="187">
        <f t="shared" si="153"/>
        <v>9</v>
      </c>
      <c r="AV149" s="187">
        <f t="shared" si="154"/>
        <v>0</v>
      </c>
      <c r="AW149" s="187">
        <f t="shared" si="155"/>
        <v>0</v>
      </c>
      <c r="AX149" s="187">
        <f t="shared" si="156"/>
        <v>7</v>
      </c>
      <c r="AY149" s="187">
        <f t="shared" si="157"/>
        <v>0</v>
      </c>
      <c r="AZ149" s="187">
        <f t="shared" si="158"/>
        <v>7</v>
      </c>
      <c r="BA149" s="187">
        <f t="shared" si="159"/>
        <v>7</v>
      </c>
      <c r="BB149" s="187">
        <f t="shared" si="160"/>
        <v>0</v>
      </c>
      <c r="BC149" s="187">
        <f t="shared" si="161"/>
        <v>4</v>
      </c>
      <c r="BD149" s="187">
        <f t="shared" si="162"/>
        <v>0</v>
      </c>
      <c r="BE149" s="187">
        <f t="shared" si="163"/>
        <v>0</v>
      </c>
      <c r="BF149" s="187">
        <f t="shared" si="164"/>
        <v>0</v>
      </c>
      <c r="BG149" s="187">
        <f t="shared" si="165"/>
        <v>0</v>
      </c>
      <c r="BH149" s="187">
        <f t="shared" si="166"/>
        <v>0</v>
      </c>
      <c r="BI149" s="187">
        <f t="shared" si="167"/>
        <v>0</v>
      </c>
      <c r="BJ149" s="187">
        <f t="shared" si="168"/>
        <v>0</v>
      </c>
      <c r="BK149" s="187">
        <f t="shared" si="169"/>
        <v>0</v>
      </c>
      <c r="BL149" s="187">
        <f t="shared" si="170"/>
        <v>0</v>
      </c>
      <c r="BM149" s="187">
        <f t="shared" si="171"/>
        <v>0</v>
      </c>
      <c r="BN149" s="188">
        <f t="shared" si="172"/>
        <v>0</v>
      </c>
      <c r="BO149" s="187">
        <f t="shared" si="173"/>
        <v>0</v>
      </c>
      <c r="BP149" s="187">
        <f t="shared" ref="BP149:BQ149" si="479">IF(G149=1,1,0)</f>
        <v>0</v>
      </c>
      <c r="BQ149" s="187">
        <f t="shared" si="479"/>
        <v>0</v>
      </c>
      <c r="BR149" s="187">
        <f t="shared" ref="BR149:BT149" si="480">IF(K149=1,1,0)</f>
        <v>0</v>
      </c>
      <c r="BS149" s="187">
        <f t="shared" si="480"/>
        <v>0</v>
      </c>
      <c r="BT149" s="187">
        <f t="shared" si="480"/>
        <v>0</v>
      </c>
      <c r="BU149" s="187">
        <f t="shared" ref="BU149:BV149" si="481">IF(P149=1,1,0)</f>
        <v>0</v>
      </c>
      <c r="BV149" s="187">
        <f t="shared" si="481"/>
        <v>0</v>
      </c>
      <c r="BW149" s="187">
        <f t="shared" si="177"/>
        <v>0</v>
      </c>
      <c r="BX149" s="187">
        <f t="shared" si="178"/>
        <v>0</v>
      </c>
      <c r="BY149" s="187">
        <f t="shared" si="179"/>
        <v>0</v>
      </c>
      <c r="BZ149" s="187">
        <f t="shared" si="180"/>
        <v>0</v>
      </c>
      <c r="CA149" s="167">
        <f t="shared" si="181"/>
        <v>95</v>
      </c>
      <c r="CB149" s="167">
        <f t="shared" si="47"/>
        <v>96</v>
      </c>
      <c r="CC149" s="644">
        <f t="shared" si="48"/>
        <v>23</v>
      </c>
      <c r="CD149" s="644">
        <f t="shared" si="49"/>
        <v>19</v>
      </c>
      <c r="CE149" s="644">
        <f t="shared" si="50"/>
        <v>15</v>
      </c>
      <c r="CF149" s="644">
        <f t="shared" si="51"/>
        <v>15</v>
      </c>
      <c r="CG149" s="644">
        <f t="shared" si="52"/>
        <v>9</v>
      </c>
      <c r="CH149" s="644">
        <f t="shared" si="123"/>
        <v>0</v>
      </c>
      <c r="CI149" s="644">
        <f t="shared" si="54"/>
        <v>0</v>
      </c>
      <c r="CJ149" s="644">
        <f t="shared" si="55"/>
        <v>5</v>
      </c>
      <c r="CK149" s="644">
        <f t="shared" si="56"/>
        <v>5</v>
      </c>
      <c r="CL149" s="644">
        <f t="shared" si="57"/>
        <v>5</v>
      </c>
      <c r="CM149" s="644">
        <f t="shared" si="58"/>
        <v>0</v>
      </c>
      <c r="CN149" s="644">
        <f t="shared" si="59"/>
        <v>3</v>
      </c>
      <c r="CO149" s="644">
        <f t="shared" si="60"/>
        <v>0</v>
      </c>
      <c r="CP149" s="644">
        <f t="shared" si="61"/>
        <v>0</v>
      </c>
      <c r="CQ149" s="644">
        <f t="shared" si="62"/>
        <v>0</v>
      </c>
      <c r="CR149" s="644">
        <f t="shared" si="63"/>
        <v>0</v>
      </c>
      <c r="CS149" s="644">
        <f t="shared" si="64"/>
        <v>0</v>
      </c>
      <c r="CT149" s="644">
        <f t="shared" si="65"/>
        <v>0</v>
      </c>
      <c r="CU149" s="644">
        <f t="shared" si="66"/>
        <v>0</v>
      </c>
      <c r="CV149" s="644">
        <f t="shared" si="67"/>
        <v>0</v>
      </c>
      <c r="CW149" s="644">
        <f t="shared" si="68"/>
        <v>0</v>
      </c>
      <c r="CX149" s="644">
        <f t="shared" si="69"/>
        <v>0</v>
      </c>
      <c r="CY149" s="644">
        <f t="shared" si="70"/>
        <v>0</v>
      </c>
      <c r="CZ149" s="624" t="s">
        <v>743</v>
      </c>
      <c r="DA149" s="257"/>
    </row>
    <row r="150" spans="1:105">
      <c r="A150" s="249" t="s">
        <v>1207</v>
      </c>
      <c r="B150" s="187"/>
      <c r="C150" s="644"/>
      <c r="D150" s="644">
        <v>1</v>
      </c>
      <c r="E150" s="644">
        <v>1</v>
      </c>
      <c r="F150" s="251"/>
      <c r="G150" s="251"/>
      <c r="H150" s="251"/>
      <c r="I150" s="251"/>
      <c r="J150" s="644"/>
      <c r="K150" s="644"/>
      <c r="L150" s="644"/>
      <c r="M150" s="644"/>
      <c r="N150" s="644"/>
      <c r="O150" s="644"/>
      <c r="P150" s="644"/>
      <c r="Q150" s="644"/>
      <c r="R150" s="644">
        <v>1</v>
      </c>
      <c r="S150" s="644"/>
      <c r="T150" s="644"/>
      <c r="U150" s="644">
        <v>1</v>
      </c>
      <c r="V150" s="644"/>
      <c r="W150" s="644"/>
      <c r="X150" s="644"/>
      <c r="Y150" s="644"/>
      <c r="Z150" s="644"/>
      <c r="AA150" s="644"/>
      <c r="AB150" s="644">
        <v>1</v>
      </c>
      <c r="AC150" s="644">
        <v>1</v>
      </c>
      <c r="AD150" s="644">
        <v>1</v>
      </c>
      <c r="AE150" s="644"/>
      <c r="AF150" s="644"/>
      <c r="AG150" s="644"/>
      <c r="AH150" s="644">
        <v>1</v>
      </c>
      <c r="AI150" s="644"/>
      <c r="AJ150" s="644"/>
      <c r="AK150" s="644"/>
      <c r="AL150" s="167">
        <v>8</v>
      </c>
      <c r="AM150" s="185" t="s">
        <v>1208</v>
      </c>
      <c r="AN150" s="186">
        <v>42009</v>
      </c>
      <c r="AO150" s="187"/>
      <c r="AP150" s="187">
        <f t="shared" si="148"/>
        <v>0</v>
      </c>
      <c r="AQ150" s="187">
        <f t="shared" si="149"/>
        <v>0</v>
      </c>
      <c r="AR150" s="187">
        <f t="shared" si="150"/>
        <v>13</v>
      </c>
      <c r="AS150" s="187">
        <f t="shared" si="151"/>
        <v>13</v>
      </c>
      <c r="AT150" s="187">
        <f t="shared" si="152"/>
        <v>9</v>
      </c>
      <c r="AU150" s="187">
        <f t="shared" si="153"/>
        <v>9</v>
      </c>
      <c r="AV150" s="187">
        <f t="shared" si="154"/>
        <v>9</v>
      </c>
      <c r="AW150" s="187">
        <f t="shared" si="155"/>
        <v>0</v>
      </c>
      <c r="AX150" s="187">
        <f t="shared" si="156"/>
        <v>7</v>
      </c>
      <c r="AY150" s="187">
        <f t="shared" si="157"/>
        <v>0</v>
      </c>
      <c r="AZ150" s="187">
        <f t="shared" si="158"/>
        <v>7</v>
      </c>
      <c r="BA150" s="187">
        <f t="shared" si="159"/>
        <v>7</v>
      </c>
      <c r="BB150" s="187">
        <f t="shared" si="160"/>
        <v>0</v>
      </c>
      <c r="BC150" s="187">
        <f t="shared" si="161"/>
        <v>0</v>
      </c>
      <c r="BD150" s="187">
        <f t="shared" si="162"/>
        <v>0</v>
      </c>
      <c r="BE150" s="187">
        <f t="shared" si="163"/>
        <v>0</v>
      </c>
      <c r="BF150" s="187">
        <f t="shared" si="164"/>
        <v>0</v>
      </c>
      <c r="BG150" s="187">
        <f t="shared" si="165"/>
        <v>0</v>
      </c>
      <c r="BH150" s="187">
        <f t="shared" si="166"/>
        <v>0</v>
      </c>
      <c r="BI150" s="187">
        <f t="shared" si="167"/>
        <v>0</v>
      </c>
      <c r="BJ150" s="187">
        <f t="shared" si="168"/>
        <v>0</v>
      </c>
      <c r="BK150" s="187">
        <f t="shared" si="169"/>
        <v>0</v>
      </c>
      <c r="BL150" s="187">
        <f t="shared" si="170"/>
        <v>0</v>
      </c>
      <c r="BM150" s="187">
        <f t="shared" si="171"/>
        <v>0</v>
      </c>
      <c r="BN150" s="188">
        <f t="shared" si="172"/>
        <v>2</v>
      </c>
      <c r="BO150" s="187">
        <f t="shared" si="173"/>
        <v>0</v>
      </c>
      <c r="BP150" s="187">
        <f t="shared" ref="BP150:BQ150" si="482">IF(G150=1,1,0)</f>
        <v>0</v>
      </c>
      <c r="BQ150" s="187">
        <f t="shared" si="482"/>
        <v>0</v>
      </c>
      <c r="BR150" s="187">
        <f t="shared" ref="BR150:BT150" si="483">IF(K150=1,1,0)</f>
        <v>0</v>
      </c>
      <c r="BS150" s="187">
        <f t="shared" si="483"/>
        <v>0</v>
      </c>
      <c r="BT150" s="187">
        <f t="shared" si="483"/>
        <v>0</v>
      </c>
      <c r="BU150" s="187">
        <f t="shared" ref="BU150:BV150" si="484">IF(P150=1,1,0)</f>
        <v>0</v>
      </c>
      <c r="BV150" s="187">
        <f t="shared" si="484"/>
        <v>0</v>
      </c>
      <c r="BW150" s="187">
        <f t="shared" si="177"/>
        <v>0</v>
      </c>
      <c r="BX150" s="187">
        <f t="shared" si="178"/>
        <v>0</v>
      </c>
      <c r="BY150" s="187">
        <f t="shared" si="179"/>
        <v>2</v>
      </c>
      <c r="BZ150" s="187">
        <f t="shared" si="180"/>
        <v>-4</v>
      </c>
      <c r="CA150" s="167">
        <f t="shared" si="181"/>
        <v>70</v>
      </c>
      <c r="CB150" s="167">
        <f t="shared" si="47"/>
        <v>100</v>
      </c>
      <c r="CC150" s="644">
        <f t="shared" si="48"/>
        <v>23</v>
      </c>
      <c r="CD150" s="644">
        <f t="shared" si="49"/>
        <v>19</v>
      </c>
      <c r="CE150" s="644">
        <f t="shared" si="50"/>
        <v>15</v>
      </c>
      <c r="CF150" s="644">
        <f t="shared" si="51"/>
        <v>15</v>
      </c>
      <c r="CG150" s="644">
        <f t="shared" si="52"/>
        <v>9</v>
      </c>
      <c r="CH150" s="644">
        <f t="shared" si="123"/>
        <v>7</v>
      </c>
      <c r="CI150" s="644">
        <f t="shared" si="54"/>
        <v>7</v>
      </c>
      <c r="CJ150" s="644">
        <f t="shared" si="55"/>
        <v>5</v>
      </c>
      <c r="CK150" s="644">
        <f t="shared" si="56"/>
        <v>0</v>
      </c>
      <c r="CL150" s="644">
        <f t="shared" si="57"/>
        <v>0</v>
      </c>
      <c r="CM150" s="644">
        <f t="shared" si="58"/>
        <v>0</v>
      </c>
      <c r="CN150" s="644">
        <f t="shared" si="59"/>
        <v>0</v>
      </c>
      <c r="CO150" s="644">
        <f t="shared" si="60"/>
        <v>0</v>
      </c>
      <c r="CP150" s="644">
        <f t="shared" si="61"/>
        <v>0</v>
      </c>
      <c r="CQ150" s="644">
        <f t="shared" si="62"/>
        <v>0</v>
      </c>
      <c r="CR150" s="644">
        <f t="shared" si="63"/>
        <v>0</v>
      </c>
      <c r="CS150" s="644">
        <f t="shared" si="64"/>
        <v>0</v>
      </c>
      <c r="CT150" s="644">
        <f t="shared" si="65"/>
        <v>0</v>
      </c>
      <c r="CU150" s="644">
        <f t="shared" si="66"/>
        <v>0</v>
      </c>
      <c r="CV150" s="644">
        <f t="shared" si="67"/>
        <v>0</v>
      </c>
      <c r="CW150" s="644">
        <f t="shared" si="68"/>
        <v>0</v>
      </c>
      <c r="CX150" s="644">
        <f t="shared" si="69"/>
        <v>0</v>
      </c>
      <c r="CY150" s="644">
        <f t="shared" si="70"/>
        <v>0</v>
      </c>
      <c r="CZ150" s="624" t="s">
        <v>993</v>
      </c>
      <c r="DA150" s="257"/>
    </row>
    <row r="151" spans="1:105">
      <c r="A151" s="249" t="s">
        <v>891</v>
      </c>
      <c r="B151" s="187"/>
      <c r="C151" s="644"/>
      <c r="D151" s="644">
        <v>1</v>
      </c>
      <c r="E151" s="644"/>
      <c r="F151" s="251">
        <v>1</v>
      </c>
      <c r="G151" s="251"/>
      <c r="H151" s="251"/>
      <c r="I151" s="251">
        <v>1</v>
      </c>
      <c r="J151" s="644"/>
      <c r="K151" s="644"/>
      <c r="L151" s="644"/>
      <c r="M151" s="644"/>
      <c r="N151" s="644"/>
      <c r="O151" s="644"/>
      <c r="P151" s="644"/>
      <c r="Q151" s="644"/>
      <c r="R151" s="644">
        <v>1</v>
      </c>
      <c r="S151" s="644"/>
      <c r="T151" s="644"/>
      <c r="U151" s="644">
        <v>1</v>
      </c>
      <c r="V151" s="644"/>
      <c r="W151" s="644"/>
      <c r="X151" s="644"/>
      <c r="Y151" s="644"/>
      <c r="Z151" s="644">
        <v>1</v>
      </c>
      <c r="AA151" s="644"/>
      <c r="AB151" s="644">
        <v>1</v>
      </c>
      <c r="AC151" s="644">
        <v>1</v>
      </c>
      <c r="AD151" s="644">
        <v>1</v>
      </c>
      <c r="AE151" s="644"/>
      <c r="AF151" s="644"/>
      <c r="AG151" s="644"/>
      <c r="AH151" s="644">
        <v>1</v>
      </c>
      <c r="AI151" s="644"/>
      <c r="AJ151" s="644"/>
      <c r="AK151" s="644"/>
      <c r="AL151" s="167">
        <v>10</v>
      </c>
      <c r="AM151" s="187" t="s">
        <v>1209</v>
      </c>
      <c r="AN151" s="186">
        <v>42003</v>
      </c>
      <c r="AO151" s="187"/>
      <c r="AP151" s="187">
        <f t="shared" si="148"/>
        <v>13</v>
      </c>
      <c r="AQ151" s="187">
        <f t="shared" si="149"/>
        <v>13</v>
      </c>
      <c r="AR151" s="187">
        <f t="shared" si="150"/>
        <v>13</v>
      </c>
      <c r="AS151" s="187">
        <f t="shared" si="151"/>
        <v>13</v>
      </c>
      <c r="AT151" s="187">
        <f t="shared" si="152"/>
        <v>9</v>
      </c>
      <c r="AU151" s="187">
        <f t="shared" si="153"/>
        <v>9</v>
      </c>
      <c r="AV151" s="187">
        <f t="shared" si="154"/>
        <v>9</v>
      </c>
      <c r="AW151" s="187">
        <f t="shared" si="155"/>
        <v>0</v>
      </c>
      <c r="AX151" s="187">
        <f t="shared" si="156"/>
        <v>7</v>
      </c>
      <c r="AY151" s="187">
        <f t="shared" si="157"/>
        <v>7</v>
      </c>
      <c r="AZ151" s="187">
        <f t="shared" si="158"/>
        <v>7</v>
      </c>
      <c r="BA151" s="187">
        <f t="shared" si="159"/>
        <v>0</v>
      </c>
      <c r="BB151" s="187">
        <f t="shared" si="160"/>
        <v>0</v>
      </c>
      <c r="BC151" s="187">
        <f t="shared" si="161"/>
        <v>0</v>
      </c>
      <c r="BD151" s="187">
        <f t="shared" si="162"/>
        <v>0</v>
      </c>
      <c r="BE151" s="187">
        <f t="shared" si="163"/>
        <v>0</v>
      </c>
      <c r="BF151" s="187">
        <f t="shared" si="164"/>
        <v>0</v>
      </c>
      <c r="BG151" s="187">
        <f t="shared" si="165"/>
        <v>0</v>
      </c>
      <c r="BH151" s="187">
        <f t="shared" si="166"/>
        <v>0</v>
      </c>
      <c r="BI151" s="187">
        <f t="shared" si="167"/>
        <v>0</v>
      </c>
      <c r="BJ151" s="187">
        <f t="shared" si="168"/>
        <v>0</v>
      </c>
      <c r="BK151" s="187">
        <f t="shared" si="169"/>
        <v>0</v>
      </c>
      <c r="BL151" s="187">
        <f t="shared" si="170"/>
        <v>0</v>
      </c>
      <c r="BM151" s="187">
        <f t="shared" si="171"/>
        <v>0</v>
      </c>
      <c r="BN151" s="188">
        <f t="shared" si="172"/>
        <v>0</v>
      </c>
      <c r="BO151" s="187">
        <f t="shared" si="173"/>
        <v>0</v>
      </c>
      <c r="BP151" s="187">
        <f t="shared" ref="BP151:BQ151" si="485">IF(G151=1,1,0)</f>
        <v>0</v>
      </c>
      <c r="BQ151" s="187">
        <f t="shared" si="485"/>
        <v>0</v>
      </c>
      <c r="BR151" s="187">
        <f t="shared" ref="BR151:BT151" si="486">IF(K151=1,1,0)</f>
        <v>0</v>
      </c>
      <c r="BS151" s="187">
        <f t="shared" si="486"/>
        <v>0</v>
      </c>
      <c r="BT151" s="187">
        <f t="shared" si="486"/>
        <v>0</v>
      </c>
      <c r="BU151" s="187">
        <f t="shared" ref="BU151:BV151" si="487">IF(P151=1,1,0)</f>
        <v>0</v>
      </c>
      <c r="BV151" s="187">
        <f t="shared" si="487"/>
        <v>0</v>
      </c>
      <c r="BW151" s="187">
        <f t="shared" si="177"/>
        <v>0</v>
      </c>
      <c r="BX151" s="187">
        <f t="shared" si="178"/>
        <v>0</v>
      </c>
      <c r="BY151" s="187">
        <f t="shared" si="179"/>
        <v>0</v>
      </c>
      <c r="BZ151" s="187">
        <f t="shared" si="180"/>
        <v>0</v>
      </c>
      <c r="CA151" s="167">
        <f t="shared" si="181"/>
        <v>100</v>
      </c>
      <c r="CB151" s="167">
        <f t="shared" si="47"/>
        <v>90</v>
      </c>
      <c r="CC151" s="644">
        <f t="shared" si="48"/>
        <v>23</v>
      </c>
      <c r="CD151" s="644">
        <f t="shared" si="49"/>
        <v>19</v>
      </c>
      <c r="CE151" s="644">
        <f t="shared" si="50"/>
        <v>15</v>
      </c>
      <c r="CF151" s="644">
        <f t="shared" si="51"/>
        <v>0</v>
      </c>
      <c r="CG151" s="644">
        <f t="shared" si="52"/>
        <v>9</v>
      </c>
      <c r="CH151" s="644">
        <f t="shared" si="123"/>
        <v>7</v>
      </c>
      <c r="CI151" s="644">
        <f t="shared" si="54"/>
        <v>7</v>
      </c>
      <c r="CJ151" s="644">
        <f t="shared" si="55"/>
        <v>5</v>
      </c>
      <c r="CK151" s="644">
        <f t="shared" si="56"/>
        <v>5</v>
      </c>
      <c r="CL151" s="644">
        <f t="shared" si="57"/>
        <v>5</v>
      </c>
      <c r="CM151" s="644">
        <f t="shared" si="58"/>
        <v>0</v>
      </c>
      <c r="CN151" s="644">
        <f t="shared" si="59"/>
        <v>0</v>
      </c>
      <c r="CO151" s="644">
        <f t="shared" si="60"/>
        <v>0</v>
      </c>
      <c r="CP151" s="644">
        <f t="shared" si="61"/>
        <v>3</v>
      </c>
      <c r="CQ151" s="644">
        <f t="shared" si="62"/>
        <v>0</v>
      </c>
      <c r="CR151" s="644">
        <f t="shared" si="63"/>
        <v>0</v>
      </c>
      <c r="CS151" s="644">
        <f t="shared" si="64"/>
        <v>0</v>
      </c>
      <c r="CT151" s="644">
        <f t="shared" si="65"/>
        <v>0</v>
      </c>
      <c r="CU151" s="644">
        <f t="shared" si="66"/>
        <v>0</v>
      </c>
      <c r="CV151" s="644">
        <f t="shared" si="67"/>
        <v>0</v>
      </c>
      <c r="CW151" s="644">
        <f t="shared" si="68"/>
        <v>0</v>
      </c>
      <c r="CX151" s="644">
        <f t="shared" si="69"/>
        <v>0</v>
      </c>
      <c r="CY151" s="644">
        <f t="shared" si="70"/>
        <v>0</v>
      </c>
      <c r="CZ151" s="624" t="s">
        <v>993</v>
      </c>
      <c r="DA151" s="257"/>
    </row>
    <row r="152" spans="1:105">
      <c r="A152" s="249" t="s">
        <v>289</v>
      </c>
      <c r="B152" s="187"/>
      <c r="C152" s="644"/>
      <c r="D152" s="644">
        <v>1</v>
      </c>
      <c r="E152" s="644">
        <v>1</v>
      </c>
      <c r="F152" s="251"/>
      <c r="G152" s="251"/>
      <c r="H152" s="251"/>
      <c r="I152" s="251"/>
      <c r="J152" s="644"/>
      <c r="K152" s="644"/>
      <c r="L152" s="644"/>
      <c r="M152" s="644"/>
      <c r="N152" s="644"/>
      <c r="O152" s="644"/>
      <c r="P152" s="644"/>
      <c r="Q152" s="644"/>
      <c r="R152" s="644">
        <v>1</v>
      </c>
      <c r="S152" s="644"/>
      <c r="T152" s="644"/>
      <c r="U152" s="644">
        <v>1</v>
      </c>
      <c r="V152" s="644"/>
      <c r="W152" s="644"/>
      <c r="X152" s="644"/>
      <c r="Y152" s="644"/>
      <c r="Z152" s="644"/>
      <c r="AA152" s="644"/>
      <c r="AB152" s="644">
        <v>1</v>
      </c>
      <c r="AC152" s="644">
        <v>1</v>
      </c>
      <c r="AD152" s="644">
        <v>1</v>
      </c>
      <c r="AE152" s="644"/>
      <c r="AF152" s="644"/>
      <c r="AG152" s="644">
        <v>1</v>
      </c>
      <c r="AH152" s="644">
        <v>1</v>
      </c>
      <c r="AI152" s="644"/>
      <c r="AJ152" s="644">
        <v>1</v>
      </c>
      <c r="AK152" s="644"/>
      <c r="AL152" s="167">
        <v>10</v>
      </c>
      <c r="AM152" s="185" t="s">
        <v>1155</v>
      </c>
      <c r="AN152" s="186">
        <v>42007</v>
      </c>
      <c r="AO152" s="187"/>
      <c r="AP152" s="187">
        <f t="shared" si="148"/>
        <v>0</v>
      </c>
      <c r="AQ152" s="187">
        <f t="shared" si="149"/>
        <v>0</v>
      </c>
      <c r="AR152" s="187">
        <f t="shared" si="150"/>
        <v>13</v>
      </c>
      <c r="AS152" s="187">
        <f t="shared" si="151"/>
        <v>13</v>
      </c>
      <c r="AT152" s="187">
        <f t="shared" si="152"/>
        <v>9</v>
      </c>
      <c r="AU152" s="187">
        <f t="shared" si="153"/>
        <v>9</v>
      </c>
      <c r="AV152" s="187">
        <f t="shared" si="154"/>
        <v>9</v>
      </c>
      <c r="AW152" s="187">
        <f t="shared" si="155"/>
        <v>7</v>
      </c>
      <c r="AX152" s="187">
        <f t="shared" si="156"/>
        <v>7</v>
      </c>
      <c r="AY152" s="187">
        <f t="shared" si="157"/>
        <v>0</v>
      </c>
      <c r="AZ152" s="187">
        <f t="shared" si="158"/>
        <v>7</v>
      </c>
      <c r="BA152" s="187">
        <f t="shared" si="159"/>
        <v>7</v>
      </c>
      <c r="BB152" s="187">
        <f t="shared" si="160"/>
        <v>0</v>
      </c>
      <c r="BC152" s="187">
        <f t="shared" si="161"/>
        <v>0</v>
      </c>
      <c r="BD152" s="187">
        <f t="shared" si="162"/>
        <v>0</v>
      </c>
      <c r="BE152" s="187">
        <f t="shared" si="163"/>
        <v>0</v>
      </c>
      <c r="BF152" s="187">
        <f t="shared" si="164"/>
        <v>0</v>
      </c>
      <c r="BG152" s="187">
        <f t="shared" si="165"/>
        <v>0</v>
      </c>
      <c r="BH152" s="187">
        <f t="shared" si="166"/>
        <v>0</v>
      </c>
      <c r="BI152" s="187">
        <f t="shared" si="167"/>
        <v>0</v>
      </c>
      <c r="BJ152" s="187">
        <f t="shared" si="168"/>
        <v>1</v>
      </c>
      <c r="BK152" s="187">
        <f t="shared" si="169"/>
        <v>0</v>
      </c>
      <c r="BL152" s="187">
        <f t="shared" si="170"/>
        <v>0</v>
      </c>
      <c r="BM152" s="187">
        <f t="shared" si="171"/>
        <v>0</v>
      </c>
      <c r="BN152" s="188">
        <f t="shared" si="172"/>
        <v>0</v>
      </c>
      <c r="BO152" s="187">
        <f t="shared" si="173"/>
        <v>0</v>
      </c>
      <c r="BP152" s="187">
        <f t="shared" ref="BP152:BQ152" si="488">IF(G152=1,1,0)</f>
        <v>0</v>
      </c>
      <c r="BQ152" s="187">
        <f t="shared" si="488"/>
        <v>0</v>
      </c>
      <c r="BR152" s="187">
        <f t="shared" ref="BR152:BT152" si="489">IF(K152=1,1,0)</f>
        <v>0</v>
      </c>
      <c r="BS152" s="187">
        <f t="shared" si="489"/>
        <v>0</v>
      </c>
      <c r="BT152" s="187">
        <f t="shared" si="489"/>
        <v>0</v>
      </c>
      <c r="BU152" s="187">
        <f t="shared" ref="BU152:BV152" si="490">IF(P152=1,1,0)</f>
        <v>0</v>
      </c>
      <c r="BV152" s="187">
        <f t="shared" si="490"/>
        <v>0</v>
      </c>
      <c r="BW152" s="187">
        <f t="shared" si="177"/>
        <v>0</v>
      </c>
      <c r="BX152" s="187">
        <f t="shared" si="178"/>
        <v>0</v>
      </c>
      <c r="BY152" s="187">
        <f t="shared" si="179"/>
        <v>0</v>
      </c>
      <c r="BZ152" s="187">
        <f t="shared" si="180"/>
        <v>0</v>
      </c>
      <c r="CA152" s="167">
        <f t="shared" si="181"/>
        <v>82</v>
      </c>
      <c r="CB152" s="167">
        <f t="shared" si="47"/>
        <v>100</v>
      </c>
      <c r="CC152" s="644">
        <f t="shared" si="48"/>
        <v>23</v>
      </c>
      <c r="CD152" s="644">
        <f t="shared" si="49"/>
        <v>19</v>
      </c>
      <c r="CE152" s="644">
        <f t="shared" si="50"/>
        <v>15</v>
      </c>
      <c r="CF152" s="644">
        <f t="shared" si="51"/>
        <v>15</v>
      </c>
      <c r="CG152" s="644">
        <f t="shared" si="52"/>
        <v>9</v>
      </c>
      <c r="CH152" s="644">
        <f t="shared" si="123"/>
        <v>7</v>
      </c>
      <c r="CI152" s="644">
        <f t="shared" si="54"/>
        <v>7</v>
      </c>
      <c r="CJ152" s="644">
        <f t="shared" si="55"/>
        <v>5</v>
      </c>
      <c r="CK152" s="644">
        <f t="shared" si="56"/>
        <v>0</v>
      </c>
      <c r="CL152" s="644">
        <f t="shared" si="57"/>
        <v>0</v>
      </c>
      <c r="CM152" s="644">
        <f t="shared" si="58"/>
        <v>3</v>
      </c>
      <c r="CN152" s="644">
        <f t="shared" si="59"/>
        <v>0</v>
      </c>
      <c r="CO152" s="644">
        <f t="shared" si="60"/>
        <v>3</v>
      </c>
      <c r="CP152" s="644">
        <f t="shared" si="61"/>
        <v>0</v>
      </c>
      <c r="CQ152" s="644">
        <f t="shared" si="62"/>
        <v>0</v>
      </c>
      <c r="CR152" s="644">
        <f t="shared" si="63"/>
        <v>0</v>
      </c>
      <c r="CS152" s="644">
        <f t="shared" si="64"/>
        <v>0</v>
      </c>
      <c r="CT152" s="644">
        <f t="shared" si="65"/>
        <v>0</v>
      </c>
      <c r="CU152" s="644">
        <f t="shared" si="66"/>
        <v>0</v>
      </c>
      <c r="CV152" s="644">
        <f t="shared" si="67"/>
        <v>0</v>
      </c>
      <c r="CW152" s="644">
        <f t="shared" si="68"/>
        <v>0</v>
      </c>
      <c r="CX152" s="644">
        <f t="shared" si="69"/>
        <v>0</v>
      </c>
      <c r="CY152" s="644">
        <f t="shared" si="70"/>
        <v>0</v>
      </c>
      <c r="CZ152" s="624" t="s">
        <v>814</v>
      </c>
      <c r="DA152" s="257"/>
    </row>
    <row r="153" spans="1:105">
      <c r="A153" s="249" t="s">
        <v>292</v>
      </c>
      <c r="B153" s="187"/>
      <c r="C153" s="644"/>
      <c r="D153" s="644">
        <v>1</v>
      </c>
      <c r="E153" s="644">
        <v>1</v>
      </c>
      <c r="F153" s="251"/>
      <c r="G153" s="251"/>
      <c r="H153" s="251"/>
      <c r="I153" s="251"/>
      <c r="J153" s="644"/>
      <c r="K153" s="644"/>
      <c r="L153" s="644"/>
      <c r="M153" s="644"/>
      <c r="N153" s="644"/>
      <c r="O153" s="644"/>
      <c r="P153" s="644"/>
      <c r="Q153" s="644"/>
      <c r="R153" s="644">
        <v>1</v>
      </c>
      <c r="S153" s="644"/>
      <c r="T153" s="644"/>
      <c r="U153" s="644">
        <v>1</v>
      </c>
      <c r="V153" s="644"/>
      <c r="W153" s="644">
        <v>1</v>
      </c>
      <c r="X153" s="644"/>
      <c r="Y153" s="644"/>
      <c r="Z153" s="644"/>
      <c r="AA153" s="644"/>
      <c r="AB153" s="644">
        <v>1</v>
      </c>
      <c r="AC153" s="644"/>
      <c r="AD153" s="644">
        <v>1</v>
      </c>
      <c r="AE153" s="644"/>
      <c r="AF153" s="644"/>
      <c r="AG153" s="644"/>
      <c r="AH153" s="644">
        <v>1</v>
      </c>
      <c r="AI153" s="644"/>
      <c r="AJ153" s="644"/>
      <c r="AK153" s="644"/>
      <c r="AL153" s="167">
        <v>8</v>
      </c>
      <c r="AM153" s="185" t="s">
        <v>1210</v>
      </c>
      <c r="AN153" s="186">
        <v>42008</v>
      </c>
      <c r="AO153" s="187"/>
      <c r="AP153" s="187">
        <f t="shared" si="148"/>
        <v>0</v>
      </c>
      <c r="AQ153" s="187">
        <f t="shared" si="149"/>
        <v>0</v>
      </c>
      <c r="AR153" s="187">
        <f t="shared" si="150"/>
        <v>13</v>
      </c>
      <c r="AS153" s="187">
        <f t="shared" si="151"/>
        <v>13</v>
      </c>
      <c r="AT153" s="187">
        <f t="shared" si="152"/>
        <v>9</v>
      </c>
      <c r="AU153" s="187">
        <f t="shared" si="153"/>
        <v>9</v>
      </c>
      <c r="AV153" s="187">
        <f t="shared" si="154"/>
        <v>0</v>
      </c>
      <c r="AW153" s="187">
        <f t="shared" si="155"/>
        <v>0</v>
      </c>
      <c r="AX153" s="187">
        <f t="shared" si="156"/>
        <v>7</v>
      </c>
      <c r="AY153" s="187">
        <f t="shared" si="157"/>
        <v>0</v>
      </c>
      <c r="AZ153" s="187">
        <f t="shared" si="158"/>
        <v>7</v>
      </c>
      <c r="BA153" s="187">
        <f t="shared" si="159"/>
        <v>7</v>
      </c>
      <c r="BB153" s="187">
        <f t="shared" si="160"/>
        <v>0</v>
      </c>
      <c r="BC153" s="187">
        <f t="shared" si="161"/>
        <v>0</v>
      </c>
      <c r="BD153" s="187">
        <f t="shared" si="162"/>
        <v>0</v>
      </c>
      <c r="BE153" s="187">
        <f t="shared" si="163"/>
        <v>0</v>
      </c>
      <c r="BF153" s="187">
        <f t="shared" si="164"/>
        <v>3</v>
      </c>
      <c r="BG153" s="187">
        <f t="shared" si="165"/>
        <v>0</v>
      </c>
      <c r="BH153" s="187">
        <f t="shared" si="166"/>
        <v>0</v>
      </c>
      <c r="BI153" s="187">
        <f t="shared" si="167"/>
        <v>0</v>
      </c>
      <c r="BJ153" s="187">
        <f t="shared" si="168"/>
        <v>0</v>
      </c>
      <c r="BK153" s="187">
        <f t="shared" si="169"/>
        <v>0</v>
      </c>
      <c r="BL153" s="187">
        <f t="shared" si="170"/>
        <v>0</v>
      </c>
      <c r="BM153" s="187">
        <f t="shared" si="171"/>
        <v>0</v>
      </c>
      <c r="BN153" s="188">
        <f t="shared" si="172"/>
        <v>2</v>
      </c>
      <c r="BO153" s="187">
        <f t="shared" si="173"/>
        <v>0</v>
      </c>
      <c r="BP153" s="187">
        <f t="shared" ref="BP153:BQ153" si="491">IF(G153=1,1,0)</f>
        <v>0</v>
      </c>
      <c r="BQ153" s="187">
        <f t="shared" si="491"/>
        <v>0</v>
      </c>
      <c r="BR153" s="187">
        <f t="shared" ref="BR153:BT153" si="492">IF(K153=1,1,0)</f>
        <v>0</v>
      </c>
      <c r="BS153" s="187">
        <f t="shared" si="492"/>
        <v>0</v>
      </c>
      <c r="BT153" s="187">
        <f t="shared" si="492"/>
        <v>0</v>
      </c>
      <c r="BU153" s="187">
        <f t="shared" ref="BU153:BV153" si="493">IF(P153=1,1,0)</f>
        <v>0</v>
      </c>
      <c r="BV153" s="187">
        <f t="shared" si="493"/>
        <v>0</v>
      </c>
      <c r="BW153" s="187">
        <f t="shared" si="177"/>
        <v>0</v>
      </c>
      <c r="BX153" s="187">
        <f t="shared" si="178"/>
        <v>0</v>
      </c>
      <c r="BY153" s="187">
        <f t="shared" si="179"/>
        <v>2</v>
      </c>
      <c r="BZ153" s="187">
        <f t="shared" si="180"/>
        <v>-4</v>
      </c>
      <c r="CA153" s="167">
        <f t="shared" si="181"/>
        <v>64</v>
      </c>
      <c r="CB153" s="167">
        <f t="shared" si="47"/>
        <v>95</v>
      </c>
      <c r="CC153" s="644">
        <f t="shared" si="48"/>
        <v>23</v>
      </c>
      <c r="CD153" s="644">
        <f t="shared" si="49"/>
        <v>19</v>
      </c>
      <c r="CE153" s="644">
        <f t="shared" si="50"/>
        <v>15</v>
      </c>
      <c r="CF153" s="644">
        <f t="shared" si="51"/>
        <v>15</v>
      </c>
      <c r="CG153" s="644">
        <f t="shared" si="52"/>
        <v>9</v>
      </c>
      <c r="CH153" s="644">
        <f t="shared" si="123"/>
        <v>7</v>
      </c>
      <c r="CI153" s="644">
        <f t="shared" si="54"/>
        <v>0</v>
      </c>
      <c r="CJ153" s="644">
        <f t="shared" si="55"/>
        <v>5</v>
      </c>
      <c r="CK153" s="644">
        <f t="shared" si="56"/>
        <v>0</v>
      </c>
      <c r="CL153" s="644">
        <f t="shared" si="57"/>
        <v>0</v>
      </c>
      <c r="CM153" s="644">
        <f t="shared" si="58"/>
        <v>0</v>
      </c>
      <c r="CN153" s="644">
        <f t="shared" si="59"/>
        <v>0</v>
      </c>
      <c r="CO153" s="644">
        <f t="shared" si="60"/>
        <v>0</v>
      </c>
      <c r="CP153" s="644">
        <f t="shared" si="61"/>
        <v>0</v>
      </c>
      <c r="CQ153" s="644">
        <f t="shared" si="62"/>
        <v>0</v>
      </c>
      <c r="CR153" s="644">
        <f t="shared" si="63"/>
        <v>2</v>
      </c>
      <c r="CS153" s="644">
        <f t="shared" si="64"/>
        <v>0</v>
      </c>
      <c r="CT153" s="644">
        <f t="shared" si="65"/>
        <v>0</v>
      </c>
      <c r="CU153" s="644">
        <f t="shared" si="66"/>
        <v>0</v>
      </c>
      <c r="CV153" s="644">
        <f t="shared" si="67"/>
        <v>0</v>
      </c>
      <c r="CW153" s="644">
        <f t="shared" si="68"/>
        <v>0</v>
      </c>
      <c r="CX153" s="644">
        <f t="shared" si="69"/>
        <v>0</v>
      </c>
      <c r="CY153" s="644">
        <f t="shared" si="70"/>
        <v>0</v>
      </c>
      <c r="CZ153" s="624" t="s">
        <v>1098</v>
      </c>
      <c r="DA153" s="257"/>
    </row>
    <row r="154" spans="1:105">
      <c r="A154" s="249" t="s">
        <v>293</v>
      </c>
      <c r="B154" s="187"/>
      <c r="C154" s="644"/>
      <c r="D154" s="644"/>
      <c r="E154" s="644">
        <v>1</v>
      </c>
      <c r="F154" s="251"/>
      <c r="G154" s="251"/>
      <c r="H154" s="251"/>
      <c r="I154" s="251"/>
      <c r="J154" s="644"/>
      <c r="K154" s="644"/>
      <c r="L154" s="644"/>
      <c r="M154" s="644"/>
      <c r="N154" s="644"/>
      <c r="O154" s="644"/>
      <c r="P154" s="644"/>
      <c r="Q154" s="644"/>
      <c r="R154" s="644">
        <v>1</v>
      </c>
      <c r="S154" s="644">
        <v>1</v>
      </c>
      <c r="T154" s="644"/>
      <c r="U154" s="644">
        <v>1</v>
      </c>
      <c r="V154" s="644"/>
      <c r="W154" s="644">
        <v>1</v>
      </c>
      <c r="X154" s="644"/>
      <c r="Y154" s="644"/>
      <c r="Z154" s="258">
        <v>1</v>
      </c>
      <c r="AA154" s="644"/>
      <c r="AB154" s="644"/>
      <c r="AC154" s="644">
        <v>1</v>
      </c>
      <c r="AD154" s="250"/>
      <c r="AE154" s="644"/>
      <c r="AF154" s="644"/>
      <c r="AG154" s="644"/>
      <c r="AH154" s="644">
        <v>1</v>
      </c>
      <c r="AI154" s="644"/>
      <c r="AJ154" s="644">
        <v>1</v>
      </c>
      <c r="AK154" s="644"/>
      <c r="AL154" s="167">
        <v>9</v>
      </c>
      <c r="AM154" s="185" t="s">
        <v>1211</v>
      </c>
      <c r="AN154" s="186">
        <v>42009</v>
      </c>
      <c r="AO154" s="187"/>
      <c r="AP154" s="187">
        <f t="shared" si="148"/>
        <v>0</v>
      </c>
      <c r="AQ154" s="187">
        <f t="shared" si="149"/>
        <v>0</v>
      </c>
      <c r="AR154" s="187">
        <f t="shared" si="150"/>
        <v>13</v>
      </c>
      <c r="AS154" s="187">
        <f t="shared" si="151"/>
        <v>13</v>
      </c>
      <c r="AT154" s="187">
        <f t="shared" si="152"/>
        <v>0</v>
      </c>
      <c r="AU154" s="187">
        <f t="shared" si="153"/>
        <v>0</v>
      </c>
      <c r="AV154" s="187">
        <f t="shared" si="154"/>
        <v>9</v>
      </c>
      <c r="AW154" s="187">
        <f t="shared" si="155"/>
        <v>7</v>
      </c>
      <c r="AX154" s="187">
        <f t="shared" si="156"/>
        <v>0</v>
      </c>
      <c r="AY154" s="187">
        <f t="shared" si="157"/>
        <v>7</v>
      </c>
      <c r="AZ154" s="187">
        <f t="shared" si="158"/>
        <v>7</v>
      </c>
      <c r="BA154" s="187">
        <f t="shared" si="159"/>
        <v>7</v>
      </c>
      <c r="BB154" s="187">
        <f t="shared" si="160"/>
        <v>0</v>
      </c>
      <c r="BC154" s="187">
        <f t="shared" si="161"/>
        <v>0</v>
      </c>
      <c r="BD154" s="187">
        <f t="shared" si="162"/>
        <v>0</v>
      </c>
      <c r="BE154" s="187">
        <f t="shared" si="163"/>
        <v>0</v>
      </c>
      <c r="BF154" s="187">
        <f t="shared" si="164"/>
        <v>3</v>
      </c>
      <c r="BG154" s="187">
        <f t="shared" si="165"/>
        <v>0</v>
      </c>
      <c r="BH154" s="187">
        <f t="shared" si="166"/>
        <v>2</v>
      </c>
      <c r="BI154" s="187">
        <f t="shared" si="167"/>
        <v>0</v>
      </c>
      <c r="BJ154" s="187">
        <f t="shared" si="168"/>
        <v>0</v>
      </c>
      <c r="BK154" s="187">
        <f t="shared" si="169"/>
        <v>0</v>
      </c>
      <c r="BL154" s="187">
        <f t="shared" si="170"/>
        <v>0</v>
      </c>
      <c r="BM154" s="187">
        <f t="shared" si="171"/>
        <v>0</v>
      </c>
      <c r="BN154" s="188">
        <f t="shared" si="172"/>
        <v>1</v>
      </c>
      <c r="BO154" s="187">
        <f t="shared" si="173"/>
        <v>0</v>
      </c>
      <c r="BP154" s="187">
        <f t="shared" ref="BP154:BQ154" si="494">IF(G154=1,1,0)</f>
        <v>0</v>
      </c>
      <c r="BQ154" s="187">
        <f t="shared" si="494"/>
        <v>0</v>
      </c>
      <c r="BR154" s="187">
        <f t="shared" ref="BR154:BT154" si="495">IF(K154=1,1,0)</f>
        <v>0</v>
      </c>
      <c r="BS154" s="187">
        <f t="shared" si="495"/>
        <v>0</v>
      </c>
      <c r="BT154" s="187">
        <f t="shared" si="495"/>
        <v>0</v>
      </c>
      <c r="BU154" s="187">
        <f t="shared" ref="BU154:BV154" si="496">IF(P154=1,1,0)</f>
        <v>0</v>
      </c>
      <c r="BV154" s="187">
        <f t="shared" si="496"/>
        <v>0</v>
      </c>
      <c r="BW154" s="187">
        <f t="shared" si="177"/>
        <v>0</v>
      </c>
      <c r="BX154" s="187">
        <f t="shared" si="178"/>
        <v>0</v>
      </c>
      <c r="BY154" s="187">
        <f t="shared" si="179"/>
        <v>1</v>
      </c>
      <c r="BZ154" s="187">
        <f t="shared" si="180"/>
        <v>-1</v>
      </c>
      <c r="CA154" s="167">
        <f t="shared" si="181"/>
        <v>67</v>
      </c>
      <c r="CB154" s="167">
        <f t="shared" si="47"/>
        <v>92</v>
      </c>
      <c r="CC154" s="644">
        <f t="shared" si="48"/>
        <v>23</v>
      </c>
      <c r="CD154" s="644">
        <f t="shared" si="49"/>
        <v>19</v>
      </c>
      <c r="CE154" s="644">
        <f t="shared" si="50"/>
        <v>15</v>
      </c>
      <c r="CF154" s="644">
        <f t="shared" si="51"/>
        <v>15</v>
      </c>
      <c r="CG154" s="644">
        <f t="shared" si="52"/>
        <v>0</v>
      </c>
      <c r="CH154" s="644">
        <f t="shared" si="123"/>
        <v>7</v>
      </c>
      <c r="CI154" s="644">
        <f t="shared" si="54"/>
        <v>7</v>
      </c>
      <c r="CJ154" s="644">
        <f t="shared" si="55"/>
        <v>0</v>
      </c>
      <c r="CK154" s="644">
        <f t="shared" si="56"/>
        <v>0</v>
      </c>
      <c r="CL154" s="644">
        <f t="shared" si="57"/>
        <v>0</v>
      </c>
      <c r="CM154" s="644">
        <f t="shared" si="58"/>
        <v>0</v>
      </c>
      <c r="CN154" s="644">
        <f t="shared" si="59"/>
        <v>0</v>
      </c>
      <c r="CO154" s="644">
        <f t="shared" si="60"/>
        <v>3</v>
      </c>
      <c r="CP154" s="644">
        <f t="shared" si="61"/>
        <v>3</v>
      </c>
      <c r="CQ154" s="644">
        <f t="shared" si="62"/>
        <v>2</v>
      </c>
      <c r="CR154" s="644">
        <f t="shared" si="63"/>
        <v>2</v>
      </c>
      <c r="CS154" s="644">
        <f t="shared" si="64"/>
        <v>0</v>
      </c>
      <c r="CT154" s="644">
        <f t="shared" si="65"/>
        <v>0</v>
      </c>
      <c r="CU154" s="644">
        <f t="shared" si="66"/>
        <v>0</v>
      </c>
      <c r="CV154" s="644">
        <f t="shared" si="67"/>
        <v>0</v>
      </c>
      <c r="CW154" s="644">
        <f t="shared" si="68"/>
        <v>0</v>
      </c>
      <c r="CX154" s="644">
        <f t="shared" si="69"/>
        <v>0</v>
      </c>
      <c r="CY154" s="644">
        <f t="shared" si="70"/>
        <v>0</v>
      </c>
      <c r="CZ154" s="624" t="s">
        <v>793</v>
      </c>
      <c r="DA154" s="257"/>
    </row>
    <row r="155" spans="1:105">
      <c r="A155" s="249" t="s">
        <v>456</v>
      </c>
      <c r="B155" s="187"/>
      <c r="C155" s="644"/>
      <c r="D155" s="258">
        <v>1</v>
      </c>
      <c r="E155" s="258">
        <v>1</v>
      </c>
      <c r="F155" s="251"/>
      <c r="G155" s="251"/>
      <c r="H155" s="251"/>
      <c r="I155" s="251"/>
      <c r="J155" s="644"/>
      <c r="K155" s="644"/>
      <c r="L155" s="644"/>
      <c r="M155" s="644"/>
      <c r="N155" s="644"/>
      <c r="O155" s="644"/>
      <c r="P155" s="644"/>
      <c r="Q155" s="644"/>
      <c r="R155" s="644">
        <v>1</v>
      </c>
      <c r="S155" s="644">
        <v>1</v>
      </c>
      <c r="T155" s="644"/>
      <c r="U155" s="644">
        <v>1</v>
      </c>
      <c r="V155" s="644"/>
      <c r="W155" s="644"/>
      <c r="X155" s="644"/>
      <c r="Y155" s="644"/>
      <c r="Z155" s="644"/>
      <c r="AA155" s="644"/>
      <c r="AB155" s="258">
        <v>1</v>
      </c>
      <c r="AC155" s="644">
        <v>1</v>
      </c>
      <c r="AD155" s="644"/>
      <c r="AE155" s="644"/>
      <c r="AF155" s="644">
        <v>1</v>
      </c>
      <c r="AG155" s="644">
        <v>1</v>
      </c>
      <c r="AH155" s="644">
        <v>1</v>
      </c>
      <c r="AI155" s="644"/>
      <c r="AJ155" s="644"/>
      <c r="AK155" s="644"/>
      <c r="AL155" s="167">
        <v>10</v>
      </c>
      <c r="AM155" s="185" t="s">
        <v>1148</v>
      </c>
      <c r="AN155" s="186">
        <v>42006</v>
      </c>
      <c r="AO155" s="187"/>
      <c r="AP155" s="187">
        <f t="shared" si="148"/>
        <v>0</v>
      </c>
      <c r="AQ155" s="187">
        <f t="shared" si="149"/>
        <v>0</v>
      </c>
      <c r="AR155" s="187">
        <f t="shared" si="150"/>
        <v>13</v>
      </c>
      <c r="AS155" s="187">
        <f t="shared" si="151"/>
        <v>13</v>
      </c>
      <c r="AT155" s="187">
        <f t="shared" si="152"/>
        <v>9</v>
      </c>
      <c r="AU155" s="187">
        <f t="shared" si="153"/>
        <v>9</v>
      </c>
      <c r="AV155" s="187">
        <f t="shared" si="154"/>
        <v>9</v>
      </c>
      <c r="AW155" s="187">
        <f t="shared" si="155"/>
        <v>0</v>
      </c>
      <c r="AX155" s="187">
        <f t="shared" si="156"/>
        <v>0</v>
      </c>
      <c r="AY155" s="187">
        <f t="shared" si="157"/>
        <v>0</v>
      </c>
      <c r="AZ155" s="187">
        <f t="shared" si="158"/>
        <v>7</v>
      </c>
      <c r="BA155" s="187">
        <f t="shared" si="159"/>
        <v>7</v>
      </c>
      <c r="BB155" s="187">
        <f t="shared" si="160"/>
        <v>0</v>
      </c>
      <c r="BC155" s="187">
        <f t="shared" si="161"/>
        <v>0</v>
      </c>
      <c r="BD155" s="187">
        <f t="shared" si="162"/>
        <v>0</v>
      </c>
      <c r="BE155" s="187">
        <f t="shared" si="163"/>
        <v>3</v>
      </c>
      <c r="BF155" s="187">
        <f t="shared" si="164"/>
        <v>0</v>
      </c>
      <c r="BG155" s="187">
        <f t="shared" si="165"/>
        <v>0</v>
      </c>
      <c r="BH155" s="187">
        <f t="shared" si="166"/>
        <v>2</v>
      </c>
      <c r="BI155" s="187">
        <f t="shared" si="167"/>
        <v>0</v>
      </c>
      <c r="BJ155" s="187">
        <f t="shared" si="168"/>
        <v>1</v>
      </c>
      <c r="BK155" s="187">
        <f t="shared" si="169"/>
        <v>0</v>
      </c>
      <c r="BL155" s="187">
        <f t="shared" si="170"/>
        <v>0</v>
      </c>
      <c r="BM155" s="187">
        <f t="shared" si="171"/>
        <v>0</v>
      </c>
      <c r="BN155" s="188">
        <f t="shared" si="172"/>
        <v>0</v>
      </c>
      <c r="BO155" s="187">
        <f t="shared" si="173"/>
        <v>0</v>
      </c>
      <c r="BP155" s="187">
        <f t="shared" ref="BP155:BQ155" si="497">IF(G155=1,1,0)</f>
        <v>0</v>
      </c>
      <c r="BQ155" s="187">
        <f t="shared" si="497"/>
        <v>0</v>
      </c>
      <c r="BR155" s="187">
        <f t="shared" ref="BR155:BT155" si="498">IF(K155=1,1,0)</f>
        <v>0</v>
      </c>
      <c r="BS155" s="187">
        <f t="shared" si="498"/>
        <v>0</v>
      </c>
      <c r="BT155" s="187">
        <f t="shared" si="498"/>
        <v>0</v>
      </c>
      <c r="BU155" s="187">
        <f t="shared" ref="BU155:BV155" si="499">IF(P155=1,1,0)</f>
        <v>0</v>
      </c>
      <c r="BV155" s="187">
        <f t="shared" si="499"/>
        <v>0</v>
      </c>
      <c r="BW155" s="187">
        <f t="shared" si="177"/>
        <v>0</v>
      </c>
      <c r="BX155" s="187">
        <f t="shared" si="178"/>
        <v>0</v>
      </c>
      <c r="BY155" s="187">
        <f t="shared" si="179"/>
        <v>0</v>
      </c>
      <c r="BZ155" s="187">
        <f t="shared" si="180"/>
        <v>0</v>
      </c>
      <c r="CA155" s="167">
        <f t="shared" si="181"/>
        <v>73</v>
      </c>
      <c r="CB155" s="167">
        <f t="shared" si="47"/>
        <v>93</v>
      </c>
      <c r="CC155" s="644">
        <f t="shared" si="48"/>
        <v>23</v>
      </c>
      <c r="CD155" s="644">
        <f t="shared" si="49"/>
        <v>19</v>
      </c>
      <c r="CE155" s="644">
        <f t="shared" si="50"/>
        <v>15</v>
      </c>
      <c r="CF155" s="644">
        <f t="shared" si="51"/>
        <v>15</v>
      </c>
      <c r="CG155" s="644">
        <f t="shared" si="52"/>
        <v>9</v>
      </c>
      <c r="CH155" s="644">
        <f t="shared" si="123"/>
        <v>0</v>
      </c>
      <c r="CI155" s="644">
        <f t="shared" si="54"/>
        <v>7</v>
      </c>
      <c r="CJ155" s="644">
        <f t="shared" si="55"/>
        <v>0</v>
      </c>
      <c r="CK155" s="644">
        <f t="shared" si="56"/>
        <v>0</v>
      </c>
      <c r="CL155" s="644">
        <f t="shared" si="57"/>
        <v>0</v>
      </c>
      <c r="CM155" s="644">
        <f t="shared" si="58"/>
        <v>3</v>
      </c>
      <c r="CN155" s="644">
        <f t="shared" si="59"/>
        <v>0</v>
      </c>
      <c r="CO155" s="644">
        <f t="shared" si="60"/>
        <v>0</v>
      </c>
      <c r="CP155" s="644">
        <f t="shared" si="61"/>
        <v>0</v>
      </c>
      <c r="CQ155" s="644">
        <f t="shared" si="62"/>
        <v>2</v>
      </c>
      <c r="CR155" s="644">
        <f t="shared" si="63"/>
        <v>0</v>
      </c>
      <c r="CS155" s="644">
        <f t="shared" si="64"/>
        <v>0</v>
      </c>
      <c r="CT155" s="644">
        <f t="shared" si="65"/>
        <v>2</v>
      </c>
      <c r="CU155" s="644">
        <f t="shared" si="66"/>
        <v>0</v>
      </c>
      <c r="CV155" s="644">
        <f t="shared" si="67"/>
        <v>0</v>
      </c>
      <c r="CW155" s="644">
        <f t="shared" si="68"/>
        <v>0</v>
      </c>
      <c r="CX155" s="644">
        <f t="shared" si="69"/>
        <v>0</v>
      </c>
      <c r="CY155" s="644">
        <f t="shared" si="70"/>
        <v>0</v>
      </c>
      <c r="CZ155" s="624" t="s">
        <v>814</v>
      </c>
      <c r="DA155" s="257"/>
    </row>
    <row r="156" spans="1:105">
      <c r="A156" s="249" t="s">
        <v>1212</v>
      </c>
      <c r="B156" s="187"/>
      <c r="C156" s="644"/>
      <c r="D156" s="644"/>
      <c r="E156" s="644">
        <v>1</v>
      </c>
      <c r="F156" s="251"/>
      <c r="G156" s="251"/>
      <c r="H156" s="251"/>
      <c r="I156" s="251"/>
      <c r="J156" s="644"/>
      <c r="K156" s="644"/>
      <c r="L156" s="644"/>
      <c r="M156" s="644"/>
      <c r="N156" s="644"/>
      <c r="O156" s="644"/>
      <c r="P156" s="644"/>
      <c r="Q156" s="644"/>
      <c r="R156" s="644">
        <v>1</v>
      </c>
      <c r="S156" s="644"/>
      <c r="T156" s="644"/>
      <c r="U156" s="644">
        <v>1</v>
      </c>
      <c r="V156" s="644"/>
      <c r="W156" s="644"/>
      <c r="X156" s="644"/>
      <c r="Y156" s="644"/>
      <c r="Z156" s="258">
        <v>1</v>
      </c>
      <c r="AA156" s="644"/>
      <c r="AB156" s="644">
        <v>1</v>
      </c>
      <c r="AC156" s="644"/>
      <c r="AD156" s="644"/>
      <c r="AE156" s="644"/>
      <c r="AF156" s="644"/>
      <c r="AG156" s="644"/>
      <c r="AH156" s="644"/>
      <c r="AI156" s="644"/>
      <c r="AJ156" s="644"/>
      <c r="AK156" s="644"/>
      <c r="AL156" s="167">
        <v>5</v>
      </c>
      <c r="AM156" s="185" t="s">
        <v>1213</v>
      </c>
      <c r="AN156" s="186">
        <v>42004</v>
      </c>
      <c r="AO156" s="187"/>
      <c r="AP156" s="187">
        <f t="shared" si="148"/>
        <v>0</v>
      </c>
      <c r="AQ156" s="187">
        <f t="shared" si="149"/>
        <v>0</v>
      </c>
      <c r="AR156" s="187">
        <f t="shared" si="150"/>
        <v>13</v>
      </c>
      <c r="AS156" s="187">
        <f t="shared" si="151"/>
        <v>13</v>
      </c>
      <c r="AT156" s="187">
        <f t="shared" si="152"/>
        <v>9</v>
      </c>
      <c r="AU156" s="187">
        <f t="shared" si="153"/>
        <v>0</v>
      </c>
      <c r="AV156" s="187">
        <f t="shared" si="154"/>
        <v>0</v>
      </c>
      <c r="AW156" s="187">
        <f t="shared" si="155"/>
        <v>0</v>
      </c>
      <c r="AX156" s="187">
        <f t="shared" si="156"/>
        <v>0</v>
      </c>
      <c r="AY156" s="187">
        <f t="shared" si="157"/>
        <v>7</v>
      </c>
      <c r="AZ156" s="187">
        <f t="shared" si="158"/>
        <v>0</v>
      </c>
      <c r="BA156" s="187">
        <f t="shared" si="159"/>
        <v>7</v>
      </c>
      <c r="BB156" s="187">
        <f t="shared" si="160"/>
        <v>0</v>
      </c>
      <c r="BC156" s="187">
        <f t="shared" si="161"/>
        <v>0</v>
      </c>
      <c r="BD156" s="187">
        <f t="shared" si="162"/>
        <v>0</v>
      </c>
      <c r="BE156" s="187">
        <f t="shared" si="163"/>
        <v>0</v>
      </c>
      <c r="BF156" s="187">
        <f t="shared" si="164"/>
        <v>0</v>
      </c>
      <c r="BG156" s="187">
        <f t="shared" si="165"/>
        <v>0</v>
      </c>
      <c r="BH156" s="187">
        <f t="shared" si="166"/>
        <v>0</v>
      </c>
      <c r="BI156" s="187">
        <f t="shared" si="167"/>
        <v>0</v>
      </c>
      <c r="BJ156" s="187">
        <f t="shared" si="168"/>
        <v>0</v>
      </c>
      <c r="BK156" s="187">
        <f t="shared" si="169"/>
        <v>0</v>
      </c>
      <c r="BL156" s="187">
        <f t="shared" si="170"/>
        <v>0</v>
      </c>
      <c r="BM156" s="187">
        <f t="shared" si="171"/>
        <v>0</v>
      </c>
      <c r="BN156" s="188">
        <f t="shared" si="172"/>
        <v>5</v>
      </c>
      <c r="BO156" s="187">
        <f t="shared" si="173"/>
        <v>0</v>
      </c>
      <c r="BP156" s="187">
        <f t="shared" ref="BP156:BQ156" si="500">IF(G156=1,1,0)</f>
        <v>0</v>
      </c>
      <c r="BQ156" s="187">
        <f t="shared" si="500"/>
        <v>0</v>
      </c>
      <c r="BR156" s="187">
        <f t="shared" ref="BR156:BT156" si="501">IF(K156=1,1,0)</f>
        <v>0</v>
      </c>
      <c r="BS156" s="187">
        <f t="shared" si="501"/>
        <v>0</v>
      </c>
      <c r="BT156" s="187">
        <f t="shared" si="501"/>
        <v>0</v>
      </c>
      <c r="BU156" s="187">
        <f t="shared" ref="BU156:BV156" si="502">IF(P156=1,1,0)</f>
        <v>0</v>
      </c>
      <c r="BV156" s="187">
        <f t="shared" si="502"/>
        <v>0</v>
      </c>
      <c r="BW156" s="187">
        <f t="shared" si="177"/>
        <v>0</v>
      </c>
      <c r="BX156" s="187">
        <f t="shared" si="178"/>
        <v>0</v>
      </c>
      <c r="BY156" s="187">
        <f t="shared" si="179"/>
        <v>5</v>
      </c>
      <c r="BZ156" s="187">
        <f t="shared" si="180"/>
        <v>-25</v>
      </c>
      <c r="CA156" s="167">
        <f t="shared" si="181"/>
        <v>24</v>
      </c>
      <c r="CB156" s="167">
        <f t="shared" si="47"/>
        <v>69</v>
      </c>
      <c r="CC156" s="644">
        <f t="shared" si="48"/>
        <v>23</v>
      </c>
      <c r="CD156" s="644">
        <f t="shared" si="49"/>
        <v>19</v>
      </c>
      <c r="CE156" s="644">
        <f t="shared" si="50"/>
        <v>0</v>
      </c>
      <c r="CF156" s="644">
        <f t="shared" si="51"/>
        <v>15</v>
      </c>
      <c r="CG156" s="644">
        <f t="shared" si="52"/>
        <v>9</v>
      </c>
      <c r="CH156" s="644">
        <f t="shared" si="123"/>
        <v>0</v>
      </c>
      <c r="CI156" s="644">
        <f t="shared" si="54"/>
        <v>0</v>
      </c>
      <c r="CJ156" s="644">
        <f t="shared" si="55"/>
        <v>0</v>
      </c>
      <c r="CK156" s="644">
        <f t="shared" si="56"/>
        <v>0</v>
      </c>
      <c r="CL156" s="644">
        <f t="shared" si="57"/>
        <v>0</v>
      </c>
      <c r="CM156" s="644">
        <f t="shared" si="58"/>
        <v>0</v>
      </c>
      <c r="CN156" s="644">
        <f t="shared" si="59"/>
        <v>0</v>
      </c>
      <c r="CO156" s="644">
        <f t="shared" si="60"/>
        <v>0</v>
      </c>
      <c r="CP156" s="644">
        <f t="shared" si="61"/>
        <v>3</v>
      </c>
      <c r="CQ156" s="644">
        <f t="shared" si="62"/>
        <v>0</v>
      </c>
      <c r="CR156" s="644">
        <f t="shared" si="63"/>
        <v>0</v>
      </c>
      <c r="CS156" s="644">
        <f t="shared" si="64"/>
        <v>0</v>
      </c>
      <c r="CT156" s="644">
        <f t="shared" si="65"/>
        <v>0</v>
      </c>
      <c r="CU156" s="644">
        <f t="shared" si="66"/>
        <v>0</v>
      </c>
      <c r="CV156" s="644">
        <f t="shared" si="67"/>
        <v>0</v>
      </c>
      <c r="CW156" s="644">
        <f t="shared" si="68"/>
        <v>0</v>
      </c>
      <c r="CX156" s="644">
        <f t="shared" si="69"/>
        <v>0</v>
      </c>
      <c r="CY156" s="644">
        <f t="shared" si="70"/>
        <v>0</v>
      </c>
      <c r="CZ156" s="624" t="s">
        <v>743</v>
      </c>
      <c r="DA156" s="257"/>
    </row>
    <row r="157" spans="1:105">
      <c r="A157" s="249" t="s">
        <v>295</v>
      </c>
      <c r="B157" s="187"/>
      <c r="C157" s="644"/>
      <c r="D157" s="644"/>
      <c r="E157" s="644">
        <v>1</v>
      </c>
      <c r="F157" s="251"/>
      <c r="G157" s="251"/>
      <c r="H157" s="251"/>
      <c r="I157" s="251"/>
      <c r="J157" s="644"/>
      <c r="K157" s="644"/>
      <c r="L157" s="644"/>
      <c r="M157" s="644"/>
      <c r="N157" s="644"/>
      <c r="O157" s="644"/>
      <c r="P157" s="644"/>
      <c r="Q157" s="644"/>
      <c r="R157" s="644">
        <v>1</v>
      </c>
      <c r="S157" s="644"/>
      <c r="T157" s="644">
        <v>1</v>
      </c>
      <c r="U157" s="644">
        <v>1</v>
      </c>
      <c r="V157" s="644"/>
      <c r="W157" s="644">
        <v>1</v>
      </c>
      <c r="X157" s="644"/>
      <c r="Y157" s="644"/>
      <c r="Z157" s="644"/>
      <c r="AA157" s="644"/>
      <c r="AB157" s="258">
        <v>1</v>
      </c>
      <c r="AC157" s="644">
        <v>1</v>
      </c>
      <c r="AD157" s="644">
        <v>1</v>
      </c>
      <c r="AE157" s="644"/>
      <c r="AF157" s="644"/>
      <c r="AG157" s="644"/>
      <c r="AH157" s="644">
        <v>1</v>
      </c>
      <c r="AI157" s="644"/>
      <c r="AJ157" s="644">
        <v>1</v>
      </c>
      <c r="AK157" s="644"/>
      <c r="AL157" s="167">
        <v>10</v>
      </c>
      <c r="AM157" s="185" t="s">
        <v>1214</v>
      </c>
      <c r="AN157" s="186">
        <v>42009</v>
      </c>
      <c r="AO157" s="187"/>
      <c r="AP157" s="187">
        <f t="shared" si="148"/>
        <v>0</v>
      </c>
      <c r="AQ157" s="187">
        <f t="shared" si="149"/>
        <v>0</v>
      </c>
      <c r="AR157" s="187">
        <f t="shared" si="150"/>
        <v>13</v>
      </c>
      <c r="AS157" s="187">
        <f t="shared" si="151"/>
        <v>13</v>
      </c>
      <c r="AT157" s="187">
        <f t="shared" si="152"/>
        <v>9</v>
      </c>
      <c r="AU157" s="187">
        <f t="shared" si="153"/>
        <v>0</v>
      </c>
      <c r="AV157" s="187">
        <f t="shared" si="154"/>
        <v>9</v>
      </c>
      <c r="AW157" s="187">
        <f t="shared" si="155"/>
        <v>7</v>
      </c>
      <c r="AX157" s="187">
        <f t="shared" si="156"/>
        <v>7</v>
      </c>
      <c r="AY157" s="187">
        <f t="shared" si="157"/>
        <v>0</v>
      </c>
      <c r="AZ157" s="187">
        <f t="shared" si="158"/>
        <v>7</v>
      </c>
      <c r="BA157" s="187">
        <f t="shared" si="159"/>
        <v>7</v>
      </c>
      <c r="BB157" s="187">
        <f t="shared" si="160"/>
        <v>0</v>
      </c>
      <c r="BC157" s="187">
        <f t="shared" si="161"/>
        <v>4</v>
      </c>
      <c r="BD157" s="187">
        <f t="shared" si="162"/>
        <v>0</v>
      </c>
      <c r="BE157" s="187">
        <f t="shared" si="163"/>
        <v>0</v>
      </c>
      <c r="BF157" s="187">
        <f t="shared" si="164"/>
        <v>3</v>
      </c>
      <c r="BG157" s="187">
        <f t="shared" si="165"/>
        <v>0</v>
      </c>
      <c r="BH157" s="187">
        <f t="shared" si="166"/>
        <v>0</v>
      </c>
      <c r="BI157" s="187">
        <f t="shared" si="167"/>
        <v>0</v>
      </c>
      <c r="BJ157" s="187">
        <f t="shared" si="168"/>
        <v>0</v>
      </c>
      <c r="BK157" s="187">
        <f t="shared" si="169"/>
        <v>0</v>
      </c>
      <c r="BL157" s="187">
        <f t="shared" si="170"/>
        <v>0</v>
      </c>
      <c r="BM157" s="187">
        <f t="shared" si="171"/>
        <v>0</v>
      </c>
      <c r="BN157" s="188">
        <f t="shared" si="172"/>
        <v>0</v>
      </c>
      <c r="BO157" s="187">
        <f t="shared" si="173"/>
        <v>0</v>
      </c>
      <c r="BP157" s="187">
        <f t="shared" ref="BP157:BQ157" si="503">IF(G157=1,1,0)</f>
        <v>0</v>
      </c>
      <c r="BQ157" s="187">
        <f t="shared" si="503"/>
        <v>0</v>
      </c>
      <c r="BR157" s="187">
        <f t="shared" ref="BR157:BT157" si="504">IF(K157=1,1,0)</f>
        <v>0</v>
      </c>
      <c r="BS157" s="187">
        <f t="shared" si="504"/>
        <v>0</v>
      </c>
      <c r="BT157" s="187">
        <f t="shared" si="504"/>
        <v>0</v>
      </c>
      <c r="BU157" s="187">
        <f t="shared" ref="BU157:BV157" si="505">IF(P157=1,1,0)</f>
        <v>0</v>
      </c>
      <c r="BV157" s="187">
        <f t="shared" si="505"/>
        <v>0</v>
      </c>
      <c r="BW157" s="187">
        <f t="shared" si="177"/>
        <v>0</v>
      </c>
      <c r="BX157" s="187">
        <f t="shared" si="178"/>
        <v>0</v>
      </c>
      <c r="BY157" s="187">
        <f t="shared" si="179"/>
        <v>0</v>
      </c>
      <c r="BZ157" s="187">
        <f t="shared" si="180"/>
        <v>0</v>
      </c>
      <c r="CA157" s="167">
        <f t="shared" si="181"/>
        <v>79</v>
      </c>
      <c r="CB157" s="167">
        <f t="shared" si="47"/>
        <v>100</v>
      </c>
      <c r="CC157" s="644">
        <f t="shared" si="48"/>
        <v>23</v>
      </c>
      <c r="CD157" s="644">
        <f t="shared" si="49"/>
        <v>19</v>
      </c>
      <c r="CE157" s="644">
        <f t="shared" si="50"/>
        <v>15</v>
      </c>
      <c r="CF157" s="644">
        <f t="shared" si="51"/>
        <v>15</v>
      </c>
      <c r="CG157" s="644">
        <f t="shared" si="52"/>
        <v>9</v>
      </c>
      <c r="CH157" s="644">
        <f t="shared" si="123"/>
        <v>7</v>
      </c>
      <c r="CI157" s="644">
        <f t="shared" si="54"/>
        <v>7</v>
      </c>
      <c r="CJ157" s="644">
        <f t="shared" si="55"/>
        <v>5</v>
      </c>
      <c r="CK157" s="644">
        <f t="shared" si="56"/>
        <v>0</v>
      </c>
      <c r="CL157" s="644">
        <f t="shared" si="57"/>
        <v>0</v>
      </c>
      <c r="CM157" s="644">
        <f t="shared" si="58"/>
        <v>0</v>
      </c>
      <c r="CN157" s="644">
        <f t="shared" si="59"/>
        <v>3</v>
      </c>
      <c r="CO157" s="644">
        <f t="shared" si="60"/>
        <v>3</v>
      </c>
      <c r="CP157" s="644">
        <f t="shared" si="61"/>
        <v>0</v>
      </c>
      <c r="CQ157" s="644">
        <f t="shared" si="62"/>
        <v>0</v>
      </c>
      <c r="CR157" s="644">
        <f t="shared" si="63"/>
        <v>2</v>
      </c>
      <c r="CS157" s="644">
        <f t="shared" si="64"/>
        <v>0</v>
      </c>
      <c r="CT157" s="644">
        <f t="shared" si="65"/>
        <v>0</v>
      </c>
      <c r="CU157" s="644">
        <f t="shared" si="66"/>
        <v>0</v>
      </c>
      <c r="CV157" s="644">
        <f t="shared" si="67"/>
        <v>0</v>
      </c>
      <c r="CW157" s="644">
        <f t="shared" si="68"/>
        <v>0</v>
      </c>
      <c r="CX157" s="644">
        <f t="shared" si="69"/>
        <v>0</v>
      </c>
      <c r="CY157" s="644">
        <f t="shared" si="70"/>
        <v>0</v>
      </c>
      <c r="CZ157" s="624" t="s">
        <v>843</v>
      </c>
      <c r="DA157" s="257"/>
    </row>
    <row r="158" spans="1:105" ht="25.5">
      <c r="A158" s="249" t="s">
        <v>296</v>
      </c>
      <c r="B158" s="187"/>
      <c r="C158" s="644"/>
      <c r="D158" s="644"/>
      <c r="E158" s="258">
        <v>1</v>
      </c>
      <c r="F158" s="251"/>
      <c r="G158" s="251"/>
      <c r="H158" s="251"/>
      <c r="I158" s="251"/>
      <c r="J158" s="644"/>
      <c r="K158" s="644"/>
      <c r="L158" s="644"/>
      <c r="M158" s="644"/>
      <c r="N158" s="644"/>
      <c r="O158" s="644"/>
      <c r="P158" s="644"/>
      <c r="Q158" s="644"/>
      <c r="R158" s="644">
        <v>1</v>
      </c>
      <c r="S158" s="644"/>
      <c r="T158" s="644"/>
      <c r="U158" s="644">
        <v>1</v>
      </c>
      <c r="V158" s="644"/>
      <c r="W158" s="644">
        <v>1</v>
      </c>
      <c r="X158" s="644"/>
      <c r="Y158" s="644"/>
      <c r="Z158" s="644"/>
      <c r="AA158" s="644"/>
      <c r="AB158" s="644"/>
      <c r="AC158" s="258">
        <v>1</v>
      </c>
      <c r="AD158" s="644"/>
      <c r="AE158" s="644"/>
      <c r="AF158" s="644">
        <v>1</v>
      </c>
      <c r="AG158" s="644">
        <v>1</v>
      </c>
      <c r="AH158" s="644">
        <v>1</v>
      </c>
      <c r="AI158" s="644"/>
      <c r="AJ158" s="644"/>
      <c r="AK158" s="644"/>
      <c r="AL158" s="167">
        <v>8</v>
      </c>
      <c r="AM158" s="185" t="s">
        <v>1091</v>
      </c>
      <c r="AN158" s="186">
        <v>42009</v>
      </c>
      <c r="AO158" s="187"/>
      <c r="AP158" s="187">
        <f t="shared" si="148"/>
        <v>0</v>
      </c>
      <c r="AQ158" s="187">
        <f t="shared" si="149"/>
        <v>0</v>
      </c>
      <c r="AR158" s="187">
        <f t="shared" si="150"/>
        <v>13</v>
      </c>
      <c r="AS158" s="187">
        <f t="shared" si="151"/>
        <v>13</v>
      </c>
      <c r="AT158" s="187">
        <f t="shared" si="152"/>
        <v>0</v>
      </c>
      <c r="AU158" s="187">
        <f t="shared" si="153"/>
        <v>0</v>
      </c>
      <c r="AV158" s="187">
        <f t="shared" si="154"/>
        <v>9</v>
      </c>
      <c r="AW158" s="187">
        <f t="shared" si="155"/>
        <v>0</v>
      </c>
      <c r="AX158" s="187">
        <f t="shared" si="156"/>
        <v>0</v>
      </c>
      <c r="AY158" s="187">
        <f t="shared" si="157"/>
        <v>0</v>
      </c>
      <c r="AZ158" s="187">
        <f t="shared" si="158"/>
        <v>7</v>
      </c>
      <c r="BA158" s="187">
        <f t="shared" si="159"/>
        <v>7</v>
      </c>
      <c r="BB158" s="187">
        <f t="shared" si="160"/>
        <v>0</v>
      </c>
      <c r="BC158" s="187">
        <f t="shared" si="161"/>
        <v>0</v>
      </c>
      <c r="BD158" s="187">
        <f t="shared" si="162"/>
        <v>0</v>
      </c>
      <c r="BE158" s="187">
        <f t="shared" si="163"/>
        <v>3</v>
      </c>
      <c r="BF158" s="187">
        <f t="shared" si="164"/>
        <v>3</v>
      </c>
      <c r="BG158" s="187">
        <f t="shared" si="165"/>
        <v>0</v>
      </c>
      <c r="BH158" s="187">
        <f t="shared" si="166"/>
        <v>0</v>
      </c>
      <c r="BI158" s="187">
        <f t="shared" si="167"/>
        <v>0</v>
      </c>
      <c r="BJ158" s="187">
        <f t="shared" si="168"/>
        <v>1</v>
      </c>
      <c r="BK158" s="187">
        <f t="shared" si="169"/>
        <v>0</v>
      </c>
      <c r="BL158" s="187">
        <f t="shared" si="170"/>
        <v>0</v>
      </c>
      <c r="BM158" s="187">
        <f t="shared" si="171"/>
        <v>0</v>
      </c>
      <c r="BN158" s="188">
        <f t="shared" si="172"/>
        <v>2</v>
      </c>
      <c r="BO158" s="187">
        <f t="shared" si="173"/>
        <v>0</v>
      </c>
      <c r="BP158" s="187">
        <f t="shared" ref="BP158:BQ158" si="506">IF(G158=1,1,0)</f>
        <v>0</v>
      </c>
      <c r="BQ158" s="187">
        <f t="shared" si="506"/>
        <v>0</v>
      </c>
      <c r="BR158" s="187">
        <f t="shared" ref="BR158:BT158" si="507">IF(K158=1,1,0)</f>
        <v>0</v>
      </c>
      <c r="BS158" s="187">
        <f t="shared" si="507"/>
        <v>0</v>
      </c>
      <c r="BT158" s="187">
        <f t="shared" si="507"/>
        <v>0</v>
      </c>
      <c r="BU158" s="187">
        <f t="shared" ref="BU158:BV158" si="508">IF(P158=1,1,0)</f>
        <v>0</v>
      </c>
      <c r="BV158" s="187">
        <f t="shared" si="508"/>
        <v>0</v>
      </c>
      <c r="BW158" s="187">
        <f t="shared" si="177"/>
        <v>0</v>
      </c>
      <c r="BX158" s="187">
        <f t="shared" si="178"/>
        <v>0</v>
      </c>
      <c r="BY158" s="187">
        <f t="shared" si="179"/>
        <v>2</v>
      </c>
      <c r="BZ158" s="187">
        <f t="shared" si="180"/>
        <v>-4</v>
      </c>
      <c r="CA158" s="167">
        <f t="shared" si="181"/>
        <v>52</v>
      </c>
      <c r="CB158" s="167">
        <f t="shared" si="47"/>
        <v>91</v>
      </c>
      <c r="CC158" s="644">
        <f t="shared" si="48"/>
        <v>23</v>
      </c>
      <c r="CD158" s="644">
        <f t="shared" si="49"/>
        <v>19</v>
      </c>
      <c r="CE158" s="644">
        <f t="shared" si="50"/>
        <v>15</v>
      </c>
      <c r="CF158" s="644">
        <f t="shared" si="51"/>
        <v>15</v>
      </c>
      <c r="CG158" s="644">
        <f t="shared" si="52"/>
        <v>0</v>
      </c>
      <c r="CH158" s="644">
        <f t="shared" si="123"/>
        <v>7</v>
      </c>
      <c r="CI158" s="644">
        <f t="shared" si="54"/>
        <v>7</v>
      </c>
      <c r="CJ158" s="644">
        <f t="shared" si="55"/>
        <v>0</v>
      </c>
      <c r="CK158" s="644">
        <f t="shared" si="56"/>
        <v>0</v>
      </c>
      <c r="CL158" s="644">
        <f t="shared" si="57"/>
        <v>0</v>
      </c>
      <c r="CM158" s="644">
        <f t="shared" si="58"/>
        <v>3</v>
      </c>
      <c r="CN158" s="644">
        <f t="shared" si="59"/>
        <v>0</v>
      </c>
      <c r="CO158" s="644">
        <f t="shared" si="60"/>
        <v>0</v>
      </c>
      <c r="CP158" s="644">
        <f t="shared" si="61"/>
        <v>0</v>
      </c>
      <c r="CQ158" s="644">
        <f t="shared" si="62"/>
        <v>0</v>
      </c>
      <c r="CR158" s="644">
        <f t="shared" si="63"/>
        <v>2</v>
      </c>
      <c r="CS158" s="644">
        <f t="shared" si="64"/>
        <v>0</v>
      </c>
      <c r="CT158" s="644">
        <f t="shared" si="65"/>
        <v>2</v>
      </c>
      <c r="CU158" s="644">
        <f t="shared" si="66"/>
        <v>0</v>
      </c>
      <c r="CV158" s="644">
        <f t="shared" si="67"/>
        <v>0</v>
      </c>
      <c r="CW158" s="644">
        <f t="shared" si="68"/>
        <v>0</v>
      </c>
      <c r="CX158" s="644">
        <f t="shared" si="69"/>
        <v>0</v>
      </c>
      <c r="CY158" s="644">
        <f t="shared" si="70"/>
        <v>0</v>
      </c>
      <c r="CZ158" s="624" t="s">
        <v>754</v>
      </c>
      <c r="DA158" s="257"/>
    </row>
    <row r="159" spans="1:105">
      <c r="A159" s="249" t="s">
        <v>297</v>
      </c>
      <c r="B159" s="187"/>
      <c r="C159" s="644"/>
      <c r="D159" s="644"/>
      <c r="E159" s="644">
        <v>1</v>
      </c>
      <c r="F159" s="251">
        <v>1</v>
      </c>
      <c r="G159" s="251"/>
      <c r="H159" s="251"/>
      <c r="I159" s="251">
        <v>1</v>
      </c>
      <c r="J159" s="644"/>
      <c r="K159" s="644"/>
      <c r="L159" s="644"/>
      <c r="M159" s="644"/>
      <c r="N159" s="644"/>
      <c r="O159" s="644"/>
      <c r="P159" s="644"/>
      <c r="Q159" s="644"/>
      <c r="R159" s="644">
        <v>1</v>
      </c>
      <c r="S159" s="644"/>
      <c r="T159" s="644"/>
      <c r="U159" s="644">
        <v>1</v>
      </c>
      <c r="V159" s="644"/>
      <c r="W159" s="644"/>
      <c r="X159" s="644">
        <v>1</v>
      </c>
      <c r="Y159" s="644"/>
      <c r="Z159" s="644"/>
      <c r="AA159" s="644"/>
      <c r="AB159" s="644">
        <v>1</v>
      </c>
      <c r="AC159" s="644"/>
      <c r="AD159" s="644"/>
      <c r="AE159" s="644"/>
      <c r="AF159" s="644"/>
      <c r="AG159" s="644"/>
      <c r="AH159" s="644">
        <v>1</v>
      </c>
      <c r="AI159" s="644">
        <v>1</v>
      </c>
      <c r="AJ159" s="644"/>
      <c r="AK159" s="644"/>
      <c r="AL159" s="167">
        <v>9</v>
      </c>
      <c r="AM159" s="185" t="s">
        <v>1215</v>
      </c>
      <c r="AN159" s="186">
        <v>41997</v>
      </c>
      <c r="AO159" s="187"/>
      <c r="AP159" s="187">
        <f t="shared" si="148"/>
        <v>13</v>
      </c>
      <c r="AQ159" s="187">
        <f t="shared" si="149"/>
        <v>13</v>
      </c>
      <c r="AR159" s="187">
        <f t="shared" si="150"/>
        <v>13</v>
      </c>
      <c r="AS159" s="187">
        <f t="shared" si="151"/>
        <v>13</v>
      </c>
      <c r="AT159" s="187">
        <f t="shared" si="152"/>
        <v>9</v>
      </c>
      <c r="AU159" s="187">
        <f t="shared" si="153"/>
        <v>0</v>
      </c>
      <c r="AV159" s="187">
        <f t="shared" si="154"/>
        <v>0</v>
      </c>
      <c r="AW159" s="187">
        <f t="shared" si="155"/>
        <v>0</v>
      </c>
      <c r="AX159" s="187">
        <f t="shared" si="156"/>
        <v>0</v>
      </c>
      <c r="AY159" s="187">
        <f t="shared" si="157"/>
        <v>0</v>
      </c>
      <c r="AZ159" s="187">
        <f t="shared" si="158"/>
        <v>7</v>
      </c>
      <c r="BA159" s="187">
        <f t="shared" si="159"/>
        <v>7</v>
      </c>
      <c r="BB159" s="187">
        <f t="shared" si="160"/>
        <v>0</v>
      </c>
      <c r="BC159" s="187">
        <f t="shared" si="161"/>
        <v>0</v>
      </c>
      <c r="BD159" s="187">
        <f t="shared" si="162"/>
        <v>4</v>
      </c>
      <c r="BE159" s="187">
        <f t="shared" si="163"/>
        <v>0</v>
      </c>
      <c r="BF159" s="187">
        <f t="shared" si="164"/>
        <v>0</v>
      </c>
      <c r="BG159" s="187">
        <f t="shared" si="165"/>
        <v>2</v>
      </c>
      <c r="BH159" s="187">
        <f t="shared" si="166"/>
        <v>0</v>
      </c>
      <c r="BI159" s="187">
        <f t="shared" si="167"/>
        <v>0</v>
      </c>
      <c r="BJ159" s="187">
        <f t="shared" si="168"/>
        <v>0</v>
      </c>
      <c r="BK159" s="187">
        <f t="shared" si="169"/>
        <v>0</v>
      </c>
      <c r="BL159" s="187">
        <f t="shared" si="170"/>
        <v>0</v>
      </c>
      <c r="BM159" s="187">
        <f t="shared" si="171"/>
        <v>0</v>
      </c>
      <c r="BN159" s="188">
        <f t="shared" si="172"/>
        <v>1</v>
      </c>
      <c r="BO159" s="187">
        <f t="shared" si="173"/>
        <v>0</v>
      </c>
      <c r="BP159" s="187">
        <f t="shared" ref="BP159:BQ159" si="509">IF(G159=1,1,0)</f>
        <v>0</v>
      </c>
      <c r="BQ159" s="187">
        <f t="shared" si="509"/>
        <v>0</v>
      </c>
      <c r="BR159" s="187">
        <f t="shared" ref="BR159:BT159" si="510">IF(K159=1,1,0)</f>
        <v>0</v>
      </c>
      <c r="BS159" s="187">
        <f t="shared" si="510"/>
        <v>0</v>
      </c>
      <c r="BT159" s="187">
        <f t="shared" si="510"/>
        <v>0</v>
      </c>
      <c r="BU159" s="187">
        <f t="shared" ref="BU159:BV159" si="511">IF(P159=1,1,0)</f>
        <v>0</v>
      </c>
      <c r="BV159" s="187">
        <f t="shared" si="511"/>
        <v>0</v>
      </c>
      <c r="BW159" s="187">
        <f t="shared" si="177"/>
        <v>0</v>
      </c>
      <c r="BX159" s="187">
        <f t="shared" si="178"/>
        <v>0</v>
      </c>
      <c r="BY159" s="187">
        <f t="shared" si="179"/>
        <v>1</v>
      </c>
      <c r="BZ159" s="187">
        <f t="shared" si="180"/>
        <v>-1</v>
      </c>
      <c r="CA159" s="167">
        <f t="shared" si="181"/>
        <v>80</v>
      </c>
      <c r="CB159" s="167">
        <f t="shared" si="47"/>
        <v>98</v>
      </c>
      <c r="CC159" s="644">
        <f t="shared" si="48"/>
        <v>23</v>
      </c>
      <c r="CD159" s="644">
        <f t="shared" si="49"/>
        <v>19</v>
      </c>
      <c r="CE159" s="644">
        <f t="shared" si="50"/>
        <v>15</v>
      </c>
      <c r="CF159" s="644">
        <f t="shared" si="51"/>
        <v>15</v>
      </c>
      <c r="CG159" s="644">
        <f t="shared" si="52"/>
        <v>9</v>
      </c>
      <c r="CH159" s="644">
        <f t="shared" si="123"/>
        <v>7</v>
      </c>
      <c r="CI159" s="644">
        <f t="shared" si="54"/>
        <v>0</v>
      </c>
      <c r="CJ159" s="644">
        <f t="shared" si="55"/>
        <v>0</v>
      </c>
      <c r="CK159" s="644">
        <f t="shared" si="56"/>
        <v>5</v>
      </c>
      <c r="CL159" s="644">
        <f t="shared" si="57"/>
        <v>5</v>
      </c>
      <c r="CM159" s="644">
        <f t="shared" si="58"/>
        <v>0</v>
      </c>
      <c r="CN159" s="644">
        <f t="shared" si="59"/>
        <v>0</v>
      </c>
      <c r="CO159" s="644">
        <f t="shared" si="60"/>
        <v>0</v>
      </c>
      <c r="CP159" s="644">
        <f t="shared" si="61"/>
        <v>0</v>
      </c>
      <c r="CQ159" s="644">
        <f t="shared" si="62"/>
        <v>0</v>
      </c>
      <c r="CR159" s="644">
        <f t="shared" si="63"/>
        <v>0</v>
      </c>
      <c r="CS159" s="644">
        <f t="shared" si="64"/>
        <v>0</v>
      </c>
      <c r="CT159" s="644">
        <f t="shared" si="65"/>
        <v>0</v>
      </c>
      <c r="CU159" s="644">
        <f t="shared" si="66"/>
        <v>1</v>
      </c>
      <c r="CV159" s="644">
        <f t="shared" si="67"/>
        <v>0</v>
      </c>
      <c r="CW159" s="644">
        <f t="shared" si="68"/>
        <v>1</v>
      </c>
      <c r="CX159" s="644">
        <f t="shared" si="69"/>
        <v>0</v>
      </c>
      <c r="CY159" s="644">
        <f t="shared" si="70"/>
        <v>0</v>
      </c>
      <c r="CZ159" s="624" t="s">
        <v>805</v>
      </c>
      <c r="DA159" s="257"/>
    </row>
    <row r="160" spans="1:105" ht="25.5">
      <c r="A160" s="249" t="s">
        <v>301</v>
      </c>
      <c r="B160" s="187"/>
      <c r="C160" s="644"/>
      <c r="D160" s="644"/>
      <c r="E160" s="644">
        <v>1</v>
      </c>
      <c r="F160" s="251"/>
      <c r="G160" s="251"/>
      <c r="H160" s="251"/>
      <c r="I160" s="251"/>
      <c r="J160" s="644"/>
      <c r="K160" s="644"/>
      <c r="L160" s="644"/>
      <c r="M160" s="644"/>
      <c r="N160" s="644"/>
      <c r="O160" s="644"/>
      <c r="P160" s="644"/>
      <c r="Q160" s="644"/>
      <c r="R160" s="644">
        <v>1</v>
      </c>
      <c r="S160" s="644"/>
      <c r="T160" s="644"/>
      <c r="U160" s="644">
        <v>1</v>
      </c>
      <c r="V160" s="644"/>
      <c r="W160" s="644"/>
      <c r="X160" s="644"/>
      <c r="Y160" s="644"/>
      <c r="Z160" s="644"/>
      <c r="AA160" s="644"/>
      <c r="AB160" s="644"/>
      <c r="AC160" s="644">
        <v>1</v>
      </c>
      <c r="AD160" s="258">
        <v>1</v>
      </c>
      <c r="AE160" s="644"/>
      <c r="AF160" s="644"/>
      <c r="AG160" s="644"/>
      <c r="AH160" s="644">
        <v>1</v>
      </c>
      <c r="AI160" s="644"/>
      <c r="AJ160" s="644">
        <v>1</v>
      </c>
      <c r="AK160" s="644"/>
      <c r="AL160" s="167">
        <v>7</v>
      </c>
      <c r="AM160" s="185" t="s">
        <v>1091</v>
      </c>
      <c r="AN160" s="186">
        <v>42009</v>
      </c>
      <c r="AO160" s="187"/>
      <c r="AP160" s="187">
        <f t="shared" si="148"/>
        <v>0</v>
      </c>
      <c r="AQ160" s="187">
        <f t="shared" si="149"/>
        <v>0</v>
      </c>
      <c r="AR160" s="187">
        <f t="shared" si="150"/>
        <v>13</v>
      </c>
      <c r="AS160" s="187">
        <f t="shared" si="151"/>
        <v>13</v>
      </c>
      <c r="AT160" s="187">
        <f t="shared" si="152"/>
        <v>0</v>
      </c>
      <c r="AU160" s="187">
        <f t="shared" si="153"/>
        <v>0</v>
      </c>
      <c r="AV160" s="187">
        <f t="shared" si="154"/>
        <v>9</v>
      </c>
      <c r="AW160" s="187">
        <f t="shared" si="155"/>
        <v>7</v>
      </c>
      <c r="AX160" s="187">
        <f t="shared" si="156"/>
        <v>7</v>
      </c>
      <c r="AY160" s="187">
        <f t="shared" si="157"/>
        <v>0</v>
      </c>
      <c r="AZ160" s="187">
        <f t="shared" si="158"/>
        <v>7</v>
      </c>
      <c r="BA160" s="187">
        <f t="shared" si="159"/>
        <v>7</v>
      </c>
      <c r="BB160" s="187">
        <f t="shared" si="160"/>
        <v>0</v>
      </c>
      <c r="BC160" s="187">
        <f t="shared" si="161"/>
        <v>0</v>
      </c>
      <c r="BD160" s="187">
        <f t="shared" si="162"/>
        <v>0</v>
      </c>
      <c r="BE160" s="187">
        <f t="shared" si="163"/>
        <v>0</v>
      </c>
      <c r="BF160" s="187">
        <f t="shared" si="164"/>
        <v>0</v>
      </c>
      <c r="BG160" s="187">
        <f t="shared" si="165"/>
        <v>0</v>
      </c>
      <c r="BH160" s="187">
        <f t="shared" si="166"/>
        <v>0</v>
      </c>
      <c r="BI160" s="187">
        <f t="shared" si="167"/>
        <v>0</v>
      </c>
      <c r="BJ160" s="187">
        <f t="shared" si="168"/>
        <v>0</v>
      </c>
      <c r="BK160" s="187">
        <f t="shared" si="169"/>
        <v>0</v>
      </c>
      <c r="BL160" s="187">
        <f t="shared" si="170"/>
        <v>0</v>
      </c>
      <c r="BM160" s="187">
        <f t="shared" si="171"/>
        <v>0</v>
      </c>
      <c r="BN160" s="188">
        <f t="shared" si="172"/>
        <v>3</v>
      </c>
      <c r="BO160" s="187">
        <f t="shared" si="173"/>
        <v>0</v>
      </c>
      <c r="BP160" s="187">
        <f t="shared" ref="BP160:BQ160" si="512">IF(G160=1,1,0)</f>
        <v>0</v>
      </c>
      <c r="BQ160" s="187">
        <f t="shared" si="512"/>
        <v>0</v>
      </c>
      <c r="BR160" s="187">
        <f t="shared" ref="BR160:BT160" si="513">IF(K160=1,1,0)</f>
        <v>0</v>
      </c>
      <c r="BS160" s="187">
        <f t="shared" si="513"/>
        <v>0</v>
      </c>
      <c r="BT160" s="187">
        <f t="shared" si="513"/>
        <v>0</v>
      </c>
      <c r="BU160" s="187">
        <f t="shared" ref="BU160:BV160" si="514">IF(P160=1,1,0)</f>
        <v>0</v>
      </c>
      <c r="BV160" s="187">
        <f t="shared" si="514"/>
        <v>0</v>
      </c>
      <c r="BW160" s="187">
        <f t="shared" si="177"/>
        <v>0</v>
      </c>
      <c r="BX160" s="187">
        <f t="shared" si="178"/>
        <v>0</v>
      </c>
      <c r="BY160" s="187">
        <f t="shared" si="179"/>
        <v>3</v>
      </c>
      <c r="BZ160" s="187">
        <f t="shared" si="180"/>
        <v>-9</v>
      </c>
      <c r="CA160" s="167">
        <f t="shared" si="181"/>
        <v>54</v>
      </c>
      <c r="CB160" s="167">
        <f t="shared" si="47"/>
        <v>87</v>
      </c>
      <c r="CC160" s="644">
        <f t="shared" si="48"/>
        <v>23</v>
      </c>
      <c r="CD160" s="644">
        <f t="shared" si="49"/>
        <v>19</v>
      </c>
      <c r="CE160" s="644">
        <f t="shared" si="50"/>
        <v>15</v>
      </c>
      <c r="CF160" s="644">
        <f t="shared" si="51"/>
        <v>15</v>
      </c>
      <c r="CG160" s="644">
        <f t="shared" si="52"/>
        <v>0</v>
      </c>
      <c r="CH160" s="644">
        <f t="shared" si="123"/>
        <v>0</v>
      </c>
      <c r="CI160" s="644">
        <f t="shared" si="54"/>
        <v>7</v>
      </c>
      <c r="CJ160" s="644">
        <f t="shared" si="55"/>
        <v>5</v>
      </c>
      <c r="CK160" s="644">
        <f t="shared" si="56"/>
        <v>0</v>
      </c>
      <c r="CL160" s="644">
        <f t="shared" si="57"/>
        <v>0</v>
      </c>
      <c r="CM160" s="644">
        <f t="shared" si="58"/>
        <v>0</v>
      </c>
      <c r="CN160" s="644">
        <f t="shared" si="59"/>
        <v>0</v>
      </c>
      <c r="CO160" s="644">
        <f t="shared" si="60"/>
        <v>3</v>
      </c>
      <c r="CP160" s="644">
        <f t="shared" si="61"/>
        <v>0</v>
      </c>
      <c r="CQ160" s="644">
        <f t="shared" si="62"/>
        <v>0</v>
      </c>
      <c r="CR160" s="644">
        <f t="shared" si="63"/>
        <v>0</v>
      </c>
      <c r="CS160" s="644">
        <f t="shared" si="64"/>
        <v>0</v>
      </c>
      <c r="CT160" s="644">
        <f t="shared" si="65"/>
        <v>0</v>
      </c>
      <c r="CU160" s="644">
        <f t="shared" si="66"/>
        <v>0</v>
      </c>
      <c r="CV160" s="644">
        <f t="shared" si="67"/>
        <v>0</v>
      </c>
      <c r="CW160" s="644">
        <f t="shared" si="68"/>
        <v>0</v>
      </c>
      <c r="CX160" s="644">
        <f t="shared" si="69"/>
        <v>0</v>
      </c>
      <c r="CY160" s="644">
        <f t="shared" si="70"/>
        <v>0</v>
      </c>
      <c r="CZ160" s="624" t="s">
        <v>814</v>
      </c>
      <c r="DA160" s="257"/>
    </row>
    <row r="161" spans="1:105" ht="25.5">
      <c r="A161" s="249" t="s">
        <v>302</v>
      </c>
      <c r="B161" s="187"/>
      <c r="C161" s="644"/>
      <c r="D161" s="644">
        <v>1</v>
      </c>
      <c r="E161" s="644">
        <v>1</v>
      </c>
      <c r="F161" s="251"/>
      <c r="G161" s="251"/>
      <c r="H161" s="251"/>
      <c r="I161" s="251"/>
      <c r="J161" s="644"/>
      <c r="K161" s="644"/>
      <c r="L161" s="644"/>
      <c r="M161" s="644"/>
      <c r="N161" s="644"/>
      <c r="O161" s="644"/>
      <c r="P161" s="644"/>
      <c r="Q161" s="644"/>
      <c r="R161" s="644">
        <v>1</v>
      </c>
      <c r="S161" s="644"/>
      <c r="T161" s="644">
        <v>1</v>
      </c>
      <c r="U161" s="644">
        <v>1</v>
      </c>
      <c r="V161" s="644"/>
      <c r="W161" s="644"/>
      <c r="X161" s="644"/>
      <c r="Y161" s="644"/>
      <c r="Z161" s="644">
        <v>1</v>
      </c>
      <c r="AA161" s="644"/>
      <c r="AB161" s="644"/>
      <c r="AC161" s="644">
        <v>1</v>
      </c>
      <c r="AD161" s="644"/>
      <c r="AE161" s="644"/>
      <c r="AF161" s="644"/>
      <c r="AG161" s="644">
        <v>1</v>
      </c>
      <c r="AH161" s="644">
        <v>1</v>
      </c>
      <c r="AI161" s="644"/>
      <c r="AJ161" s="644">
        <v>1</v>
      </c>
      <c r="AK161" s="644"/>
      <c r="AL161" s="167">
        <v>10</v>
      </c>
      <c r="AM161" s="185" t="s">
        <v>1216</v>
      </c>
      <c r="AN161" s="186">
        <v>42000</v>
      </c>
      <c r="AO161" s="187"/>
      <c r="AP161" s="187">
        <f t="shared" si="148"/>
        <v>0</v>
      </c>
      <c r="AQ161" s="187">
        <f t="shared" si="149"/>
        <v>0</v>
      </c>
      <c r="AR161" s="187">
        <f t="shared" si="150"/>
        <v>13</v>
      </c>
      <c r="AS161" s="187">
        <f t="shared" si="151"/>
        <v>13</v>
      </c>
      <c r="AT161" s="187">
        <f t="shared" si="152"/>
        <v>0</v>
      </c>
      <c r="AU161" s="187">
        <f t="shared" si="153"/>
        <v>9</v>
      </c>
      <c r="AV161" s="187">
        <f t="shared" si="154"/>
        <v>9</v>
      </c>
      <c r="AW161" s="187">
        <f t="shared" si="155"/>
        <v>7</v>
      </c>
      <c r="AX161" s="187">
        <f t="shared" si="156"/>
        <v>0</v>
      </c>
      <c r="AY161" s="187">
        <f t="shared" si="157"/>
        <v>7</v>
      </c>
      <c r="AZ161" s="187">
        <f t="shared" si="158"/>
        <v>7</v>
      </c>
      <c r="BA161" s="187">
        <f t="shared" si="159"/>
        <v>7</v>
      </c>
      <c r="BB161" s="187">
        <f t="shared" si="160"/>
        <v>0</v>
      </c>
      <c r="BC161" s="187">
        <f t="shared" si="161"/>
        <v>4</v>
      </c>
      <c r="BD161" s="187">
        <f t="shared" si="162"/>
        <v>0</v>
      </c>
      <c r="BE161" s="187">
        <f t="shared" si="163"/>
        <v>0</v>
      </c>
      <c r="BF161" s="187">
        <f t="shared" si="164"/>
        <v>0</v>
      </c>
      <c r="BG161" s="187">
        <f t="shared" si="165"/>
        <v>0</v>
      </c>
      <c r="BH161" s="187">
        <f t="shared" si="166"/>
        <v>0</v>
      </c>
      <c r="BI161" s="187">
        <f t="shared" si="167"/>
        <v>0</v>
      </c>
      <c r="BJ161" s="187">
        <f t="shared" si="168"/>
        <v>1</v>
      </c>
      <c r="BK161" s="187">
        <f t="shared" si="169"/>
        <v>0</v>
      </c>
      <c r="BL161" s="187">
        <f t="shared" si="170"/>
        <v>0</v>
      </c>
      <c r="BM161" s="187">
        <f t="shared" si="171"/>
        <v>0</v>
      </c>
      <c r="BN161" s="188">
        <f t="shared" si="172"/>
        <v>0</v>
      </c>
      <c r="BO161" s="187">
        <f t="shared" si="173"/>
        <v>0</v>
      </c>
      <c r="BP161" s="187">
        <f t="shared" ref="BP161:BQ161" si="515">IF(G161=1,1,0)</f>
        <v>0</v>
      </c>
      <c r="BQ161" s="187">
        <f t="shared" si="515"/>
        <v>0</v>
      </c>
      <c r="BR161" s="187">
        <f t="shared" ref="BR161:BT161" si="516">IF(K161=1,1,0)</f>
        <v>0</v>
      </c>
      <c r="BS161" s="187">
        <f t="shared" si="516"/>
        <v>0</v>
      </c>
      <c r="BT161" s="187">
        <f t="shared" si="516"/>
        <v>0</v>
      </c>
      <c r="BU161" s="187">
        <f t="shared" ref="BU161:BV161" si="517">IF(P161=1,1,0)</f>
        <v>0</v>
      </c>
      <c r="BV161" s="187">
        <f t="shared" si="517"/>
        <v>0</v>
      </c>
      <c r="BW161" s="187">
        <f t="shared" si="177"/>
        <v>0</v>
      </c>
      <c r="BX161" s="187">
        <f t="shared" si="178"/>
        <v>0</v>
      </c>
      <c r="BY161" s="187">
        <f t="shared" si="179"/>
        <v>0</v>
      </c>
      <c r="BZ161" s="187">
        <f t="shared" si="180"/>
        <v>0</v>
      </c>
      <c r="CA161" s="167">
        <f t="shared" si="181"/>
        <v>77</v>
      </c>
      <c r="CB161" s="167">
        <f t="shared" si="47"/>
        <v>88</v>
      </c>
      <c r="CC161" s="644">
        <f t="shared" si="48"/>
        <v>23</v>
      </c>
      <c r="CD161" s="644">
        <f t="shared" si="49"/>
        <v>19</v>
      </c>
      <c r="CE161" s="644">
        <f t="shared" si="50"/>
        <v>15</v>
      </c>
      <c r="CF161" s="644">
        <f t="shared" si="51"/>
        <v>15</v>
      </c>
      <c r="CG161" s="644">
        <f t="shared" si="52"/>
        <v>0</v>
      </c>
      <c r="CH161" s="644">
        <f t="shared" si="123"/>
        <v>0</v>
      </c>
      <c r="CI161" s="644">
        <f t="shared" si="54"/>
        <v>7</v>
      </c>
      <c r="CJ161" s="644">
        <f t="shared" si="55"/>
        <v>0</v>
      </c>
      <c r="CK161" s="644">
        <f t="shared" si="56"/>
        <v>0</v>
      </c>
      <c r="CL161" s="644">
        <f t="shared" si="57"/>
        <v>0</v>
      </c>
      <c r="CM161" s="644">
        <f t="shared" si="58"/>
        <v>3</v>
      </c>
      <c r="CN161" s="644">
        <f t="shared" si="59"/>
        <v>3</v>
      </c>
      <c r="CO161" s="644">
        <f t="shared" si="60"/>
        <v>3</v>
      </c>
      <c r="CP161" s="644">
        <f t="shared" si="61"/>
        <v>3</v>
      </c>
      <c r="CQ161" s="644">
        <f t="shared" si="62"/>
        <v>0</v>
      </c>
      <c r="CR161" s="644">
        <f t="shared" si="63"/>
        <v>0</v>
      </c>
      <c r="CS161" s="644">
        <f t="shared" si="64"/>
        <v>0</v>
      </c>
      <c r="CT161" s="644">
        <f t="shared" si="65"/>
        <v>0</v>
      </c>
      <c r="CU161" s="644">
        <f t="shared" si="66"/>
        <v>0</v>
      </c>
      <c r="CV161" s="644">
        <f t="shared" si="67"/>
        <v>0</v>
      </c>
      <c r="CW161" s="644">
        <f t="shared" si="68"/>
        <v>0</v>
      </c>
      <c r="CX161" s="644">
        <f t="shared" si="69"/>
        <v>0</v>
      </c>
      <c r="CY161" s="644">
        <f t="shared" si="70"/>
        <v>0</v>
      </c>
      <c r="CZ161" s="624" t="s">
        <v>789</v>
      </c>
      <c r="DA161" s="257"/>
    </row>
    <row r="162" spans="1:105">
      <c r="A162" s="249" t="s">
        <v>303</v>
      </c>
      <c r="B162" s="187"/>
      <c r="C162" s="644"/>
      <c r="D162" s="644">
        <v>1</v>
      </c>
      <c r="E162" s="644">
        <v>1</v>
      </c>
      <c r="F162" s="251"/>
      <c r="G162" s="251"/>
      <c r="H162" s="251"/>
      <c r="I162" s="251"/>
      <c r="J162" s="644"/>
      <c r="K162" s="644"/>
      <c r="L162" s="644"/>
      <c r="M162" s="644"/>
      <c r="N162" s="644"/>
      <c r="O162" s="644"/>
      <c r="P162" s="644"/>
      <c r="Q162" s="644"/>
      <c r="R162" s="644">
        <v>1</v>
      </c>
      <c r="S162" s="644"/>
      <c r="T162" s="644"/>
      <c r="U162" s="644">
        <v>1</v>
      </c>
      <c r="V162" s="644"/>
      <c r="W162" s="644"/>
      <c r="X162" s="644"/>
      <c r="Y162" s="644"/>
      <c r="Z162" s="644">
        <v>1</v>
      </c>
      <c r="AA162" s="644"/>
      <c r="AB162" s="644">
        <v>1</v>
      </c>
      <c r="AC162" s="644">
        <v>1</v>
      </c>
      <c r="AD162" s="644">
        <v>1</v>
      </c>
      <c r="AE162" s="644"/>
      <c r="AF162" s="644"/>
      <c r="AG162" s="644"/>
      <c r="AH162" s="644">
        <v>1</v>
      </c>
      <c r="AI162" s="644"/>
      <c r="AJ162" s="644">
        <v>1</v>
      </c>
      <c r="AK162" s="644"/>
      <c r="AL162" s="167">
        <v>10</v>
      </c>
      <c r="AM162" s="185" t="s">
        <v>1217</v>
      </c>
      <c r="AN162" s="186">
        <v>41996</v>
      </c>
      <c r="AO162" s="187"/>
      <c r="AP162" s="187">
        <f t="shared" si="148"/>
        <v>0</v>
      </c>
      <c r="AQ162" s="187">
        <f t="shared" si="149"/>
        <v>0</v>
      </c>
      <c r="AR162" s="187">
        <f t="shared" si="150"/>
        <v>13</v>
      </c>
      <c r="AS162" s="187">
        <f t="shared" si="151"/>
        <v>13</v>
      </c>
      <c r="AT162" s="187">
        <f t="shared" si="152"/>
        <v>9</v>
      </c>
      <c r="AU162" s="187">
        <f t="shared" si="153"/>
        <v>9</v>
      </c>
      <c r="AV162" s="187">
        <f t="shared" si="154"/>
        <v>9</v>
      </c>
      <c r="AW162" s="187">
        <f t="shared" si="155"/>
        <v>7</v>
      </c>
      <c r="AX162" s="187">
        <f t="shared" si="156"/>
        <v>7</v>
      </c>
      <c r="AY162" s="187">
        <f t="shared" si="157"/>
        <v>7</v>
      </c>
      <c r="AZ162" s="187">
        <f t="shared" si="158"/>
        <v>7</v>
      </c>
      <c r="BA162" s="187">
        <f t="shared" si="159"/>
        <v>7</v>
      </c>
      <c r="BB162" s="187">
        <f t="shared" si="160"/>
        <v>0</v>
      </c>
      <c r="BC162" s="187">
        <f t="shared" si="161"/>
        <v>0</v>
      </c>
      <c r="BD162" s="187">
        <f t="shared" si="162"/>
        <v>0</v>
      </c>
      <c r="BE162" s="187">
        <f t="shared" si="163"/>
        <v>0</v>
      </c>
      <c r="BF162" s="187">
        <f t="shared" si="164"/>
        <v>0</v>
      </c>
      <c r="BG162" s="187">
        <f t="shared" si="165"/>
        <v>0</v>
      </c>
      <c r="BH162" s="187">
        <f t="shared" si="166"/>
        <v>0</v>
      </c>
      <c r="BI162" s="187">
        <f t="shared" si="167"/>
        <v>0</v>
      </c>
      <c r="BJ162" s="187">
        <f t="shared" si="168"/>
        <v>0</v>
      </c>
      <c r="BK162" s="187">
        <f t="shared" si="169"/>
        <v>0</v>
      </c>
      <c r="BL162" s="187">
        <f t="shared" si="170"/>
        <v>0</v>
      </c>
      <c r="BM162" s="187">
        <f t="shared" si="171"/>
        <v>0</v>
      </c>
      <c r="BN162" s="188">
        <f t="shared" si="172"/>
        <v>0</v>
      </c>
      <c r="BO162" s="187">
        <f t="shared" si="173"/>
        <v>0</v>
      </c>
      <c r="BP162" s="187">
        <f t="shared" ref="BP162:BQ162" si="518">IF(G162=1,1,0)</f>
        <v>0</v>
      </c>
      <c r="BQ162" s="187">
        <f t="shared" si="518"/>
        <v>0</v>
      </c>
      <c r="BR162" s="187">
        <f t="shared" ref="BR162:BT162" si="519">IF(K162=1,1,0)</f>
        <v>0</v>
      </c>
      <c r="BS162" s="187">
        <f t="shared" si="519"/>
        <v>0</v>
      </c>
      <c r="BT162" s="187">
        <f t="shared" si="519"/>
        <v>0</v>
      </c>
      <c r="BU162" s="187">
        <f t="shared" ref="BU162:BV162" si="520">IF(P162=1,1,0)</f>
        <v>0</v>
      </c>
      <c r="BV162" s="187">
        <f t="shared" si="520"/>
        <v>0</v>
      </c>
      <c r="BW162" s="187">
        <f t="shared" si="177"/>
        <v>0</v>
      </c>
      <c r="BX162" s="187">
        <f t="shared" si="178"/>
        <v>0</v>
      </c>
      <c r="BY162" s="187">
        <f t="shared" si="179"/>
        <v>0</v>
      </c>
      <c r="BZ162" s="187">
        <f t="shared" si="180"/>
        <v>0</v>
      </c>
      <c r="CA162" s="167">
        <f t="shared" si="181"/>
        <v>88</v>
      </c>
      <c r="CB162" s="167">
        <f t="shared" si="47"/>
        <v>96</v>
      </c>
      <c r="CC162" s="644">
        <f t="shared" si="48"/>
        <v>23</v>
      </c>
      <c r="CD162" s="644">
        <f t="shared" si="49"/>
        <v>19</v>
      </c>
      <c r="CE162" s="644">
        <f t="shared" si="50"/>
        <v>15</v>
      </c>
      <c r="CF162" s="644">
        <f t="shared" si="51"/>
        <v>15</v>
      </c>
      <c r="CG162" s="644">
        <f t="shared" si="52"/>
        <v>9</v>
      </c>
      <c r="CH162" s="644">
        <f t="shared" si="123"/>
        <v>0</v>
      </c>
      <c r="CI162" s="644">
        <f t="shared" si="54"/>
        <v>7</v>
      </c>
      <c r="CJ162" s="644">
        <f t="shared" si="55"/>
        <v>5</v>
      </c>
      <c r="CK162" s="644">
        <f t="shared" si="56"/>
        <v>0</v>
      </c>
      <c r="CL162" s="644">
        <f t="shared" si="57"/>
        <v>0</v>
      </c>
      <c r="CM162" s="644">
        <f t="shared" si="58"/>
        <v>0</v>
      </c>
      <c r="CN162" s="644">
        <f t="shared" si="59"/>
        <v>0</v>
      </c>
      <c r="CO162" s="644">
        <f t="shared" si="60"/>
        <v>3</v>
      </c>
      <c r="CP162" s="644">
        <f t="shared" si="61"/>
        <v>3</v>
      </c>
      <c r="CQ162" s="644">
        <f t="shared" si="62"/>
        <v>0</v>
      </c>
      <c r="CR162" s="644">
        <f t="shared" si="63"/>
        <v>0</v>
      </c>
      <c r="CS162" s="644">
        <f t="shared" si="64"/>
        <v>0</v>
      </c>
      <c r="CT162" s="644">
        <f t="shared" si="65"/>
        <v>0</v>
      </c>
      <c r="CU162" s="644">
        <f t="shared" si="66"/>
        <v>0</v>
      </c>
      <c r="CV162" s="644">
        <f t="shared" si="67"/>
        <v>0</v>
      </c>
      <c r="CW162" s="644">
        <f t="shared" si="68"/>
        <v>0</v>
      </c>
      <c r="CX162" s="644">
        <f t="shared" si="69"/>
        <v>0</v>
      </c>
      <c r="CY162" s="644">
        <f t="shared" si="70"/>
        <v>0</v>
      </c>
      <c r="CZ162" s="624" t="s">
        <v>1218</v>
      </c>
      <c r="DA162" s="257"/>
    </row>
    <row r="163" spans="1:105">
      <c r="A163" s="249" t="s">
        <v>901</v>
      </c>
      <c r="B163" s="187"/>
      <c r="C163" s="644"/>
      <c r="D163" s="644">
        <v>1</v>
      </c>
      <c r="E163" s="644">
        <v>1</v>
      </c>
      <c r="F163" s="251"/>
      <c r="G163" s="251"/>
      <c r="H163" s="251"/>
      <c r="I163" s="251"/>
      <c r="J163" s="644"/>
      <c r="K163" s="644"/>
      <c r="L163" s="644"/>
      <c r="M163" s="644"/>
      <c r="N163" s="644"/>
      <c r="O163" s="644"/>
      <c r="P163" s="644"/>
      <c r="Q163" s="644"/>
      <c r="R163" s="644">
        <v>1</v>
      </c>
      <c r="S163" s="644">
        <v>1</v>
      </c>
      <c r="T163" s="644"/>
      <c r="U163" s="644">
        <v>1</v>
      </c>
      <c r="V163" s="644"/>
      <c r="W163" s="644"/>
      <c r="X163" s="644"/>
      <c r="Y163" s="644"/>
      <c r="Z163" s="258">
        <v>1</v>
      </c>
      <c r="AA163" s="644"/>
      <c r="AB163" s="644">
        <v>1</v>
      </c>
      <c r="AC163" s="258">
        <v>1</v>
      </c>
      <c r="AD163" s="644">
        <v>1</v>
      </c>
      <c r="AE163" s="644"/>
      <c r="AF163" s="644"/>
      <c r="AG163" s="644"/>
      <c r="AH163" s="644">
        <v>1</v>
      </c>
      <c r="AI163" s="644"/>
      <c r="AJ163" s="644"/>
      <c r="AK163" s="644"/>
      <c r="AL163" s="167">
        <v>10</v>
      </c>
      <c r="AM163" s="185" t="s">
        <v>1219</v>
      </c>
      <c r="AN163" s="186">
        <v>42001</v>
      </c>
      <c r="AO163" s="187"/>
      <c r="AP163" s="187">
        <f t="shared" si="148"/>
        <v>0</v>
      </c>
      <c r="AQ163" s="187">
        <f t="shared" si="149"/>
        <v>0</v>
      </c>
      <c r="AR163" s="187">
        <f t="shared" si="150"/>
        <v>13</v>
      </c>
      <c r="AS163" s="187">
        <f t="shared" si="151"/>
        <v>13</v>
      </c>
      <c r="AT163" s="187">
        <f t="shared" si="152"/>
        <v>9</v>
      </c>
      <c r="AU163" s="187">
        <f t="shared" si="153"/>
        <v>9</v>
      </c>
      <c r="AV163" s="187">
        <f t="shared" si="154"/>
        <v>9</v>
      </c>
      <c r="AW163" s="187">
        <f t="shared" si="155"/>
        <v>0</v>
      </c>
      <c r="AX163" s="187">
        <f t="shared" si="156"/>
        <v>7</v>
      </c>
      <c r="AY163" s="187">
        <f t="shared" si="157"/>
        <v>7</v>
      </c>
      <c r="AZ163" s="187">
        <f t="shared" si="158"/>
        <v>7</v>
      </c>
      <c r="BA163" s="187">
        <f t="shared" si="159"/>
        <v>7</v>
      </c>
      <c r="BB163" s="187">
        <f t="shared" si="160"/>
        <v>0</v>
      </c>
      <c r="BC163" s="187">
        <f t="shared" si="161"/>
        <v>0</v>
      </c>
      <c r="BD163" s="187">
        <f t="shared" si="162"/>
        <v>0</v>
      </c>
      <c r="BE163" s="187">
        <f t="shared" si="163"/>
        <v>0</v>
      </c>
      <c r="BF163" s="187">
        <f t="shared" si="164"/>
        <v>0</v>
      </c>
      <c r="BG163" s="187">
        <f t="shared" si="165"/>
        <v>0</v>
      </c>
      <c r="BH163" s="187">
        <f t="shared" si="166"/>
        <v>2</v>
      </c>
      <c r="BI163" s="187">
        <f t="shared" si="167"/>
        <v>0</v>
      </c>
      <c r="BJ163" s="187">
        <f t="shared" si="168"/>
        <v>0</v>
      </c>
      <c r="BK163" s="187">
        <f t="shared" si="169"/>
        <v>0</v>
      </c>
      <c r="BL163" s="187">
        <f t="shared" si="170"/>
        <v>0</v>
      </c>
      <c r="BM163" s="187">
        <f t="shared" si="171"/>
        <v>0</v>
      </c>
      <c r="BN163" s="188">
        <f t="shared" si="172"/>
        <v>0</v>
      </c>
      <c r="BO163" s="187">
        <f t="shared" si="173"/>
        <v>0</v>
      </c>
      <c r="BP163" s="187">
        <f t="shared" ref="BP163:BQ163" si="521">IF(G163=1,1,0)</f>
        <v>0</v>
      </c>
      <c r="BQ163" s="187">
        <f t="shared" si="521"/>
        <v>0</v>
      </c>
      <c r="BR163" s="187">
        <f t="shared" ref="BR163:BT163" si="522">IF(K163=1,1,0)</f>
        <v>0</v>
      </c>
      <c r="BS163" s="187">
        <f t="shared" si="522"/>
        <v>0</v>
      </c>
      <c r="BT163" s="187">
        <f t="shared" si="522"/>
        <v>0</v>
      </c>
      <c r="BU163" s="187">
        <f t="shared" ref="BU163:BV163" si="523">IF(P163=1,1,0)</f>
        <v>0</v>
      </c>
      <c r="BV163" s="187">
        <f t="shared" si="523"/>
        <v>0</v>
      </c>
      <c r="BW163" s="187">
        <f t="shared" si="177"/>
        <v>0</v>
      </c>
      <c r="BX163" s="187">
        <f t="shared" si="178"/>
        <v>0</v>
      </c>
      <c r="BY163" s="187">
        <f t="shared" si="179"/>
        <v>0</v>
      </c>
      <c r="BZ163" s="187">
        <f t="shared" si="180"/>
        <v>0</v>
      </c>
      <c r="CA163" s="167">
        <f t="shared" si="181"/>
        <v>83</v>
      </c>
      <c r="CB163" s="167">
        <f t="shared" si="47"/>
        <v>96</v>
      </c>
      <c r="CC163" s="644">
        <f t="shared" si="48"/>
        <v>23</v>
      </c>
      <c r="CD163" s="644">
        <f t="shared" si="49"/>
        <v>19</v>
      </c>
      <c r="CE163" s="644">
        <f t="shared" si="50"/>
        <v>15</v>
      </c>
      <c r="CF163" s="644">
        <f t="shared" si="51"/>
        <v>15</v>
      </c>
      <c r="CG163" s="644">
        <f t="shared" si="52"/>
        <v>9</v>
      </c>
      <c r="CH163" s="644">
        <f t="shared" si="123"/>
        <v>0</v>
      </c>
      <c r="CI163" s="644">
        <f t="shared" si="54"/>
        <v>7</v>
      </c>
      <c r="CJ163" s="644">
        <f t="shared" si="55"/>
        <v>5</v>
      </c>
      <c r="CK163" s="644">
        <f t="shared" si="56"/>
        <v>0</v>
      </c>
      <c r="CL163" s="644">
        <f t="shared" si="57"/>
        <v>0</v>
      </c>
      <c r="CM163" s="644">
        <f t="shared" si="58"/>
        <v>0</v>
      </c>
      <c r="CN163" s="644">
        <f t="shared" si="59"/>
        <v>0</v>
      </c>
      <c r="CO163" s="644">
        <f t="shared" si="60"/>
        <v>0</v>
      </c>
      <c r="CP163" s="644">
        <f t="shared" si="61"/>
        <v>3</v>
      </c>
      <c r="CQ163" s="644">
        <f t="shared" si="62"/>
        <v>2</v>
      </c>
      <c r="CR163" s="644">
        <f t="shared" si="63"/>
        <v>0</v>
      </c>
      <c r="CS163" s="644">
        <f t="shared" si="64"/>
        <v>0</v>
      </c>
      <c r="CT163" s="644">
        <f t="shared" si="65"/>
        <v>0</v>
      </c>
      <c r="CU163" s="644">
        <f t="shared" si="66"/>
        <v>0</v>
      </c>
      <c r="CV163" s="644">
        <f t="shared" si="67"/>
        <v>0</v>
      </c>
      <c r="CW163" s="644">
        <f t="shared" si="68"/>
        <v>0</v>
      </c>
      <c r="CX163" s="644">
        <f t="shared" si="69"/>
        <v>0</v>
      </c>
      <c r="CY163" s="644">
        <f t="shared" si="70"/>
        <v>0</v>
      </c>
      <c r="CZ163" s="624" t="s">
        <v>768</v>
      </c>
      <c r="DA163" s="257"/>
    </row>
    <row r="164" spans="1:105" ht="25.5">
      <c r="A164" s="249" t="s">
        <v>306</v>
      </c>
      <c r="B164" s="187"/>
      <c r="C164" s="644"/>
      <c r="D164" s="644"/>
      <c r="E164" s="644">
        <v>1</v>
      </c>
      <c r="F164" s="251">
        <v>1</v>
      </c>
      <c r="G164" s="251"/>
      <c r="H164" s="251"/>
      <c r="I164" s="251">
        <v>1</v>
      </c>
      <c r="J164" s="644"/>
      <c r="K164" s="644"/>
      <c r="L164" s="644"/>
      <c r="M164" s="644"/>
      <c r="N164" s="644"/>
      <c r="O164" s="644"/>
      <c r="P164" s="644"/>
      <c r="Q164" s="644"/>
      <c r="R164" s="644">
        <v>1</v>
      </c>
      <c r="S164" s="644"/>
      <c r="T164" s="644"/>
      <c r="U164" s="644">
        <v>1</v>
      </c>
      <c r="V164" s="644"/>
      <c r="W164" s="644"/>
      <c r="X164" s="644"/>
      <c r="Y164" s="644"/>
      <c r="Z164" s="644"/>
      <c r="AA164" s="644"/>
      <c r="AB164" s="644">
        <v>1</v>
      </c>
      <c r="AC164" s="644"/>
      <c r="AD164" s="644"/>
      <c r="AE164" s="644"/>
      <c r="AF164" s="644"/>
      <c r="AG164" s="644"/>
      <c r="AH164" s="644">
        <v>1</v>
      </c>
      <c r="AI164" s="644"/>
      <c r="AJ164" s="644"/>
      <c r="AK164" s="644"/>
      <c r="AL164" s="167">
        <v>7</v>
      </c>
      <c r="AM164" s="185" t="s">
        <v>1091</v>
      </c>
      <c r="AN164" s="186">
        <v>42009</v>
      </c>
      <c r="AO164" s="187"/>
      <c r="AP164" s="187">
        <f t="shared" si="148"/>
        <v>13</v>
      </c>
      <c r="AQ164" s="187">
        <f t="shared" si="149"/>
        <v>13</v>
      </c>
      <c r="AR164" s="187">
        <f t="shared" si="150"/>
        <v>13</v>
      </c>
      <c r="AS164" s="187">
        <f t="shared" si="151"/>
        <v>13</v>
      </c>
      <c r="AT164" s="187">
        <f t="shared" si="152"/>
        <v>9</v>
      </c>
      <c r="AU164" s="187">
        <f t="shared" si="153"/>
        <v>0</v>
      </c>
      <c r="AV164" s="187">
        <f t="shared" si="154"/>
        <v>0</v>
      </c>
      <c r="AW164" s="187">
        <f t="shared" si="155"/>
        <v>0</v>
      </c>
      <c r="AX164" s="187">
        <f t="shared" si="156"/>
        <v>0</v>
      </c>
      <c r="AY164" s="187">
        <f t="shared" si="157"/>
        <v>0</v>
      </c>
      <c r="AZ164" s="187">
        <f t="shared" si="158"/>
        <v>7</v>
      </c>
      <c r="BA164" s="187">
        <f t="shared" si="159"/>
        <v>7</v>
      </c>
      <c r="BB164" s="187">
        <f t="shared" si="160"/>
        <v>0</v>
      </c>
      <c r="BC164" s="187">
        <f t="shared" si="161"/>
        <v>0</v>
      </c>
      <c r="BD164" s="187">
        <f t="shared" si="162"/>
        <v>0</v>
      </c>
      <c r="BE164" s="187">
        <f t="shared" si="163"/>
        <v>0</v>
      </c>
      <c r="BF164" s="187">
        <f t="shared" si="164"/>
        <v>0</v>
      </c>
      <c r="BG164" s="187">
        <f t="shared" si="165"/>
        <v>0</v>
      </c>
      <c r="BH164" s="187">
        <f t="shared" si="166"/>
        <v>0</v>
      </c>
      <c r="BI164" s="187">
        <f t="shared" si="167"/>
        <v>0</v>
      </c>
      <c r="BJ164" s="187">
        <f t="shared" si="168"/>
        <v>0</v>
      </c>
      <c r="BK164" s="187">
        <f t="shared" si="169"/>
        <v>0</v>
      </c>
      <c r="BL164" s="187">
        <f t="shared" si="170"/>
        <v>0</v>
      </c>
      <c r="BM164" s="187">
        <f t="shared" si="171"/>
        <v>0</v>
      </c>
      <c r="BN164" s="188">
        <f t="shared" si="172"/>
        <v>3</v>
      </c>
      <c r="BO164" s="187">
        <f t="shared" si="173"/>
        <v>0</v>
      </c>
      <c r="BP164" s="187">
        <f t="shared" ref="BP164:BQ164" si="524">IF(G164=1,1,0)</f>
        <v>0</v>
      </c>
      <c r="BQ164" s="187">
        <f t="shared" si="524"/>
        <v>0</v>
      </c>
      <c r="BR164" s="187">
        <f t="shared" ref="BR164:BT164" si="525">IF(K164=1,1,0)</f>
        <v>0</v>
      </c>
      <c r="BS164" s="187">
        <f t="shared" si="525"/>
        <v>0</v>
      </c>
      <c r="BT164" s="187">
        <f t="shared" si="525"/>
        <v>0</v>
      </c>
      <c r="BU164" s="187">
        <f t="shared" ref="BU164:BV164" si="526">IF(P164=1,1,0)</f>
        <v>0</v>
      </c>
      <c r="BV164" s="187">
        <f t="shared" si="526"/>
        <v>0</v>
      </c>
      <c r="BW164" s="187">
        <f t="shared" si="177"/>
        <v>0</v>
      </c>
      <c r="BX164" s="187">
        <f t="shared" si="178"/>
        <v>0</v>
      </c>
      <c r="BY164" s="187">
        <f t="shared" si="179"/>
        <v>3</v>
      </c>
      <c r="BZ164" s="187">
        <f t="shared" si="180"/>
        <v>-9</v>
      </c>
      <c r="CA164" s="167">
        <f t="shared" si="181"/>
        <v>66</v>
      </c>
      <c r="CB164" s="167">
        <f t="shared" si="47"/>
        <v>98</v>
      </c>
      <c r="CC164" s="644">
        <f t="shared" si="48"/>
        <v>23</v>
      </c>
      <c r="CD164" s="644">
        <f t="shared" si="49"/>
        <v>19</v>
      </c>
      <c r="CE164" s="644">
        <f t="shared" si="50"/>
        <v>15</v>
      </c>
      <c r="CF164" s="644">
        <f t="shared" si="51"/>
        <v>15</v>
      </c>
      <c r="CG164" s="644">
        <f t="shared" si="52"/>
        <v>9</v>
      </c>
      <c r="CH164" s="644">
        <f t="shared" si="123"/>
        <v>7</v>
      </c>
      <c r="CI164" s="644">
        <f t="shared" si="54"/>
        <v>0</v>
      </c>
      <c r="CJ164" s="644">
        <f t="shared" si="55"/>
        <v>0</v>
      </c>
      <c r="CK164" s="644">
        <f t="shared" si="56"/>
        <v>5</v>
      </c>
      <c r="CL164" s="644">
        <f t="shared" si="57"/>
        <v>5</v>
      </c>
      <c r="CM164" s="644">
        <f t="shared" si="58"/>
        <v>0</v>
      </c>
      <c r="CN164" s="644">
        <f t="shared" si="59"/>
        <v>0</v>
      </c>
      <c r="CO164" s="644">
        <f t="shared" si="60"/>
        <v>0</v>
      </c>
      <c r="CP164" s="644">
        <f t="shared" si="61"/>
        <v>0</v>
      </c>
      <c r="CQ164" s="644">
        <f t="shared" si="62"/>
        <v>0</v>
      </c>
      <c r="CR164" s="644">
        <f t="shared" si="63"/>
        <v>0</v>
      </c>
      <c r="CS164" s="644">
        <f t="shared" si="64"/>
        <v>0</v>
      </c>
      <c r="CT164" s="644">
        <f t="shared" si="65"/>
        <v>0</v>
      </c>
      <c r="CU164" s="644">
        <f t="shared" si="66"/>
        <v>0</v>
      </c>
      <c r="CV164" s="644">
        <f t="shared" si="67"/>
        <v>0</v>
      </c>
      <c r="CW164" s="644">
        <f t="shared" si="68"/>
        <v>0</v>
      </c>
      <c r="CX164" s="644">
        <f t="shared" si="69"/>
        <v>0</v>
      </c>
      <c r="CY164" s="644">
        <f t="shared" si="70"/>
        <v>0</v>
      </c>
      <c r="CZ164" s="624" t="s">
        <v>743</v>
      </c>
      <c r="DA164" s="257"/>
    </row>
    <row r="165" spans="1:105">
      <c r="A165" s="249" t="s">
        <v>308</v>
      </c>
      <c r="B165" s="187"/>
      <c r="C165" s="644"/>
      <c r="D165" s="258">
        <v>1</v>
      </c>
      <c r="E165" s="644">
        <v>1</v>
      </c>
      <c r="F165" s="251">
        <v>1</v>
      </c>
      <c r="G165" s="251"/>
      <c r="H165" s="251"/>
      <c r="I165" s="251">
        <v>1</v>
      </c>
      <c r="J165" s="644"/>
      <c r="K165" s="644"/>
      <c r="L165" s="644"/>
      <c r="M165" s="644"/>
      <c r="N165" s="644"/>
      <c r="O165" s="644"/>
      <c r="P165" s="644"/>
      <c r="Q165" s="644"/>
      <c r="R165" s="644">
        <v>1</v>
      </c>
      <c r="S165" s="644"/>
      <c r="T165" s="644"/>
      <c r="U165" s="644">
        <v>1</v>
      </c>
      <c r="V165" s="644"/>
      <c r="W165" s="644">
        <v>1</v>
      </c>
      <c r="X165" s="644"/>
      <c r="Y165" s="644"/>
      <c r="Z165" s="644"/>
      <c r="AA165" s="644"/>
      <c r="AB165" s="644">
        <v>1</v>
      </c>
      <c r="AC165" s="644"/>
      <c r="AD165" s="644"/>
      <c r="AE165" s="644"/>
      <c r="AF165" s="644">
        <v>1</v>
      </c>
      <c r="AG165" s="644"/>
      <c r="AH165" s="644">
        <v>1</v>
      </c>
      <c r="AI165" s="644"/>
      <c r="AJ165" s="644"/>
      <c r="AK165" s="644"/>
      <c r="AL165" s="167">
        <v>10</v>
      </c>
      <c r="AM165" s="185" t="s">
        <v>1220</v>
      </c>
      <c r="AN165" s="186">
        <v>42009</v>
      </c>
      <c r="AO165" s="187"/>
      <c r="AP165" s="187">
        <f t="shared" si="148"/>
        <v>13</v>
      </c>
      <c r="AQ165" s="187">
        <f t="shared" si="149"/>
        <v>13</v>
      </c>
      <c r="AR165" s="187">
        <f t="shared" si="150"/>
        <v>13</v>
      </c>
      <c r="AS165" s="187">
        <f t="shared" si="151"/>
        <v>13</v>
      </c>
      <c r="AT165" s="187">
        <f t="shared" si="152"/>
        <v>9</v>
      </c>
      <c r="AU165" s="187">
        <f t="shared" si="153"/>
        <v>9</v>
      </c>
      <c r="AV165" s="187">
        <f t="shared" si="154"/>
        <v>0</v>
      </c>
      <c r="AW165" s="187">
        <f t="shared" si="155"/>
        <v>0</v>
      </c>
      <c r="AX165" s="187">
        <f t="shared" si="156"/>
        <v>0</v>
      </c>
      <c r="AY165" s="187">
        <f t="shared" si="157"/>
        <v>0</v>
      </c>
      <c r="AZ165" s="187">
        <f t="shared" si="158"/>
        <v>7</v>
      </c>
      <c r="BA165" s="187">
        <f t="shared" si="159"/>
        <v>7</v>
      </c>
      <c r="BB165" s="187">
        <f t="shared" si="160"/>
        <v>0</v>
      </c>
      <c r="BC165" s="187">
        <f t="shared" si="161"/>
        <v>0</v>
      </c>
      <c r="BD165" s="187">
        <f t="shared" si="162"/>
        <v>0</v>
      </c>
      <c r="BE165" s="187">
        <f t="shared" si="163"/>
        <v>3</v>
      </c>
      <c r="BF165" s="187">
        <f t="shared" si="164"/>
        <v>3</v>
      </c>
      <c r="BG165" s="187">
        <f t="shared" si="165"/>
        <v>0</v>
      </c>
      <c r="BH165" s="187">
        <f t="shared" si="166"/>
        <v>0</v>
      </c>
      <c r="BI165" s="187">
        <f t="shared" si="167"/>
        <v>0</v>
      </c>
      <c r="BJ165" s="187">
        <f t="shared" si="168"/>
        <v>0</v>
      </c>
      <c r="BK165" s="187">
        <f t="shared" si="169"/>
        <v>0</v>
      </c>
      <c r="BL165" s="187">
        <f t="shared" si="170"/>
        <v>0</v>
      </c>
      <c r="BM165" s="187">
        <f t="shared" si="171"/>
        <v>0</v>
      </c>
      <c r="BN165" s="188">
        <f t="shared" si="172"/>
        <v>0</v>
      </c>
      <c r="BO165" s="187">
        <f t="shared" si="173"/>
        <v>0</v>
      </c>
      <c r="BP165" s="187">
        <f t="shared" ref="BP165:BQ165" si="527">IF(G165=1,1,0)</f>
        <v>0</v>
      </c>
      <c r="BQ165" s="187">
        <f t="shared" si="527"/>
        <v>0</v>
      </c>
      <c r="BR165" s="187">
        <f t="shared" ref="BR165:BT165" si="528">IF(K165=1,1,0)</f>
        <v>0</v>
      </c>
      <c r="BS165" s="187">
        <f t="shared" si="528"/>
        <v>0</v>
      </c>
      <c r="BT165" s="187">
        <f t="shared" si="528"/>
        <v>0</v>
      </c>
      <c r="BU165" s="187">
        <f t="shared" ref="BU165:BV165" si="529">IF(P165=1,1,0)</f>
        <v>0</v>
      </c>
      <c r="BV165" s="187">
        <f t="shared" si="529"/>
        <v>0</v>
      </c>
      <c r="BW165" s="187">
        <f t="shared" si="177"/>
        <v>0</v>
      </c>
      <c r="BX165" s="187">
        <f t="shared" si="178"/>
        <v>0</v>
      </c>
      <c r="BY165" s="187">
        <f t="shared" si="179"/>
        <v>0</v>
      </c>
      <c r="BZ165" s="187">
        <f t="shared" si="180"/>
        <v>0</v>
      </c>
      <c r="CA165" s="167">
        <f t="shared" si="181"/>
        <v>90</v>
      </c>
      <c r="CB165" s="167">
        <f t="shared" si="47"/>
        <v>98</v>
      </c>
      <c r="CC165" s="644">
        <f t="shared" si="48"/>
        <v>23</v>
      </c>
      <c r="CD165" s="644">
        <f t="shared" si="49"/>
        <v>19</v>
      </c>
      <c r="CE165" s="644">
        <f t="shared" si="50"/>
        <v>15</v>
      </c>
      <c r="CF165" s="644">
        <f t="shared" si="51"/>
        <v>15</v>
      </c>
      <c r="CG165" s="644">
        <f t="shared" si="52"/>
        <v>9</v>
      </c>
      <c r="CH165" s="644">
        <f t="shared" si="123"/>
        <v>7</v>
      </c>
      <c r="CI165" s="644">
        <f t="shared" si="54"/>
        <v>0</v>
      </c>
      <c r="CJ165" s="644">
        <f t="shared" si="55"/>
        <v>0</v>
      </c>
      <c r="CK165" s="644">
        <f t="shared" si="56"/>
        <v>5</v>
      </c>
      <c r="CL165" s="644">
        <f t="shared" si="57"/>
        <v>5</v>
      </c>
      <c r="CM165" s="644">
        <f t="shared" si="58"/>
        <v>0</v>
      </c>
      <c r="CN165" s="644">
        <f t="shared" si="59"/>
        <v>0</v>
      </c>
      <c r="CO165" s="644">
        <f t="shared" si="60"/>
        <v>0</v>
      </c>
      <c r="CP165" s="644">
        <f t="shared" si="61"/>
        <v>0</v>
      </c>
      <c r="CQ165" s="644">
        <f t="shared" si="62"/>
        <v>0</v>
      </c>
      <c r="CR165" s="644">
        <f t="shared" si="63"/>
        <v>2</v>
      </c>
      <c r="CS165" s="644">
        <f t="shared" si="64"/>
        <v>0</v>
      </c>
      <c r="CT165" s="644">
        <f t="shared" si="65"/>
        <v>2</v>
      </c>
      <c r="CU165" s="644">
        <f t="shared" si="66"/>
        <v>0</v>
      </c>
      <c r="CV165" s="644">
        <f t="shared" si="67"/>
        <v>0</v>
      </c>
      <c r="CW165" s="644">
        <f t="shared" si="68"/>
        <v>0</v>
      </c>
      <c r="CX165" s="644">
        <f t="shared" si="69"/>
        <v>0</v>
      </c>
      <c r="CY165" s="644">
        <f t="shared" si="70"/>
        <v>0</v>
      </c>
      <c r="CZ165" s="624" t="s">
        <v>766</v>
      </c>
      <c r="DA165" s="257"/>
    </row>
    <row r="166" spans="1:105" ht="25.5">
      <c r="A166" s="249" t="s">
        <v>903</v>
      </c>
      <c r="B166" s="187"/>
      <c r="C166" s="644"/>
      <c r="D166" s="644"/>
      <c r="E166" s="644"/>
      <c r="F166" s="251"/>
      <c r="G166" s="251"/>
      <c r="H166" s="251"/>
      <c r="I166" s="251"/>
      <c r="J166" s="644"/>
      <c r="K166" s="644"/>
      <c r="L166" s="644"/>
      <c r="M166" s="644"/>
      <c r="N166" s="644"/>
      <c r="O166" s="644"/>
      <c r="P166" s="644"/>
      <c r="Q166" s="644"/>
      <c r="R166" s="644">
        <v>1</v>
      </c>
      <c r="S166" s="644"/>
      <c r="T166" s="644"/>
      <c r="U166" s="644">
        <v>1</v>
      </c>
      <c r="V166" s="644"/>
      <c r="W166" s="644"/>
      <c r="X166" s="644"/>
      <c r="Y166" s="644"/>
      <c r="Z166" s="644"/>
      <c r="AA166" s="644"/>
      <c r="AB166" s="644"/>
      <c r="AC166" s="644"/>
      <c r="AD166" s="644"/>
      <c r="AE166" s="644"/>
      <c r="AF166" s="644"/>
      <c r="AG166" s="644"/>
      <c r="AH166" s="644">
        <v>1</v>
      </c>
      <c r="AI166" s="644"/>
      <c r="AJ166" s="644"/>
      <c r="AK166" s="644"/>
      <c r="AL166" s="167">
        <v>3</v>
      </c>
      <c r="AM166" s="185" t="s">
        <v>1221</v>
      </c>
      <c r="AN166" s="186">
        <v>41993</v>
      </c>
      <c r="AO166" s="187"/>
      <c r="AP166" s="187">
        <f t="shared" si="148"/>
        <v>0</v>
      </c>
      <c r="AQ166" s="187">
        <f t="shared" si="149"/>
        <v>0</v>
      </c>
      <c r="AR166" s="187">
        <f t="shared" si="150"/>
        <v>13</v>
      </c>
      <c r="AS166" s="187">
        <f t="shared" si="151"/>
        <v>13</v>
      </c>
      <c r="AT166" s="187">
        <f t="shared" si="152"/>
        <v>0</v>
      </c>
      <c r="AU166" s="187">
        <f t="shared" si="153"/>
        <v>0</v>
      </c>
      <c r="AV166" s="187">
        <f t="shared" si="154"/>
        <v>0</v>
      </c>
      <c r="AW166" s="187">
        <f t="shared" si="155"/>
        <v>0</v>
      </c>
      <c r="AX166" s="187">
        <f t="shared" si="156"/>
        <v>0</v>
      </c>
      <c r="AY166" s="187">
        <f t="shared" si="157"/>
        <v>0</v>
      </c>
      <c r="AZ166" s="187">
        <f t="shared" si="158"/>
        <v>7</v>
      </c>
      <c r="BA166" s="187">
        <f t="shared" si="159"/>
        <v>0</v>
      </c>
      <c r="BB166" s="187">
        <f t="shared" si="160"/>
        <v>0</v>
      </c>
      <c r="BC166" s="187">
        <f t="shared" si="161"/>
        <v>0</v>
      </c>
      <c r="BD166" s="187">
        <f t="shared" si="162"/>
        <v>0</v>
      </c>
      <c r="BE166" s="187">
        <f t="shared" si="163"/>
        <v>0</v>
      </c>
      <c r="BF166" s="187">
        <f t="shared" si="164"/>
        <v>0</v>
      </c>
      <c r="BG166" s="187">
        <f t="shared" si="165"/>
        <v>0</v>
      </c>
      <c r="BH166" s="187">
        <f t="shared" si="166"/>
        <v>0</v>
      </c>
      <c r="BI166" s="187">
        <f t="shared" si="167"/>
        <v>0</v>
      </c>
      <c r="BJ166" s="187">
        <f t="shared" si="168"/>
        <v>0</v>
      </c>
      <c r="BK166" s="187">
        <f t="shared" si="169"/>
        <v>0</v>
      </c>
      <c r="BL166" s="187">
        <f t="shared" si="170"/>
        <v>0</v>
      </c>
      <c r="BM166" s="187">
        <f t="shared" si="171"/>
        <v>0</v>
      </c>
      <c r="BN166" s="188">
        <f t="shared" si="172"/>
        <v>7</v>
      </c>
      <c r="BO166" s="187">
        <f t="shared" si="173"/>
        <v>0</v>
      </c>
      <c r="BP166" s="187">
        <f t="shared" ref="BP166:BQ166" si="530">IF(G166=1,1,0)</f>
        <v>0</v>
      </c>
      <c r="BQ166" s="187">
        <f t="shared" si="530"/>
        <v>0</v>
      </c>
      <c r="BR166" s="187">
        <f t="shared" ref="BR166:BT166" si="531">IF(K166=1,1,0)</f>
        <v>0</v>
      </c>
      <c r="BS166" s="187">
        <f t="shared" si="531"/>
        <v>0</v>
      </c>
      <c r="BT166" s="187">
        <f t="shared" si="531"/>
        <v>0</v>
      </c>
      <c r="BU166" s="187">
        <f t="shared" ref="BU166:BV166" si="532">IF(P166=1,1,0)</f>
        <v>0</v>
      </c>
      <c r="BV166" s="187">
        <f t="shared" si="532"/>
        <v>0</v>
      </c>
      <c r="BW166" s="187">
        <f t="shared" si="177"/>
        <v>0</v>
      </c>
      <c r="BX166" s="187">
        <f t="shared" si="178"/>
        <v>0</v>
      </c>
      <c r="BY166" s="187">
        <f t="shared" si="179"/>
        <v>7</v>
      </c>
      <c r="BZ166" s="187">
        <f t="shared" si="180"/>
        <v>-49</v>
      </c>
      <c r="CA166" s="167">
        <f t="shared" si="181"/>
        <v>-16</v>
      </c>
      <c r="CB166" s="167">
        <f t="shared" si="47"/>
        <v>64</v>
      </c>
      <c r="CC166" s="644">
        <f t="shared" si="48"/>
        <v>23</v>
      </c>
      <c r="CD166" s="644">
        <f t="shared" si="49"/>
        <v>19</v>
      </c>
      <c r="CE166" s="644">
        <f t="shared" si="50"/>
        <v>15</v>
      </c>
      <c r="CF166" s="644">
        <f t="shared" si="51"/>
        <v>0</v>
      </c>
      <c r="CG166" s="644">
        <f t="shared" si="52"/>
        <v>0</v>
      </c>
      <c r="CH166" s="644">
        <f t="shared" si="123"/>
        <v>7</v>
      </c>
      <c r="CI166" s="644">
        <f t="shared" si="54"/>
        <v>0</v>
      </c>
      <c r="CJ166" s="644">
        <f t="shared" si="55"/>
        <v>0</v>
      </c>
      <c r="CK166" s="644">
        <f t="shared" si="56"/>
        <v>0</v>
      </c>
      <c r="CL166" s="644">
        <f t="shared" si="57"/>
        <v>0</v>
      </c>
      <c r="CM166" s="644">
        <f t="shared" si="58"/>
        <v>0</v>
      </c>
      <c r="CN166" s="644">
        <f t="shared" si="59"/>
        <v>0</v>
      </c>
      <c r="CO166" s="644">
        <f t="shared" si="60"/>
        <v>0</v>
      </c>
      <c r="CP166" s="644">
        <f t="shared" si="61"/>
        <v>0</v>
      </c>
      <c r="CQ166" s="644">
        <f t="shared" si="62"/>
        <v>0</v>
      </c>
      <c r="CR166" s="644">
        <f t="shared" si="63"/>
        <v>0</v>
      </c>
      <c r="CS166" s="644">
        <f t="shared" si="64"/>
        <v>0</v>
      </c>
      <c r="CT166" s="644">
        <f t="shared" si="65"/>
        <v>0</v>
      </c>
      <c r="CU166" s="644">
        <f t="shared" si="66"/>
        <v>0</v>
      </c>
      <c r="CV166" s="644">
        <f t="shared" si="67"/>
        <v>0</v>
      </c>
      <c r="CW166" s="644">
        <f t="shared" si="68"/>
        <v>0</v>
      </c>
      <c r="CX166" s="644">
        <f t="shared" si="69"/>
        <v>0</v>
      </c>
      <c r="CY166" s="644">
        <f t="shared" si="70"/>
        <v>0</v>
      </c>
      <c r="CZ166" s="624" t="s">
        <v>756</v>
      </c>
      <c r="DA166" s="257"/>
    </row>
    <row r="167" spans="1:105">
      <c r="A167" s="254" t="s">
        <v>621</v>
      </c>
      <c r="B167" s="187"/>
      <c r="C167" s="644"/>
      <c r="D167" s="256">
        <v>1</v>
      </c>
      <c r="E167" s="256">
        <v>1</v>
      </c>
      <c r="F167" s="256">
        <v>1</v>
      </c>
      <c r="G167" s="251"/>
      <c r="H167" s="251"/>
      <c r="I167" s="256">
        <v>1</v>
      </c>
      <c r="J167" s="644"/>
      <c r="K167" s="644"/>
      <c r="L167" s="644"/>
      <c r="M167" s="644"/>
      <c r="N167" s="644"/>
      <c r="O167" s="644"/>
      <c r="P167" s="644"/>
      <c r="Q167" s="644"/>
      <c r="R167" s="644">
        <v>1</v>
      </c>
      <c r="S167" s="644"/>
      <c r="T167" s="644"/>
      <c r="U167" s="644">
        <v>1</v>
      </c>
      <c r="V167" s="644"/>
      <c r="W167" s="644"/>
      <c r="X167" s="644"/>
      <c r="Y167" s="644"/>
      <c r="Z167" s="256">
        <v>1</v>
      </c>
      <c r="AA167" s="251"/>
      <c r="AB167" s="256">
        <v>1</v>
      </c>
      <c r="AC167" s="256">
        <v>1</v>
      </c>
      <c r="AD167" s="255"/>
      <c r="AE167" s="644"/>
      <c r="AF167" s="644"/>
      <c r="AG167" s="644"/>
      <c r="AH167" s="644">
        <v>1</v>
      </c>
      <c r="AI167" s="644"/>
      <c r="AJ167" s="644"/>
      <c r="AK167" s="644"/>
      <c r="AL167" s="167">
        <v>10</v>
      </c>
      <c r="AM167" s="185" t="s">
        <v>1222</v>
      </c>
      <c r="AN167" s="186">
        <v>42003</v>
      </c>
      <c r="AO167" s="187"/>
      <c r="AP167" s="187">
        <f t="shared" si="148"/>
        <v>13</v>
      </c>
      <c r="AQ167" s="187">
        <f t="shared" si="149"/>
        <v>13</v>
      </c>
      <c r="AR167" s="187">
        <f t="shared" si="150"/>
        <v>13</v>
      </c>
      <c r="AS167" s="187">
        <f t="shared" si="151"/>
        <v>13</v>
      </c>
      <c r="AT167" s="187">
        <f t="shared" si="152"/>
        <v>9</v>
      </c>
      <c r="AU167" s="187">
        <f t="shared" si="153"/>
        <v>9</v>
      </c>
      <c r="AV167" s="187">
        <f t="shared" si="154"/>
        <v>9</v>
      </c>
      <c r="AW167" s="187">
        <f t="shared" si="155"/>
        <v>0</v>
      </c>
      <c r="AX167" s="187">
        <f t="shared" si="156"/>
        <v>0</v>
      </c>
      <c r="AY167" s="187">
        <f t="shared" si="157"/>
        <v>7</v>
      </c>
      <c r="AZ167" s="187">
        <f t="shared" si="158"/>
        <v>7</v>
      </c>
      <c r="BA167" s="187">
        <f t="shared" si="159"/>
        <v>7</v>
      </c>
      <c r="BB167" s="187">
        <f t="shared" si="160"/>
        <v>0</v>
      </c>
      <c r="BC167" s="187">
        <f t="shared" si="161"/>
        <v>0</v>
      </c>
      <c r="BD167" s="187">
        <f t="shared" si="162"/>
        <v>0</v>
      </c>
      <c r="BE167" s="187">
        <f t="shared" si="163"/>
        <v>0</v>
      </c>
      <c r="BF167" s="187">
        <f t="shared" si="164"/>
        <v>0</v>
      </c>
      <c r="BG167" s="187">
        <f t="shared" si="165"/>
        <v>0</v>
      </c>
      <c r="BH167" s="187">
        <f t="shared" si="166"/>
        <v>0</v>
      </c>
      <c r="BI167" s="187">
        <f t="shared" si="167"/>
        <v>0</v>
      </c>
      <c r="BJ167" s="187">
        <f t="shared" si="168"/>
        <v>0</v>
      </c>
      <c r="BK167" s="187">
        <f t="shared" si="169"/>
        <v>0</v>
      </c>
      <c r="BL167" s="187">
        <f t="shared" si="170"/>
        <v>0</v>
      </c>
      <c r="BM167" s="187">
        <f t="shared" si="171"/>
        <v>0</v>
      </c>
      <c r="BN167" s="188">
        <f t="shared" si="172"/>
        <v>0</v>
      </c>
      <c r="BO167" s="187">
        <f t="shared" si="173"/>
        <v>0</v>
      </c>
      <c r="BP167" s="187">
        <f t="shared" ref="BP167:BQ167" si="533">IF(G167=1,1,0)</f>
        <v>0</v>
      </c>
      <c r="BQ167" s="187">
        <f t="shared" si="533"/>
        <v>0</v>
      </c>
      <c r="BR167" s="187">
        <f t="shared" ref="BR167:BT167" si="534">IF(K167=1,1,0)</f>
        <v>0</v>
      </c>
      <c r="BS167" s="187">
        <f t="shared" si="534"/>
        <v>0</v>
      </c>
      <c r="BT167" s="187">
        <f t="shared" si="534"/>
        <v>0</v>
      </c>
      <c r="BU167" s="187">
        <f t="shared" ref="BU167:BV167" si="535">IF(P167=1,1,0)</f>
        <v>0</v>
      </c>
      <c r="BV167" s="187">
        <f t="shared" si="535"/>
        <v>0</v>
      </c>
      <c r="BW167" s="187">
        <f t="shared" si="177"/>
        <v>0</v>
      </c>
      <c r="BX167" s="187">
        <f t="shared" si="178"/>
        <v>0</v>
      </c>
      <c r="BY167" s="187">
        <f t="shared" si="179"/>
        <v>0</v>
      </c>
      <c r="BZ167" s="187">
        <f t="shared" si="180"/>
        <v>0</v>
      </c>
      <c r="CA167" s="167">
        <f t="shared" si="181"/>
        <v>100</v>
      </c>
      <c r="CB167" s="167">
        <f t="shared" si="47"/>
        <v>100</v>
      </c>
      <c r="CC167" s="644">
        <f t="shared" si="48"/>
        <v>23</v>
      </c>
      <c r="CD167" s="644">
        <f t="shared" si="49"/>
        <v>19</v>
      </c>
      <c r="CE167" s="644">
        <f t="shared" si="50"/>
        <v>15</v>
      </c>
      <c r="CF167" s="644">
        <f t="shared" si="51"/>
        <v>15</v>
      </c>
      <c r="CG167" s="644">
        <f t="shared" si="52"/>
        <v>9</v>
      </c>
      <c r="CH167" s="644">
        <f t="shared" si="123"/>
        <v>7</v>
      </c>
      <c r="CI167" s="644">
        <f t="shared" si="54"/>
        <v>7</v>
      </c>
      <c r="CJ167" s="644">
        <f t="shared" si="55"/>
        <v>0</v>
      </c>
      <c r="CK167" s="644">
        <f t="shared" si="56"/>
        <v>5</v>
      </c>
      <c r="CL167" s="644">
        <f t="shared" si="57"/>
        <v>5</v>
      </c>
      <c r="CM167" s="644">
        <f t="shared" si="58"/>
        <v>0</v>
      </c>
      <c r="CN167" s="644">
        <f t="shared" si="59"/>
        <v>0</v>
      </c>
      <c r="CO167" s="644">
        <f t="shared" si="60"/>
        <v>0</v>
      </c>
      <c r="CP167" s="644">
        <f t="shared" si="61"/>
        <v>3</v>
      </c>
      <c r="CQ167" s="644">
        <f t="shared" si="62"/>
        <v>0</v>
      </c>
      <c r="CR167" s="644">
        <f t="shared" si="63"/>
        <v>0</v>
      </c>
      <c r="CS167" s="644">
        <f t="shared" si="64"/>
        <v>0</v>
      </c>
      <c r="CT167" s="644">
        <f t="shared" si="65"/>
        <v>0</v>
      </c>
      <c r="CU167" s="644">
        <f t="shared" si="66"/>
        <v>0</v>
      </c>
      <c r="CV167" s="644">
        <f t="shared" si="67"/>
        <v>0</v>
      </c>
      <c r="CW167" s="644">
        <f t="shared" si="68"/>
        <v>0</v>
      </c>
      <c r="CX167" s="644">
        <f t="shared" si="69"/>
        <v>0</v>
      </c>
      <c r="CY167" s="644">
        <f t="shared" si="70"/>
        <v>0</v>
      </c>
      <c r="CZ167" s="624" t="s">
        <v>756</v>
      </c>
      <c r="DA167" s="257"/>
    </row>
    <row r="168" spans="1:105">
      <c r="A168" s="249" t="s">
        <v>310</v>
      </c>
      <c r="B168" s="187"/>
      <c r="C168" s="644"/>
      <c r="D168" s="644">
        <v>1</v>
      </c>
      <c r="E168" s="644">
        <v>1</v>
      </c>
      <c r="F168" s="251">
        <v>1</v>
      </c>
      <c r="G168" s="251"/>
      <c r="H168" s="251"/>
      <c r="I168" s="251">
        <v>1</v>
      </c>
      <c r="J168" s="644"/>
      <c r="K168" s="644"/>
      <c r="L168" s="644"/>
      <c r="M168" s="644"/>
      <c r="N168" s="644"/>
      <c r="O168" s="644"/>
      <c r="P168" s="644"/>
      <c r="Q168" s="644"/>
      <c r="R168" s="644">
        <v>1</v>
      </c>
      <c r="S168" s="644"/>
      <c r="T168" s="644"/>
      <c r="U168" s="644">
        <v>1</v>
      </c>
      <c r="V168" s="644"/>
      <c r="W168" s="644"/>
      <c r="X168" s="644"/>
      <c r="Y168" s="644"/>
      <c r="Z168" s="644"/>
      <c r="AA168" s="644"/>
      <c r="AB168" s="644">
        <v>1</v>
      </c>
      <c r="AC168" s="644">
        <v>1</v>
      </c>
      <c r="AD168" s="644">
        <v>1</v>
      </c>
      <c r="AE168" s="644"/>
      <c r="AF168" s="644"/>
      <c r="AG168" s="644"/>
      <c r="AH168" s="644">
        <v>1</v>
      </c>
      <c r="AI168" s="644"/>
      <c r="AJ168" s="644"/>
      <c r="AK168" s="644"/>
      <c r="AL168" s="167">
        <v>10</v>
      </c>
      <c r="AM168" s="185" t="s">
        <v>1103</v>
      </c>
      <c r="AN168" s="186">
        <v>42008</v>
      </c>
      <c r="AO168" s="187"/>
      <c r="AP168" s="187">
        <f t="shared" si="148"/>
        <v>13</v>
      </c>
      <c r="AQ168" s="187">
        <f t="shared" si="149"/>
        <v>13</v>
      </c>
      <c r="AR168" s="187">
        <f t="shared" si="150"/>
        <v>13</v>
      </c>
      <c r="AS168" s="187">
        <f t="shared" si="151"/>
        <v>13</v>
      </c>
      <c r="AT168" s="187">
        <f t="shared" si="152"/>
        <v>9</v>
      </c>
      <c r="AU168" s="187">
        <f t="shared" si="153"/>
        <v>9</v>
      </c>
      <c r="AV168" s="187">
        <f t="shared" si="154"/>
        <v>9</v>
      </c>
      <c r="AW168" s="187">
        <f t="shared" si="155"/>
        <v>0</v>
      </c>
      <c r="AX168" s="187">
        <f t="shared" si="156"/>
        <v>7</v>
      </c>
      <c r="AY168" s="187">
        <f t="shared" si="157"/>
        <v>0</v>
      </c>
      <c r="AZ168" s="187">
        <f t="shared" si="158"/>
        <v>7</v>
      </c>
      <c r="BA168" s="187">
        <f t="shared" si="159"/>
        <v>7</v>
      </c>
      <c r="BB168" s="187">
        <f t="shared" si="160"/>
        <v>0</v>
      </c>
      <c r="BC168" s="187">
        <f t="shared" si="161"/>
        <v>0</v>
      </c>
      <c r="BD168" s="187">
        <f t="shared" si="162"/>
        <v>0</v>
      </c>
      <c r="BE168" s="187">
        <f t="shared" si="163"/>
        <v>0</v>
      </c>
      <c r="BF168" s="187">
        <f t="shared" si="164"/>
        <v>0</v>
      </c>
      <c r="BG168" s="187">
        <f t="shared" si="165"/>
        <v>0</v>
      </c>
      <c r="BH168" s="187">
        <f t="shared" si="166"/>
        <v>0</v>
      </c>
      <c r="BI168" s="187">
        <f t="shared" si="167"/>
        <v>0</v>
      </c>
      <c r="BJ168" s="187">
        <f t="shared" si="168"/>
        <v>0</v>
      </c>
      <c r="BK168" s="187">
        <f t="shared" si="169"/>
        <v>0</v>
      </c>
      <c r="BL168" s="187">
        <f t="shared" si="170"/>
        <v>0</v>
      </c>
      <c r="BM168" s="187">
        <f t="shared" si="171"/>
        <v>0</v>
      </c>
      <c r="BN168" s="188">
        <f t="shared" si="172"/>
        <v>0</v>
      </c>
      <c r="BO168" s="187">
        <f t="shared" si="173"/>
        <v>0</v>
      </c>
      <c r="BP168" s="187">
        <f t="shared" ref="BP168:BQ168" si="536">IF(G168=1,1,0)</f>
        <v>0</v>
      </c>
      <c r="BQ168" s="187">
        <f t="shared" si="536"/>
        <v>0</v>
      </c>
      <c r="BR168" s="187">
        <f t="shared" ref="BR168:BT168" si="537">IF(K168=1,1,0)</f>
        <v>0</v>
      </c>
      <c r="BS168" s="187">
        <f t="shared" si="537"/>
        <v>0</v>
      </c>
      <c r="BT168" s="187">
        <f t="shared" si="537"/>
        <v>0</v>
      </c>
      <c r="BU168" s="187">
        <f t="shared" ref="BU168:BV168" si="538">IF(P168=1,1,0)</f>
        <v>0</v>
      </c>
      <c r="BV168" s="187">
        <f t="shared" si="538"/>
        <v>0</v>
      </c>
      <c r="BW168" s="187">
        <f t="shared" si="177"/>
        <v>0</v>
      </c>
      <c r="BX168" s="187">
        <f t="shared" si="178"/>
        <v>0</v>
      </c>
      <c r="BY168" s="187">
        <f t="shared" si="179"/>
        <v>0</v>
      </c>
      <c r="BZ168" s="187">
        <f t="shared" si="180"/>
        <v>0</v>
      </c>
      <c r="CA168" s="167">
        <f t="shared" si="181"/>
        <v>100</v>
      </c>
      <c r="CB168" s="167">
        <f t="shared" si="47"/>
        <v>100</v>
      </c>
      <c r="CC168" s="644">
        <f t="shared" si="48"/>
        <v>23</v>
      </c>
      <c r="CD168" s="644">
        <f t="shared" si="49"/>
        <v>19</v>
      </c>
      <c r="CE168" s="644">
        <f t="shared" si="50"/>
        <v>15</v>
      </c>
      <c r="CF168" s="644">
        <f t="shared" si="51"/>
        <v>15</v>
      </c>
      <c r="CG168" s="644">
        <f t="shared" si="52"/>
        <v>9</v>
      </c>
      <c r="CH168" s="644">
        <f t="shared" si="123"/>
        <v>7</v>
      </c>
      <c r="CI168" s="644">
        <f t="shared" si="54"/>
        <v>7</v>
      </c>
      <c r="CJ168" s="644">
        <f t="shared" si="55"/>
        <v>5</v>
      </c>
      <c r="CK168" s="644">
        <f t="shared" si="56"/>
        <v>5</v>
      </c>
      <c r="CL168" s="644">
        <f t="shared" si="57"/>
        <v>5</v>
      </c>
      <c r="CM168" s="644">
        <f t="shared" si="58"/>
        <v>0</v>
      </c>
      <c r="CN168" s="644">
        <f t="shared" si="59"/>
        <v>0</v>
      </c>
      <c r="CO168" s="644">
        <f t="shared" si="60"/>
        <v>0</v>
      </c>
      <c r="CP168" s="644">
        <f t="shared" si="61"/>
        <v>0</v>
      </c>
      <c r="CQ168" s="644">
        <f t="shared" si="62"/>
        <v>0</v>
      </c>
      <c r="CR168" s="644">
        <f t="shared" si="63"/>
        <v>0</v>
      </c>
      <c r="CS168" s="644">
        <f t="shared" si="64"/>
        <v>0</v>
      </c>
      <c r="CT168" s="644">
        <f t="shared" si="65"/>
        <v>0</v>
      </c>
      <c r="CU168" s="644">
        <f t="shared" si="66"/>
        <v>0</v>
      </c>
      <c r="CV168" s="644">
        <f t="shared" si="67"/>
        <v>0</v>
      </c>
      <c r="CW168" s="644">
        <f t="shared" si="68"/>
        <v>0</v>
      </c>
      <c r="CX168" s="644">
        <f t="shared" si="69"/>
        <v>0</v>
      </c>
      <c r="CY168" s="644">
        <f t="shared" si="70"/>
        <v>0</v>
      </c>
      <c r="CZ168" s="624" t="s">
        <v>906</v>
      </c>
      <c r="DA168" s="257"/>
    </row>
    <row r="169" spans="1:105" ht="25.5">
      <c r="A169" s="249" t="s">
        <v>1223</v>
      </c>
      <c r="B169" s="187"/>
      <c r="C169" s="644"/>
      <c r="D169" s="644">
        <v>1</v>
      </c>
      <c r="E169" s="644">
        <v>1</v>
      </c>
      <c r="F169" s="251">
        <v>1</v>
      </c>
      <c r="G169" s="251"/>
      <c r="H169" s="251"/>
      <c r="I169" s="251">
        <v>1</v>
      </c>
      <c r="J169" s="644"/>
      <c r="K169" s="644"/>
      <c r="L169" s="644"/>
      <c r="M169" s="644"/>
      <c r="N169" s="644"/>
      <c r="O169" s="644"/>
      <c r="P169" s="644"/>
      <c r="Q169" s="644"/>
      <c r="R169" s="644">
        <v>1</v>
      </c>
      <c r="S169" s="644">
        <v>1</v>
      </c>
      <c r="T169" s="644"/>
      <c r="U169" s="644">
        <v>1</v>
      </c>
      <c r="V169" s="644"/>
      <c r="W169" s="644"/>
      <c r="X169" s="644"/>
      <c r="Y169" s="644"/>
      <c r="Z169" s="250"/>
      <c r="AA169" s="644"/>
      <c r="AB169" s="644">
        <v>1</v>
      </c>
      <c r="AC169" s="258">
        <v>1</v>
      </c>
      <c r="AD169" s="250"/>
      <c r="AE169" s="644"/>
      <c r="AF169" s="644"/>
      <c r="AG169" s="644"/>
      <c r="AH169" s="644">
        <v>1</v>
      </c>
      <c r="AI169" s="644"/>
      <c r="AJ169" s="644"/>
      <c r="AK169" s="644"/>
      <c r="AL169" s="167">
        <v>10</v>
      </c>
      <c r="AM169" s="187" t="s">
        <v>1224</v>
      </c>
      <c r="AN169" s="186">
        <v>41992</v>
      </c>
      <c r="AO169" s="187"/>
      <c r="AP169" s="187">
        <f t="shared" si="148"/>
        <v>13</v>
      </c>
      <c r="AQ169" s="187">
        <f t="shared" si="149"/>
        <v>13</v>
      </c>
      <c r="AR169" s="187">
        <f t="shared" si="150"/>
        <v>13</v>
      </c>
      <c r="AS169" s="187">
        <f t="shared" si="151"/>
        <v>13</v>
      </c>
      <c r="AT169" s="187">
        <f t="shared" si="152"/>
        <v>9</v>
      </c>
      <c r="AU169" s="187">
        <f t="shared" si="153"/>
        <v>9</v>
      </c>
      <c r="AV169" s="187">
        <f t="shared" si="154"/>
        <v>9</v>
      </c>
      <c r="AW169" s="187">
        <f t="shared" si="155"/>
        <v>0</v>
      </c>
      <c r="AX169" s="187">
        <f t="shared" si="156"/>
        <v>0</v>
      </c>
      <c r="AY169" s="187">
        <f t="shared" si="157"/>
        <v>0</v>
      </c>
      <c r="AZ169" s="187">
        <f t="shared" si="158"/>
        <v>7</v>
      </c>
      <c r="BA169" s="187">
        <f t="shared" si="159"/>
        <v>7</v>
      </c>
      <c r="BB169" s="187">
        <f t="shared" si="160"/>
        <v>0</v>
      </c>
      <c r="BC169" s="187">
        <f t="shared" si="161"/>
        <v>0</v>
      </c>
      <c r="BD169" s="187">
        <f t="shared" si="162"/>
        <v>0</v>
      </c>
      <c r="BE169" s="187">
        <f t="shared" si="163"/>
        <v>0</v>
      </c>
      <c r="BF169" s="187">
        <f t="shared" si="164"/>
        <v>0</v>
      </c>
      <c r="BG169" s="187">
        <f t="shared" si="165"/>
        <v>0</v>
      </c>
      <c r="BH169" s="187">
        <f t="shared" si="166"/>
        <v>2</v>
      </c>
      <c r="BI169" s="187">
        <f t="shared" si="167"/>
        <v>0</v>
      </c>
      <c r="BJ169" s="187">
        <f t="shared" si="168"/>
        <v>0</v>
      </c>
      <c r="BK169" s="187">
        <f t="shared" si="169"/>
        <v>0</v>
      </c>
      <c r="BL169" s="187">
        <f t="shared" si="170"/>
        <v>0</v>
      </c>
      <c r="BM169" s="187">
        <f t="shared" si="171"/>
        <v>0</v>
      </c>
      <c r="BN169" s="188">
        <f t="shared" si="172"/>
        <v>0</v>
      </c>
      <c r="BO169" s="187">
        <f t="shared" si="173"/>
        <v>0</v>
      </c>
      <c r="BP169" s="187">
        <f t="shared" ref="BP169:BQ169" si="539">IF(G169=1,1,0)</f>
        <v>0</v>
      </c>
      <c r="BQ169" s="187">
        <f t="shared" si="539"/>
        <v>0</v>
      </c>
      <c r="BR169" s="187">
        <f t="shared" ref="BR169:BT169" si="540">IF(K169=1,1,0)</f>
        <v>0</v>
      </c>
      <c r="BS169" s="187">
        <f t="shared" si="540"/>
        <v>0</v>
      </c>
      <c r="BT169" s="187">
        <f t="shared" si="540"/>
        <v>0</v>
      </c>
      <c r="BU169" s="187">
        <f t="shared" ref="BU169:BV169" si="541">IF(P169=1,1,0)</f>
        <v>0</v>
      </c>
      <c r="BV169" s="187">
        <f t="shared" si="541"/>
        <v>0</v>
      </c>
      <c r="BW169" s="187">
        <f t="shared" si="177"/>
        <v>0</v>
      </c>
      <c r="BX169" s="187">
        <f t="shared" si="178"/>
        <v>0</v>
      </c>
      <c r="BY169" s="187">
        <f t="shared" si="179"/>
        <v>0</v>
      </c>
      <c r="BZ169" s="187">
        <f t="shared" si="180"/>
        <v>0</v>
      </c>
      <c r="CA169" s="167">
        <f t="shared" si="181"/>
        <v>95</v>
      </c>
      <c r="CB169" s="167">
        <f t="shared" si="47"/>
        <v>100</v>
      </c>
      <c r="CC169" s="644">
        <f t="shared" si="48"/>
        <v>23</v>
      </c>
      <c r="CD169" s="644">
        <f t="shared" si="49"/>
        <v>19</v>
      </c>
      <c r="CE169" s="644">
        <f t="shared" si="50"/>
        <v>15</v>
      </c>
      <c r="CF169" s="644">
        <f t="shared" si="51"/>
        <v>15</v>
      </c>
      <c r="CG169" s="644">
        <f t="shared" si="52"/>
        <v>9</v>
      </c>
      <c r="CH169" s="644">
        <f t="shared" ref="CH169:CH185" si="542">IF(D152=1,7,0)</f>
        <v>7</v>
      </c>
      <c r="CI169" s="644">
        <f t="shared" si="54"/>
        <v>7</v>
      </c>
      <c r="CJ169" s="644">
        <f t="shared" si="55"/>
        <v>0</v>
      </c>
      <c r="CK169" s="644">
        <f t="shared" si="56"/>
        <v>5</v>
      </c>
      <c r="CL169" s="644">
        <f t="shared" si="57"/>
        <v>5</v>
      </c>
      <c r="CM169" s="644">
        <f t="shared" si="58"/>
        <v>0</v>
      </c>
      <c r="CN169" s="644">
        <f t="shared" si="59"/>
        <v>0</v>
      </c>
      <c r="CO169" s="644">
        <f t="shared" si="60"/>
        <v>0</v>
      </c>
      <c r="CP169" s="644">
        <f t="shared" si="61"/>
        <v>0</v>
      </c>
      <c r="CQ169" s="644">
        <f t="shared" si="62"/>
        <v>2</v>
      </c>
      <c r="CR169" s="644">
        <f t="shared" si="63"/>
        <v>0</v>
      </c>
      <c r="CS169" s="644">
        <f t="shared" si="64"/>
        <v>0</v>
      </c>
      <c r="CT169" s="644">
        <f t="shared" si="65"/>
        <v>0</v>
      </c>
      <c r="CU169" s="644">
        <f t="shared" si="66"/>
        <v>0</v>
      </c>
      <c r="CV169" s="644">
        <f t="shared" si="67"/>
        <v>0</v>
      </c>
      <c r="CW169" s="644">
        <f t="shared" si="68"/>
        <v>0</v>
      </c>
      <c r="CX169" s="644">
        <f t="shared" si="69"/>
        <v>0</v>
      </c>
      <c r="CY169" s="644">
        <f t="shared" si="70"/>
        <v>0</v>
      </c>
      <c r="CZ169" s="624" t="s">
        <v>853</v>
      </c>
      <c r="DA169" s="257"/>
    </row>
    <row r="170" spans="1:105">
      <c r="A170" s="249" t="s">
        <v>313</v>
      </c>
      <c r="B170" s="187"/>
      <c r="C170" s="644"/>
      <c r="D170" s="644"/>
      <c r="E170" s="644">
        <v>1</v>
      </c>
      <c r="F170" s="251">
        <v>1</v>
      </c>
      <c r="G170" s="251"/>
      <c r="H170" s="251"/>
      <c r="I170" s="251">
        <v>1</v>
      </c>
      <c r="J170" s="644"/>
      <c r="K170" s="644"/>
      <c r="L170" s="644"/>
      <c r="M170" s="644"/>
      <c r="N170" s="644"/>
      <c r="O170" s="644"/>
      <c r="P170" s="644"/>
      <c r="Q170" s="644"/>
      <c r="R170" s="644">
        <v>1</v>
      </c>
      <c r="S170" s="644"/>
      <c r="T170" s="644"/>
      <c r="U170" s="644">
        <v>1</v>
      </c>
      <c r="V170" s="644"/>
      <c r="W170" s="644"/>
      <c r="X170" s="644">
        <v>1</v>
      </c>
      <c r="Y170" s="644"/>
      <c r="Z170" s="644"/>
      <c r="AA170" s="644"/>
      <c r="AB170" s="644"/>
      <c r="AC170" s="644"/>
      <c r="AD170" s="644"/>
      <c r="AE170" s="644"/>
      <c r="AF170" s="644">
        <v>1</v>
      </c>
      <c r="AG170" s="644">
        <v>1</v>
      </c>
      <c r="AH170" s="644">
        <v>1</v>
      </c>
      <c r="AI170" s="644">
        <v>1</v>
      </c>
      <c r="AJ170" s="644"/>
      <c r="AK170" s="644"/>
      <c r="AL170" s="167">
        <v>10</v>
      </c>
      <c r="AM170" s="185" t="s">
        <v>1225</v>
      </c>
      <c r="AN170" s="186">
        <v>42009</v>
      </c>
      <c r="AO170" s="187"/>
      <c r="AP170" s="187">
        <f t="shared" si="148"/>
        <v>13</v>
      </c>
      <c r="AQ170" s="187">
        <f t="shared" si="149"/>
        <v>13</v>
      </c>
      <c r="AR170" s="187">
        <f t="shared" si="150"/>
        <v>13</v>
      </c>
      <c r="AS170" s="187">
        <f t="shared" si="151"/>
        <v>13</v>
      </c>
      <c r="AT170" s="187">
        <f t="shared" si="152"/>
        <v>0</v>
      </c>
      <c r="AU170" s="187">
        <f t="shared" si="153"/>
        <v>0</v>
      </c>
      <c r="AV170" s="187">
        <f t="shared" si="154"/>
        <v>0</v>
      </c>
      <c r="AW170" s="187">
        <f t="shared" si="155"/>
        <v>0</v>
      </c>
      <c r="AX170" s="187">
        <f t="shared" si="156"/>
        <v>0</v>
      </c>
      <c r="AY170" s="187">
        <f t="shared" si="157"/>
        <v>0</v>
      </c>
      <c r="AZ170" s="187">
        <f t="shared" si="158"/>
        <v>7</v>
      </c>
      <c r="BA170" s="187">
        <f t="shared" si="159"/>
        <v>7</v>
      </c>
      <c r="BB170" s="187">
        <f t="shared" si="160"/>
        <v>0</v>
      </c>
      <c r="BC170" s="187">
        <f t="shared" si="161"/>
        <v>0</v>
      </c>
      <c r="BD170" s="187">
        <f t="shared" si="162"/>
        <v>4</v>
      </c>
      <c r="BE170" s="187">
        <f t="shared" si="163"/>
        <v>3</v>
      </c>
      <c r="BF170" s="187">
        <f t="shared" si="164"/>
        <v>0</v>
      </c>
      <c r="BG170" s="187">
        <f t="shared" si="165"/>
        <v>2</v>
      </c>
      <c r="BH170" s="187">
        <f t="shared" si="166"/>
        <v>0</v>
      </c>
      <c r="BI170" s="187">
        <f t="shared" si="167"/>
        <v>0</v>
      </c>
      <c r="BJ170" s="187">
        <f t="shared" si="168"/>
        <v>1</v>
      </c>
      <c r="BK170" s="187">
        <f t="shared" si="169"/>
        <v>0</v>
      </c>
      <c r="BL170" s="187">
        <f t="shared" si="170"/>
        <v>0</v>
      </c>
      <c r="BM170" s="187">
        <f t="shared" si="171"/>
        <v>0</v>
      </c>
      <c r="BN170" s="188">
        <f t="shared" si="172"/>
        <v>0</v>
      </c>
      <c r="BO170" s="187">
        <f t="shared" si="173"/>
        <v>0</v>
      </c>
      <c r="BP170" s="187">
        <f t="shared" ref="BP170:BQ170" si="543">IF(G170=1,1,0)</f>
        <v>0</v>
      </c>
      <c r="BQ170" s="187">
        <f t="shared" si="543"/>
        <v>0</v>
      </c>
      <c r="BR170" s="187">
        <f t="shared" ref="BR170:BT170" si="544">IF(K170=1,1,0)</f>
        <v>0</v>
      </c>
      <c r="BS170" s="187">
        <f t="shared" si="544"/>
        <v>0</v>
      </c>
      <c r="BT170" s="187">
        <f t="shared" si="544"/>
        <v>0</v>
      </c>
      <c r="BU170" s="187">
        <f t="shared" ref="BU170:BV170" si="545">IF(P170=1,1,0)</f>
        <v>0</v>
      </c>
      <c r="BV170" s="187">
        <f t="shared" si="545"/>
        <v>0</v>
      </c>
      <c r="BW170" s="187">
        <f t="shared" si="177"/>
        <v>0</v>
      </c>
      <c r="BX170" s="187">
        <f t="shared" si="178"/>
        <v>0</v>
      </c>
      <c r="BY170" s="187">
        <f t="shared" si="179"/>
        <v>0</v>
      </c>
      <c r="BZ170" s="187">
        <f t="shared" si="180"/>
        <v>0</v>
      </c>
      <c r="CA170" s="167">
        <f t="shared" si="181"/>
        <v>76</v>
      </c>
      <c r="CB170" s="167">
        <f t="shared" si="47"/>
        <v>92</v>
      </c>
      <c r="CC170" s="644">
        <f t="shared" si="48"/>
        <v>23</v>
      </c>
      <c r="CD170" s="644">
        <f t="shared" si="49"/>
        <v>19</v>
      </c>
      <c r="CE170" s="644">
        <f t="shared" si="50"/>
        <v>15</v>
      </c>
      <c r="CF170" s="644">
        <f t="shared" si="51"/>
        <v>15</v>
      </c>
      <c r="CG170" s="644">
        <f t="shared" si="52"/>
        <v>0</v>
      </c>
      <c r="CH170" s="644">
        <f t="shared" si="542"/>
        <v>7</v>
      </c>
      <c r="CI170" s="644">
        <f t="shared" si="54"/>
        <v>0</v>
      </c>
      <c r="CJ170" s="644">
        <f t="shared" si="55"/>
        <v>0</v>
      </c>
      <c r="CK170" s="644">
        <f t="shared" si="56"/>
        <v>5</v>
      </c>
      <c r="CL170" s="644">
        <f t="shared" si="57"/>
        <v>5</v>
      </c>
      <c r="CM170" s="644">
        <f t="shared" si="58"/>
        <v>3</v>
      </c>
      <c r="CN170" s="644">
        <f t="shared" si="59"/>
        <v>0</v>
      </c>
      <c r="CO170" s="644">
        <f t="shared" si="60"/>
        <v>0</v>
      </c>
      <c r="CP170" s="644">
        <f t="shared" si="61"/>
        <v>0</v>
      </c>
      <c r="CQ170" s="644">
        <f t="shared" si="62"/>
        <v>0</v>
      </c>
      <c r="CR170" s="644">
        <f t="shared" si="63"/>
        <v>0</v>
      </c>
      <c r="CS170" s="644">
        <f t="shared" si="64"/>
        <v>0</v>
      </c>
      <c r="CT170" s="644">
        <f t="shared" si="65"/>
        <v>2</v>
      </c>
      <c r="CU170" s="644">
        <f t="shared" si="66"/>
        <v>1</v>
      </c>
      <c r="CV170" s="644">
        <f t="shared" si="67"/>
        <v>0</v>
      </c>
      <c r="CW170" s="644">
        <f t="shared" si="68"/>
        <v>1</v>
      </c>
      <c r="CX170" s="644">
        <f t="shared" si="69"/>
        <v>0</v>
      </c>
      <c r="CY170" s="644">
        <f t="shared" si="70"/>
        <v>0</v>
      </c>
      <c r="CZ170" s="624" t="s">
        <v>1152</v>
      </c>
      <c r="DA170" s="257"/>
    </row>
    <row r="171" spans="1:105">
      <c r="A171" s="249" t="s">
        <v>909</v>
      </c>
      <c r="B171" s="187"/>
      <c r="C171" s="644"/>
      <c r="D171" s="644">
        <v>1</v>
      </c>
      <c r="E171" s="644">
        <v>1</v>
      </c>
      <c r="F171" s="251">
        <v>1</v>
      </c>
      <c r="G171" s="251"/>
      <c r="H171" s="251"/>
      <c r="I171" s="251">
        <v>1</v>
      </c>
      <c r="J171" s="644"/>
      <c r="K171" s="644"/>
      <c r="L171" s="644"/>
      <c r="M171" s="644"/>
      <c r="N171" s="644"/>
      <c r="O171" s="644"/>
      <c r="P171" s="644"/>
      <c r="Q171" s="644"/>
      <c r="R171" s="644">
        <v>1</v>
      </c>
      <c r="S171" s="644"/>
      <c r="T171" s="644"/>
      <c r="U171" s="644">
        <v>1</v>
      </c>
      <c r="V171" s="644"/>
      <c r="W171" s="644"/>
      <c r="X171" s="644"/>
      <c r="Y171" s="644"/>
      <c r="Z171" s="644"/>
      <c r="AA171" s="644"/>
      <c r="AB171" s="644">
        <v>1</v>
      </c>
      <c r="AC171" s="644">
        <v>1</v>
      </c>
      <c r="AD171" s="644"/>
      <c r="AE171" s="644"/>
      <c r="AF171" s="644"/>
      <c r="AG171" s="644"/>
      <c r="AH171" s="644">
        <v>1</v>
      </c>
      <c r="AI171" s="644"/>
      <c r="AJ171" s="644"/>
      <c r="AK171" s="644"/>
      <c r="AL171" s="167">
        <v>9</v>
      </c>
      <c r="AM171" s="185" t="s">
        <v>1103</v>
      </c>
      <c r="AN171" s="186">
        <v>42008</v>
      </c>
      <c r="AO171" s="187"/>
      <c r="AP171" s="187">
        <f t="shared" si="148"/>
        <v>13</v>
      </c>
      <c r="AQ171" s="187">
        <f t="shared" si="149"/>
        <v>13</v>
      </c>
      <c r="AR171" s="187">
        <f t="shared" si="150"/>
        <v>13</v>
      </c>
      <c r="AS171" s="187">
        <f t="shared" si="151"/>
        <v>13</v>
      </c>
      <c r="AT171" s="187">
        <f t="shared" si="152"/>
        <v>9</v>
      </c>
      <c r="AU171" s="187">
        <f t="shared" si="153"/>
        <v>9</v>
      </c>
      <c r="AV171" s="187">
        <f t="shared" si="154"/>
        <v>9</v>
      </c>
      <c r="AW171" s="187">
        <f t="shared" si="155"/>
        <v>0</v>
      </c>
      <c r="AX171" s="187">
        <f t="shared" si="156"/>
        <v>0</v>
      </c>
      <c r="AY171" s="187">
        <f t="shared" si="157"/>
        <v>0</v>
      </c>
      <c r="AZ171" s="187">
        <f t="shared" si="158"/>
        <v>7</v>
      </c>
      <c r="BA171" s="187">
        <f t="shared" si="159"/>
        <v>7</v>
      </c>
      <c r="BB171" s="187">
        <f t="shared" si="160"/>
        <v>0</v>
      </c>
      <c r="BC171" s="187">
        <f t="shared" si="161"/>
        <v>0</v>
      </c>
      <c r="BD171" s="187">
        <f t="shared" si="162"/>
        <v>0</v>
      </c>
      <c r="BE171" s="187">
        <f t="shared" si="163"/>
        <v>0</v>
      </c>
      <c r="BF171" s="187">
        <f t="shared" si="164"/>
        <v>0</v>
      </c>
      <c r="BG171" s="187">
        <f t="shared" si="165"/>
        <v>0</v>
      </c>
      <c r="BH171" s="187">
        <f t="shared" si="166"/>
        <v>0</v>
      </c>
      <c r="BI171" s="187">
        <f t="shared" si="167"/>
        <v>0</v>
      </c>
      <c r="BJ171" s="187">
        <f t="shared" si="168"/>
        <v>0</v>
      </c>
      <c r="BK171" s="187">
        <f t="shared" si="169"/>
        <v>0</v>
      </c>
      <c r="BL171" s="187">
        <f t="shared" si="170"/>
        <v>0</v>
      </c>
      <c r="BM171" s="187">
        <f t="shared" si="171"/>
        <v>0</v>
      </c>
      <c r="BN171" s="188">
        <f t="shared" si="172"/>
        <v>1</v>
      </c>
      <c r="BO171" s="187">
        <f t="shared" si="173"/>
        <v>0</v>
      </c>
      <c r="BP171" s="187">
        <f t="shared" ref="BP171:BQ171" si="546">IF(G171=1,1,0)</f>
        <v>0</v>
      </c>
      <c r="BQ171" s="187">
        <f t="shared" si="546"/>
        <v>0</v>
      </c>
      <c r="BR171" s="187">
        <f t="shared" ref="BR171:BT171" si="547">IF(K171=1,1,0)</f>
        <v>0</v>
      </c>
      <c r="BS171" s="187">
        <f t="shared" si="547"/>
        <v>0</v>
      </c>
      <c r="BT171" s="187">
        <f t="shared" si="547"/>
        <v>0</v>
      </c>
      <c r="BU171" s="187">
        <f t="shared" ref="BU171:BV171" si="548">IF(P171=1,1,0)</f>
        <v>0</v>
      </c>
      <c r="BV171" s="187">
        <f t="shared" si="548"/>
        <v>0</v>
      </c>
      <c r="BW171" s="187">
        <f t="shared" si="177"/>
        <v>0</v>
      </c>
      <c r="BX171" s="187">
        <f t="shared" si="178"/>
        <v>0</v>
      </c>
      <c r="BY171" s="187">
        <f t="shared" si="179"/>
        <v>1</v>
      </c>
      <c r="BZ171" s="187">
        <f t="shared" si="180"/>
        <v>-1</v>
      </c>
      <c r="CA171" s="167">
        <f t="shared" si="181"/>
        <v>92</v>
      </c>
      <c r="CB171" s="167">
        <f t="shared" si="47"/>
        <v>98</v>
      </c>
      <c r="CC171" s="644">
        <f t="shared" si="48"/>
        <v>23</v>
      </c>
      <c r="CD171" s="644">
        <f t="shared" si="49"/>
        <v>19</v>
      </c>
      <c r="CE171" s="644">
        <f t="shared" si="50"/>
        <v>15</v>
      </c>
      <c r="CF171" s="644">
        <f t="shared" si="51"/>
        <v>15</v>
      </c>
      <c r="CG171" s="644">
        <f t="shared" si="52"/>
        <v>9</v>
      </c>
      <c r="CH171" s="644">
        <f t="shared" si="542"/>
        <v>0</v>
      </c>
      <c r="CI171" s="644">
        <f t="shared" si="54"/>
        <v>7</v>
      </c>
      <c r="CJ171" s="644">
        <f t="shared" si="55"/>
        <v>0</v>
      </c>
      <c r="CK171" s="644">
        <f t="shared" si="56"/>
        <v>5</v>
      </c>
      <c r="CL171" s="644">
        <f t="shared" si="57"/>
        <v>5</v>
      </c>
      <c r="CM171" s="644">
        <f t="shared" si="58"/>
        <v>0</v>
      </c>
      <c r="CN171" s="644">
        <f t="shared" si="59"/>
        <v>0</v>
      </c>
      <c r="CO171" s="644">
        <f t="shared" si="60"/>
        <v>0</v>
      </c>
      <c r="CP171" s="644">
        <f t="shared" si="61"/>
        <v>0</v>
      </c>
      <c r="CQ171" s="644">
        <f t="shared" si="62"/>
        <v>0</v>
      </c>
      <c r="CR171" s="644">
        <f t="shared" si="63"/>
        <v>0</v>
      </c>
      <c r="CS171" s="644">
        <f t="shared" si="64"/>
        <v>0</v>
      </c>
      <c r="CT171" s="644">
        <f t="shared" si="65"/>
        <v>0</v>
      </c>
      <c r="CU171" s="644">
        <f t="shared" si="66"/>
        <v>0</v>
      </c>
      <c r="CV171" s="644">
        <f t="shared" si="67"/>
        <v>0</v>
      </c>
      <c r="CW171" s="644">
        <f t="shared" si="68"/>
        <v>0</v>
      </c>
      <c r="CX171" s="644">
        <f t="shared" si="69"/>
        <v>0</v>
      </c>
      <c r="CY171" s="644">
        <f t="shared" si="70"/>
        <v>0</v>
      </c>
      <c r="CZ171" s="624" t="s">
        <v>743</v>
      </c>
      <c r="DA171" s="257"/>
    </row>
    <row r="172" spans="1:105">
      <c r="A172" s="249" t="s">
        <v>627</v>
      </c>
      <c r="B172" s="187"/>
      <c r="C172" s="644"/>
      <c r="D172" s="644">
        <v>1</v>
      </c>
      <c r="E172" s="644">
        <v>1</v>
      </c>
      <c r="F172" s="251">
        <v>1</v>
      </c>
      <c r="G172" s="251"/>
      <c r="H172" s="251"/>
      <c r="I172" s="251">
        <v>1</v>
      </c>
      <c r="J172" s="644"/>
      <c r="K172" s="644"/>
      <c r="L172" s="644"/>
      <c r="M172" s="644"/>
      <c r="N172" s="644"/>
      <c r="O172" s="644"/>
      <c r="P172" s="644"/>
      <c r="Q172" s="644"/>
      <c r="R172" s="644">
        <v>1</v>
      </c>
      <c r="S172" s="644"/>
      <c r="T172" s="644"/>
      <c r="U172" s="644">
        <v>1</v>
      </c>
      <c r="V172" s="644"/>
      <c r="W172" s="644"/>
      <c r="X172" s="644"/>
      <c r="Y172" s="644"/>
      <c r="Z172" s="644"/>
      <c r="AA172" s="644"/>
      <c r="AB172" s="644">
        <v>1</v>
      </c>
      <c r="AC172" s="644">
        <v>1</v>
      </c>
      <c r="AD172" s="644">
        <v>1</v>
      </c>
      <c r="AE172" s="644"/>
      <c r="AF172" s="644"/>
      <c r="AG172" s="644"/>
      <c r="AH172" s="644">
        <v>1</v>
      </c>
      <c r="AI172" s="644"/>
      <c r="AJ172" s="644"/>
      <c r="AK172" s="644"/>
      <c r="AL172" s="167">
        <v>10</v>
      </c>
      <c r="AM172" s="185" t="s">
        <v>1226</v>
      </c>
      <c r="AN172" s="186">
        <v>41985</v>
      </c>
      <c r="AO172" s="187"/>
      <c r="AP172" s="187">
        <f t="shared" si="148"/>
        <v>13</v>
      </c>
      <c r="AQ172" s="187">
        <f t="shared" si="149"/>
        <v>13</v>
      </c>
      <c r="AR172" s="187">
        <f t="shared" si="150"/>
        <v>13</v>
      </c>
      <c r="AS172" s="187">
        <f t="shared" si="151"/>
        <v>13</v>
      </c>
      <c r="AT172" s="187">
        <f t="shared" si="152"/>
        <v>9</v>
      </c>
      <c r="AU172" s="187">
        <f t="shared" si="153"/>
        <v>9</v>
      </c>
      <c r="AV172" s="187">
        <f t="shared" si="154"/>
        <v>9</v>
      </c>
      <c r="AW172" s="187">
        <f t="shared" si="155"/>
        <v>0</v>
      </c>
      <c r="AX172" s="187">
        <f t="shared" si="156"/>
        <v>7</v>
      </c>
      <c r="AY172" s="187">
        <f t="shared" si="157"/>
        <v>0</v>
      </c>
      <c r="AZ172" s="187">
        <f t="shared" si="158"/>
        <v>7</v>
      </c>
      <c r="BA172" s="187">
        <f t="shared" si="159"/>
        <v>7</v>
      </c>
      <c r="BB172" s="187">
        <f t="shared" si="160"/>
        <v>0</v>
      </c>
      <c r="BC172" s="187">
        <f t="shared" si="161"/>
        <v>0</v>
      </c>
      <c r="BD172" s="187">
        <f t="shared" si="162"/>
        <v>0</v>
      </c>
      <c r="BE172" s="187">
        <f t="shared" si="163"/>
        <v>0</v>
      </c>
      <c r="BF172" s="187">
        <f t="shared" si="164"/>
        <v>0</v>
      </c>
      <c r="BG172" s="187">
        <f t="shared" si="165"/>
        <v>0</v>
      </c>
      <c r="BH172" s="187">
        <f t="shared" si="166"/>
        <v>0</v>
      </c>
      <c r="BI172" s="187">
        <f t="shared" si="167"/>
        <v>0</v>
      </c>
      <c r="BJ172" s="187">
        <f t="shared" si="168"/>
        <v>0</v>
      </c>
      <c r="BK172" s="187">
        <f t="shared" si="169"/>
        <v>0</v>
      </c>
      <c r="BL172" s="187">
        <f t="shared" si="170"/>
        <v>0</v>
      </c>
      <c r="BM172" s="187">
        <f t="shared" si="171"/>
        <v>0</v>
      </c>
      <c r="BN172" s="188">
        <f t="shared" si="172"/>
        <v>0</v>
      </c>
      <c r="BO172" s="187">
        <f t="shared" si="173"/>
        <v>0</v>
      </c>
      <c r="BP172" s="187">
        <f t="shared" ref="BP172:BQ172" si="549">IF(G172=1,1,0)</f>
        <v>0</v>
      </c>
      <c r="BQ172" s="187">
        <f t="shared" si="549"/>
        <v>0</v>
      </c>
      <c r="BR172" s="187">
        <f t="shared" ref="BR172:BT172" si="550">IF(K172=1,1,0)</f>
        <v>0</v>
      </c>
      <c r="BS172" s="187">
        <f t="shared" si="550"/>
        <v>0</v>
      </c>
      <c r="BT172" s="187">
        <f t="shared" si="550"/>
        <v>0</v>
      </c>
      <c r="BU172" s="187">
        <f t="shared" ref="BU172:BV172" si="551">IF(P172=1,1,0)</f>
        <v>0</v>
      </c>
      <c r="BV172" s="187">
        <f t="shared" si="551"/>
        <v>0</v>
      </c>
      <c r="BW172" s="187">
        <f t="shared" si="177"/>
        <v>0</v>
      </c>
      <c r="BX172" s="187">
        <f t="shared" si="178"/>
        <v>0</v>
      </c>
      <c r="BY172" s="187">
        <f t="shared" si="179"/>
        <v>0</v>
      </c>
      <c r="BZ172" s="187">
        <f t="shared" si="180"/>
        <v>0</v>
      </c>
      <c r="CA172" s="167">
        <f t="shared" si="181"/>
        <v>100</v>
      </c>
      <c r="CB172" s="167">
        <f t="shared" si="47"/>
        <v>100</v>
      </c>
      <c r="CC172" s="644">
        <f t="shared" si="48"/>
        <v>23</v>
      </c>
      <c r="CD172" s="644">
        <f t="shared" si="49"/>
        <v>19</v>
      </c>
      <c r="CE172" s="644">
        <f t="shared" si="50"/>
        <v>15</v>
      </c>
      <c r="CF172" s="644">
        <f t="shared" si="51"/>
        <v>15</v>
      </c>
      <c r="CG172" s="644">
        <f t="shared" si="52"/>
        <v>9</v>
      </c>
      <c r="CH172" s="644">
        <f t="shared" si="542"/>
        <v>7</v>
      </c>
      <c r="CI172" s="644">
        <f t="shared" si="54"/>
        <v>7</v>
      </c>
      <c r="CJ172" s="644">
        <f t="shared" si="55"/>
        <v>5</v>
      </c>
      <c r="CK172" s="644">
        <f t="shared" si="56"/>
        <v>5</v>
      </c>
      <c r="CL172" s="644">
        <f t="shared" si="57"/>
        <v>5</v>
      </c>
      <c r="CM172" s="644">
        <f t="shared" si="58"/>
        <v>0</v>
      </c>
      <c r="CN172" s="644">
        <f t="shared" si="59"/>
        <v>0</v>
      </c>
      <c r="CO172" s="644">
        <f t="shared" si="60"/>
        <v>0</v>
      </c>
      <c r="CP172" s="644">
        <f t="shared" si="61"/>
        <v>0</v>
      </c>
      <c r="CQ172" s="644">
        <f t="shared" si="62"/>
        <v>0</v>
      </c>
      <c r="CR172" s="644">
        <f t="shared" si="63"/>
        <v>0</v>
      </c>
      <c r="CS172" s="644">
        <f t="shared" si="64"/>
        <v>0</v>
      </c>
      <c r="CT172" s="644">
        <f t="shared" si="65"/>
        <v>0</v>
      </c>
      <c r="CU172" s="644">
        <f t="shared" si="66"/>
        <v>0</v>
      </c>
      <c r="CV172" s="644">
        <f t="shared" si="67"/>
        <v>0</v>
      </c>
      <c r="CW172" s="644">
        <f t="shared" si="68"/>
        <v>0</v>
      </c>
      <c r="CX172" s="644">
        <f t="shared" si="69"/>
        <v>0</v>
      </c>
      <c r="CY172" s="644">
        <f t="shared" si="70"/>
        <v>0</v>
      </c>
      <c r="CZ172" s="624" t="s">
        <v>821</v>
      </c>
      <c r="DA172" s="257"/>
    </row>
    <row r="173" spans="1:105">
      <c r="A173" s="249" t="s">
        <v>316</v>
      </c>
      <c r="B173" s="187"/>
      <c r="C173" s="644"/>
      <c r="D173" s="644">
        <v>1</v>
      </c>
      <c r="E173" s="644">
        <v>1</v>
      </c>
      <c r="F173" s="251">
        <v>1</v>
      </c>
      <c r="G173" s="251"/>
      <c r="H173" s="251"/>
      <c r="I173" s="251">
        <v>1</v>
      </c>
      <c r="J173" s="644"/>
      <c r="K173" s="644"/>
      <c r="L173" s="644"/>
      <c r="M173" s="644"/>
      <c r="N173" s="644"/>
      <c r="O173" s="644"/>
      <c r="P173" s="644"/>
      <c r="Q173" s="644"/>
      <c r="R173" s="644">
        <v>1</v>
      </c>
      <c r="S173" s="644"/>
      <c r="T173" s="644"/>
      <c r="U173" s="644">
        <v>1</v>
      </c>
      <c r="V173" s="644"/>
      <c r="W173" s="644"/>
      <c r="X173" s="644"/>
      <c r="Y173" s="644"/>
      <c r="Z173" s="644">
        <v>1</v>
      </c>
      <c r="AA173" s="644"/>
      <c r="AB173" s="258">
        <v>1</v>
      </c>
      <c r="AC173" s="644"/>
      <c r="AD173" s="644"/>
      <c r="AE173" s="644"/>
      <c r="AF173" s="644">
        <v>1</v>
      </c>
      <c r="AG173" s="644"/>
      <c r="AH173" s="644"/>
      <c r="AI173" s="644"/>
      <c r="AJ173" s="644"/>
      <c r="AK173" s="644">
        <v>1</v>
      </c>
      <c r="AL173" s="167">
        <v>10</v>
      </c>
      <c r="AM173" s="185" t="s">
        <v>1227</v>
      </c>
      <c r="AN173" s="186">
        <v>42008</v>
      </c>
      <c r="AO173" s="187"/>
      <c r="AP173" s="187">
        <f t="shared" si="148"/>
        <v>13</v>
      </c>
      <c r="AQ173" s="187">
        <f t="shared" si="149"/>
        <v>13</v>
      </c>
      <c r="AR173" s="187">
        <f t="shared" si="150"/>
        <v>13</v>
      </c>
      <c r="AS173" s="187">
        <f t="shared" si="151"/>
        <v>13</v>
      </c>
      <c r="AT173" s="187">
        <f t="shared" si="152"/>
        <v>9</v>
      </c>
      <c r="AU173" s="187">
        <f t="shared" si="153"/>
        <v>9</v>
      </c>
      <c r="AV173" s="187">
        <f t="shared" si="154"/>
        <v>0</v>
      </c>
      <c r="AW173" s="187">
        <f t="shared" si="155"/>
        <v>0</v>
      </c>
      <c r="AX173" s="187">
        <f t="shared" si="156"/>
        <v>0</v>
      </c>
      <c r="AY173" s="187">
        <f t="shared" si="157"/>
        <v>7</v>
      </c>
      <c r="AZ173" s="187">
        <f t="shared" si="158"/>
        <v>0</v>
      </c>
      <c r="BA173" s="187">
        <f t="shared" si="159"/>
        <v>7</v>
      </c>
      <c r="BB173" s="187">
        <f t="shared" si="160"/>
        <v>4</v>
      </c>
      <c r="BC173" s="187">
        <f t="shared" si="161"/>
        <v>0</v>
      </c>
      <c r="BD173" s="187">
        <f t="shared" si="162"/>
        <v>0</v>
      </c>
      <c r="BE173" s="187">
        <f t="shared" si="163"/>
        <v>3</v>
      </c>
      <c r="BF173" s="187">
        <f t="shared" si="164"/>
        <v>0</v>
      </c>
      <c r="BG173" s="187">
        <f t="shared" si="165"/>
        <v>0</v>
      </c>
      <c r="BH173" s="187">
        <f t="shared" si="166"/>
        <v>0</v>
      </c>
      <c r="BI173" s="187">
        <f t="shared" si="167"/>
        <v>0</v>
      </c>
      <c r="BJ173" s="187">
        <f t="shared" si="168"/>
        <v>0</v>
      </c>
      <c r="BK173" s="187">
        <f t="shared" si="169"/>
        <v>0</v>
      </c>
      <c r="BL173" s="187">
        <f t="shared" si="170"/>
        <v>0</v>
      </c>
      <c r="BM173" s="187">
        <f t="shared" si="171"/>
        <v>0</v>
      </c>
      <c r="BN173" s="188">
        <f t="shared" si="172"/>
        <v>0</v>
      </c>
      <c r="BO173" s="187">
        <f t="shared" si="173"/>
        <v>0</v>
      </c>
      <c r="BP173" s="187">
        <f t="shared" ref="BP173:BQ173" si="552">IF(G173=1,1,0)</f>
        <v>0</v>
      </c>
      <c r="BQ173" s="187">
        <f t="shared" si="552"/>
        <v>0</v>
      </c>
      <c r="BR173" s="187">
        <f t="shared" ref="BR173:BT173" si="553">IF(K173=1,1,0)</f>
        <v>0</v>
      </c>
      <c r="BS173" s="187">
        <f t="shared" si="553"/>
        <v>0</v>
      </c>
      <c r="BT173" s="187">
        <f t="shared" si="553"/>
        <v>0</v>
      </c>
      <c r="BU173" s="187">
        <f t="shared" ref="BU173:BV173" si="554">IF(P173=1,1,0)</f>
        <v>0</v>
      </c>
      <c r="BV173" s="187">
        <f t="shared" si="554"/>
        <v>0</v>
      </c>
      <c r="BW173" s="187">
        <f t="shared" si="177"/>
        <v>0</v>
      </c>
      <c r="BX173" s="187">
        <f t="shared" si="178"/>
        <v>0</v>
      </c>
      <c r="BY173" s="187">
        <f t="shared" si="179"/>
        <v>0</v>
      </c>
      <c r="BZ173" s="187">
        <f t="shared" si="180"/>
        <v>0</v>
      </c>
      <c r="CA173" s="167">
        <f t="shared" si="181"/>
        <v>91</v>
      </c>
      <c r="CB173" s="167">
        <f t="shared" si="47"/>
        <v>81</v>
      </c>
      <c r="CC173" s="644">
        <f t="shared" si="48"/>
        <v>23</v>
      </c>
      <c r="CD173" s="644">
        <f t="shared" si="49"/>
        <v>19</v>
      </c>
      <c r="CE173" s="644">
        <f t="shared" si="50"/>
        <v>0</v>
      </c>
      <c r="CF173" s="644">
        <f t="shared" si="51"/>
        <v>15</v>
      </c>
      <c r="CG173" s="644">
        <f t="shared" si="52"/>
        <v>9</v>
      </c>
      <c r="CH173" s="644">
        <f t="shared" si="542"/>
        <v>0</v>
      </c>
      <c r="CI173" s="644">
        <f t="shared" si="54"/>
        <v>0</v>
      </c>
      <c r="CJ173" s="644">
        <f t="shared" si="55"/>
        <v>0</v>
      </c>
      <c r="CK173" s="644">
        <f t="shared" si="56"/>
        <v>5</v>
      </c>
      <c r="CL173" s="644">
        <f t="shared" si="57"/>
        <v>5</v>
      </c>
      <c r="CM173" s="644">
        <f t="shared" si="58"/>
        <v>0</v>
      </c>
      <c r="CN173" s="644">
        <f t="shared" si="59"/>
        <v>0</v>
      </c>
      <c r="CO173" s="644">
        <f t="shared" si="60"/>
        <v>0</v>
      </c>
      <c r="CP173" s="644">
        <f t="shared" si="61"/>
        <v>3</v>
      </c>
      <c r="CQ173" s="644">
        <f t="shared" si="62"/>
        <v>0</v>
      </c>
      <c r="CR173" s="644">
        <f t="shared" si="63"/>
        <v>0</v>
      </c>
      <c r="CS173" s="644">
        <f t="shared" si="64"/>
        <v>2</v>
      </c>
      <c r="CT173" s="644">
        <f t="shared" si="65"/>
        <v>2</v>
      </c>
      <c r="CU173" s="644">
        <f t="shared" si="66"/>
        <v>0</v>
      </c>
      <c r="CV173" s="644">
        <f t="shared" si="67"/>
        <v>0</v>
      </c>
      <c r="CW173" s="644">
        <f t="shared" si="68"/>
        <v>0</v>
      </c>
      <c r="CX173" s="644">
        <f t="shared" si="69"/>
        <v>0</v>
      </c>
      <c r="CY173" s="644">
        <f t="shared" si="70"/>
        <v>0</v>
      </c>
      <c r="CZ173" s="624" t="s">
        <v>764</v>
      </c>
      <c r="DA173" s="257"/>
    </row>
    <row r="174" spans="1:105">
      <c r="A174" s="254" t="s">
        <v>319</v>
      </c>
      <c r="B174" s="187"/>
      <c r="C174" s="644"/>
      <c r="D174" s="255"/>
      <c r="E174" s="256">
        <v>1</v>
      </c>
      <c r="F174" s="255"/>
      <c r="G174" s="251"/>
      <c r="H174" s="251"/>
      <c r="I174" s="255"/>
      <c r="J174" s="644"/>
      <c r="K174" s="644"/>
      <c r="L174" s="644"/>
      <c r="M174" s="644"/>
      <c r="N174" s="644"/>
      <c r="O174" s="644"/>
      <c r="P174" s="644"/>
      <c r="Q174" s="644"/>
      <c r="R174" s="644">
        <v>1</v>
      </c>
      <c r="S174" s="644"/>
      <c r="T174" s="644">
        <v>1</v>
      </c>
      <c r="U174" s="644">
        <v>1</v>
      </c>
      <c r="V174" s="644"/>
      <c r="W174" s="644"/>
      <c r="X174" s="644"/>
      <c r="Y174" s="644"/>
      <c r="Z174" s="255"/>
      <c r="AA174" s="644"/>
      <c r="AB174" s="256">
        <v>1</v>
      </c>
      <c r="AC174" s="256">
        <v>1</v>
      </c>
      <c r="AD174" s="255"/>
      <c r="AE174" s="644"/>
      <c r="AF174" s="644"/>
      <c r="AG174" s="644"/>
      <c r="AH174" s="644">
        <v>1</v>
      </c>
      <c r="AI174" s="644"/>
      <c r="AJ174" s="644"/>
      <c r="AK174" s="644"/>
      <c r="AL174" s="167">
        <v>7</v>
      </c>
      <c r="AM174" s="185" t="s">
        <v>1103</v>
      </c>
      <c r="AN174" s="186">
        <v>42008</v>
      </c>
      <c r="AO174" s="187"/>
      <c r="AP174" s="187">
        <f t="shared" si="148"/>
        <v>0</v>
      </c>
      <c r="AQ174" s="187">
        <f t="shared" si="149"/>
        <v>0</v>
      </c>
      <c r="AR174" s="187">
        <f t="shared" si="150"/>
        <v>13</v>
      </c>
      <c r="AS174" s="187">
        <f t="shared" si="151"/>
        <v>13</v>
      </c>
      <c r="AT174" s="187">
        <f t="shared" si="152"/>
        <v>9</v>
      </c>
      <c r="AU174" s="187">
        <f t="shared" si="153"/>
        <v>0</v>
      </c>
      <c r="AV174" s="187">
        <f t="shared" si="154"/>
        <v>9</v>
      </c>
      <c r="AW174" s="187">
        <f t="shared" si="155"/>
        <v>0</v>
      </c>
      <c r="AX174" s="187">
        <f t="shared" si="156"/>
        <v>0</v>
      </c>
      <c r="AY174" s="187">
        <f t="shared" si="157"/>
        <v>0</v>
      </c>
      <c r="AZ174" s="187">
        <f t="shared" si="158"/>
        <v>7</v>
      </c>
      <c r="BA174" s="187">
        <f t="shared" si="159"/>
        <v>7</v>
      </c>
      <c r="BB174" s="187">
        <f t="shared" si="160"/>
        <v>0</v>
      </c>
      <c r="BC174" s="187">
        <f t="shared" si="161"/>
        <v>4</v>
      </c>
      <c r="BD174" s="187">
        <f t="shared" si="162"/>
        <v>0</v>
      </c>
      <c r="BE174" s="187">
        <f t="shared" si="163"/>
        <v>0</v>
      </c>
      <c r="BF174" s="187">
        <f t="shared" si="164"/>
        <v>0</v>
      </c>
      <c r="BG174" s="187">
        <f t="shared" si="165"/>
        <v>0</v>
      </c>
      <c r="BH174" s="187">
        <f t="shared" si="166"/>
        <v>0</v>
      </c>
      <c r="BI174" s="187">
        <f t="shared" si="167"/>
        <v>0</v>
      </c>
      <c r="BJ174" s="187">
        <f t="shared" si="168"/>
        <v>0</v>
      </c>
      <c r="BK174" s="187">
        <f t="shared" si="169"/>
        <v>0</v>
      </c>
      <c r="BL174" s="187">
        <f t="shared" si="170"/>
        <v>0</v>
      </c>
      <c r="BM174" s="187">
        <f t="shared" si="171"/>
        <v>0</v>
      </c>
      <c r="BN174" s="188">
        <f t="shared" si="172"/>
        <v>3</v>
      </c>
      <c r="BO174" s="187">
        <f t="shared" si="173"/>
        <v>0</v>
      </c>
      <c r="BP174" s="187">
        <f t="shared" ref="BP174:BQ174" si="555">IF(G174=1,1,0)</f>
        <v>0</v>
      </c>
      <c r="BQ174" s="187">
        <f t="shared" si="555"/>
        <v>0</v>
      </c>
      <c r="BR174" s="187">
        <f t="shared" ref="BR174:BT174" si="556">IF(K174=1,1,0)</f>
        <v>0</v>
      </c>
      <c r="BS174" s="187">
        <f t="shared" si="556"/>
        <v>0</v>
      </c>
      <c r="BT174" s="187">
        <f t="shared" si="556"/>
        <v>0</v>
      </c>
      <c r="BU174" s="187">
        <f t="shared" ref="BU174:BV174" si="557">IF(P174=1,1,0)</f>
        <v>0</v>
      </c>
      <c r="BV174" s="187">
        <f t="shared" si="557"/>
        <v>0</v>
      </c>
      <c r="BW174" s="187">
        <f t="shared" si="177"/>
        <v>0</v>
      </c>
      <c r="BX174" s="187">
        <f t="shared" si="178"/>
        <v>0</v>
      </c>
      <c r="BY174" s="187">
        <f t="shared" si="179"/>
        <v>3</v>
      </c>
      <c r="BZ174" s="187">
        <f t="shared" si="180"/>
        <v>-9</v>
      </c>
      <c r="CA174" s="167">
        <f t="shared" si="181"/>
        <v>53</v>
      </c>
      <c r="CB174" s="167">
        <f t="shared" si="47"/>
        <v>91</v>
      </c>
      <c r="CC174" s="644">
        <f t="shared" si="48"/>
        <v>23</v>
      </c>
      <c r="CD174" s="644">
        <f t="shared" si="49"/>
        <v>19</v>
      </c>
      <c r="CE174" s="644">
        <f t="shared" si="50"/>
        <v>15</v>
      </c>
      <c r="CF174" s="644">
        <f t="shared" si="51"/>
        <v>15</v>
      </c>
      <c r="CG174" s="644">
        <f t="shared" si="52"/>
        <v>9</v>
      </c>
      <c r="CH174" s="644">
        <f t="shared" si="542"/>
        <v>0</v>
      </c>
      <c r="CI174" s="644">
        <f t="shared" si="54"/>
        <v>7</v>
      </c>
      <c r="CJ174" s="644">
        <f t="shared" si="55"/>
        <v>0</v>
      </c>
      <c r="CK174" s="644">
        <f t="shared" si="56"/>
        <v>0</v>
      </c>
      <c r="CL174" s="644">
        <f t="shared" si="57"/>
        <v>0</v>
      </c>
      <c r="CM174" s="644">
        <f t="shared" si="58"/>
        <v>0</v>
      </c>
      <c r="CN174" s="644">
        <f t="shared" si="59"/>
        <v>3</v>
      </c>
      <c r="CO174" s="644">
        <f t="shared" si="60"/>
        <v>0</v>
      </c>
      <c r="CP174" s="644">
        <f t="shared" si="61"/>
        <v>0</v>
      </c>
      <c r="CQ174" s="644">
        <f t="shared" si="62"/>
        <v>0</v>
      </c>
      <c r="CR174" s="644">
        <f t="shared" si="63"/>
        <v>0</v>
      </c>
      <c r="CS174" s="644">
        <f t="shared" si="64"/>
        <v>0</v>
      </c>
      <c r="CT174" s="644">
        <f t="shared" si="65"/>
        <v>0</v>
      </c>
      <c r="CU174" s="644">
        <f t="shared" si="66"/>
        <v>0</v>
      </c>
      <c r="CV174" s="644">
        <f t="shared" si="67"/>
        <v>0</v>
      </c>
      <c r="CW174" s="644">
        <f t="shared" si="68"/>
        <v>0</v>
      </c>
      <c r="CX174" s="644">
        <f t="shared" si="69"/>
        <v>0</v>
      </c>
      <c r="CY174" s="644">
        <f t="shared" si="70"/>
        <v>0</v>
      </c>
      <c r="CZ174" s="624" t="s">
        <v>787</v>
      </c>
      <c r="DA174" s="257"/>
    </row>
    <row r="175" spans="1:105">
      <c r="A175" s="260" t="s">
        <v>320</v>
      </c>
      <c r="B175" s="187"/>
      <c r="C175" s="644"/>
      <c r="D175" s="644">
        <v>1</v>
      </c>
      <c r="E175" s="644">
        <v>1</v>
      </c>
      <c r="F175" s="251"/>
      <c r="G175" s="251"/>
      <c r="H175" s="251"/>
      <c r="I175" s="251"/>
      <c r="J175" s="644"/>
      <c r="K175" s="644"/>
      <c r="L175" s="644"/>
      <c r="M175" s="644"/>
      <c r="N175" s="644"/>
      <c r="O175" s="644"/>
      <c r="P175" s="644"/>
      <c r="Q175" s="644"/>
      <c r="R175" s="644">
        <v>1</v>
      </c>
      <c r="S175" s="644"/>
      <c r="T175" s="644"/>
      <c r="U175" s="644">
        <v>1</v>
      </c>
      <c r="V175" s="644"/>
      <c r="W175" s="644"/>
      <c r="X175" s="644"/>
      <c r="Y175" s="644"/>
      <c r="Z175" s="644"/>
      <c r="AA175" s="644"/>
      <c r="AB175" s="250"/>
      <c r="AC175" s="644">
        <v>1</v>
      </c>
      <c r="AD175" s="258">
        <v>1</v>
      </c>
      <c r="AE175" s="644"/>
      <c r="AF175" s="644"/>
      <c r="AG175" s="644">
        <v>1</v>
      </c>
      <c r="AH175" s="644">
        <v>1</v>
      </c>
      <c r="AI175" s="644"/>
      <c r="AJ175" s="644">
        <v>1</v>
      </c>
      <c r="AK175" s="644"/>
      <c r="AL175" s="167">
        <v>9</v>
      </c>
      <c r="AM175" s="185" t="s">
        <v>1228</v>
      </c>
      <c r="AN175" s="186">
        <v>41990</v>
      </c>
      <c r="AO175" s="187"/>
      <c r="AP175" s="187">
        <f t="shared" si="148"/>
        <v>0</v>
      </c>
      <c r="AQ175" s="187">
        <f t="shared" si="149"/>
        <v>0</v>
      </c>
      <c r="AR175" s="187">
        <f t="shared" si="150"/>
        <v>13</v>
      </c>
      <c r="AS175" s="187">
        <f t="shared" si="151"/>
        <v>13</v>
      </c>
      <c r="AT175" s="187">
        <f t="shared" si="152"/>
        <v>0</v>
      </c>
      <c r="AU175" s="187">
        <f t="shared" si="153"/>
        <v>9</v>
      </c>
      <c r="AV175" s="187">
        <f t="shared" si="154"/>
        <v>9</v>
      </c>
      <c r="AW175" s="187">
        <f t="shared" si="155"/>
        <v>7</v>
      </c>
      <c r="AX175" s="187">
        <f t="shared" si="156"/>
        <v>7</v>
      </c>
      <c r="AY175" s="187">
        <f t="shared" si="157"/>
        <v>0</v>
      </c>
      <c r="AZ175" s="187">
        <f t="shared" si="158"/>
        <v>7</v>
      </c>
      <c r="BA175" s="187">
        <f t="shared" si="159"/>
        <v>7</v>
      </c>
      <c r="BB175" s="187">
        <f t="shared" si="160"/>
        <v>0</v>
      </c>
      <c r="BC175" s="187">
        <f t="shared" si="161"/>
        <v>0</v>
      </c>
      <c r="BD175" s="187">
        <f t="shared" si="162"/>
        <v>0</v>
      </c>
      <c r="BE175" s="187">
        <f t="shared" si="163"/>
        <v>0</v>
      </c>
      <c r="BF175" s="187">
        <f t="shared" si="164"/>
        <v>0</v>
      </c>
      <c r="BG175" s="187">
        <f t="shared" si="165"/>
        <v>0</v>
      </c>
      <c r="BH175" s="187">
        <f t="shared" si="166"/>
        <v>0</v>
      </c>
      <c r="BI175" s="187">
        <f t="shared" si="167"/>
        <v>0</v>
      </c>
      <c r="BJ175" s="187">
        <f t="shared" si="168"/>
        <v>1</v>
      </c>
      <c r="BK175" s="187">
        <f t="shared" si="169"/>
        <v>0</v>
      </c>
      <c r="BL175" s="187">
        <f t="shared" si="170"/>
        <v>0</v>
      </c>
      <c r="BM175" s="187">
        <f t="shared" si="171"/>
        <v>0</v>
      </c>
      <c r="BN175" s="188">
        <f t="shared" si="172"/>
        <v>1</v>
      </c>
      <c r="BO175" s="187">
        <f t="shared" si="173"/>
        <v>0</v>
      </c>
      <c r="BP175" s="187">
        <f t="shared" ref="BP175:BQ175" si="558">IF(G175=1,1,0)</f>
        <v>0</v>
      </c>
      <c r="BQ175" s="187">
        <f t="shared" si="558"/>
        <v>0</v>
      </c>
      <c r="BR175" s="187">
        <f t="shared" ref="BR175:BT175" si="559">IF(K175=1,1,0)</f>
        <v>0</v>
      </c>
      <c r="BS175" s="187">
        <f t="shared" si="559"/>
        <v>0</v>
      </c>
      <c r="BT175" s="187">
        <f t="shared" si="559"/>
        <v>0</v>
      </c>
      <c r="BU175" s="187">
        <f t="shared" ref="BU175:BV175" si="560">IF(P175=1,1,0)</f>
        <v>0</v>
      </c>
      <c r="BV175" s="187">
        <f t="shared" si="560"/>
        <v>0</v>
      </c>
      <c r="BW175" s="187">
        <f t="shared" si="177"/>
        <v>0</v>
      </c>
      <c r="BX175" s="187">
        <f t="shared" si="178"/>
        <v>0</v>
      </c>
      <c r="BY175" s="187">
        <f t="shared" si="179"/>
        <v>1</v>
      </c>
      <c r="BZ175" s="187">
        <f t="shared" si="180"/>
        <v>-1</v>
      </c>
      <c r="CA175" s="167">
        <f t="shared" si="181"/>
        <v>72</v>
      </c>
      <c r="CB175" s="167">
        <f t="shared" si="47"/>
        <v>90</v>
      </c>
      <c r="CC175" s="644">
        <f t="shared" si="48"/>
        <v>23</v>
      </c>
      <c r="CD175" s="644">
        <f t="shared" si="49"/>
        <v>19</v>
      </c>
      <c r="CE175" s="644">
        <f t="shared" si="50"/>
        <v>15</v>
      </c>
      <c r="CF175" s="644">
        <f t="shared" si="51"/>
        <v>15</v>
      </c>
      <c r="CG175" s="644">
        <f t="shared" si="52"/>
        <v>0</v>
      </c>
      <c r="CH175" s="644">
        <f t="shared" si="542"/>
        <v>0</v>
      </c>
      <c r="CI175" s="644">
        <f t="shared" si="54"/>
        <v>7</v>
      </c>
      <c r="CJ175" s="644">
        <f t="shared" si="55"/>
        <v>5</v>
      </c>
      <c r="CK175" s="644">
        <f t="shared" si="56"/>
        <v>0</v>
      </c>
      <c r="CL175" s="644">
        <f t="shared" si="57"/>
        <v>0</v>
      </c>
      <c r="CM175" s="644">
        <f t="shared" si="58"/>
        <v>3</v>
      </c>
      <c r="CN175" s="644">
        <f t="shared" si="59"/>
        <v>0</v>
      </c>
      <c r="CO175" s="644">
        <f t="shared" si="60"/>
        <v>3</v>
      </c>
      <c r="CP175" s="644">
        <f t="shared" si="61"/>
        <v>0</v>
      </c>
      <c r="CQ175" s="644">
        <f t="shared" si="62"/>
        <v>0</v>
      </c>
      <c r="CR175" s="644">
        <f t="shared" si="63"/>
        <v>0</v>
      </c>
      <c r="CS175" s="644">
        <f t="shared" si="64"/>
        <v>0</v>
      </c>
      <c r="CT175" s="644">
        <f t="shared" si="65"/>
        <v>0</v>
      </c>
      <c r="CU175" s="644">
        <f t="shared" si="66"/>
        <v>0</v>
      </c>
      <c r="CV175" s="644">
        <f t="shared" si="67"/>
        <v>0</v>
      </c>
      <c r="CW175" s="644">
        <f t="shared" si="68"/>
        <v>0</v>
      </c>
      <c r="CX175" s="644">
        <f t="shared" si="69"/>
        <v>0</v>
      </c>
      <c r="CY175" s="644">
        <f t="shared" si="70"/>
        <v>0</v>
      </c>
      <c r="CZ175" s="624" t="s">
        <v>821</v>
      </c>
      <c r="DA175" s="257"/>
    </row>
    <row r="176" spans="1:105">
      <c r="A176" s="254" t="s">
        <v>325</v>
      </c>
      <c r="B176" s="187"/>
      <c r="C176" s="644"/>
      <c r="D176" s="256">
        <v>1</v>
      </c>
      <c r="E176" s="256">
        <v>1</v>
      </c>
      <c r="F176" s="256">
        <v>1</v>
      </c>
      <c r="G176" s="251"/>
      <c r="H176" s="251"/>
      <c r="I176" s="256">
        <v>1</v>
      </c>
      <c r="J176" s="644"/>
      <c r="K176" s="644"/>
      <c r="L176" s="644"/>
      <c r="M176" s="644"/>
      <c r="N176" s="644"/>
      <c r="O176" s="644"/>
      <c r="P176" s="644"/>
      <c r="Q176" s="644"/>
      <c r="R176" s="644">
        <v>1</v>
      </c>
      <c r="S176" s="644"/>
      <c r="T176" s="644"/>
      <c r="U176" s="644">
        <v>1</v>
      </c>
      <c r="V176" s="644"/>
      <c r="W176" s="644"/>
      <c r="X176" s="644"/>
      <c r="Y176" s="644"/>
      <c r="Z176" s="256">
        <v>1</v>
      </c>
      <c r="AA176" s="251"/>
      <c r="AB176" s="256">
        <v>1</v>
      </c>
      <c r="AC176" s="255"/>
      <c r="AD176" s="256">
        <v>1</v>
      </c>
      <c r="AE176" s="644"/>
      <c r="AF176" s="644"/>
      <c r="AG176" s="644"/>
      <c r="AH176" s="644">
        <v>1</v>
      </c>
      <c r="AI176" s="644"/>
      <c r="AJ176" s="644"/>
      <c r="AK176" s="644"/>
      <c r="AL176" s="167">
        <v>10</v>
      </c>
      <c r="AM176" s="185" t="s">
        <v>1229</v>
      </c>
      <c r="AN176" s="186">
        <v>41996</v>
      </c>
      <c r="AO176" s="187"/>
      <c r="AP176" s="187">
        <f t="shared" si="148"/>
        <v>13</v>
      </c>
      <c r="AQ176" s="187">
        <f t="shared" si="149"/>
        <v>13</v>
      </c>
      <c r="AR176" s="187">
        <f t="shared" si="150"/>
        <v>13</v>
      </c>
      <c r="AS176" s="187">
        <f t="shared" si="151"/>
        <v>13</v>
      </c>
      <c r="AT176" s="187">
        <f t="shared" si="152"/>
        <v>9</v>
      </c>
      <c r="AU176" s="187">
        <f t="shared" si="153"/>
        <v>9</v>
      </c>
      <c r="AV176" s="187">
        <f t="shared" si="154"/>
        <v>0</v>
      </c>
      <c r="AW176" s="187">
        <f t="shared" si="155"/>
        <v>0</v>
      </c>
      <c r="AX176" s="187">
        <f t="shared" si="156"/>
        <v>7</v>
      </c>
      <c r="AY176" s="187">
        <f t="shared" si="157"/>
        <v>7</v>
      </c>
      <c r="AZ176" s="187">
        <f t="shared" si="158"/>
        <v>7</v>
      </c>
      <c r="BA176" s="187">
        <f t="shared" si="159"/>
        <v>7</v>
      </c>
      <c r="BB176" s="187">
        <f t="shared" si="160"/>
        <v>0</v>
      </c>
      <c r="BC176" s="187">
        <f t="shared" si="161"/>
        <v>0</v>
      </c>
      <c r="BD176" s="187">
        <f t="shared" si="162"/>
        <v>0</v>
      </c>
      <c r="BE176" s="187">
        <f t="shared" si="163"/>
        <v>0</v>
      </c>
      <c r="BF176" s="187">
        <f t="shared" si="164"/>
        <v>0</v>
      </c>
      <c r="BG176" s="187">
        <f t="shared" si="165"/>
        <v>0</v>
      </c>
      <c r="BH176" s="187">
        <f t="shared" si="166"/>
        <v>0</v>
      </c>
      <c r="BI176" s="187">
        <f t="shared" si="167"/>
        <v>0</v>
      </c>
      <c r="BJ176" s="187">
        <f t="shared" si="168"/>
        <v>0</v>
      </c>
      <c r="BK176" s="187">
        <f t="shared" si="169"/>
        <v>0</v>
      </c>
      <c r="BL176" s="187">
        <f t="shared" si="170"/>
        <v>0</v>
      </c>
      <c r="BM176" s="187">
        <f t="shared" si="171"/>
        <v>0</v>
      </c>
      <c r="BN176" s="188">
        <f t="shared" si="172"/>
        <v>0</v>
      </c>
      <c r="BO176" s="187">
        <f t="shared" si="173"/>
        <v>0</v>
      </c>
      <c r="BP176" s="187">
        <f t="shared" ref="BP176:BQ176" si="561">IF(G176=1,1,0)</f>
        <v>0</v>
      </c>
      <c r="BQ176" s="187">
        <f t="shared" si="561"/>
        <v>0</v>
      </c>
      <c r="BR176" s="187">
        <f t="shared" ref="BR176:BT176" si="562">IF(K176=1,1,0)</f>
        <v>0</v>
      </c>
      <c r="BS176" s="187">
        <f t="shared" si="562"/>
        <v>0</v>
      </c>
      <c r="BT176" s="187">
        <f t="shared" si="562"/>
        <v>0</v>
      </c>
      <c r="BU176" s="187">
        <f t="shared" ref="BU176:BV176" si="563">IF(P176=1,1,0)</f>
        <v>0</v>
      </c>
      <c r="BV176" s="187">
        <f t="shared" si="563"/>
        <v>0</v>
      </c>
      <c r="BW176" s="187">
        <f t="shared" si="177"/>
        <v>0</v>
      </c>
      <c r="BX176" s="187">
        <f t="shared" si="178"/>
        <v>0</v>
      </c>
      <c r="BY176" s="187">
        <f t="shared" si="179"/>
        <v>0</v>
      </c>
      <c r="BZ176" s="187">
        <f t="shared" si="180"/>
        <v>0</v>
      </c>
      <c r="CA176" s="167">
        <f t="shared" si="181"/>
        <v>98</v>
      </c>
      <c r="CB176" s="167">
        <f t="shared" si="47"/>
        <v>96</v>
      </c>
      <c r="CC176" s="644">
        <f t="shared" si="48"/>
        <v>23</v>
      </c>
      <c r="CD176" s="644">
        <f t="shared" si="49"/>
        <v>19</v>
      </c>
      <c r="CE176" s="644">
        <f t="shared" si="50"/>
        <v>15</v>
      </c>
      <c r="CF176" s="644">
        <f t="shared" si="51"/>
        <v>15</v>
      </c>
      <c r="CG176" s="644">
        <f t="shared" si="52"/>
        <v>9</v>
      </c>
      <c r="CH176" s="644">
        <f t="shared" si="542"/>
        <v>0</v>
      </c>
      <c r="CI176" s="644">
        <f t="shared" si="54"/>
        <v>0</v>
      </c>
      <c r="CJ176" s="644">
        <f t="shared" si="55"/>
        <v>5</v>
      </c>
      <c r="CK176" s="644">
        <f t="shared" si="56"/>
        <v>5</v>
      </c>
      <c r="CL176" s="644">
        <f t="shared" si="57"/>
        <v>5</v>
      </c>
      <c r="CM176" s="644">
        <f t="shared" si="58"/>
        <v>0</v>
      </c>
      <c r="CN176" s="644">
        <f t="shared" si="59"/>
        <v>0</v>
      </c>
      <c r="CO176" s="644">
        <f t="shared" si="60"/>
        <v>0</v>
      </c>
      <c r="CP176" s="644">
        <f t="shared" si="61"/>
        <v>3</v>
      </c>
      <c r="CQ176" s="644">
        <f t="shared" si="62"/>
        <v>0</v>
      </c>
      <c r="CR176" s="644">
        <f t="shared" si="63"/>
        <v>0</v>
      </c>
      <c r="CS176" s="644">
        <f t="shared" si="64"/>
        <v>0</v>
      </c>
      <c r="CT176" s="644">
        <f t="shared" si="65"/>
        <v>0</v>
      </c>
      <c r="CU176" s="644">
        <f t="shared" si="66"/>
        <v>0</v>
      </c>
      <c r="CV176" s="644">
        <f t="shared" si="67"/>
        <v>0</v>
      </c>
      <c r="CW176" s="644">
        <f t="shared" si="68"/>
        <v>0</v>
      </c>
      <c r="CX176" s="644">
        <f t="shared" si="69"/>
        <v>0</v>
      </c>
      <c r="CY176" s="644">
        <f t="shared" si="70"/>
        <v>0</v>
      </c>
      <c r="CZ176" s="624" t="s">
        <v>756</v>
      </c>
      <c r="DA176" s="257"/>
    </row>
    <row r="177" spans="1:105">
      <c r="A177" s="249" t="s">
        <v>326</v>
      </c>
      <c r="B177" s="187"/>
      <c r="C177" s="644"/>
      <c r="D177" s="644">
        <v>1</v>
      </c>
      <c r="E177" s="250"/>
      <c r="F177" s="251">
        <v>1</v>
      </c>
      <c r="G177" s="251"/>
      <c r="H177" s="251"/>
      <c r="I177" s="251">
        <v>1</v>
      </c>
      <c r="J177" s="644"/>
      <c r="K177" s="644"/>
      <c r="L177" s="644"/>
      <c r="M177" s="644"/>
      <c r="N177" s="644"/>
      <c r="O177" s="644"/>
      <c r="P177" s="644"/>
      <c r="Q177" s="644"/>
      <c r="R177" s="644">
        <v>1</v>
      </c>
      <c r="S177" s="644"/>
      <c r="T177" s="644"/>
      <c r="U177" s="644">
        <v>1</v>
      </c>
      <c r="V177" s="644"/>
      <c r="W177" s="644"/>
      <c r="X177" s="644"/>
      <c r="Y177" s="644"/>
      <c r="Z177" s="644">
        <v>1</v>
      </c>
      <c r="AA177" s="644"/>
      <c r="AB177" s="644">
        <v>1</v>
      </c>
      <c r="AC177" s="644">
        <v>1</v>
      </c>
      <c r="AD177" s="644">
        <v>1</v>
      </c>
      <c r="AE177" s="644"/>
      <c r="AF177" s="644"/>
      <c r="AG177" s="644"/>
      <c r="AH177" s="644">
        <v>1</v>
      </c>
      <c r="AI177" s="644"/>
      <c r="AJ177" s="644"/>
      <c r="AK177" s="644"/>
      <c r="AL177" s="167">
        <v>10</v>
      </c>
      <c r="AM177" s="185" t="s">
        <v>1230</v>
      </c>
      <c r="AN177" s="186">
        <v>42009</v>
      </c>
      <c r="AO177" s="187"/>
      <c r="AP177" s="187">
        <f t="shared" si="148"/>
        <v>13</v>
      </c>
      <c r="AQ177" s="187">
        <f t="shared" si="149"/>
        <v>13</v>
      </c>
      <c r="AR177" s="187">
        <f t="shared" si="150"/>
        <v>13</v>
      </c>
      <c r="AS177" s="187">
        <f t="shared" si="151"/>
        <v>13</v>
      </c>
      <c r="AT177" s="187">
        <f t="shared" si="152"/>
        <v>9</v>
      </c>
      <c r="AU177" s="187">
        <f t="shared" si="153"/>
        <v>9</v>
      </c>
      <c r="AV177" s="187">
        <f t="shared" si="154"/>
        <v>9</v>
      </c>
      <c r="AW177" s="187">
        <f t="shared" si="155"/>
        <v>0</v>
      </c>
      <c r="AX177" s="187">
        <f t="shared" si="156"/>
        <v>7</v>
      </c>
      <c r="AY177" s="187">
        <f t="shared" si="157"/>
        <v>7</v>
      </c>
      <c r="AZ177" s="187">
        <f t="shared" si="158"/>
        <v>7</v>
      </c>
      <c r="BA177" s="187">
        <f t="shared" si="159"/>
        <v>0</v>
      </c>
      <c r="BB177" s="187">
        <f t="shared" si="160"/>
        <v>0</v>
      </c>
      <c r="BC177" s="187">
        <f t="shared" si="161"/>
        <v>0</v>
      </c>
      <c r="BD177" s="187">
        <f t="shared" si="162"/>
        <v>0</v>
      </c>
      <c r="BE177" s="187">
        <f t="shared" si="163"/>
        <v>0</v>
      </c>
      <c r="BF177" s="187">
        <f t="shared" si="164"/>
        <v>0</v>
      </c>
      <c r="BG177" s="187">
        <f t="shared" si="165"/>
        <v>0</v>
      </c>
      <c r="BH177" s="187">
        <f t="shared" si="166"/>
        <v>0</v>
      </c>
      <c r="BI177" s="187">
        <f t="shared" si="167"/>
        <v>0</v>
      </c>
      <c r="BJ177" s="187">
        <f t="shared" si="168"/>
        <v>0</v>
      </c>
      <c r="BK177" s="187">
        <f t="shared" si="169"/>
        <v>0</v>
      </c>
      <c r="BL177" s="187">
        <f t="shared" si="170"/>
        <v>0</v>
      </c>
      <c r="BM177" s="187">
        <f t="shared" si="171"/>
        <v>0</v>
      </c>
      <c r="BN177" s="188">
        <f t="shared" si="172"/>
        <v>0</v>
      </c>
      <c r="BO177" s="187">
        <f t="shared" si="173"/>
        <v>0</v>
      </c>
      <c r="BP177" s="187">
        <f t="shared" ref="BP177:BQ177" si="564">IF(G177=1,1,0)</f>
        <v>0</v>
      </c>
      <c r="BQ177" s="187">
        <f t="shared" si="564"/>
        <v>0</v>
      </c>
      <c r="BR177" s="187">
        <f t="shared" ref="BR177:BT177" si="565">IF(K177=1,1,0)</f>
        <v>0</v>
      </c>
      <c r="BS177" s="187">
        <f t="shared" si="565"/>
        <v>0</v>
      </c>
      <c r="BT177" s="187">
        <f t="shared" si="565"/>
        <v>0</v>
      </c>
      <c r="BU177" s="187">
        <f t="shared" ref="BU177:BV177" si="566">IF(P177=1,1,0)</f>
        <v>0</v>
      </c>
      <c r="BV177" s="187">
        <f t="shared" si="566"/>
        <v>0</v>
      </c>
      <c r="BW177" s="187">
        <f t="shared" si="177"/>
        <v>0</v>
      </c>
      <c r="BX177" s="187">
        <f t="shared" si="178"/>
        <v>0</v>
      </c>
      <c r="BY177" s="187">
        <f t="shared" si="179"/>
        <v>0</v>
      </c>
      <c r="BZ177" s="187">
        <f t="shared" si="180"/>
        <v>0</v>
      </c>
      <c r="CA177" s="167">
        <f t="shared" si="181"/>
        <v>100</v>
      </c>
      <c r="CB177" s="167">
        <f t="shared" si="47"/>
        <v>88</v>
      </c>
      <c r="CC177" s="644">
        <f t="shared" si="48"/>
        <v>23</v>
      </c>
      <c r="CD177" s="644">
        <f t="shared" si="49"/>
        <v>19</v>
      </c>
      <c r="CE177" s="644">
        <f t="shared" si="50"/>
        <v>15</v>
      </c>
      <c r="CF177" s="644">
        <f t="shared" si="51"/>
        <v>0</v>
      </c>
      <c r="CG177" s="644">
        <f t="shared" si="52"/>
        <v>9</v>
      </c>
      <c r="CH177" s="644">
        <f t="shared" si="542"/>
        <v>0</v>
      </c>
      <c r="CI177" s="644">
        <f t="shared" si="54"/>
        <v>7</v>
      </c>
      <c r="CJ177" s="644">
        <f t="shared" si="55"/>
        <v>5</v>
      </c>
      <c r="CK177" s="644">
        <f t="shared" si="56"/>
        <v>5</v>
      </c>
      <c r="CL177" s="644">
        <f t="shared" si="57"/>
        <v>5</v>
      </c>
      <c r="CM177" s="644">
        <f t="shared" si="58"/>
        <v>0</v>
      </c>
      <c r="CN177" s="644">
        <f t="shared" si="59"/>
        <v>0</v>
      </c>
      <c r="CO177" s="644">
        <f t="shared" si="60"/>
        <v>0</v>
      </c>
      <c r="CP177" s="644">
        <f t="shared" si="61"/>
        <v>3</v>
      </c>
      <c r="CQ177" s="644">
        <f t="shared" si="62"/>
        <v>0</v>
      </c>
      <c r="CR177" s="644">
        <f t="shared" si="63"/>
        <v>0</v>
      </c>
      <c r="CS177" s="644">
        <f t="shared" si="64"/>
        <v>0</v>
      </c>
      <c r="CT177" s="644">
        <f t="shared" si="65"/>
        <v>0</v>
      </c>
      <c r="CU177" s="644">
        <f t="shared" si="66"/>
        <v>0</v>
      </c>
      <c r="CV177" s="644">
        <f t="shared" si="67"/>
        <v>0</v>
      </c>
      <c r="CW177" s="644">
        <f t="shared" si="68"/>
        <v>0</v>
      </c>
      <c r="CX177" s="644">
        <f t="shared" si="69"/>
        <v>0</v>
      </c>
      <c r="CY177" s="644">
        <f t="shared" si="70"/>
        <v>0</v>
      </c>
      <c r="CZ177" s="624" t="s">
        <v>821</v>
      </c>
      <c r="DA177" s="257"/>
    </row>
    <row r="178" spans="1:105">
      <c r="A178" s="260" t="s">
        <v>327</v>
      </c>
      <c r="B178" s="187"/>
      <c r="C178" s="644"/>
      <c r="D178" s="644">
        <v>1</v>
      </c>
      <c r="E178" s="644">
        <v>1</v>
      </c>
      <c r="F178" s="251"/>
      <c r="G178" s="251"/>
      <c r="H178" s="251"/>
      <c r="I178" s="251"/>
      <c r="J178" s="644"/>
      <c r="K178" s="644"/>
      <c r="L178" s="644"/>
      <c r="M178" s="644"/>
      <c r="N178" s="644"/>
      <c r="O178" s="644"/>
      <c r="P178" s="644"/>
      <c r="Q178" s="644"/>
      <c r="R178" s="644">
        <v>1</v>
      </c>
      <c r="S178" s="644"/>
      <c r="T178" s="644">
        <v>1</v>
      </c>
      <c r="U178" s="644">
        <v>1</v>
      </c>
      <c r="V178" s="644"/>
      <c r="W178" s="644"/>
      <c r="X178" s="644"/>
      <c r="Y178" s="644"/>
      <c r="Z178" s="644">
        <v>1</v>
      </c>
      <c r="AA178" s="644"/>
      <c r="AB178" s="644">
        <v>1</v>
      </c>
      <c r="AC178" s="644">
        <v>1</v>
      </c>
      <c r="AD178" s="644">
        <v>1</v>
      </c>
      <c r="AE178" s="644"/>
      <c r="AF178" s="644"/>
      <c r="AG178" s="644"/>
      <c r="AH178" s="644">
        <v>1</v>
      </c>
      <c r="AI178" s="644"/>
      <c r="AJ178" s="644"/>
      <c r="AK178" s="644"/>
      <c r="AL178" s="167">
        <v>10</v>
      </c>
      <c r="AM178" s="185" t="s">
        <v>1231</v>
      </c>
      <c r="AN178" s="186">
        <v>41992</v>
      </c>
      <c r="AO178" s="187"/>
      <c r="AP178" s="187">
        <f t="shared" si="148"/>
        <v>0</v>
      </c>
      <c r="AQ178" s="187">
        <f t="shared" si="149"/>
        <v>0</v>
      </c>
      <c r="AR178" s="187">
        <f t="shared" si="150"/>
        <v>13</v>
      </c>
      <c r="AS178" s="187">
        <f t="shared" si="151"/>
        <v>13</v>
      </c>
      <c r="AT178" s="187">
        <f t="shared" si="152"/>
        <v>9</v>
      </c>
      <c r="AU178" s="187">
        <f t="shared" si="153"/>
        <v>9</v>
      </c>
      <c r="AV178" s="187">
        <f t="shared" si="154"/>
        <v>9</v>
      </c>
      <c r="AW178" s="187">
        <f t="shared" si="155"/>
        <v>0</v>
      </c>
      <c r="AX178" s="187">
        <f t="shared" si="156"/>
        <v>7</v>
      </c>
      <c r="AY178" s="187">
        <f t="shared" si="157"/>
        <v>7</v>
      </c>
      <c r="AZ178" s="187">
        <f t="shared" si="158"/>
        <v>7</v>
      </c>
      <c r="BA178" s="187">
        <f t="shared" si="159"/>
        <v>7</v>
      </c>
      <c r="BB178" s="187">
        <f t="shared" si="160"/>
        <v>0</v>
      </c>
      <c r="BC178" s="187">
        <f t="shared" si="161"/>
        <v>4</v>
      </c>
      <c r="BD178" s="187">
        <f t="shared" si="162"/>
        <v>0</v>
      </c>
      <c r="BE178" s="187">
        <f t="shared" si="163"/>
        <v>0</v>
      </c>
      <c r="BF178" s="187">
        <f t="shared" si="164"/>
        <v>0</v>
      </c>
      <c r="BG178" s="187">
        <f t="shared" si="165"/>
        <v>0</v>
      </c>
      <c r="BH178" s="187">
        <f t="shared" si="166"/>
        <v>0</v>
      </c>
      <c r="BI178" s="187">
        <f t="shared" si="167"/>
        <v>0</v>
      </c>
      <c r="BJ178" s="187">
        <f t="shared" si="168"/>
        <v>0</v>
      </c>
      <c r="BK178" s="187">
        <f t="shared" si="169"/>
        <v>0</v>
      </c>
      <c r="BL178" s="187">
        <f t="shared" si="170"/>
        <v>0</v>
      </c>
      <c r="BM178" s="187">
        <f t="shared" si="171"/>
        <v>0</v>
      </c>
      <c r="BN178" s="188">
        <f t="shared" si="172"/>
        <v>0</v>
      </c>
      <c r="BO178" s="187">
        <f t="shared" si="173"/>
        <v>0</v>
      </c>
      <c r="BP178" s="187">
        <f t="shared" ref="BP178:BQ178" si="567">IF(G178=1,1,0)</f>
        <v>0</v>
      </c>
      <c r="BQ178" s="187">
        <f t="shared" si="567"/>
        <v>0</v>
      </c>
      <c r="BR178" s="187">
        <f t="shared" ref="BR178:BT178" si="568">IF(K178=1,1,0)</f>
        <v>0</v>
      </c>
      <c r="BS178" s="187">
        <f t="shared" si="568"/>
        <v>0</v>
      </c>
      <c r="BT178" s="187">
        <f t="shared" si="568"/>
        <v>0</v>
      </c>
      <c r="BU178" s="187">
        <f t="shared" ref="BU178:BV178" si="569">IF(P178=1,1,0)</f>
        <v>0</v>
      </c>
      <c r="BV178" s="187">
        <f t="shared" si="569"/>
        <v>0</v>
      </c>
      <c r="BW178" s="187">
        <f t="shared" si="177"/>
        <v>0</v>
      </c>
      <c r="BX178" s="187">
        <f t="shared" si="178"/>
        <v>0</v>
      </c>
      <c r="BY178" s="187">
        <f t="shared" si="179"/>
        <v>0</v>
      </c>
      <c r="BZ178" s="187">
        <f t="shared" si="180"/>
        <v>0</v>
      </c>
      <c r="CA178" s="167">
        <f t="shared" si="181"/>
        <v>85</v>
      </c>
      <c r="CB178" s="167">
        <f t="shared" si="47"/>
        <v>100</v>
      </c>
      <c r="CC178" s="644">
        <f t="shared" si="48"/>
        <v>23</v>
      </c>
      <c r="CD178" s="644">
        <f t="shared" si="49"/>
        <v>19</v>
      </c>
      <c r="CE178" s="644">
        <f t="shared" si="50"/>
        <v>15</v>
      </c>
      <c r="CF178" s="644">
        <f t="shared" si="51"/>
        <v>15</v>
      </c>
      <c r="CG178" s="644">
        <f t="shared" si="52"/>
        <v>9</v>
      </c>
      <c r="CH178" s="644">
        <f t="shared" si="542"/>
        <v>7</v>
      </c>
      <c r="CI178" s="644">
        <f t="shared" si="54"/>
        <v>7</v>
      </c>
      <c r="CJ178" s="644">
        <f t="shared" si="55"/>
        <v>5</v>
      </c>
      <c r="CK178" s="644">
        <f t="shared" si="56"/>
        <v>0</v>
      </c>
      <c r="CL178" s="644">
        <f t="shared" si="57"/>
        <v>0</v>
      </c>
      <c r="CM178" s="644">
        <f t="shared" si="58"/>
        <v>0</v>
      </c>
      <c r="CN178" s="644">
        <f t="shared" si="59"/>
        <v>3</v>
      </c>
      <c r="CO178" s="644">
        <f t="shared" si="60"/>
        <v>0</v>
      </c>
      <c r="CP178" s="644">
        <f t="shared" si="61"/>
        <v>3</v>
      </c>
      <c r="CQ178" s="644">
        <f t="shared" si="62"/>
        <v>0</v>
      </c>
      <c r="CR178" s="644">
        <f t="shared" si="63"/>
        <v>0</v>
      </c>
      <c r="CS178" s="644">
        <f t="shared" si="64"/>
        <v>0</v>
      </c>
      <c r="CT178" s="644">
        <f t="shared" si="65"/>
        <v>0</v>
      </c>
      <c r="CU178" s="644">
        <f t="shared" si="66"/>
        <v>0</v>
      </c>
      <c r="CV178" s="644">
        <f t="shared" si="67"/>
        <v>0</v>
      </c>
      <c r="CW178" s="644">
        <f t="shared" si="68"/>
        <v>0</v>
      </c>
      <c r="CX178" s="644">
        <f t="shared" si="69"/>
        <v>0</v>
      </c>
      <c r="CY178" s="644">
        <f t="shared" si="70"/>
        <v>0</v>
      </c>
      <c r="CZ178" s="624" t="s">
        <v>1232</v>
      </c>
      <c r="DA178" s="257"/>
    </row>
    <row r="179" spans="1:105">
      <c r="A179" s="260" t="s">
        <v>331</v>
      </c>
      <c r="B179" s="187"/>
      <c r="C179" s="644"/>
      <c r="D179" s="644"/>
      <c r="E179" s="644"/>
      <c r="F179" s="251">
        <v>1</v>
      </c>
      <c r="G179" s="251"/>
      <c r="H179" s="251"/>
      <c r="I179" s="251">
        <v>1</v>
      </c>
      <c r="J179" s="644"/>
      <c r="K179" s="644"/>
      <c r="L179" s="644"/>
      <c r="M179" s="644"/>
      <c r="N179" s="644"/>
      <c r="O179" s="644"/>
      <c r="P179" s="644"/>
      <c r="Q179" s="644"/>
      <c r="R179" s="644">
        <v>1</v>
      </c>
      <c r="S179" s="644"/>
      <c r="T179" s="644"/>
      <c r="U179" s="644">
        <v>1</v>
      </c>
      <c r="V179" s="644"/>
      <c r="W179" s="644"/>
      <c r="X179" s="644"/>
      <c r="Y179" s="644"/>
      <c r="Z179" s="644"/>
      <c r="AA179" s="644"/>
      <c r="AB179" s="644">
        <v>1</v>
      </c>
      <c r="AC179" s="644"/>
      <c r="AD179" s="644"/>
      <c r="AE179" s="644"/>
      <c r="AF179" s="644"/>
      <c r="AG179" s="644"/>
      <c r="AH179" s="644">
        <v>1</v>
      </c>
      <c r="AI179" s="644"/>
      <c r="AJ179" s="644"/>
      <c r="AK179" s="644"/>
      <c r="AL179" s="167">
        <v>6</v>
      </c>
      <c r="AM179" s="185" t="s">
        <v>1233</v>
      </c>
      <c r="AN179" s="186">
        <v>42009</v>
      </c>
      <c r="AO179" s="187"/>
      <c r="AP179" s="187">
        <f t="shared" si="148"/>
        <v>13</v>
      </c>
      <c r="AQ179" s="187">
        <f t="shared" si="149"/>
        <v>13</v>
      </c>
      <c r="AR179" s="187">
        <f t="shared" si="150"/>
        <v>13</v>
      </c>
      <c r="AS179" s="187">
        <f t="shared" si="151"/>
        <v>13</v>
      </c>
      <c r="AT179" s="187">
        <f t="shared" si="152"/>
        <v>9</v>
      </c>
      <c r="AU179" s="187">
        <f t="shared" si="153"/>
        <v>0</v>
      </c>
      <c r="AV179" s="187">
        <f t="shared" si="154"/>
        <v>0</v>
      </c>
      <c r="AW179" s="187">
        <f t="shared" si="155"/>
        <v>0</v>
      </c>
      <c r="AX179" s="187">
        <f t="shared" si="156"/>
        <v>0</v>
      </c>
      <c r="AY179" s="187">
        <f t="shared" si="157"/>
        <v>0</v>
      </c>
      <c r="AZ179" s="187">
        <f t="shared" si="158"/>
        <v>7</v>
      </c>
      <c r="BA179" s="187">
        <f t="shared" si="159"/>
        <v>0</v>
      </c>
      <c r="BB179" s="187">
        <f t="shared" si="160"/>
        <v>0</v>
      </c>
      <c r="BC179" s="187">
        <f t="shared" si="161"/>
        <v>0</v>
      </c>
      <c r="BD179" s="187">
        <f t="shared" si="162"/>
        <v>0</v>
      </c>
      <c r="BE179" s="187">
        <f t="shared" si="163"/>
        <v>0</v>
      </c>
      <c r="BF179" s="187">
        <f t="shared" si="164"/>
        <v>0</v>
      </c>
      <c r="BG179" s="187">
        <f t="shared" si="165"/>
        <v>0</v>
      </c>
      <c r="BH179" s="187">
        <f t="shared" si="166"/>
        <v>0</v>
      </c>
      <c r="BI179" s="187">
        <f t="shared" si="167"/>
        <v>0</v>
      </c>
      <c r="BJ179" s="187">
        <f t="shared" si="168"/>
        <v>0</v>
      </c>
      <c r="BK179" s="187">
        <f t="shared" si="169"/>
        <v>0</v>
      </c>
      <c r="BL179" s="187">
        <f t="shared" si="170"/>
        <v>0</v>
      </c>
      <c r="BM179" s="187">
        <f t="shared" si="171"/>
        <v>0</v>
      </c>
      <c r="BN179" s="188">
        <f t="shared" si="172"/>
        <v>4</v>
      </c>
      <c r="BO179" s="187">
        <f t="shared" si="173"/>
        <v>0</v>
      </c>
      <c r="BP179" s="187">
        <f t="shared" ref="BP179:BQ179" si="570">IF(G179=1,1,0)</f>
        <v>0</v>
      </c>
      <c r="BQ179" s="187">
        <f t="shared" si="570"/>
        <v>0</v>
      </c>
      <c r="BR179" s="187">
        <f t="shared" ref="BR179:BT179" si="571">IF(K179=1,1,0)</f>
        <v>0</v>
      </c>
      <c r="BS179" s="187">
        <f t="shared" si="571"/>
        <v>0</v>
      </c>
      <c r="BT179" s="187">
        <f t="shared" si="571"/>
        <v>0</v>
      </c>
      <c r="BU179" s="187">
        <f t="shared" ref="BU179:BV179" si="572">IF(P179=1,1,0)</f>
        <v>0</v>
      </c>
      <c r="BV179" s="187">
        <f t="shared" si="572"/>
        <v>0</v>
      </c>
      <c r="BW179" s="187">
        <f t="shared" si="177"/>
        <v>0</v>
      </c>
      <c r="BX179" s="187">
        <f t="shared" si="178"/>
        <v>0</v>
      </c>
      <c r="BY179" s="187">
        <f t="shared" si="179"/>
        <v>4</v>
      </c>
      <c r="BZ179" s="187">
        <f t="shared" si="180"/>
        <v>-16</v>
      </c>
      <c r="CA179" s="167">
        <f t="shared" si="181"/>
        <v>52</v>
      </c>
      <c r="CB179" s="167">
        <f t="shared" si="47"/>
        <v>83</v>
      </c>
      <c r="CC179" s="644">
        <f t="shared" si="48"/>
        <v>23</v>
      </c>
      <c r="CD179" s="644">
        <f t="shared" si="49"/>
        <v>19</v>
      </c>
      <c r="CE179" s="644">
        <f t="shared" si="50"/>
        <v>15</v>
      </c>
      <c r="CF179" s="644">
        <f t="shared" si="51"/>
        <v>0</v>
      </c>
      <c r="CG179" s="644">
        <f t="shared" si="52"/>
        <v>9</v>
      </c>
      <c r="CH179" s="644">
        <f t="shared" si="542"/>
        <v>7</v>
      </c>
      <c r="CI179" s="644">
        <f t="shared" si="54"/>
        <v>0</v>
      </c>
      <c r="CJ179" s="644">
        <f t="shared" si="55"/>
        <v>0</v>
      </c>
      <c r="CK179" s="644">
        <f t="shared" si="56"/>
        <v>5</v>
      </c>
      <c r="CL179" s="644">
        <f t="shared" si="57"/>
        <v>5</v>
      </c>
      <c r="CM179" s="644">
        <f t="shared" si="58"/>
        <v>0</v>
      </c>
      <c r="CN179" s="644">
        <f t="shared" si="59"/>
        <v>0</v>
      </c>
      <c r="CO179" s="644">
        <f t="shared" si="60"/>
        <v>0</v>
      </c>
      <c r="CP179" s="644">
        <f t="shared" si="61"/>
        <v>0</v>
      </c>
      <c r="CQ179" s="644">
        <f t="shared" si="62"/>
        <v>0</v>
      </c>
      <c r="CR179" s="644">
        <f t="shared" si="63"/>
        <v>0</v>
      </c>
      <c r="CS179" s="644">
        <f t="shared" si="64"/>
        <v>0</v>
      </c>
      <c r="CT179" s="644">
        <f t="shared" si="65"/>
        <v>0</v>
      </c>
      <c r="CU179" s="644">
        <f t="shared" si="66"/>
        <v>0</v>
      </c>
      <c r="CV179" s="644">
        <f t="shared" si="67"/>
        <v>0</v>
      </c>
      <c r="CW179" s="644">
        <f t="shared" si="68"/>
        <v>0</v>
      </c>
      <c r="CX179" s="644">
        <f t="shared" si="69"/>
        <v>0</v>
      </c>
      <c r="CY179" s="644">
        <f t="shared" si="70"/>
        <v>0</v>
      </c>
      <c r="CZ179" s="624" t="s">
        <v>756</v>
      </c>
      <c r="DA179" s="257"/>
    </row>
    <row r="180" spans="1:105">
      <c r="A180" s="260" t="s">
        <v>332</v>
      </c>
      <c r="B180" s="187"/>
      <c r="C180" s="644"/>
      <c r="D180" s="644"/>
      <c r="E180" s="258">
        <v>1</v>
      </c>
      <c r="F180" s="251"/>
      <c r="G180" s="251"/>
      <c r="H180" s="251"/>
      <c r="I180" s="251"/>
      <c r="J180" s="644"/>
      <c r="K180" s="644"/>
      <c r="L180" s="644"/>
      <c r="M180" s="644"/>
      <c r="N180" s="644"/>
      <c r="O180" s="644"/>
      <c r="P180" s="644"/>
      <c r="Q180" s="644"/>
      <c r="R180" s="644">
        <v>1</v>
      </c>
      <c r="S180" s="644"/>
      <c r="T180" s="644"/>
      <c r="U180" s="644">
        <v>1</v>
      </c>
      <c r="V180" s="644"/>
      <c r="W180" s="644"/>
      <c r="X180" s="644"/>
      <c r="Y180" s="644"/>
      <c r="Z180" s="644"/>
      <c r="AA180" s="644"/>
      <c r="AB180" s="644"/>
      <c r="AC180" s="258">
        <v>1</v>
      </c>
      <c r="AD180" s="644"/>
      <c r="AE180" s="644"/>
      <c r="AF180" s="644"/>
      <c r="AG180" s="644">
        <v>1</v>
      </c>
      <c r="AH180" s="644"/>
      <c r="AI180" s="644"/>
      <c r="AJ180" s="644"/>
      <c r="AK180" s="644"/>
      <c r="AL180" s="167">
        <v>5</v>
      </c>
      <c r="AM180" s="185" t="s">
        <v>1234</v>
      </c>
      <c r="AN180" s="186">
        <v>42009</v>
      </c>
      <c r="AO180" s="187"/>
      <c r="AP180" s="187">
        <f t="shared" si="148"/>
        <v>0</v>
      </c>
      <c r="AQ180" s="187">
        <f t="shared" si="149"/>
        <v>0</v>
      </c>
      <c r="AR180" s="187">
        <f t="shared" si="150"/>
        <v>13</v>
      </c>
      <c r="AS180" s="187">
        <f t="shared" si="151"/>
        <v>13</v>
      </c>
      <c r="AT180" s="187">
        <f t="shared" si="152"/>
        <v>0</v>
      </c>
      <c r="AU180" s="187">
        <f t="shared" si="153"/>
        <v>0</v>
      </c>
      <c r="AV180" s="187">
        <f t="shared" si="154"/>
        <v>9</v>
      </c>
      <c r="AW180" s="187">
        <f t="shared" si="155"/>
        <v>0</v>
      </c>
      <c r="AX180" s="187">
        <f t="shared" si="156"/>
        <v>0</v>
      </c>
      <c r="AY180" s="187">
        <f t="shared" si="157"/>
        <v>0</v>
      </c>
      <c r="AZ180" s="187">
        <f t="shared" si="158"/>
        <v>0</v>
      </c>
      <c r="BA180" s="187">
        <f t="shared" si="159"/>
        <v>7</v>
      </c>
      <c r="BB180" s="187">
        <f t="shared" si="160"/>
        <v>0</v>
      </c>
      <c r="BC180" s="187">
        <f t="shared" si="161"/>
        <v>0</v>
      </c>
      <c r="BD180" s="187">
        <f t="shared" si="162"/>
        <v>0</v>
      </c>
      <c r="BE180" s="187">
        <f t="shared" si="163"/>
        <v>0</v>
      </c>
      <c r="BF180" s="187">
        <f t="shared" si="164"/>
        <v>0</v>
      </c>
      <c r="BG180" s="187">
        <f t="shared" si="165"/>
        <v>0</v>
      </c>
      <c r="BH180" s="187">
        <f t="shared" si="166"/>
        <v>0</v>
      </c>
      <c r="BI180" s="187">
        <f t="shared" si="167"/>
        <v>0</v>
      </c>
      <c r="BJ180" s="187">
        <f t="shared" si="168"/>
        <v>1</v>
      </c>
      <c r="BK180" s="187">
        <f t="shared" si="169"/>
        <v>0</v>
      </c>
      <c r="BL180" s="187">
        <f t="shared" si="170"/>
        <v>0</v>
      </c>
      <c r="BM180" s="187">
        <f t="shared" si="171"/>
        <v>0</v>
      </c>
      <c r="BN180" s="188">
        <f t="shared" si="172"/>
        <v>5</v>
      </c>
      <c r="BO180" s="187">
        <f t="shared" si="173"/>
        <v>0</v>
      </c>
      <c r="BP180" s="187">
        <f t="shared" ref="BP180:BQ180" si="573">IF(G180=1,1,0)</f>
        <v>0</v>
      </c>
      <c r="BQ180" s="187">
        <f t="shared" si="573"/>
        <v>0</v>
      </c>
      <c r="BR180" s="187">
        <f t="shared" ref="BR180:BT180" si="574">IF(K180=1,1,0)</f>
        <v>0</v>
      </c>
      <c r="BS180" s="187">
        <f t="shared" si="574"/>
        <v>0</v>
      </c>
      <c r="BT180" s="187">
        <f t="shared" si="574"/>
        <v>0</v>
      </c>
      <c r="BU180" s="187">
        <f t="shared" ref="BU180:BV180" si="575">IF(P180=1,1,0)</f>
        <v>0</v>
      </c>
      <c r="BV180" s="187">
        <f t="shared" si="575"/>
        <v>0</v>
      </c>
      <c r="BW180" s="187">
        <f t="shared" si="177"/>
        <v>0</v>
      </c>
      <c r="BX180" s="187">
        <f t="shared" si="178"/>
        <v>0</v>
      </c>
      <c r="BY180" s="187">
        <f t="shared" si="179"/>
        <v>5</v>
      </c>
      <c r="BZ180" s="187">
        <f t="shared" si="180"/>
        <v>-25</v>
      </c>
      <c r="CA180" s="167">
        <f t="shared" si="181"/>
        <v>18</v>
      </c>
      <c r="CB180" s="167">
        <f t="shared" si="47"/>
        <v>74</v>
      </c>
      <c r="CC180" s="644">
        <f t="shared" si="48"/>
        <v>23</v>
      </c>
      <c r="CD180" s="644">
        <f t="shared" si="49"/>
        <v>19</v>
      </c>
      <c r="CE180" s="644">
        <f t="shared" si="50"/>
        <v>0</v>
      </c>
      <c r="CF180" s="644">
        <f t="shared" si="51"/>
        <v>15</v>
      </c>
      <c r="CG180" s="644">
        <f t="shared" si="52"/>
        <v>0</v>
      </c>
      <c r="CH180" s="644">
        <f t="shared" si="542"/>
        <v>7</v>
      </c>
      <c r="CI180" s="644">
        <f t="shared" si="54"/>
        <v>7</v>
      </c>
      <c r="CJ180" s="644">
        <f t="shared" si="55"/>
        <v>0</v>
      </c>
      <c r="CK180" s="644">
        <f t="shared" si="56"/>
        <v>0</v>
      </c>
      <c r="CL180" s="644">
        <f t="shared" si="57"/>
        <v>0</v>
      </c>
      <c r="CM180" s="644">
        <f t="shared" si="58"/>
        <v>3</v>
      </c>
      <c r="CN180" s="644">
        <f t="shared" si="59"/>
        <v>0</v>
      </c>
      <c r="CO180" s="644">
        <f t="shared" si="60"/>
        <v>0</v>
      </c>
      <c r="CP180" s="644">
        <f t="shared" si="61"/>
        <v>0</v>
      </c>
      <c r="CQ180" s="644">
        <f t="shared" si="62"/>
        <v>0</v>
      </c>
      <c r="CR180" s="644">
        <f t="shared" si="63"/>
        <v>0</v>
      </c>
      <c r="CS180" s="644">
        <f t="shared" si="64"/>
        <v>0</v>
      </c>
      <c r="CT180" s="644">
        <f t="shared" si="65"/>
        <v>0</v>
      </c>
      <c r="CU180" s="644">
        <f t="shared" si="66"/>
        <v>0</v>
      </c>
      <c r="CV180" s="644">
        <f t="shared" si="67"/>
        <v>0</v>
      </c>
      <c r="CW180" s="644">
        <f t="shared" si="68"/>
        <v>0</v>
      </c>
      <c r="CX180" s="644">
        <f t="shared" si="69"/>
        <v>0</v>
      </c>
      <c r="CY180" s="644">
        <f t="shared" si="70"/>
        <v>0</v>
      </c>
      <c r="CZ180" s="624" t="s">
        <v>752</v>
      </c>
      <c r="DA180" s="257"/>
    </row>
    <row r="181" spans="1:105">
      <c r="A181" s="260" t="s">
        <v>336</v>
      </c>
      <c r="B181" s="187"/>
      <c r="C181" s="644"/>
      <c r="D181" s="644">
        <v>1</v>
      </c>
      <c r="E181" s="644">
        <v>1</v>
      </c>
      <c r="F181" s="251"/>
      <c r="G181" s="251"/>
      <c r="H181" s="251"/>
      <c r="I181" s="251"/>
      <c r="J181" s="644"/>
      <c r="K181" s="644"/>
      <c r="L181" s="644"/>
      <c r="M181" s="644"/>
      <c r="N181" s="644"/>
      <c r="O181" s="644"/>
      <c r="P181" s="644"/>
      <c r="Q181" s="644"/>
      <c r="R181" s="644">
        <v>1</v>
      </c>
      <c r="S181" s="644"/>
      <c r="T181" s="644">
        <v>1</v>
      </c>
      <c r="U181" s="644">
        <v>1</v>
      </c>
      <c r="V181" s="644"/>
      <c r="W181" s="644"/>
      <c r="X181" s="644"/>
      <c r="Y181" s="644"/>
      <c r="Z181" s="644"/>
      <c r="AA181" s="644"/>
      <c r="AB181" s="644">
        <v>1</v>
      </c>
      <c r="AC181" s="644">
        <v>1</v>
      </c>
      <c r="AD181" s="644">
        <v>1</v>
      </c>
      <c r="AE181" s="644"/>
      <c r="AF181" s="644"/>
      <c r="AG181" s="644"/>
      <c r="AH181" s="644">
        <v>1</v>
      </c>
      <c r="AI181" s="644"/>
      <c r="AJ181" s="644">
        <v>1</v>
      </c>
      <c r="AK181" s="644"/>
      <c r="AL181" s="167">
        <v>10</v>
      </c>
      <c r="AM181" s="185" t="s">
        <v>1235</v>
      </c>
      <c r="AN181" s="186">
        <v>42010</v>
      </c>
      <c r="AO181" s="187"/>
      <c r="AP181" s="187">
        <f t="shared" si="148"/>
        <v>0</v>
      </c>
      <c r="AQ181" s="187">
        <f t="shared" si="149"/>
        <v>0</v>
      </c>
      <c r="AR181" s="187">
        <f t="shared" si="150"/>
        <v>13</v>
      </c>
      <c r="AS181" s="187">
        <f t="shared" si="151"/>
        <v>13</v>
      </c>
      <c r="AT181" s="187">
        <f t="shared" si="152"/>
        <v>9</v>
      </c>
      <c r="AU181" s="187">
        <f t="shared" si="153"/>
        <v>9</v>
      </c>
      <c r="AV181" s="187">
        <f t="shared" si="154"/>
        <v>9</v>
      </c>
      <c r="AW181" s="187">
        <f t="shared" si="155"/>
        <v>7</v>
      </c>
      <c r="AX181" s="187">
        <f t="shared" si="156"/>
        <v>7</v>
      </c>
      <c r="AY181" s="187">
        <f t="shared" si="157"/>
        <v>0</v>
      </c>
      <c r="AZ181" s="187">
        <f t="shared" si="158"/>
        <v>7</v>
      </c>
      <c r="BA181" s="187">
        <f t="shared" si="159"/>
        <v>7</v>
      </c>
      <c r="BB181" s="187">
        <f t="shared" si="160"/>
        <v>0</v>
      </c>
      <c r="BC181" s="187">
        <f t="shared" si="161"/>
        <v>4</v>
      </c>
      <c r="BD181" s="187">
        <f t="shared" si="162"/>
        <v>0</v>
      </c>
      <c r="BE181" s="187">
        <f t="shared" si="163"/>
        <v>0</v>
      </c>
      <c r="BF181" s="187">
        <f t="shared" si="164"/>
        <v>0</v>
      </c>
      <c r="BG181" s="187">
        <f t="shared" si="165"/>
        <v>0</v>
      </c>
      <c r="BH181" s="187">
        <f t="shared" si="166"/>
        <v>0</v>
      </c>
      <c r="BI181" s="187">
        <f t="shared" si="167"/>
        <v>0</v>
      </c>
      <c r="BJ181" s="187">
        <f t="shared" si="168"/>
        <v>0</v>
      </c>
      <c r="BK181" s="187">
        <f t="shared" si="169"/>
        <v>0</v>
      </c>
      <c r="BL181" s="187">
        <f t="shared" si="170"/>
        <v>0</v>
      </c>
      <c r="BM181" s="187">
        <f t="shared" si="171"/>
        <v>0</v>
      </c>
      <c r="BN181" s="188">
        <f t="shared" si="172"/>
        <v>0</v>
      </c>
      <c r="BO181" s="187">
        <f t="shared" si="173"/>
        <v>0</v>
      </c>
      <c r="BP181" s="187">
        <f t="shared" ref="BP181:BQ181" si="576">IF(G181=1,1,0)</f>
        <v>0</v>
      </c>
      <c r="BQ181" s="187">
        <f t="shared" si="576"/>
        <v>0</v>
      </c>
      <c r="BR181" s="187">
        <f t="shared" ref="BR181:BT181" si="577">IF(K181=1,1,0)</f>
        <v>0</v>
      </c>
      <c r="BS181" s="187">
        <f t="shared" si="577"/>
        <v>0</v>
      </c>
      <c r="BT181" s="187">
        <f t="shared" si="577"/>
        <v>0</v>
      </c>
      <c r="BU181" s="187">
        <f t="shared" ref="BU181:BV181" si="578">IF(P181=1,1,0)</f>
        <v>0</v>
      </c>
      <c r="BV181" s="187">
        <f t="shared" si="578"/>
        <v>0</v>
      </c>
      <c r="BW181" s="187">
        <f t="shared" si="177"/>
        <v>0</v>
      </c>
      <c r="BX181" s="187">
        <f t="shared" si="178"/>
        <v>0</v>
      </c>
      <c r="BY181" s="187">
        <f t="shared" si="179"/>
        <v>0</v>
      </c>
      <c r="BZ181" s="187">
        <f t="shared" si="180"/>
        <v>0</v>
      </c>
      <c r="CA181" s="167">
        <f t="shared" si="181"/>
        <v>85</v>
      </c>
      <c r="CB181" s="167">
        <f t="shared" si="47"/>
        <v>96</v>
      </c>
      <c r="CC181" s="644">
        <f t="shared" si="48"/>
        <v>23</v>
      </c>
      <c r="CD181" s="644">
        <f t="shared" si="49"/>
        <v>19</v>
      </c>
      <c r="CE181" s="644">
        <f t="shared" si="50"/>
        <v>15</v>
      </c>
      <c r="CF181" s="644">
        <f t="shared" si="51"/>
        <v>15</v>
      </c>
      <c r="CG181" s="644">
        <f t="shared" si="52"/>
        <v>9</v>
      </c>
      <c r="CH181" s="644">
        <f t="shared" si="542"/>
        <v>0</v>
      </c>
      <c r="CI181" s="644">
        <f t="shared" si="54"/>
        <v>7</v>
      </c>
      <c r="CJ181" s="644">
        <f t="shared" si="55"/>
        <v>5</v>
      </c>
      <c r="CK181" s="644">
        <f t="shared" si="56"/>
        <v>0</v>
      </c>
      <c r="CL181" s="644">
        <f t="shared" si="57"/>
        <v>0</v>
      </c>
      <c r="CM181" s="644">
        <f t="shared" si="58"/>
        <v>0</v>
      </c>
      <c r="CN181" s="644">
        <f t="shared" si="59"/>
        <v>3</v>
      </c>
      <c r="CO181" s="644">
        <f t="shared" si="60"/>
        <v>3</v>
      </c>
      <c r="CP181" s="644">
        <f t="shared" si="61"/>
        <v>0</v>
      </c>
      <c r="CQ181" s="644">
        <f t="shared" si="62"/>
        <v>0</v>
      </c>
      <c r="CR181" s="644">
        <f t="shared" si="63"/>
        <v>0</v>
      </c>
      <c r="CS181" s="644">
        <f t="shared" si="64"/>
        <v>0</v>
      </c>
      <c r="CT181" s="644">
        <f t="shared" si="65"/>
        <v>0</v>
      </c>
      <c r="CU181" s="644">
        <f t="shared" si="66"/>
        <v>0</v>
      </c>
      <c r="CV181" s="644">
        <f t="shared" si="67"/>
        <v>0</v>
      </c>
      <c r="CW181" s="644">
        <f t="shared" si="68"/>
        <v>0</v>
      </c>
      <c r="CX181" s="644">
        <f t="shared" si="69"/>
        <v>0</v>
      </c>
      <c r="CY181" s="644">
        <f t="shared" si="70"/>
        <v>0</v>
      </c>
      <c r="CZ181" s="624" t="s">
        <v>983</v>
      </c>
      <c r="DA181" s="257"/>
    </row>
    <row r="182" spans="1:105">
      <c r="A182" s="260" t="s">
        <v>340</v>
      </c>
      <c r="B182" s="187"/>
      <c r="C182" s="644"/>
      <c r="D182" s="644"/>
      <c r="E182" s="644">
        <v>1</v>
      </c>
      <c r="F182" s="251">
        <v>1</v>
      </c>
      <c r="G182" s="251"/>
      <c r="H182" s="251"/>
      <c r="I182" s="251">
        <v>1</v>
      </c>
      <c r="J182" s="644"/>
      <c r="K182" s="644"/>
      <c r="L182" s="644"/>
      <c r="M182" s="644"/>
      <c r="N182" s="644"/>
      <c r="O182" s="644"/>
      <c r="P182" s="644"/>
      <c r="Q182" s="644"/>
      <c r="R182" s="644">
        <v>1</v>
      </c>
      <c r="S182" s="644">
        <v>1</v>
      </c>
      <c r="T182" s="644"/>
      <c r="U182" s="644">
        <v>1</v>
      </c>
      <c r="V182" s="644"/>
      <c r="W182" s="644"/>
      <c r="X182" s="644"/>
      <c r="Y182" s="644"/>
      <c r="Z182" s="644">
        <v>1</v>
      </c>
      <c r="AA182" s="644"/>
      <c r="AB182" s="644">
        <v>1</v>
      </c>
      <c r="AC182" s="251"/>
      <c r="AD182" s="644">
        <v>1</v>
      </c>
      <c r="AE182" s="644"/>
      <c r="AF182" s="644"/>
      <c r="AG182" s="644"/>
      <c r="AH182" s="644">
        <v>1</v>
      </c>
      <c r="AI182" s="644"/>
      <c r="AJ182" s="644"/>
      <c r="AK182" s="644"/>
      <c r="AL182" s="167">
        <v>10</v>
      </c>
      <c r="AM182" s="185" t="s">
        <v>1236</v>
      </c>
      <c r="AN182" s="186">
        <v>42010</v>
      </c>
      <c r="AO182" s="187"/>
      <c r="AP182" s="187">
        <f t="shared" si="148"/>
        <v>13</v>
      </c>
      <c r="AQ182" s="187">
        <f t="shared" si="149"/>
        <v>13</v>
      </c>
      <c r="AR182" s="187">
        <f t="shared" si="150"/>
        <v>13</v>
      </c>
      <c r="AS182" s="187">
        <f t="shared" si="151"/>
        <v>13</v>
      </c>
      <c r="AT182" s="187">
        <f t="shared" si="152"/>
        <v>9</v>
      </c>
      <c r="AU182" s="187">
        <f t="shared" si="153"/>
        <v>0</v>
      </c>
      <c r="AV182" s="187">
        <f t="shared" si="154"/>
        <v>0</v>
      </c>
      <c r="AW182" s="187">
        <f t="shared" si="155"/>
        <v>0</v>
      </c>
      <c r="AX182" s="187">
        <f t="shared" si="156"/>
        <v>7</v>
      </c>
      <c r="AY182" s="187">
        <f t="shared" si="157"/>
        <v>7</v>
      </c>
      <c r="AZ182" s="187">
        <f t="shared" si="158"/>
        <v>7</v>
      </c>
      <c r="BA182" s="187">
        <f t="shared" si="159"/>
        <v>7</v>
      </c>
      <c r="BB182" s="187">
        <f t="shared" si="160"/>
        <v>0</v>
      </c>
      <c r="BC182" s="187">
        <f t="shared" si="161"/>
        <v>0</v>
      </c>
      <c r="BD182" s="187">
        <f t="shared" si="162"/>
        <v>0</v>
      </c>
      <c r="BE182" s="187">
        <f t="shared" si="163"/>
        <v>0</v>
      </c>
      <c r="BF182" s="187">
        <f t="shared" si="164"/>
        <v>0</v>
      </c>
      <c r="BG182" s="187">
        <f t="shared" si="165"/>
        <v>0</v>
      </c>
      <c r="BH182" s="187">
        <f t="shared" si="166"/>
        <v>2</v>
      </c>
      <c r="BI182" s="187">
        <f t="shared" si="167"/>
        <v>0</v>
      </c>
      <c r="BJ182" s="187">
        <f t="shared" si="168"/>
        <v>0</v>
      </c>
      <c r="BK182" s="187">
        <f t="shared" si="169"/>
        <v>0</v>
      </c>
      <c r="BL182" s="187">
        <f t="shared" si="170"/>
        <v>0</v>
      </c>
      <c r="BM182" s="187">
        <f t="shared" si="171"/>
        <v>0</v>
      </c>
      <c r="BN182" s="188">
        <f t="shared" si="172"/>
        <v>0</v>
      </c>
      <c r="BO182" s="187">
        <f t="shared" si="173"/>
        <v>0</v>
      </c>
      <c r="BP182" s="187">
        <f t="shared" ref="BP182:BQ182" si="579">IF(G182=1,1,0)</f>
        <v>0</v>
      </c>
      <c r="BQ182" s="187">
        <f t="shared" si="579"/>
        <v>0</v>
      </c>
      <c r="BR182" s="187">
        <f t="shared" ref="BR182:BT182" si="580">IF(K182=1,1,0)</f>
        <v>0</v>
      </c>
      <c r="BS182" s="187">
        <f t="shared" si="580"/>
        <v>0</v>
      </c>
      <c r="BT182" s="187">
        <f t="shared" si="580"/>
        <v>0</v>
      </c>
      <c r="BU182" s="187">
        <f t="shared" ref="BU182:BV182" si="581">IF(P182=1,1,0)</f>
        <v>0</v>
      </c>
      <c r="BV182" s="187">
        <f t="shared" si="581"/>
        <v>0</v>
      </c>
      <c r="BW182" s="187">
        <f t="shared" si="177"/>
        <v>0</v>
      </c>
      <c r="BX182" s="187">
        <f t="shared" si="178"/>
        <v>0</v>
      </c>
      <c r="BY182" s="187">
        <f t="shared" si="179"/>
        <v>0</v>
      </c>
      <c r="BZ182" s="187">
        <f t="shared" si="180"/>
        <v>0</v>
      </c>
      <c r="CA182" s="167">
        <f t="shared" si="181"/>
        <v>91</v>
      </c>
      <c r="CB182" s="167">
        <f t="shared" si="47"/>
        <v>98</v>
      </c>
      <c r="CC182" s="644">
        <f t="shared" si="48"/>
        <v>23</v>
      </c>
      <c r="CD182" s="644">
        <f t="shared" si="49"/>
        <v>19</v>
      </c>
      <c r="CE182" s="644">
        <f t="shared" si="50"/>
        <v>15</v>
      </c>
      <c r="CF182" s="644">
        <f t="shared" si="51"/>
        <v>15</v>
      </c>
      <c r="CG182" s="644">
        <f t="shared" si="52"/>
        <v>9</v>
      </c>
      <c r="CH182" s="644">
        <f t="shared" si="542"/>
        <v>7</v>
      </c>
      <c r="CI182" s="644">
        <f t="shared" si="54"/>
        <v>0</v>
      </c>
      <c r="CJ182" s="644">
        <f t="shared" si="55"/>
        <v>5</v>
      </c>
      <c r="CK182" s="644">
        <f t="shared" si="56"/>
        <v>5</v>
      </c>
      <c r="CL182" s="644">
        <f t="shared" si="57"/>
        <v>5</v>
      </c>
      <c r="CM182" s="644">
        <f t="shared" si="58"/>
        <v>0</v>
      </c>
      <c r="CN182" s="644">
        <f t="shared" si="59"/>
        <v>0</v>
      </c>
      <c r="CO182" s="644">
        <f t="shared" si="60"/>
        <v>0</v>
      </c>
      <c r="CP182" s="644">
        <f t="shared" si="61"/>
        <v>3</v>
      </c>
      <c r="CQ182" s="644">
        <f t="shared" si="62"/>
        <v>2</v>
      </c>
      <c r="CR182" s="644">
        <f t="shared" si="63"/>
        <v>0</v>
      </c>
      <c r="CS182" s="644">
        <f t="shared" si="64"/>
        <v>0</v>
      </c>
      <c r="CT182" s="644">
        <f t="shared" si="65"/>
        <v>0</v>
      </c>
      <c r="CU182" s="644">
        <f t="shared" si="66"/>
        <v>0</v>
      </c>
      <c r="CV182" s="644">
        <f t="shared" si="67"/>
        <v>0</v>
      </c>
      <c r="CW182" s="644">
        <f t="shared" si="68"/>
        <v>0</v>
      </c>
      <c r="CX182" s="644">
        <f t="shared" si="69"/>
        <v>0</v>
      </c>
      <c r="CY182" s="644">
        <f t="shared" si="70"/>
        <v>0</v>
      </c>
      <c r="CZ182" s="624" t="s">
        <v>756</v>
      </c>
      <c r="DA182" s="257"/>
    </row>
    <row r="183" spans="1:105">
      <c r="A183" s="260" t="s">
        <v>341</v>
      </c>
      <c r="B183" s="187"/>
      <c r="C183" s="644"/>
      <c r="D183" s="644">
        <v>1</v>
      </c>
      <c r="E183" s="644">
        <v>1</v>
      </c>
      <c r="F183" s="251">
        <v>1</v>
      </c>
      <c r="G183" s="251"/>
      <c r="H183" s="251"/>
      <c r="I183" s="251">
        <v>1</v>
      </c>
      <c r="J183" s="644"/>
      <c r="K183" s="644"/>
      <c r="L183" s="644"/>
      <c r="M183" s="644"/>
      <c r="N183" s="644"/>
      <c r="O183" s="644"/>
      <c r="P183" s="644"/>
      <c r="Q183" s="644"/>
      <c r="R183" s="644">
        <v>1</v>
      </c>
      <c r="S183" s="644"/>
      <c r="T183" s="644"/>
      <c r="U183" s="644">
        <v>1</v>
      </c>
      <c r="V183" s="644"/>
      <c r="W183" s="644"/>
      <c r="X183" s="644"/>
      <c r="Y183" s="644"/>
      <c r="Z183" s="644"/>
      <c r="AA183" s="644"/>
      <c r="AB183" s="644">
        <v>1</v>
      </c>
      <c r="AC183" s="258">
        <v>1</v>
      </c>
      <c r="AD183" s="644"/>
      <c r="AE183" s="644"/>
      <c r="AF183" s="644"/>
      <c r="AG183" s="644"/>
      <c r="AH183" s="644">
        <v>1</v>
      </c>
      <c r="AI183" s="644"/>
      <c r="AJ183" s="644">
        <v>1</v>
      </c>
      <c r="AK183" s="644"/>
      <c r="AL183" s="167">
        <v>10</v>
      </c>
      <c r="AM183" s="185" t="s">
        <v>1237</v>
      </c>
      <c r="AN183" s="186">
        <v>42009</v>
      </c>
      <c r="AO183" s="187"/>
      <c r="AP183" s="187">
        <f t="shared" si="148"/>
        <v>13</v>
      </c>
      <c r="AQ183" s="187">
        <f t="shared" si="149"/>
        <v>13</v>
      </c>
      <c r="AR183" s="187">
        <f t="shared" si="150"/>
        <v>13</v>
      </c>
      <c r="AS183" s="187">
        <f t="shared" si="151"/>
        <v>13</v>
      </c>
      <c r="AT183" s="187">
        <f t="shared" si="152"/>
        <v>9</v>
      </c>
      <c r="AU183" s="187">
        <f t="shared" si="153"/>
        <v>9</v>
      </c>
      <c r="AV183" s="187">
        <f t="shared" si="154"/>
        <v>9</v>
      </c>
      <c r="AW183" s="187">
        <f t="shared" si="155"/>
        <v>7</v>
      </c>
      <c r="AX183" s="187">
        <f t="shared" si="156"/>
        <v>0</v>
      </c>
      <c r="AY183" s="187">
        <f t="shared" si="157"/>
        <v>0</v>
      </c>
      <c r="AZ183" s="187">
        <f t="shared" si="158"/>
        <v>7</v>
      </c>
      <c r="BA183" s="187">
        <f t="shared" si="159"/>
        <v>7</v>
      </c>
      <c r="BB183" s="187">
        <f t="shared" si="160"/>
        <v>0</v>
      </c>
      <c r="BC183" s="187">
        <f t="shared" si="161"/>
        <v>0</v>
      </c>
      <c r="BD183" s="187">
        <f t="shared" si="162"/>
        <v>0</v>
      </c>
      <c r="BE183" s="187">
        <f t="shared" si="163"/>
        <v>0</v>
      </c>
      <c r="BF183" s="187">
        <f t="shared" si="164"/>
        <v>0</v>
      </c>
      <c r="BG183" s="187">
        <f t="shared" si="165"/>
        <v>0</v>
      </c>
      <c r="BH183" s="187">
        <f t="shared" si="166"/>
        <v>0</v>
      </c>
      <c r="BI183" s="187">
        <f t="shared" si="167"/>
        <v>0</v>
      </c>
      <c r="BJ183" s="187">
        <f t="shared" si="168"/>
        <v>0</v>
      </c>
      <c r="BK183" s="187">
        <f t="shared" si="169"/>
        <v>0</v>
      </c>
      <c r="BL183" s="187">
        <f t="shared" si="170"/>
        <v>0</v>
      </c>
      <c r="BM183" s="187">
        <f t="shared" si="171"/>
        <v>0</v>
      </c>
      <c r="BN183" s="188">
        <f t="shared" si="172"/>
        <v>0</v>
      </c>
      <c r="BO183" s="187">
        <f t="shared" si="173"/>
        <v>0</v>
      </c>
      <c r="BP183" s="187">
        <f t="shared" ref="BP183:BQ183" si="582">IF(G183=1,1,0)</f>
        <v>0</v>
      </c>
      <c r="BQ183" s="187">
        <f t="shared" si="582"/>
        <v>0</v>
      </c>
      <c r="BR183" s="187">
        <f t="shared" ref="BR183:BT183" si="583">IF(K183=1,1,0)</f>
        <v>0</v>
      </c>
      <c r="BS183" s="187">
        <f t="shared" si="583"/>
        <v>0</v>
      </c>
      <c r="BT183" s="187">
        <f t="shared" si="583"/>
        <v>0</v>
      </c>
      <c r="BU183" s="187">
        <f t="shared" ref="BU183:BV183" si="584">IF(P183=1,1,0)</f>
        <v>0</v>
      </c>
      <c r="BV183" s="187">
        <f t="shared" si="584"/>
        <v>0</v>
      </c>
      <c r="BW183" s="187">
        <f t="shared" si="177"/>
        <v>0</v>
      </c>
      <c r="BX183" s="187">
        <f t="shared" si="178"/>
        <v>0</v>
      </c>
      <c r="BY183" s="187">
        <f t="shared" si="179"/>
        <v>0</v>
      </c>
      <c r="BZ183" s="187">
        <f t="shared" si="180"/>
        <v>0</v>
      </c>
      <c r="CA183" s="167">
        <f t="shared" si="181"/>
        <v>100</v>
      </c>
      <c r="CB183" s="167">
        <f t="shared" si="47"/>
        <v>98</v>
      </c>
      <c r="CC183" s="644">
        <f t="shared" si="48"/>
        <v>23</v>
      </c>
      <c r="CD183" s="644">
        <f t="shared" si="49"/>
        <v>19</v>
      </c>
      <c r="CE183" s="644">
        <f t="shared" si="50"/>
        <v>15</v>
      </c>
      <c r="CF183" s="644">
        <f t="shared" si="51"/>
        <v>15</v>
      </c>
      <c r="CG183" s="644">
        <f t="shared" si="52"/>
        <v>9</v>
      </c>
      <c r="CH183" s="644">
        <f t="shared" si="542"/>
        <v>0</v>
      </c>
      <c r="CI183" s="644">
        <f t="shared" si="54"/>
        <v>7</v>
      </c>
      <c r="CJ183" s="644">
        <f t="shared" si="55"/>
        <v>0</v>
      </c>
      <c r="CK183" s="644">
        <f t="shared" si="56"/>
        <v>5</v>
      </c>
      <c r="CL183" s="644">
        <f t="shared" si="57"/>
        <v>5</v>
      </c>
      <c r="CM183" s="644">
        <f t="shared" si="58"/>
        <v>0</v>
      </c>
      <c r="CN183" s="644">
        <f t="shared" si="59"/>
        <v>0</v>
      </c>
      <c r="CO183" s="644">
        <f t="shared" si="60"/>
        <v>3</v>
      </c>
      <c r="CP183" s="644">
        <f t="shared" si="61"/>
        <v>0</v>
      </c>
      <c r="CQ183" s="644">
        <f t="shared" si="62"/>
        <v>0</v>
      </c>
      <c r="CR183" s="644">
        <f t="shared" si="63"/>
        <v>0</v>
      </c>
      <c r="CS183" s="644">
        <f t="shared" si="64"/>
        <v>0</v>
      </c>
      <c r="CT183" s="644">
        <f t="shared" si="65"/>
        <v>0</v>
      </c>
      <c r="CU183" s="644">
        <f t="shared" si="66"/>
        <v>0</v>
      </c>
      <c r="CV183" s="644">
        <f t="shared" si="67"/>
        <v>0</v>
      </c>
      <c r="CW183" s="644">
        <f t="shared" si="68"/>
        <v>0</v>
      </c>
      <c r="CX183" s="644">
        <f t="shared" si="69"/>
        <v>0</v>
      </c>
      <c r="CY183" s="644">
        <f t="shared" si="70"/>
        <v>0</v>
      </c>
      <c r="CZ183" s="624" t="s">
        <v>983</v>
      </c>
      <c r="DA183" s="257"/>
    </row>
    <row r="184" spans="1:105">
      <c r="A184" s="260" t="s">
        <v>633</v>
      </c>
      <c r="B184" s="187"/>
      <c r="C184" s="644"/>
      <c r="D184" s="258">
        <v>1</v>
      </c>
      <c r="E184" s="644">
        <v>1</v>
      </c>
      <c r="F184" s="251">
        <v>1</v>
      </c>
      <c r="G184" s="251"/>
      <c r="H184" s="251"/>
      <c r="I184" s="251">
        <v>1</v>
      </c>
      <c r="J184" s="644"/>
      <c r="K184" s="644"/>
      <c r="L184" s="644"/>
      <c r="M184" s="644"/>
      <c r="N184" s="644"/>
      <c r="O184" s="644"/>
      <c r="P184" s="644"/>
      <c r="Q184" s="644"/>
      <c r="R184" s="644">
        <v>1</v>
      </c>
      <c r="S184" s="644"/>
      <c r="T184" s="644"/>
      <c r="U184" s="644">
        <v>1</v>
      </c>
      <c r="V184" s="644"/>
      <c r="W184" s="644"/>
      <c r="X184" s="644">
        <v>1</v>
      </c>
      <c r="Y184" s="644"/>
      <c r="Z184" s="644"/>
      <c r="AA184" s="644"/>
      <c r="AB184" s="644">
        <v>1</v>
      </c>
      <c r="AC184" s="644">
        <v>1</v>
      </c>
      <c r="AD184" s="644">
        <v>1</v>
      </c>
      <c r="AE184" s="644"/>
      <c r="AF184" s="644"/>
      <c r="AG184" s="644"/>
      <c r="AH184" s="644"/>
      <c r="AI184" s="644"/>
      <c r="AJ184" s="644"/>
      <c r="AK184" s="644"/>
      <c r="AL184" s="167">
        <v>10</v>
      </c>
      <c r="AM184" s="185" t="s">
        <v>1103</v>
      </c>
      <c r="AN184" s="186">
        <v>42008</v>
      </c>
      <c r="AO184" s="187"/>
      <c r="AP184" s="187">
        <f t="shared" si="148"/>
        <v>13</v>
      </c>
      <c r="AQ184" s="187">
        <f t="shared" si="149"/>
        <v>13</v>
      </c>
      <c r="AR184" s="187">
        <f t="shared" si="150"/>
        <v>13</v>
      </c>
      <c r="AS184" s="187">
        <f t="shared" si="151"/>
        <v>13</v>
      </c>
      <c r="AT184" s="187">
        <f t="shared" si="152"/>
        <v>9</v>
      </c>
      <c r="AU184" s="187">
        <f t="shared" si="153"/>
        <v>9</v>
      </c>
      <c r="AV184" s="187">
        <f t="shared" si="154"/>
        <v>9</v>
      </c>
      <c r="AW184" s="187">
        <f t="shared" si="155"/>
        <v>0</v>
      </c>
      <c r="AX184" s="187">
        <f t="shared" si="156"/>
        <v>7</v>
      </c>
      <c r="AY184" s="187">
        <f t="shared" si="157"/>
        <v>0</v>
      </c>
      <c r="AZ184" s="187">
        <f t="shared" si="158"/>
        <v>0</v>
      </c>
      <c r="BA184" s="187">
        <f t="shared" si="159"/>
        <v>7</v>
      </c>
      <c r="BB184" s="187">
        <f t="shared" si="160"/>
        <v>0</v>
      </c>
      <c r="BC184" s="187">
        <f t="shared" si="161"/>
        <v>0</v>
      </c>
      <c r="BD184" s="187">
        <f t="shared" si="162"/>
        <v>4</v>
      </c>
      <c r="BE184" s="187">
        <f t="shared" si="163"/>
        <v>0</v>
      </c>
      <c r="BF184" s="187">
        <f t="shared" si="164"/>
        <v>0</v>
      </c>
      <c r="BG184" s="187">
        <f t="shared" si="165"/>
        <v>0</v>
      </c>
      <c r="BH184" s="187">
        <f t="shared" si="166"/>
        <v>0</v>
      </c>
      <c r="BI184" s="187">
        <f t="shared" si="167"/>
        <v>0</v>
      </c>
      <c r="BJ184" s="187">
        <f t="shared" si="168"/>
        <v>0</v>
      </c>
      <c r="BK184" s="187">
        <f t="shared" si="169"/>
        <v>0</v>
      </c>
      <c r="BL184" s="187">
        <f t="shared" si="170"/>
        <v>0</v>
      </c>
      <c r="BM184" s="187">
        <f t="shared" si="171"/>
        <v>0</v>
      </c>
      <c r="BN184" s="188">
        <f t="shared" si="172"/>
        <v>0</v>
      </c>
      <c r="BO184" s="187">
        <f t="shared" si="173"/>
        <v>0</v>
      </c>
      <c r="BP184" s="187">
        <f t="shared" ref="BP184:BQ184" si="585">IF(G184=1,1,0)</f>
        <v>0</v>
      </c>
      <c r="BQ184" s="187">
        <f t="shared" si="585"/>
        <v>0</v>
      </c>
      <c r="BR184" s="187">
        <f t="shared" ref="BR184:BT184" si="586">IF(K184=1,1,0)</f>
        <v>0</v>
      </c>
      <c r="BS184" s="187">
        <f t="shared" si="586"/>
        <v>0</v>
      </c>
      <c r="BT184" s="187">
        <f t="shared" si="586"/>
        <v>0</v>
      </c>
      <c r="BU184" s="187">
        <f t="shared" ref="BU184:BV184" si="587">IF(P184=1,1,0)</f>
        <v>0</v>
      </c>
      <c r="BV184" s="187">
        <f t="shared" si="587"/>
        <v>0</v>
      </c>
      <c r="BW184" s="187">
        <f t="shared" si="177"/>
        <v>0</v>
      </c>
      <c r="BX184" s="187">
        <f t="shared" si="178"/>
        <v>0</v>
      </c>
      <c r="BY184" s="187">
        <f t="shared" si="179"/>
        <v>0</v>
      </c>
      <c r="BZ184" s="187">
        <f t="shared" si="180"/>
        <v>0</v>
      </c>
      <c r="CA184" s="167">
        <f t="shared" si="181"/>
        <v>97</v>
      </c>
      <c r="CB184" s="167">
        <f t="shared" si="47"/>
        <v>90</v>
      </c>
      <c r="CC184" s="644">
        <f t="shared" si="48"/>
        <v>23</v>
      </c>
      <c r="CD184" s="644">
        <f t="shared" si="49"/>
        <v>19</v>
      </c>
      <c r="CE184" s="644">
        <f t="shared" si="50"/>
        <v>0</v>
      </c>
      <c r="CF184" s="644">
        <f t="shared" si="51"/>
        <v>15</v>
      </c>
      <c r="CG184" s="644">
        <f t="shared" si="52"/>
        <v>9</v>
      </c>
      <c r="CH184" s="644">
        <f t="shared" si="542"/>
        <v>7</v>
      </c>
      <c r="CI184" s="644">
        <f t="shared" si="54"/>
        <v>7</v>
      </c>
      <c r="CJ184" s="644">
        <f t="shared" si="55"/>
        <v>5</v>
      </c>
      <c r="CK184" s="644">
        <f t="shared" si="56"/>
        <v>5</v>
      </c>
      <c r="CL184" s="644">
        <f t="shared" si="57"/>
        <v>5</v>
      </c>
      <c r="CM184" s="644">
        <f t="shared" si="58"/>
        <v>0</v>
      </c>
      <c r="CN184" s="644">
        <f t="shared" si="59"/>
        <v>0</v>
      </c>
      <c r="CO184" s="644">
        <f t="shared" si="60"/>
        <v>0</v>
      </c>
      <c r="CP184" s="644">
        <f t="shared" si="61"/>
        <v>0</v>
      </c>
      <c r="CQ184" s="644">
        <f t="shared" si="62"/>
        <v>0</v>
      </c>
      <c r="CR184" s="644">
        <f t="shared" si="63"/>
        <v>0</v>
      </c>
      <c r="CS184" s="644">
        <f t="shared" si="64"/>
        <v>0</v>
      </c>
      <c r="CT184" s="644">
        <f t="shared" si="65"/>
        <v>0</v>
      </c>
      <c r="CU184" s="644">
        <f t="shared" si="66"/>
        <v>1</v>
      </c>
      <c r="CV184" s="644">
        <f t="shared" si="67"/>
        <v>0</v>
      </c>
      <c r="CW184" s="644">
        <f t="shared" si="68"/>
        <v>0</v>
      </c>
      <c r="CX184" s="644">
        <f t="shared" si="69"/>
        <v>0</v>
      </c>
      <c r="CY184" s="644">
        <f t="shared" si="70"/>
        <v>0</v>
      </c>
      <c r="CZ184" s="624" t="s">
        <v>743</v>
      </c>
      <c r="DA184" s="257"/>
    </row>
    <row r="185" spans="1:105">
      <c r="A185" s="260" t="s">
        <v>1238</v>
      </c>
      <c r="B185" s="187"/>
      <c r="C185" s="644"/>
      <c r="D185" s="644"/>
      <c r="E185" s="644"/>
      <c r="F185" s="251"/>
      <c r="G185" s="251"/>
      <c r="H185" s="251"/>
      <c r="I185" s="251"/>
      <c r="J185" s="644"/>
      <c r="K185" s="644"/>
      <c r="L185" s="644"/>
      <c r="M185" s="644"/>
      <c r="N185" s="644"/>
      <c r="O185" s="644"/>
      <c r="P185" s="644"/>
      <c r="Q185" s="644"/>
      <c r="R185" s="644"/>
      <c r="S185" s="644"/>
      <c r="T185" s="644"/>
      <c r="U185" s="644"/>
      <c r="V185" s="644"/>
      <c r="W185" s="644"/>
      <c r="X185" s="644"/>
      <c r="Y185" s="644"/>
      <c r="Z185" s="644"/>
      <c r="AA185" s="644"/>
      <c r="AB185" s="644"/>
      <c r="AC185" s="644">
        <v>1</v>
      </c>
      <c r="AD185" s="644"/>
      <c r="AE185" s="644"/>
      <c r="AF185" s="644"/>
      <c r="AG185" s="644"/>
      <c r="AH185" s="644"/>
      <c r="AI185" s="644"/>
      <c r="AJ185" s="644">
        <v>1</v>
      </c>
      <c r="AK185" s="644"/>
      <c r="AL185" s="167">
        <v>2</v>
      </c>
      <c r="AM185" s="185" t="s">
        <v>1239</v>
      </c>
      <c r="AN185" s="192">
        <v>42009</v>
      </c>
      <c r="AO185" s="187"/>
      <c r="AP185" s="187">
        <f t="shared" si="148"/>
        <v>0</v>
      </c>
      <c r="AQ185" s="187">
        <f t="shared" si="149"/>
        <v>0</v>
      </c>
      <c r="AR185" s="187">
        <f t="shared" si="150"/>
        <v>0</v>
      </c>
      <c r="AS185" s="187">
        <f t="shared" si="151"/>
        <v>0</v>
      </c>
      <c r="AT185" s="187">
        <f t="shared" si="152"/>
        <v>0</v>
      </c>
      <c r="AU185" s="187">
        <f t="shared" si="153"/>
        <v>0</v>
      </c>
      <c r="AV185" s="187">
        <f t="shared" si="154"/>
        <v>9</v>
      </c>
      <c r="AW185" s="187">
        <f t="shared" si="155"/>
        <v>7</v>
      </c>
      <c r="AX185" s="187">
        <f t="shared" si="156"/>
        <v>0</v>
      </c>
      <c r="AY185" s="187">
        <f t="shared" si="157"/>
        <v>0</v>
      </c>
      <c r="AZ185" s="187">
        <f t="shared" si="158"/>
        <v>0</v>
      </c>
      <c r="BA185" s="187">
        <f t="shared" si="159"/>
        <v>0</v>
      </c>
      <c r="BB185" s="187">
        <f t="shared" si="160"/>
        <v>0</v>
      </c>
      <c r="BC185" s="187">
        <f t="shared" si="161"/>
        <v>0</v>
      </c>
      <c r="BD185" s="187">
        <f t="shared" si="162"/>
        <v>0</v>
      </c>
      <c r="BE185" s="187">
        <f t="shared" si="163"/>
        <v>0</v>
      </c>
      <c r="BF185" s="187">
        <f t="shared" si="164"/>
        <v>0</v>
      </c>
      <c r="BG185" s="187">
        <f t="shared" si="165"/>
        <v>0</v>
      </c>
      <c r="BH185" s="187">
        <f t="shared" si="166"/>
        <v>0</v>
      </c>
      <c r="BI185" s="187">
        <f t="shared" si="167"/>
        <v>0</v>
      </c>
      <c r="BJ185" s="187">
        <f t="shared" si="168"/>
        <v>0</v>
      </c>
      <c r="BK185" s="187">
        <f t="shared" si="169"/>
        <v>0</v>
      </c>
      <c r="BL185" s="187">
        <f t="shared" si="170"/>
        <v>0</v>
      </c>
      <c r="BM185" s="187">
        <f t="shared" si="171"/>
        <v>0</v>
      </c>
      <c r="BN185" s="188">
        <f t="shared" si="172"/>
        <v>8</v>
      </c>
      <c r="BO185" s="187">
        <f t="shared" si="173"/>
        <v>0</v>
      </c>
      <c r="BP185" s="187">
        <f t="shared" ref="BP185:BQ185" si="588">IF(G185=1,1,0)</f>
        <v>0</v>
      </c>
      <c r="BQ185" s="187">
        <f t="shared" si="588"/>
        <v>0</v>
      </c>
      <c r="BR185" s="187">
        <f t="shared" ref="BR185:BT185" si="589">IF(K185=1,1,0)</f>
        <v>0</v>
      </c>
      <c r="BS185" s="187">
        <f t="shared" si="589"/>
        <v>0</v>
      </c>
      <c r="BT185" s="187">
        <f t="shared" si="589"/>
        <v>0</v>
      </c>
      <c r="BU185" s="187">
        <f t="shared" ref="BU185:BV185" si="590">IF(P185=1,1,0)</f>
        <v>0</v>
      </c>
      <c r="BV185" s="187">
        <f t="shared" si="590"/>
        <v>0</v>
      </c>
      <c r="BW185" s="187">
        <f t="shared" si="177"/>
        <v>0</v>
      </c>
      <c r="BX185" s="187">
        <f t="shared" si="178"/>
        <v>0</v>
      </c>
      <c r="BY185" s="187">
        <f t="shared" si="179"/>
        <v>8</v>
      </c>
      <c r="BZ185" s="187">
        <f t="shared" si="180"/>
        <v>-64</v>
      </c>
      <c r="CA185" s="167">
        <f t="shared" si="181"/>
        <v>-48</v>
      </c>
      <c r="CB185" s="167">
        <f t="shared" si="47"/>
        <v>17</v>
      </c>
      <c r="CC185" s="644">
        <f t="shared" si="48"/>
        <v>0</v>
      </c>
      <c r="CD185" s="644">
        <f t="shared" si="49"/>
        <v>0</v>
      </c>
      <c r="CE185" s="644">
        <f t="shared" si="50"/>
        <v>0</v>
      </c>
      <c r="CF185" s="644">
        <f t="shared" si="51"/>
        <v>0</v>
      </c>
      <c r="CG185" s="644">
        <f t="shared" si="52"/>
        <v>0</v>
      </c>
      <c r="CH185" s="644">
        <f t="shared" si="542"/>
        <v>7</v>
      </c>
      <c r="CI185" s="644">
        <f t="shared" si="54"/>
        <v>7</v>
      </c>
      <c r="CJ185" s="644">
        <f t="shared" si="55"/>
        <v>0</v>
      </c>
      <c r="CK185" s="644">
        <f t="shared" si="56"/>
        <v>0</v>
      </c>
      <c r="CL185" s="644">
        <f t="shared" si="57"/>
        <v>0</v>
      </c>
      <c r="CM185" s="644">
        <f t="shared" si="58"/>
        <v>0</v>
      </c>
      <c r="CN185" s="644">
        <f t="shared" si="59"/>
        <v>0</v>
      </c>
      <c r="CO185" s="644">
        <f t="shared" si="60"/>
        <v>3</v>
      </c>
      <c r="CP185" s="644">
        <f t="shared" si="61"/>
        <v>0</v>
      </c>
      <c r="CQ185" s="644">
        <f t="shared" si="62"/>
        <v>0</v>
      </c>
      <c r="CR185" s="644">
        <f t="shared" si="63"/>
        <v>0</v>
      </c>
      <c r="CS185" s="644">
        <f t="shared" si="64"/>
        <v>0</v>
      </c>
      <c r="CT185" s="644">
        <f t="shared" si="65"/>
        <v>0</v>
      </c>
      <c r="CU185" s="644">
        <f t="shared" si="66"/>
        <v>0</v>
      </c>
      <c r="CV185" s="644">
        <f t="shared" si="67"/>
        <v>0</v>
      </c>
      <c r="CW185" s="644">
        <f t="shared" si="68"/>
        <v>0</v>
      </c>
      <c r="CX185" s="644">
        <f t="shared" si="69"/>
        <v>0</v>
      </c>
      <c r="CY185" s="644">
        <f t="shared" si="70"/>
        <v>0</v>
      </c>
      <c r="CZ185" s="624" t="s">
        <v>756</v>
      </c>
      <c r="DA185" s="257"/>
    </row>
    <row r="186" spans="1:105">
      <c r="A186" s="260" t="s">
        <v>342</v>
      </c>
      <c r="B186" s="187"/>
      <c r="C186" s="644"/>
      <c r="D186" s="644">
        <v>1</v>
      </c>
      <c r="E186" s="644">
        <v>1</v>
      </c>
      <c r="F186" s="251"/>
      <c r="G186" s="251"/>
      <c r="H186" s="251"/>
      <c r="I186" s="251"/>
      <c r="J186" s="644"/>
      <c r="K186" s="644"/>
      <c r="L186" s="644"/>
      <c r="M186" s="644"/>
      <c r="N186" s="644"/>
      <c r="O186" s="644"/>
      <c r="P186" s="644"/>
      <c r="Q186" s="644"/>
      <c r="R186" s="644">
        <v>1</v>
      </c>
      <c r="S186" s="644"/>
      <c r="T186" s="644"/>
      <c r="U186" s="644">
        <v>1</v>
      </c>
      <c r="V186" s="644"/>
      <c r="W186" s="644"/>
      <c r="X186" s="644"/>
      <c r="Y186" s="644"/>
      <c r="Z186" s="258">
        <v>1</v>
      </c>
      <c r="AA186" s="644"/>
      <c r="AB186" s="644">
        <v>1</v>
      </c>
      <c r="AC186" s="644">
        <v>1</v>
      </c>
      <c r="AD186" s="644">
        <v>1</v>
      </c>
      <c r="AE186" s="644"/>
      <c r="AF186" s="644"/>
      <c r="AG186" s="644"/>
      <c r="AH186" s="644">
        <v>1</v>
      </c>
      <c r="AI186" s="644"/>
      <c r="AJ186" s="644">
        <v>1</v>
      </c>
      <c r="AK186" s="644"/>
      <c r="AL186" s="167">
        <v>10</v>
      </c>
      <c r="AM186" s="185" t="s">
        <v>1240</v>
      </c>
      <c r="AN186" s="186">
        <v>41995</v>
      </c>
      <c r="AO186" s="187"/>
      <c r="AP186" s="187">
        <f t="shared" si="148"/>
        <v>0</v>
      </c>
      <c r="AQ186" s="187">
        <f t="shared" si="149"/>
        <v>0</v>
      </c>
      <c r="AR186" s="187">
        <f t="shared" si="150"/>
        <v>13</v>
      </c>
      <c r="AS186" s="187">
        <f t="shared" si="151"/>
        <v>13</v>
      </c>
      <c r="AT186" s="187">
        <f t="shared" si="152"/>
        <v>9</v>
      </c>
      <c r="AU186" s="187">
        <f t="shared" si="153"/>
        <v>9</v>
      </c>
      <c r="AV186" s="187">
        <f t="shared" si="154"/>
        <v>9</v>
      </c>
      <c r="AW186" s="187">
        <f t="shared" si="155"/>
        <v>7</v>
      </c>
      <c r="AX186" s="187">
        <f t="shared" si="156"/>
        <v>7</v>
      </c>
      <c r="AY186" s="187">
        <f t="shared" si="157"/>
        <v>7</v>
      </c>
      <c r="AZ186" s="187">
        <f t="shared" si="158"/>
        <v>7</v>
      </c>
      <c r="BA186" s="187">
        <f t="shared" si="159"/>
        <v>7</v>
      </c>
      <c r="BB186" s="187">
        <f t="shared" si="160"/>
        <v>0</v>
      </c>
      <c r="BC186" s="187">
        <f t="shared" si="161"/>
        <v>0</v>
      </c>
      <c r="BD186" s="187">
        <f t="shared" si="162"/>
        <v>0</v>
      </c>
      <c r="BE186" s="187">
        <f t="shared" si="163"/>
        <v>0</v>
      </c>
      <c r="BF186" s="187">
        <f t="shared" si="164"/>
        <v>0</v>
      </c>
      <c r="BG186" s="187">
        <f t="shared" si="165"/>
        <v>0</v>
      </c>
      <c r="BH186" s="187">
        <f t="shared" si="166"/>
        <v>0</v>
      </c>
      <c r="BI186" s="187">
        <f t="shared" si="167"/>
        <v>0</v>
      </c>
      <c r="BJ186" s="187">
        <f t="shared" si="168"/>
        <v>0</v>
      </c>
      <c r="BK186" s="187">
        <f t="shared" si="169"/>
        <v>0</v>
      </c>
      <c r="BL186" s="187">
        <f t="shared" si="170"/>
        <v>0</v>
      </c>
      <c r="BM186" s="187">
        <f t="shared" si="171"/>
        <v>0</v>
      </c>
      <c r="BN186" s="188">
        <f t="shared" si="172"/>
        <v>0</v>
      </c>
      <c r="BO186" s="187">
        <f t="shared" si="173"/>
        <v>0</v>
      </c>
      <c r="BP186" s="187">
        <f t="shared" ref="BP186:BQ186" si="591">IF(G186=1,1,0)</f>
        <v>0</v>
      </c>
      <c r="BQ186" s="187">
        <f t="shared" si="591"/>
        <v>0</v>
      </c>
      <c r="BR186" s="187">
        <f t="shared" ref="BR186:BT186" si="592">IF(K186=1,1,0)</f>
        <v>0</v>
      </c>
      <c r="BS186" s="187">
        <f t="shared" si="592"/>
        <v>0</v>
      </c>
      <c r="BT186" s="187">
        <f t="shared" si="592"/>
        <v>0</v>
      </c>
      <c r="BU186" s="187">
        <f t="shared" ref="BU186:BV186" si="593">IF(P186=1,1,0)</f>
        <v>0</v>
      </c>
      <c r="BV186" s="187">
        <f t="shared" si="593"/>
        <v>0</v>
      </c>
      <c r="BW186" s="187">
        <f t="shared" si="177"/>
        <v>0</v>
      </c>
      <c r="BX186" s="187">
        <f t="shared" si="178"/>
        <v>0</v>
      </c>
      <c r="BY186" s="187">
        <f t="shared" si="179"/>
        <v>0</v>
      </c>
      <c r="BZ186" s="187">
        <f t="shared" si="180"/>
        <v>0</v>
      </c>
      <c r="CA186" s="167">
        <f t="shared" si="181"/>
        <v>88</v>
      </c>
      <c r="CB186" s="167">
        <f t="shared" si="47"/>
        <v>96</v>
      </c>
      <c r="CC186" s="644">
        <f t="shared" si="48"/>
        <v>23</v>
      </c>
      <c r="CD186" s="644">
        <f t="shared" si="49"/>
        <v>19</v>
      </c>
      <c r="CE186" s="644">
        <f t="shared" si="50"/>
        <v>15</v>
      </c>
      <c r="CF186" s="644">
        <f t="shared" si="51"/>
        <v>15</v>
      </c>
      <c r="CG186" s="644">
        <f t="shared" si="52"/>
        <v>9</v>
      </c>
      <c r="CH186" s="644">
        <f>IF("#REF!"=1,7,0)</f>
        <v>0</v>
      </c>
      <c r="CI186" s="644">
        <f t="shared" si="54"/>
        <v>7</v>
      </c>
      <c r="CJ186" s="644">
        <f t="shared" si="55"/>
        <v>5</v>
      </c>
      <c r="CK186" s="644">
        <f t="shared" si="56"/>
        <v>0</v>
      </c>
      <c r="CL186" s="644">
        <f t="shared" si="57"/>
        <v>0</v>
      </c>
      <c r="CM186" s="644">
        <f t="shared" si="58"/>
        <v>0</v>
      </c>
      <c r="CN186" s="644">
        <f t="shared" si="59"/>
        <v>0</v>
      </c>
      <c r="CO186" s="644">
        <f t="shared" si="60"/>
        <v>3</v>
      </c>
      <c r="CP186" s="644">
        <f t="shared" si="61"/>
        <v>3</v>
      </c>
      <c r="CQ186" s="644">
        <f t="shared" si="62"/>
        <v>0</v>
      </c>
      <c r="CR186" s="644">
        <f t="shared" si="63"/>
        <v>0</v>
      </c>
      <c r="CS186" s="644">
        <f t="shared" si="64"/>
        <v>0</v>
      </c>
      <c r="CT186" s="644">
        <f t="shared" si="65"/>
        <v>0</v>
      </c>
      <c r="CU186" s="644">
        <f t="shared" si="66"/>
        <v>0</v>
      </c>
      <c r="CV186" s="644">
        <f t="shared" si="67"/>
        <v>0</v>
      </c>
      <c r="CW186" s="644">
        <f t="shared" si="68"/>
        <v>0</v>
      </c>
      <c r="CX186" s="644">
        <f t="shared" si="69"/>
        <v>0</v>
      </c>
      <c r="CY186" s="644">
        <f t="shared" si="70"/>
        <v>0</v>
      </c>
      <c r="CZ186" s="624" t="s">
        <v>814</v>
      </c>
      <c r="DA186" s="257"/>
    </row>
    <row r="187" spans="1:105">
      <c r="A187" s="269" t="str">
        <f>HYPERLINK("http://bit.ly/1CJv758", "C. Trent Rosecrans")</f>
        <v>C. Trent Rosecrans</v>
      </c>
      <c r="B187" s="187"/>
      <c r="C187" s="644"/>
      <c r="D187" s="256">
        <v>1</v>
      </c>
      <c r="E187" s="255"/>
      <c r="F187" s="256">
        <v>1</v>
      </c>
      <c r="G187" s="251"/>
      <c r="H187" s="251"/>
      <c r="I187" s="256">
        <v>1</v>
      </c>
      <c r="J187" s="644"/>
      <c r="K187" s="644"/>
      <c r="L187" s="644"/>
      <c r="M187" s="644"/>
      <c r="N187" s="644"/>
      <c r="O187" s="644"/>
      <c r="P187" s="644"/>
      <c r="Q187" s="644"/>
      <c r="R187" s="644">
        <v>1</v>
      </c>
      <c r="S187" s="644"/>
      <c r="T187" s="644"/>
      <c r="U187" s="644">
        <v>1</v>
      </c>
      <c r="V187" s="644"/>
      <c r="W187" s="644"/>
      <c r="X187" s="644"/>
      <c r="Y187" s="644"/>
      <c r="Z187" s="256">
        <v>1</v>
      </c>
      <c r="AA187" s="251"/>
      <c r="AB187" s="256">
        <v>1</v>
      </c>
      <c r="AC187" s="256">
        <v>1</v>
      </c>
      <c r="AD187" s="256">
        <v>1</v>
      </c>
      <c r="AE187" s="644"/>
      <c r="AF187" s="644"/>
      <c r="AG187" s="644"/>
      <c r="AH187" s="644"/>
      <c r="AI187" s="644"/>
      <c r="AJ187" s="644"/>
      <c r="AK187" s="644">
        <v>1</v>
      </c>
      <c r="AL187" s="167">
        <v>10</v>
      </c>
      <c r="AM187" s="185" t="s">
        <v>1241</v>
      </c>
      <c r="AN187" s="186">
        <v>41997</v>
      </c>
      <c r="AO187" s="187"/>
      <c r="AP187" s="187">
        <f t="shared" si="148"/>
        <v>13</v>
      </c>
      <c r="AQ187" s="187">
        <f t="shared" si="149"/>
        <v>13</v>
      </c>
      <c r="AR187" s="187">
        <f t="shared" si="150"/>
        <v>13</v>
      </c>
      <c r="AS187" s="187">
        <f t="shared" si="151"/>
        <v>13</v>
      </c>
      <c r="AT187" s="187">
        <f t="shared" si="152"/>
        <v>9</v>
      </c>
      <c r="AU187" s="187">
        <f t="shared" si="153"/>
        <v>9</v>
      </c>
      <c r="AV187" s="187">
        <f t="shared" si="154"/>
        <v>9</v>
      </c>
      <c r="AW187" s="187">
        <f t="shared" si="155"/>
        <v>0</v>
      </c>
      <c r="AX187" s="187">
        <f t="shared" si="156"/>
        <v>7</v>
      </c>
      <c r="AY187" s="187">
        <f t="shared" si="157"/>
        <v>7</v>
      </c>
      <c r="AZ187" s="187">
        <f t="shared" si="158"/>
        <v>0</v>
      </c>
      <c r="BA187" s="187">
        <f t="shared" si="159"/>
        <v>0</v>
      </c>
      <c r="BB187" s="187">
        <f t="shared" si="160"/>
        <v>4</v>
      </c>
      <c r="BC187" s="187">
        <f t="shared" si="161"/>
        <v>0</v>
      </c>
      <c r="BD187" s="187">
        <f t="shared" si="162"/>
        <v>0</v>
      </c>
      <c r="BE187" s="187">
        <f t="shared" si="163"/>
        <v>0</v>
      </c>
      <c r="BF187" s="187">
        <f t="shared" si="164"/>
        <v>0</v>
      </c>
      <c r="BG187" s="187">
        <f t="shared" si="165"/>
        <v>0</v>
      </c>
      <c r="BH187" s="187">
        <f t="shared" si="166"/>
        <v>0</v>
      </c>
      <c r="BI187" s="187">
        <f t="shared" si="167"/>
        <v>0</v>
      </c>
      <c r="BJ187" s="187">
        <f t="shared" si="168"/>
        <v>0</v>
      </c>
      <c r="BK187" s="187">
        <f t="shared" si="169"/>
        <v>0</v>
      </c>
      <c r="BL187" s="187">
        <f t="shared" si="170"/>
        <v>0</v>
      </c>
      <c r="BM187" s="187">
        <f t="shared" si="171"/>
        <v>0</v>
      </c>
      <c r="BN187" s="188">
        <f t="shared" si="172"/>
        <v>0</v>
      </c>
      <c r="BO187" s="187">
        <f t="shared" si="173"/>
        <v>0</v>
      </c>
      <c r="BP187" s="187">
        <f t="shared" ref="BP187:BQ187" si="594">IF(G187=1,1,0)</f>
        <v>0</v>
      </c>
      <c r="BQ187" s="187">
        <f t="shared" si="594"/>
        <v>0</v>
      </c>
      <c r="BR187" s="187">
        <f t="shared" ref="BR187:BT187" si="595">IF(K187=1,1,0)</f>
        <v>0</v>
      </c>
      <c r="BS187" s="187">
        <f t="shared" si="595"/>
        <v>0</v>
      </c>
      <c r="BT187" s="187">
        <f t="shared" si="595"/>
        <v>0</v>
      </c>
      <c r="BU187" s="187">
        <f t="shared" ref="BU187:BV187" si="596">IF(P187=1,1,0)</f>
        <v>0</v>
      </c>
      <c r="BV187" s="187">
        <f t="shared" si="596"/>
        <v>0</v>
      </c>
      <c r="BW187" s="187">
        <f t="shared" si="177"/>
        <v>0</v>
      </c>
      <c r="BX187" s="187">
        <f t="shared" si="178"/>
        <v>0</v>
      </c>
      <c r="BY187" s="187">
        <f t="shared" si="179"/>
        <v>0</v>
      </c>
      <c r="BZ187" s="187">
        <f t="shared" si="180"/>
        <v>0</v>
      </c>
      <c r="CA187" s="167">
        <f t="shared" si="181"/>
        <v>97</v>
      </c>
      <c r="CB187" s="167">
        <f t="shared" si="47"/>
        <v>80</v>
      </c>
      <c r="CC187" s="644">
        <f t="shared" si="48"/>
        <v>23</v>
      </c>
      <c r="CD187" s="644">
        <f t="shared" si="49"/>
        <v>19</v>
      </c>
      <c r="CE187" s="644">
        <f t="shared" si="50"/>
        <v>0</v>
      </c>
      <c r="CF187" s="644">
        <f t="shared" si="51"/>
        <v>0</v>
      </c>
      <c r="CG187" s="644">
        <f t="shared" si="52"/>
        <v>9</v>
      </c>
      <c r="CH187" s="644">
        <f t="shared" ref="CH187:CH222" si="597">IF(D169=1,7,0)</f>
        <v>7</v>
      </c>
      <c r="CI187" s="644">
        <f t="shared" si="54"/>
        <v>7</v>
      </c>
      <c r="CJ187" s="644">
        <f t="shared" si="55"/>
        <v>5</v>
      </c>
      <c r="CK187" s="644">
        <f t="shared" si="56"/>
        <v>5</v>
      </c>
      <c r="CL187" s="644">
        <f t="shared" si="57"/>
        <v>5</v>
      </c>
      <c r="CM187" s="644">
        <f t="shared" si="58"/>
        <v>0</v>
      </c>
      <c r="CN187" s="644">
        <f t="shared" si="59"/>
        <v>0</v>
      </c>
      <c r="CO187" s="644">
        <f t="shared" si="60"/>
        <v>0</v>
      </c>
      <c r="CP187" s="644">
        <f t="shared" si="61"/>
        <v>3</v>
      </c>
      <c r="CQ187" s="644">
        <f t="shared" si="62"/>
        <v>0</v>
      </c>
      <c r="CR187" s="644">
        <f t="shared" si="63"/>
        <v>0</v>
      </c>
      <c r="CS187" s="644">
        <f t="shared" si="64"/>
        <v>2</v>
      </c>
      <c r="CT187" s="644">
        <f t="shared" si="65"/>
        <v>0</v>
      </c>
      <c r="CU187" s="644">
        <f t="shared" si="66"/>
        <v>0</v>
      </c>
      <c r="CV187" s="644">
        <f t="shared" si="67"/>
        <v>0</v>
      </c>
      <c r="CW187" s="644">
        <f t="shared" si="68"/>
        <v>0</v>
      </c>
      <c r="CX187" s="644">
        <f t="shared" si="69"/>
        <v>0</v>
      </c>
      <c r="CY187" s="644">
        <f t="shared" si="70"/>
        <v>0</v>
      </c>
      <c r="CZ187" s="624" t="s">
        <v>1126</v>
      </c>
      <c r="DA187" s="257"/>
    </row>
    <row r="188" spans="1:105">
      <c r="A188" s="260" t="s">
        <v>346</v>
      </c>
      <c r="B188" s="187"/>
      <c r="C188" s="644"/>
      <c r="D188" s="644">
        <v>1</v>
      </c>
      <c r="E188" s="644">
        <v>1</v>
      </c>
      <c r="F188" s="251"/>
      <c r="G188" s="251"/>
      <c r="H188" s="251"/>
      <c r="I188" s="251"/>
      <c r="J188" s="644"/>
      <c r="K188" s="644"/>
      <c r="L188" s="644"/>
      <c r="M188" s="644"/>
      <c r="N188" s="644"/>
      <c r="O188" s="644"/>
      <c r="P188" s="644"/>
      <c r="Q188" s="644"/>
      <c r="R188" s="644">
        <v>1</v>
      </c>
      <c r="S188" s="644"/>
      <c r="T188" s="644">
        <v>1</v>
      </c>
      <c r="U188" s="644">
        <v>1</v>
      </c>
      <c r="V188" s="644"/>
      <c r="W188" s="644"/>
      <c r="X188" s="644"/>
      <c r="Y188" s="644"/>
      <c r="Z188" s="644">
        <v>1</v>
      </c>
      <c r="AA188" s="644"/>
      <c r="AB188" s="644">
        <v>1</v>
      </c>
      <c r="AC188" s="644">
        <v>1</v>
      </c>
      <c r="AD188" s="644">
        <v>1</v>
      </c>
      <c r="AE188" s="644"/>
      <c r="AF188" s="644"/>
      <c r="AG188" s="644"/>
      <c r="AH188" s="644">
        <v>1</v>
      </c>
      <c r="AI188" s="644"/>
      <c r="AJ188" s="644"/>
      <c r="AK188" s="644"/>
      <c r="AL188" s="167">
        <v>10</v>
      </c>
      <c r="AM188" s="185" t="s">
        <v>1242</v>
      </c>
      <c r="AN188" s="186">
        <v>41994</v>
      </c>
      <c r="AO188" s="187"/>
      <c r="AP188" s="187">
        <f t="shared" si="148"/>
        <v>0</v>
      </c>
      <c r="AQ188" s="187">
        <f t="shared" si="149"/>
        <v>0</v>
      </c>
      <c r="AR188" s="187">
        <f t="shared" si="150"/>
        <v>13</v>
      </c>
      <c r="AS188" s="187">
        <f t="shared" si="151"/>
        <v>13</v>
      </c>
      <c r="AT188" s="187">
        <f t="shared" si="152"/>
        <v>9</v>
      </c>
      <c r="AU188" s="187">
        <f t="shared" si="153"/>
        <v>9</v>
      </c>
      <c r="AV188" s="187">
        <f t="shared" si="154"/>
        <v>9</v>
      </c>
      <c r="AW188" s="187">
        <f t="shared" si="155"/>
        <v>0</v>
      </c>
      <c r="AX188" s="187">
        <f t="shared" si="156"/>
        <v>7</v>
      </c>
      <c r="AY188" s="187">
        <f t="shared" si="157"/>
        <v>7</v>
      </c>
      <c r="AZ188" s="187">
        <f t="shared" si="158"/>
        <v>7</v>
      </c>
      <c r="BA188" s="187">
        <f t="shared" si="159"/>
        <v>7</v>
      </c>
      <c r="BB188" s="187">
        <f t="shared" si="160"/>
        <v>0</v>
      </c>
      <c r="BC188" s="187">
        <f t="shared" si="161"/>
        <v>4</v>
      </c>
      <c r="BD188" s="187">
        <f t="shared" si="162"/>
        <v>0</v>
      </c>
      <c r="BE188" s="187">
        <f t="shared" si="163"/>
        <v>0</v>
      </c>
      <c r="BF188" s="187">
        <f t="shared" si="164"/>
        <v>0</v>
      </c>
      <c r="BG188" s="187">
        <f t="shared" si="165"/>
        <v>0</v>
      </c>
      <c r="BH188" s="187">
        <f t="shared" si="166"/>
        <v>0</v>
      </c>
      <c r="BI188" s="187">
        <f t="shared" si="167"/>
        <v>0</v>
      </c>
      <c r="BJ188" s="187">
        <f t="shared" si="168"/>
        <v>0</v>
      </c>
      <c r="BK188" s="187">
        <f t="shared" si="169"/>
        <v>0</v>
      </c>
      <c r="BL188" s="187">
        <f t="shared" si="170"/>
        <v>0</v>
      </c>
      <c r="BM188" s="187">
        <f t="shared" si="171"/>
        <v>0</v>
      </c>
      <c r="BN188" s="188">
        <f t="shared" si="172"/>
        <v>0</v>
      </c>
      <c r="BO188" s="187">
        <f t="shared" si="173"/>
        <v>0</v>
      </c>
      <c r="BP188" s="187">
        <f t="shared" ref="BP188:BQ188" si="598">IF(G188=1,1,0)</f>
        <v>0</v>
      </c>
      <c r="BQ188" s="187">
        <f t="shared" si="598"/>
        <v>0</v>
      </c>
      <c r="BR188" s="187">
        <f t="shared" ref="BR188:BT188" si="599">IF(K188=1,1,0)</f>
        <v>0</v>
      </c>
      <c r="BS188" s="187">
        <f t="shared" si="599"/>
        <v>0</v>
      </c>
      <c r="BT188" s="187">
        <f t="shared" si="599"/>
        <v>0</v>
      </c>
      <c r="BU188" s="187">
        <f t="shared" ref="BU188:BV188" si="600">IF(P188=1,1,0)</f>
        <v>0</v>
      </c>
      <c r="BV188" s="187">
        <f t="shared" si="600"/>
        <v>0</v>
      </c>
      <c r="BW188" s="187">
        <f t="shared" si="177"/>
        <v>0</v>
      </c>
      <c r="BX188" s="187">
        <f t="shared" si="178"/>
        <v>0</v>
      </c>
      <c r="BY188" s="187">
        <f t="shared" si="179"/>
        <v>0</v>
      </c>
      <c r="BZ188" s="187">
        <f t="shared" si="180"/>
        <v>0</v>
      </c>
      <c r="CA188" s="167">
        <f t="shared" si="181"/>
        <v>85</v>
      </c>
      <c r="CB188" s="167">
        <f t="shared" si="47"/>
        <v>96</v>
      </c>
      <c r="CC188" s="644">
        <f t="shared" si="48"/>
        <v>23</v>
      </c>
      <c r="CD188" s="644">
        <f t="shared" si="49"/>
        <v>19</v>
      </c>
      <c r="CE188" s="644">
        <f t="shared" si="50"/>
        <v>15</v>
      </c>
      <c r="CF188" s="644">
        <f t="shared" si="51"/>
        <v>15</v>
      </c>
      <c r="CG188" s="644">
        <f t="shared" si="52"/>
        <v>9</v>
      </c>
      <c r="CH188" s="644">
        <f t="shared" si="597"/>
        <v>0</v>
      </c>
      <c r="CI188" s="644">
        <f t="shared" si="54"/>
        <v>7</v>
      </c>
      <c r="CJ188" s="644">
        <f t="shared" si="55"/>
        <v>5</v>
      </c>
      <c r="CK188" s="644">
        <f t="shared" si="56"/>
        <v>0</v>
      </c>
      <c r="CL188" s="644">
        <f t="shared" si="57"/>
        <v>0</v>
      </c>
      <c r="CM188" s="644">
        <f t="shared" si="58"/>
        <v>0</v>
      </c>
      <c r="CN188" s="644">
        <f t="shared" si="59"/>
        <v>3</v>
      </c>
      <c r="CO188" s="644">
        <f t="shared" si="60"/>
        <v>0</v>
      </c>
      <c r="CP188" s="644">
        <f t="shared" si="61"/>
        <v>3</v>
      </c>
      <c r="CQ188" s="644">
        <f t="shared" si="62"/>
        <v>0</v>
      </c>
      <c r="CR188" s="644">
        <f t="shared" si="63"/>
        <v>0</v>
      </c>
      <c r="CS188" s="644">
        <f t="shared" si="64"/>
        <v>0</v>
      </c>
      <c r="CT188" s="644">
        <f t="shared" si="65"/>
        <v>0</v>
      </c>
      <c r="CU188" s="644">
        <f t="shared" si="66"/>
        <v>0</v>
      </c>
      <c r="CV188" s="644">
        <f t="shared" si="67"/>
        <v>0</v>
      </c>
      <c r="CW188" s="644">
        <f t="shared" si="68"/>
        <v>0</v>
      </c>
      <c r="CX188" s="644">
        <f t="shared" si="69"/>
        <v>0</v>
      </c>
      <c r="CY188" s="644">
        <f t="shared" si="70"/>
        <v>0</v>
      </c>
      <c r="CZ188" s="624" t="s">
        <v>749</v>
      </c>
      <c r="DA188" s="257"/>
    </row>
    <row r="189" spans="1:105">
      <c r="A189" s="260" t="s">
        <v>349</v>
      </c>
      <c r="B189" s="187"/>
      <c r="C189" s="644"/>
      <c r="D189" s="644"/>
      <c r="E189" s="644">
        <v>1</v>
      </c>
      <c r="F189" s="251">
        <v>1</v>
      </c>
      <c r="G189" s="251"/>
      <c r="H189" s="251"/>
      <c r="I189" s="251"/>
      <c r="J189" s="644"/>
      <c r="K189" s="644"/>
      <c r="L189" s="644"/>
      <c r="M189" s="644"/>
      <c r="N189" s="644"/>
      <c r="O189" s="644"/>
      <c r="P189" s="644"/>
      <c r="Q189" s="644"/>
      <c r="R189" s="644">
        <v>1</v>
      </c>
      <c r="S189" s="644"/>
      <c r="T189" s="644"/>
      <c r="U189" s="644">
        <v>1</v>
      </c>
      <c r="V189" s="644"/>
      <c r="W189" s="644"/>
      <c r="X189" s="644"/>
      <c r="Y189" s="644"/>
      <c r="Z189" s="644">
        <v>1</v>
      </c>
      <c r="AA189" s="644"/>
      <c r="AB189" s="258">
        <v>1</v>
      </c>
      <c r="AC189" s="644">
        <v>1</v>
      </c>
      <c r="AD189" s="644">
        <v>1</v>
      </c>
      <c r="AE189" s="644"/>
      <c r="AF189" s="644"/>
      <c r="AG189" s="644">
        <v>1</v>
      </c>
      <c r="AH189" s="644">
        <v>1</v>
      </c>
      <c r="AI189" s="644"/>
      <c r="AJ189" s="644"/>
      <c r="AK189" s="644"/>
      <c r="AL189" s="167">
        <v>10</v>
      </c>
      <c r="AM189" s="185" t="s">
        <v>1243</v>
      </c>
      <c r="AN189" s="186">
        <v>41993</v>
      </c>
      <c r="AO189" s="187"/>
      <c r="AP189" s="187">
        <f t="shared" si="148"/>
        <v>13</v>
      </c>
      <c r="AQ189" s="187">
        <f t="shared" si="149"/>
        <v>0</v>
      </c>
      <c r="AR189" s="187">
        <f t="shared" si="150"/>
        <v>13</v>
      </c>
      <c r="AS189" s="187">
        <f t="shared" si="151"/>
        <v>13</v>
      </c>
      <c r="AT189" s="187">
        <f t="shared" si="152"/>
        <v>9</v>
      </c>
      <c r="AU189" s="187">
        <f t="shared" si="153"/>
        <v>0</v>
      </c>
      <c r="AV189" s="187">
        <f t="shared" si="154"/>
        <v>9</v>
      </c>
      <c r="AW189" s="187">
        <f t="shared" si="155"/>
        <v>0</v>
      </c>
      <c r="AX189" s="187">
        <f t="shared" si="156"/>
        <v>7</v>
      </c>
      <c r="AY189" s="187">
        <f t="shared" si="157"/>
        <v>7</v>
      </c>
      <c r="AZ189" s="187">
        <f t="shared" si="158"/>
        <v>7</v>
      </c>
      <c r="BA189" s="187">
        <f t="shared" si="159"/>
        <v>7</v>
      </c>
      <c r="BB189" s="187">
        <f t="shared" si="160"/>
        <v>0</v>
      </c>
      <c r="BC189" s="187">
        <f t="shared" si="161"/>
        <v>0</v>
      </c>
      <c r="BD189" s="187">
        <f t="shared" si="162"/>
        <v>0</v>
      </c>
      <c r="BE189" s="187">
        <f t="shared" si="163"/>
        <v>0</v>
      </c>
      <c r="BF189" s="187">
        <f t="shared" si="164"/>
        <v>0</v>
      </c>
      <c r="BG189" s="187">
        <f t="shared" si="165"/>
        <v>0</v>
      </c>
      <c r="BH189" s="187">
        <f t="shared" si="166"/>
        <v>0</v>
      </c>
      <c r="BI189" s="187">
        <f t="shared" si="167"/>
        <v>0</v>
      </c>
      <c r="BJ189" s="187">
        <f t="shared" si="168"/>
        <v>1</v>
      </c>
      <c r="BK189" s="187">
        <f t="shared" si="169"/>
        <v>0</v>
      </c>
      <c r="BL189" s="187">
        <f t="shared" si="170"/>
        <v>0</v>
      </c>
      <c r="BM189" s="187">
        <f t="shared" si="171"/>
        <v>0</v>
      </c>
      <c r="BN189" s="188">
        <f t="shared" si="172"/>
        <v>0</v>
      </c>
      <c r="BO189" s="187">
        <f t="shared" si="173"/>
        <v>0</v>
      </c>
      <c r="BP189" s="187">
        <f t="shared" ref="BP189:BQ189" si="601">IF(G189=1,1,0)</f>
        <v>0</v>
      </c>
      <c r="BQ189" s="187">
        <f t="shared" si="601"/>
        <v>0</v>
      </c>
      <c r="BR189" s="187">
        <f t="shared" ref="BR189:BT189" si="602">IF(K189=1,1,0)</f>
        <v>0</v>
      </c>
      <c r="BS189" s="187">
        <f t="shared" si="602"/>
        <v>0</v>
      </c>
      <c r="BT189" s="187">
        <f t="shared" si="602"/>
        <v>0</v>
      </c>
      <c r="BU189" s="187">
        <f t="shared" ref="BU189:BV189" si="603">IF(P189=1,1,0)</f>
        <v>0</v>
      </c>
      <c r="BV189" s="187">
        <f t="shared" si="603"/>
        <v>0</v>
      </c>
      <c r="BW189" s="187">
        <f t="shared" si="177"/>
        <v>0</v>
      </c>
      <c r="BX189" s="187">
        <f t="shared" si="178"/>
        <v>0</v>
      </c>
      <c r="BY189" s="187">
        <f t="shared" si="179"/>
        <v>0</v>
      </c>
      <c r="BZ189" s="187">
        <f t="shared" si="180"/>
        <v>0</v>
      </c>
      <c r="CA189" s="167">
        <f t="shared" si="181"/>
        <v>86</v>
      </c>
      <c r="CB189" s="167">
        <f t="shared" si="47"/>
        <v>100</v>
      </c>
      <c r="CC189" s="644">
        <f t="shared" si="48"/>
        <v>23</v>
      </c>
      <c r="CD189" s="644">
        <f t="shared" si="49"/>
        <v>19</v>
      </c>
      <c r="CE189" s="644">
        <f t="shared" si="50"/>
        <v>15</v>
      </c>
      <c r="CF189" s="644">
        <f t="shared" si="51"/>
        <v>15</v>
      </c>
      <c r="CG189" s="644">
        <f t="shared" si="52"/>
        <v>9</v>
      </c>
      <c r="CH189" s="644">
        <f t="shared" si="597"/>
        <v>7</v>
      </c>
      <c r="CI189" s="644">
        <f t="shared" si="54"/>
        <v>7</v>
      </c>
      <c r="CJ189" s="644">
        <f t="shared" si="55"/>
        <v>5</v>
      </c>
      <c r="CK189" s="644">
        <f t="shared" si="56"/>
        <v>0</v>
      </c>
      <c r="CL189" s="644">
        <f t="shared" si="57"/>
        <v>5</v>
      </c>
      <c r="CM189" s="644">
        <f t="shared" si="58"/>
        <v>3</v>
      </c>
      <c r="CN189" s="644">
        <f t="shared" si="59"/>
        <v>0</v>
      </c>
      <c r="CO189" s="644">
        <f t="shared" si="60"/>
        <v>0</v>
      </c>
      <c r="CP189" s="644">
        <f t="shared" si="61"/>
        <v>3</v>
      </c>
      <c r="CQ189" s="644">
        <f t="shared" si="62"/>
        <v>0</v>
      </c>
      <c r="CR189" s="644">
        <f t="shared" si="63"/>
        <v>0</v>
      </c>
      <c r="CS189" s="644">
        <f t="shared" si="64"/>
        <v>0</v>
      </c>
      <c r="CT189" s="644">
        <f t="shared" si="65"/>
        <v>0</v>
      </c>
      <c r="CU189" s="644">
        <f t="shared" si="66"/>
        <v>0</v>
      </c>
      <c r="CV189" s="644">
        <f t="shared" si="67"/>
        <v>0</v>
      </c>
      <c r="CW189" s="644">
        <f t="shared" si="68"/>
        <v>0</v>
      </c>
      <c r="CX189" s="644">
        <f t="shared" si="69"/>
        <v>0</v>
      </c>
      <c r="CY189" s="644">
        <f t="shared" si="70"/>
        <v>0</v>
      </c>
      <c r="CZ189" s="624" t="s">
        <v>814</v>
      </c>
      <c r="DA189" s="257"/>
    </row>
    <row r="190" spans="1:105">
      <c r="A190" s="260" t="s">
        <v>639</v>
      </c>
      <c r="B190" s="261"/>
      <c r="C190" s="251"/>
      <c r="D190" s="251">
        <v>1</v>
      </c>
      <c r="E190" s="251">
        <v>1</v>
      </c>
      <c r="F190" s="251">
        <v>1</v>
      </c>
      <c r="G190" s="251"/>
      <c r="H190" s="251"/>
      <c r="I190" s="251">
        <v>1</v>
      </c>
      <c r="J190" s="251"/>
      <c r="K190" s="251"/>
      <c r="L190" s="251"/>
      <c r="M190" s="251"/>
      <c r="N190" s="251"/>
      <c r="O190" s="251"/>
      <c r="P190" s="251"/>
      <c r="Q190" s="251"/>
      <c r="R190" s="251">
        <v>1</v>
      </c>
      <c r="S190" s="251"/>
      <c r="T190" s="251"/>
      <c r="U190" s="251">
        <v>1</v>
      </c>
      <c r="V190" s="251"/>
      <c r="W190" s="251"/>
      <c r="X190" s="251"/>
      <c r="Y190" s="251"/>
      <c r="Z190" s="251"/>
      <c r="AA190" s="251"/>
      <c r="AB190" s="251">
        <v>1</v>
      </c>
      <c r="AC190" s="265">
        <v>1</v>
      </c>
      <c r="AD190" s="251">
        <v>1</v>
      </c>
      <c r="AE190" s="251"/>
      <c r="AF190" s="251"/>
      <c r="AG190" s="251"/>
      <c r="AH190" s="251">
        <v>1</v>
      </c>
      <c r="AI190" s="251"/>
      <c r="AJ190" s="251"/>
      <c r="AK190" s="251"/>
      <c r="AL190" s="262">
        <v>10</v>
      </c>
      <c r="AM190" s="270" t="s">
        <v>1244</v>
      </c>
      <c r="AN190" s="263">
        <v>41968</v>
      </c>
      <c r="AO190" s="187"/>
      <c r="AP190" s="187">
        <f t="shared" si="148"/>
        <v>13</v>
      </c>
      <c r="AQ190" s="187">
        <f t="shared" si="149"/>
        <v>13</v>
      </c>
      <c r="AR190" s="187">
        <f t="shared" si="150"/>
        <v>13</v>
      </c>
      <c r="AS190" s="187">
        <f t="shared" si="151"/>
        <v>13</v>
      </c>
      <c r="AT190" s="187">
        <f t="shared" si="152"/>
        <v>9</v>
      </c>
      <c r="AU190" s="187">
        <f t="shared" si="153"/>
        <v>9</v>
      </c>
      <c r="AV190" s="187">
        <f t="shared" si="154"/>
        <v>9</v>
      </c>
      <c r="AW190" s="187">
        <f t="shared" si="155"/>
        <v>0</v>
      </c>
      <c r="AX190" s="187">
        <f t="shared" si="156"/>
        <v>7</v>
      </c>
      <c r="AY190" s="187">
        <f t="shared" si="157"/>
        <v>0</v>
      </c>
      <c r="AZ190" s="187">
        <f t="shared" si="158"/>
        <v>7</v>
      </c>
      <c r="BA190" s="187">
        <f t="shared" si="159"/>
        <v>7</v>
      </c>
      <c r="BB190" s="187">
        <f t="shared" si="160"/>
        <v>0</v>
      </c>
      <c r="BC190" s="187">
        <f t="shared" si="161"/>
        <v>0</v>
      </c>
      <c r="BD190" s="187">
        <f t="shared" si="162"/>
        <v>0</v>
      </c>
      <c r="BE190" s="187">
        <f t="shared" si="163"/>
        <v>0</v>
      </c>
      <c r="BF190" s="187">
        <f t="shared" si="164"/>
        <v>0</v>
      </c>
      <c r="BG190" s="187">
        <f t="shared" si="165"/>
        <v>0</v>
      </c>
      <c r="BH190" s="187">
        <f t="shared" si="166"/>
        <v>0</v>
      </c>
      <c r="BI190" s="187">
        <f t="shared" si="167"/>
        <v>0</v>
      </c>
      <c r="BJ190" s="187">
        <f t="shared" si="168"/>
        <v>0</v>
      </c>
      <c r="BK190" s="187">
        <f t="shared" si="169"/>
        <v>0</v>
      </c>
      <c r="BL190" s="187">
        <f t="shared" si="170"/>
        <v>0</v>
      </c>
      <c r="BM190" s="187">
        <f t="shared" si="171"/>
        <v>0</v>
      </c>
      <c r="BN190" s="188">
        <f t="shared" si="172"/>
        <v>0</v>
      </c>
      <c r="BO190" s="187">
        <f t="shared" si="173"/>
        <v>0</v>
      </c>
      <c r="BP190" s="187">
        <f t="shared" ref="BP190:BQ190" si="604">IF(G190=1,1,0)</f>
        <v>0</v>
      </c>
      <c r="BQ190" s="187">
        <f t="shared" si="604"/>
        <v>0</v>
      </c>
      <c r="BR190" s="187">
        <f t="shared" ref="BR190:BT190" si="605">IF(K190=1,1,0)</f>
        <v>0</v>
      </c>
      <c r="BS190" s="187">
        <f t="shared" si="605"/>
        <v>0</v>
      </c>
      <c r="BT190" s="187">
        <f t="shared" si="605"/>
        <v>0</v>
      </c>
      <c r="BU190" s="187">
        <f t="shared" ref="BU190:BV190" si="606">IF(P190=1,1,0)</f>
        <v>0</v>
      </c>
      <c r="BV190" s="187">
        <f t="shared" si="606"/>
        <v>0</v>
      </c>
      <c r="BW190" s="187">
        <f t="shared" si="177"/>
        <v>0</v>
      </c>
      <c r="BX190" s="187">
        <f t="shared" si="178"/>
        <v>0</v>
      </c>
      <c r="BY190" s="187">
        <f t="shared" si="179"/>
        <v>0</v>
      </c>
      <c r="BZ190" s="187">
        <f t="shared" si="180"/>
        <v>0</v>
      </c>
      <c r="CA190" s="167">
        <f t="shared" si="181"/>
        <v>100</v>
      </c>
      <c r="CB190" s="167">
        <f t="shared" si="47"/>
        <v>100</v>
      </c>
      <c r="CC190" s="644">
        <f t="shared" si="48"/>
        <v>23</v>
      </c>
      <c r="CD190" s="644">
        <f t="shared" si="49"/>
        <v>19</v>
      </c>
      <c r="CE190" s="644">
        <f t="shared" si="50"/>
        <v>15</v>
      </c>
      <c r="CF190" s="644">
        <f t="shared" si="51"/>
        <v>15</v>
      </c>
      <c r="CG190" s="644">
        <f t="shared" si="52"/>
        <v>9</v>
      </c>
      <c r="CH190" s="644">
        <f t="shared" si="597"/>
        <v>7</v>
      </c>
      <c r="CI190" s="644">
        <f t="shared" si="54"/>
        <v>7</v>
      </c>
      <c r="CJ190" s="644">
        <f t="shared" si="55"/>
        <v>5</v>
      </c>
      <c r="CK190" s="644">
        <f t="shared" si="56"/>
        <v>5</v>
      </c>
      <c r="CL190" s="644">
        <f t="shared" si="57"/>
        <v>5</v>
      </c>
      <c r="CM190" s="644">
        <f t="shared" si="58"/>
        <v>0</v>
      </c>
      <c r="CN190" s="644">
        <f t="shared" si="59"/>
        <v>0</v>
      </c>
      <c r="CO190" s="644">
        <f t="shared" si="60"/>
        <v>0</v>
      </c>
      <c r="CP190" s="644">
        <f t="shared" si="61"/>
        <v>0</v>
      </c>
      <c r="CQ190" s="644">
        <f t="shared" si="62"/>
        <v>0</v>
      </c>
      <c r="CR190" s="644">
        <f t="shared" si="63"/>
        <v>0</v>
      </c>
      <c r="CS190" s="644">
        <f t="shared" si="64"/>
        <v>0</v>
      </c>
      <c r="CT190" s="644">
        <f t="shared" si="65"/>
        <v>0</v>
      </c>
      <c r="CU190" s="644">
        <f t="shared" si="66"/>
        <v>0</v>
      </c>
      <c r="CV190" s="644">
        <f t="shared" si="67"/>
        <v>0</v>
      </c>
      <c r="CW190" s="644">
        <f t="shared" si="68"/>
        <v>0</v>
      </c>
      <c r="CX190" s="644">
        <f t="shared" si="69"/>
        <v>0</v>
      </c>
      <c r="CY190" s="644">
        <f t="shared" si="70"/>
        <v>0</v>
      </c>
      <c r="CZ190" s="264" t="s">
        <v>756</v>
      </c>
      <c r="DA190" s="257"/>
    </row>
    <row r="191" spans="1:105">
      <c r="A191" s="249" t="s">
        <v>352</v>
      </c>
      <c r="B191" s="187"/>
      <c r="C191" s="187"/>
      <c r="D191" s="644">
        <v>1</v>
      </c>
      <c r="E191" s="644">
        <v>1</v>
      </c>
      <c r="F191" s="251"/>
      <c r="G191" s="251"/>
      <c r="H191" s="251"/>
      <c r="I191" s="251"/>
      <c r="J191" s="644"/>
      <c r="K191" s="644"/>
      <c r="L191" s="644"/>
      <c r="M191" s="644"/>
      <c r="N191" s="644"/>
      <c r="O191" s="644"/>
      <c r="P191" s="644"/>
      <c r="Q191" s="644"/>
      <c r="R191" s="644">
        <v>1</v>
      </c>
      <c r="S191" s="644"/>
      <c r="T191" s="644">
        <v>1</v>
      </c>
      <c r="U191" s="644">
        <v>1</v>
      </c>
      <c r="V191" s="644"/>
      <c r="W191" s="644"/>
      <c r="X191" s="644"/>
      <c r="Y191" s="644"/>
      <c r="Z191" s="644"/>
      <c r="AA191" s="644"/>
      <c r="AB191" s="644">
        <v>1</v>
      </c>
      <c r="AC191" s="251">
        <v>1</v>
      </c>
      <c r="AD191" s="644">
        <v>1</v>
      </c>
      <c r="AE191" s="644"/>
      <c r="AF191" s="644"/>
      <c r="AG191" s="644"/>
      <c r="AH191" s="644">
        <v>1</v>
      </c>
      <c r="AI191" s="644"/>
      <c r="AJ191" s="644">
        <v>1</v>
      </c>
      <c r="AK191" s="644"/>
      <c r="AL191" s="167">
        <v>10</v>
      </c>
      <c r="AM191" s="185" t="s">
        <v>1171</v>
      </c>
      <c r="AN191" s="186">
        <v>41996</v>
      </c>
      <c r="AO191" s="187"/>
      <c r="AP191" s="187">
        <f t="shared" si="148"/>
        <v>0</v>
      </c>
      <c r="AQ191" s="187">
        <f t="shared" si="149"/>
        <v>0</v>
      </c>
      <c r="AR191" s="187">
        <f t="shared" si="150"/>
        <v>13</v>
      </c>
      <c r="AS191" s="187">
        <f t="shared" si="151"/>
        <v>13</v>
      </c>
      <c r="AT191" s="187">
        <f t="shared" si="152"/>
        <v>9</v>
      </c>
      <c r="AU191" s="187">
        <f t="shared" si="153"/>
        <v>9</v>
      </c>
      <c r="AV191" s="187">
        <f t="shared" si="154"/>
        <v>9</v>
      </c>
      <c r="AW191" s="187">
        <f t="shared" si="155"/>
        <v>7</v>
      </c>
      <c r="AX191" s="187">
        <f t="shared" si="156"/>
        <v>7</v>
      </c>
      <c r="AY191" s="187">
        <f t="shared" si="157"/>
        <v>0</v>
      </c>
      <c r="AZ191" s="187">
        <f t="shared" si="158"/>
        <v>7</v>
      </c>
      <c r="BA191" s="187">
        <f t="shared" si="159"/>
        <v>7</v>
      </c>
      <c r="BB191" s="187">
        <f t="shared" si="160"/>
        <v>0</v>
      </c>
      <c r="BC191" s="187">
        <f t="shared" si="161"/>
        <v>4</v>
      </c>
      <c r="BD191" s="187">
        <f t="shared" si="162"/>
        <v>0</v>
      </c>
      <c r="BE191" s="187">
        <f t="shared" si="163"/>
        <v>0</v>
      </c>
      <c r="BF191" s="187">
        <f t="shared" si="164"/>
        <v>0</v>
      </c>
      <c r="BG191" s="187">
        <f t="shared" si="165"/>
        <v>0</v>
      </c>
      <c r="BH191" s="187">
        <f t="shared" si="166"/>
        <v>0</v>
      </c>
      <c r="BI191" s="187">
        <f t="shared" si="167"/>
        <v>0</v>
      </c>
      <c r="BJ191" s="187">
        <f t="shared" si="168"/>
        <v>0</v>
      </c>
      <c r="BK191" s="187">
        <f t="shared" si="169"/>
        <v>0</v>
      </c>
      <c r="BL191" s="187">
        <f t="shared" si="170"/>
        <v>0</v>
      </c>
      <c r="BM191" s="187">
        <f t="shared" si="171"/>
        <v>0</v>
      </c>
      <c r="BN191" s="188">
        <f t="shared" si="172"/>
        <v>0</v>
      </c>
      <c r="BO191" s="187">
        <f t="shared" si="173"/>
        <v>0</v>
      </c>
      <c r="BP191" s="187">
        <f t="shared" ref="BP191:BQ191" si="607">IF(G191=1,1,0)</f>
        <v>0</v>
      </c>
      <c r="BQ191" s="187">
        <f t="shared" si="607"/>
        <v>0</v>
      </c>
      <c r="BR191" s="187">
        <f t="shared" ref="BR191:BT191" si="608">IF(K191=1,1,0)</f>
        <v>0</v>
      </c>
      <c r="BS191" s="187">
        <f t="shared" si="608"/>
        <v>0</v>
      </c>
      <c r="BT191" s="187">
        <f t="shared" si="608"/>
        <v>0</v>
      </c>
      <c r="BU191" s="187">
        <f t="shared" ref="BU191:BV191" si="609">IF(P191=1,1,0)</f>
        <v>0</v>
      </c>
      <c r="BV191" s="187">
        <f t="shared" si="609"/>
        <v>0</v>
      </c>
      <c r="BW191" s="187">
        <f t="shared" si="177"/>
        <v>0</v>
      </c>
      <c r="BX191" s="187">
        <f t="shared" si="178"/>
        <v>0</v>
      </c>
      <c r="BY191" s="187">
        <f t="shared" si="179"/>
        <v>0</v>
      </c>
      <c r="BZ191" s="187">
        <f t="shared" si="180"/>
        <v>0</v>
      </c>
      <c r="CA191" s="167">
        <f t="shared" si="181"/>
        <v>85</v>
      </c>
      <c r="CB191" s="167">
        <f t="shared" si="47"/>
        <v>100</v>
      </c>
      <c r="CC191" s="644">
        <f t="shared" si="48"/>
        <v>23</v>
      </c>
      <c r="CD191" s="644">
        <f t="shared" si="49"/>
        <v>19</v>
      </c>
      <c r="CE191" s="644">
        <f t="shared" si="50"/>
        <v>15</v>
      </c>
      <c r="CF191" s="644">
        <f t="shared" si="51"/>
        <v>15</v>
      </c>
      <c r="CG191" s="644">
        <f t="shared" si="52"/>
        <v>9</v>
      </c>
      <c r="CH191" s="644">
        <f t="shared" si="597"/>
        <v>7</v>
      </c>
      <c r="CI191" s="644">
        <f t="shared" si="54"/>
        <v>7</v>
      </c>
      <c r="CJ191" s="644">
        <f t="shared" si="55"/>
        <v>5</v>
      </c>
      <c r="CK191" s="644">
        <f t="shared" si="56"/>
        <v>0</v>
      </c>
      <c r="CL191" s="644">
        <f t="shared" si="57"/>
        <v>0</v>
      </c>
      <c r="CM191" s="644">
        <f t="shared" si="58"/>
        <v>0</v>
      </c>
      <c r="CN191" s="644">
        <f t="shared" si="59"/>
        <v>3</v>
      </c>
      <c r="CO191" s="644">
        <f t="shared" si="60"/>
        <v>3</v>
      </c>
      <c r="CP191" s="644">
        <f t="shared" si="61"/>
        <v>0</v>
      </c>
      <c r="CQ191" s="644">
        <f t="shared" si="62"/>
        <v>0</v>
      </c>
      <c r="CR191" s="644">
        <f t="shared" si="63"/>
        <v>0</v>
      </c>
      <c r="CS191" s="644">
        <f t="shared" si="64"/>
        <v>0</v>
      </c>
      <c r="CT191" s="644">
        <f t="shared" si="65"/>
        <v>0</v>
      </c>
      <c r="CU191" s="644">
        <f t="shared" si="66"/>
        <v>0</v>
      </c>
      <c r="CV191" s="644">
        <f t="shared" si="67"/>
        <v>0</v>
      </c>
      <c r="CW191" s="644">
        <f t="shared" si="68"/>
        <v>0</v>
      </c>
      <c r="CX191" s="644">
        <f t="shared" si="69"/>
        <v>0</v>
      </c>
      <c r="CY191" s="644">
        <f t="shared" si="70"/>
        <v>0</v>
      </c>
      <c r="CZ191" s="624" t="s">
        <v>740</v>
      </c>
      <c r="DA191" s="257"/>
    </row>
    <row r="192" spans="1:105">
      <c r="A192" s="249" t="s">
        <v>350</v>
      </c>
      <c r="B192" s="187"/>
      <c r="C192" s="187"/>
      <c r="D192" s="644">
        <v>1</v>
      </c>
      <c r="E192" s="644">
        <v>1</v>
      </c>
      <c r="F192" s="251"/>
      <c r="G192" s="251"/>
      <c r="H192" s="251"/>
      <c r="I192" s="251"/>
      <c r="J192" s="644"/>
      <c r="K192" s="644"/>
      <c r="L192" s="644"/>
      <c r="M192" s="644"/>
      <c r="N192" s="644"/>
      <c r="O192" s="644"/>
      <c r="P192" s="644"/>
      <c r="Q192" s="644"/>
      <c r="R192" s="644">
        <v>1</v>
      </c>
      <c r="S192" s="644"/>
      <c r="T192" s="644">
        <v>1</v>
      </c>
      <c r="U192" s="644">
        <v>1</v>
      </c>
      <c r="V192" s="644"/>
      <c r="W192" s="644"/>
      <c r="X192" s="644"/>
      <c r="Y192" s="644"/>
      <c r="Z192" s="644"/>
      <c r="AA192" s="644"/>
      <c r="AB192" s="644">
        <v>1</v>
      </c>
      <c r="AC192" s="644"/>
      <c r="AD192" s="644">
        <v>1</v>
      </c>
      <c r="AE192" s="644"/>
      <c r="AF192" s="644"/>
      <c r="AG192" s="644"/>
      <c r="AH192" s="644">
        <v>1</v>
      </c>
      <c r="AI192" s="644"/>
      <c r="AJ192" s="644"/>
      <c r="AK192" s="644"/>
      <c r="AL192" s="167">
        <v>8</v>
      </c>
      <c r="AM192" s="185" t="s">
        <v>1160</v>
      </c>
      <c r="AN192" s="186">
        <v>42010</v>
      </c>
      <c r="AO192" s="187"/>
      <c r="AP192" s="187">
        <f t="shared" si="148"/>
        <v>0</v>
      </c>
      <c r="AQ192" s="187">
        <f t="shared" si="149"/>
        <v>0</v>
      </c>
      <c r="AR192" s="187">
        <f t="shared" si="150"/>
        <v>13</v>
      </c>
      <c r="AS192" s="187">
        <f t="shared" si="151"/>
        <v>13</v>
      </c>
      <c r="AT192" s="187">
        <f t="shared" si="152"/>
        <v>9</v>
      </c>
      <c r="AU192" s="187">
        <f t="shared" si="153"/>
        <v>9</v>
      </c>
      <c r="AV192" s="187">
        <f t="shared" si="154"/>
        <v>0</v>
      </c>
      <c r="AW192" s="187">
        <f t="shared" si="155"/>
        <v>0</v>
      </c>
      <c r="AX192" s="187">
        <f t="shared" si="156"/>
        <v>7</v>
      </c>
      <c r="AY192" s="187">
        <f t="shared" si="157"/>
        <v>0</v>
      </c>
      <c r="AZ192" s="187">
        <f t="shared" si="158"/>
        <v>7</v>
      </c>
      <c r="BA192" s="187">
        <f t="shared" si="159"/>
        <v>7</v>
      </c>
      <c r="BB192" s="187">
        <f t="shared" si="160"/>
        <v>0</v>
      </c>
      <c r="BC192" s="187">
        <f t="shared" si="161"/>
        <v>4</v>
      </c>
      <c r="BD192" s="187">
        <f t="shared" si="162"/>
        <v>0</v>
      </c>
      <c r="BE192" s="187">
        <f t="shared" si="163"/>
        <v>0</v>
      </c>
      <c r="BF192" s="187">
        <f t="shared" si="164"/>
        <v>0</v>
      </c>
      <c r="BG192" s="187">
        <f t="shared" si="165"/>
        <v>0</v>
      </c>
      <c r="BH192" s="187">
        <f t="shared" si="166"/>
        <v>0</v>
      </c>
      <c r="BI192" s="187">
        <f t="shared" si="167"/>
        <v>0</v>
      </c>
      <c r="BJ192" s="187">
        <f t="shared" si="168"/>
        <v>0</v>
      </c>
      <c r="BK192" s="187">
        <f t="shared" si="169"/>
        <v>0</v>
      </c>
      <c r="BL192" s="187">
        <f t="shared" si="170"/>
        <v>0</v>
      </c>
      <c r="BM192" s="187">
        <f t="shared" si="171"/>
        <v>0</v>
      </c>
      <c r="BN192" s="188">
        <f t="shared" si="172"/>
        <v>2</v>
      </c>
      <c r="BO192" s="187">
        <f t="shared" si="173"/>
        <v>0</v>
      </c>
      <c r="BP192" s="187">
        <f t="shared" ref="BP192:BQ192" si="610">IF(G192=1,1,0)</f>
        <v>0</v>
      </c>
      <c r="BQ192" s="187">
        <f t="shared" si="610"/>
        <v>0</v>
      </c>
      <c r="BR192" s="187">
        <f t="shared" ref="BR192:BT192" si="611">IF(K192=1,1,0)</f>
        <v>0</v>
      </c>
      <c r="BS192" s="187">
        <f t="shared" si="611"/>
        <v>0</v>
      </c>
      <c r="BT192" s="187">
        <f t="shared" si="611"/>
        <v>0</v>
      </c>
      <c r="BU192" s="187">
        <f t="shared" ref="BU192:BV192" si="612">IF(P192=1,1,0)</f>
        <v>0</v>
      </c>
      <c r="BV192" s="187">
        <f t="shared" si="612"/>
        <v>0</v>
      </c>
      <c r="BW192" s="187">
        <f t="shared" si="177"/>
        <v>0</v>
      </c>
      <c r="BX192" s="187">
        <f t="shared" si="178"/>
        <v>0</v>
      </c>
      <c r="BY192" s="187">
        <f t="shared" si="179"/>
        <v>2</v>
      </c>
      <c r="BZ192" s="187">
        <f t="shared" si="180"/>
        <v>-4</v>
      </c>
      <c r="CA192" s="167">
        <f t="shared" si="181"/>
        <v>65</v>
      </c>
      <c r="CB192" s="167">
        <f t="shared" si="47"/>
        <v>89</v>
      </c>
      <c r="CC192" s="644">
        <f t="shared" si="48"/>
        <v>23</v>
      </c>
      <c r="CD192" s="644">
        <f t="shared" si="49"/>
        <v>19</v>
      </c>
      <c r="CE192" s="644">
        <f t="shared" si="50"/>
        <v>15</v>
      </c>
      <c r="CF192" s="644">
        <f t="shared" si="51"/>
        <v>15</v>
      </c>
      <c r="CG192" s="644">
        <f t="shared" si="52"/>
        <v>9</v>
      </c>
      <c r="CH192" s="644">
        <f t="shared" si="597"/>
        <v>0</v>
      </c>
      <c r="CI192" s="644">
        <f t="shared" si="54"/>
        <v>0</v>
      </c>
      <c r="CJ192" s="644">
        <f t="shared" si="55"/>
        <v>5</v>
      </c>
      <c r="CK192" s="644">
        <f t="shared" si="56"/>
        <v>0</v>
      </c>
      <c r="CL192" s="644">
        <f t="shared" si="57"/>
        <v>0</v>
      </c>
      <c r="CM192" s="644">
        <f t="shared" si="58"/>
        <v>0</v>
      </c>
      <c r="CN192" s="644">
        <f t="shared" si="59"/>
        <v>3</v>
      </c>
      <c r="CO192" s="644">
        <f t="shared" si="60"/>
        <v>0</v>
      </c>
      <c r="CP192" s="644">
        <f t="shared" si="61"/>
        <v>0</v>
      </c>
      <c r="CQ192" s="644">
        <f t="shared" si="62"/>
        <v>0</v>
      </c>
      <c r="CR192" s="644">
        <f t="shared" si="63"/>
        <v>0</v>
      </c>
      <c r="CS192" s="644">
        <f t="shared" si="64"/>
        <v>0</v>
      </c>
      <c r="CT192" s="644">
        <f t="shared" si="65"/>
        <v>0</v>
      </c>
      <c r="CU192" s="644">
        <f t="shared" si="66"/>
        <v>0</v>
      </c>
      <c r="CV192" s="644">
        <f t="shared" si="67"/>
        <v>0</v>
      </c>
      <c r="CW192" s="644">
        <f t="shared" si="68"/>
        <v>0</v>
      </c>
      <c r="CX192" s="644">
        <f t="shared" si="69"/>
        <v>0</v>
      </c>
      <c r="CY192" s="644">
        <f t="shared" si="70"/>
        <v>0</v>
      </c>
      <c r="CZ192" s="624" t="s">
        <v>756</v>
      </c>
      <c r="DA192" s="257"/>
    </row>
    <row r="193" spans="1:105">
      <c r="A193" s="249" t="s">
        <v>353</v>
      </c>
      <c r="B193" s="187"/>
      <c r="C193" s="187"/>
      <c r="D193" s="644"/>
      <c r="E193" s="258">
        <v>1</v>
      </c>
      <c r="F193" s="251">
        <v>1</v>
      </c>
      <c r="G193" s="251"/>
      <c r="H193" s="251"/>
      <c r="I193" s="251">
        <v>1</v>
      </c>
      <c r="J193" s="644"/>
      <c r="K193" s="644"/>
      <c r="L193" s="644"/>
      <c r="M193" s="644"/>
      <c r="N193" s="644"/>
      <c r="O193" s="644"/>
      <c r="P193" s="644"/>
      <c r="Q193" s="644"/>
      <c r="R193" s="644">
        <v>1</v>
      </c>
      <c r="S193" s="644"/>
      <c r="T193" s="644"/>
      <c r="U193" s="644">
        <v>1</v>
      </c>
      <c r="V193" s="644"/>
      <c r="W193" s="644"/>
      <c r="X193" s="644"/>
      <c r="Y193" s="644"/>
      <c r="Z193" s="644">
        <v>1</v>
      </c>
      <c r="AA193" s="644"/>
      <c r="AB193" s="258">
        <v>1</v>
      </c>
      <c r="AC193" s="644"/>
      <c r="AD193" s="644">
        <v>1</v>
      </c>
      <c r="AE193" s="644"/>
      <c r="AF193" s="644"/>
      <c r="AG193" s="644"/>
      <c r="AH193" s="644">
        <v>1</v>
      </c>
      <c r="AI193" s="644">
        <v>1</v>
      </c>
      <c r="AJ193" s="644"/>
      <c r="AK193" s="644"/>
      <c r="AL193" s="167">
        <v>10</v>
      </c>
      <c r="AM193" s="185" t="s">
        <v>1245</v>
      </c>
      <c r="AN193" s="186">
        <v>42002</v>
      </c>
      <c r="AO193" s="187"/>
      <c r="AP193" s="187">
        <f t="shared" si="148"/>
        <v>13</v>
      </c>
      <c r="AQ193" s="187">
        <f t="shared" si="149"/>
        <v>13</v>
      </c>
      <c r="AR193" s="187">
        <f t="shared" si="150"/>
        <v>13</v>
      </c>
      <c r="AS193" s="187">
        <f t="shared" si="151"/>
        <v>13</v>
      </c>
      <c r="AT193" s="187">
        <f t="shared" si="152"/>
        <v>9</v>
      </c>
      <c r="AU193" s="187">
        <f t="shared" si="153"/>
        <v>0</v>
      </c>
      <c r="AV193" s="187">
        <f t="shared" si="154"/>
        <v>0</v>
      </c>
      <c r="AW193" s="187">
        <f t="shared" si="155"/>
        <v>0</v>
      </c>
      <c r="AX193" s="187">
        <f t="shared" si="156"/>
        <v>7</v>
      </c>
      <c r="AY193" s="187">
        <f t="shared" si="157"/>
        <v>7</v>
      </c>
      <c r="AZ193" s="187">
        <f t="shared" si="158"/>
        <v>7</v>
      </c>
      <c r="BA193" s="187">
        <f t="shared" si="159"/>
        <v>7</v>
      </c>
      <c r="BB193" s="187">
        <f t="shared" si="160"/>
        <v>0</v>
      </c>
      <c r="BC193" s="187">
        <f t="shared" si="161"/>
        <v>0</v>
      </c>
      <c r="BD193" s="187">
        <f t="shared" si="162"/>
        <v>0</v>
      </c>
      <c r="BE193" s="187">
        <f t="shared" si="163"/>
        <v>0</v>
      </c>
      <c r="BF193" s="187">
        <f t="shared" si="164"/>
        <v>0</v>
      </c>
      <c r="BG193" s="187">
        <f t="shared" si="165"/>
        <v>2</v>
      </c>
      <c r="BH193" s="187">
        <f t="shared" si="166"/>
        <v>0</v>
      </c>
      <c r="BI193" s="187">
        <f t="shared" si="167"/>
        <v>0</v>
      </c>
      <c r="BJ193" s="187">
        <f t="shared" si="168"/>
        <v>0</v>
      </c>
      <c r="BK193" s="187">
        <f t="shared" si="169"/>
        <v>0</v>
      </c>
      <c r="BL193" s="187">
        <f t="shared" si="170"/>
        <v>0</v>
      </c>
      <c r="BM193" s="187">
        <f t="shared" si="171"/>
        <v>0</v>
      </c>
      <c r="BN193" s="188">
        <f t="shared" si="172"/>
        <v>0</v>
      </c>
      <c r="BO193" s="187">
        <f t="shared" si="173"/>
        <v>0</v>
      </c>
      <c r="BP193" s="187">
        <f t="shared" ref="BP193:BQ193" si="613">IF(G193=1,1,0)</f>
        <v>0</v>
      </c>
      <c r="BQ193" s="187">
        <f t="shared" si="613"/>
        <v>0</v>
      </c>
      <c r="BR193" s="187">
        <f t="shared" ref="BR193:BT193" si="614">IF(K193=1,1,0)</f>
        <v>0</v>
      </c>
      <c r="BS193" s="187">
        <f t="shared" si="614"/>
        <v>0</v>
      </c>
      <c r="BT193" s="187">
        <f t="shared" si="614"/>
        <v>0</v>
      </c>
      <c r="BU193" s="187">
        <f t="shared" ref="BU193:BV193" si="615">IF(P193=1,1,0)</f>
        <v>0</v>
      </c>
      <c r="BV193" s="187">
        <f t="shared" si="615"/>
        <v>0</v>
      </c>
      <c r="BW193" s="187">
        <f t="shared" si="177"/>
        <v>0</v>
      </c>
      <c r="BX193" s="187">
        <f t="shared" si="178"/>
        <v>0</v>
      </c>
      <c r="BY193" s="187">
        <f t="shared" si="179"/>
        <v>0</v>
      </c>
      <c r="BZ193" s="187">
        <f t="shared" si="180"/>
        <v>0</v>
      </c>
      <c r="CA193" s="167">
        <f t="shared" si="181"/>
        <v>91</v>
      </c>
      <c r="CB193" s="167">
        <f t="shared" si="47"/>
        <v>98</v>
      </c>
      <c r="CC193" s="644">
        <f t="shared" si="48"/>
        <v>23</v>
      </c>
      <c r="CD193" s="644">
        <f t="shared" si="49"/>
        <v>19</v>
      </c>
      <c r="CE193" s="644">
        <f t="shared" si="50"/>
        <v>15</v>
      </c>
      <c r="CF193" s="644">
        <f t="shared" si="51"/>
        <v>15</v>
      </c>
      <c r="CG193" s="644">
        <f t="shared" si="52"/>
        <v>9</v>
      </c>
      <c r="CH193" s="644">
        <f t="shared" si="597"/>
        <v>7</v>
      </c>
      <c r="CI193" s="644">
        <f t="shared" si="54"/>
        <v>0</v>
      </c>
      <c r="CJ193" s="644">
        <f t="shared" si="55"/>
        <v>5</v>
      </c>
      <c r="CK193" s="644">
        <f t="shared" si="56"/>
        <v>5</v>
      </c>
      <c r="CL193" s="644">
        <f t="shared" si="57"/>
        <v>5</v>
      </c>
      <c r="CM193" s="644">
        <f t="shared" si="58"/>
        <v>0</v>
      </c>
      <c r="CN193" s="644">
        <f t="shared" si="59"/>
        <v>0</v>
      </c>
      <c r="CO193" s="644">
        <f t="shared" si="60"/>
        <v>0</v>
      </c>
      <c r="CP193" s="644">
        <f t="shared" si="61"/>
        <v>3</v>
      </c>
      <c r="CQ193" s="644">
        <f t="shared" si="62"/>
        <v>0</v>
      </c>
      <c r="CR193" s="644">
        <f t="shared" si="63"/>
        <v>0</v>
      </c>
      <c r="CS193" s="644">
        <f t="shared" si="64"/>
        <v>0</v>
      </c>
      <c r="CT193" s="644">
        <f t="shared" si="65"/>
        <v>0</v>
      </c>
      <c r="CU193" s="644">
        <f t="shared" si="66"/>
        <v>0</v>
      </c>
      <c r="CV193" s="644">
        <f t="shared" si="67"/>
        <v>0</v>
      </c>
      <c r="CW193" s="644">
        <f t="shared" si="68"/>
        <v>1</v>
      </c>
      <c r="CX193" s="644">
        <f t="shared" si="69"/>
        <v>0</v>
      </c>
      <c r="CY193" s="644">
        <f t="shared" si="70"/>
        <v>0</v>
      </c>
      <c r="CZ193" s="624" t="s">
        <v>1090</v>
      </c>
      <c r="DA193" s="257"/>
    </row>
    <row r="194" spans="1:105">
      <c r="A194" s="249" t="s">
        <v>354</v>
      </c>
      <c r="B194" s="187"/>
      <c r="C194" s="187"/>
      <c r="D194" s="644">
        <v>1</v>
      </c>
      <c r="E194" s="644">
        <v>1</v>
      </c>
      <c r="F194" s="251">
        <v>1</v>
      </c>
      <c r="G194" s="251"/>
      <c r="H194" s="251"/>
      <c r="I194" s="251">
        <v>1</v>
      </c>
      <c r="J194" s="644"/>
      <c r="K194" s="644"/>
      <c r="L194" s="644"/>
      <c r="M194" s="644"/>
      <c r="N194" s="644"/>
      <c r="O194" s="644"/>
      <c r="P194" s="644"/>
      <c r="Q194" s="644"/>
      <c r="R194" s="644">
        <v>1</v>
      </c>
      <c r="S194" s="644">
        <v>1</v>
      </c>
      <c r="T194" s="644"/>
      <c r="U194" s="644">
        <v>1</v>
      </c>
      <c r="V194" s="644"/>
      <c r="W194" s="644"/>
      <c r="X194" s="644"/>
      <c r="Y194" s="644"/>
      <c r="Z194" s="644"/>
      <c r="AA194" s="644"/>
      <c r="AB194" s="644">
        <v>1</v>
      </c>
      <c r="AC194" s="644">
        <v>1</v>
      </c>
      <c r="AD194" s="644"/>
      <c r="AE194" s="644"/>
      <c r="AF194" s="644"/>
      <c r="AG194" s="644"/>
      <c r="AH194" s="644">
        <v>1</v>
      </c>
      <c r="AI194" s="644"/>
      <c r="AJ194" s="644"/>
      <c r="AK194" s="644"/>
      <c r="AL194" s="167">
        <v>10</v>
      </c>
      <c r="AM194" s="185" t="s">
        <v>1246</v>
      </c>
      <c r="AN194" s="186">
        <v>42000</v>
      </c>
      <c r="AO194" s="187"/>
      <c r="AP194" s="187">
        <f t="shared" si="148"/>
        <v>13</v>
      </c>
      <c r="AQ194" s="187">
        <f t="shared" si="149"/>
        <v>13</v>
      </c>
      <c r="AR194" s="187">
        <f t="shared" si="150"/>
        <v>13</v>
      </c>
      <c r="AS194" s="187">
        <f t="shared" si="151"/>
        <v>13</v>
      </c>
      <c r="AT194" s="187">
        <f t="shared" si="152"/>
        <v>9</v>
      </c>
      <c r="AU194" s="187">
        <f t="shared" si="153"/>
        <v>9</v>
      </c>
      <c r="AV194" s="187">
        <f t="shared" si="154"/>
        <v>9</v>
      </c>
      <c r="AW194" s="187">
        <f t="shared" si="155"/>
        <v>0</v>
      </c>
      <c r="AX194" s="187">
        <f t="shared" si="156"/>
        <v>0</v>
      </c>
      <c r="AY194" s="187">
        <f t="shared" si="157"/>
        <v>0</v>
      </c>
      <c r="AZ194" s="187">
        <f t="shared" si="158"/>
        <v>7</v>
      </c>
      <c r="BA194" s="187">
        <f t="shared" si="159"/>
        <v>7</v>
      </c>
      <c r="BB194" s="187">
        <f t="shared" si="160"/>
        <v>0</v>
      </c>
      <c r="BC194" s="187">
        <f t="shared" si="161"/>
        <v>0</v>
      </c>
      <c r="BD194" s="187">
        <f t="shared" si="162"/>
        <v>0</v>
      </c>
      <c r="BE194" s="187">
        <f t="shared" si="163"/>
        <v>0</v>
      </c>
      <c r="BF194" s="187">
        <f t="shared" si="164"/>
        <v>0</v>
      </c>
      <c r="BG194" s="187">
        <f t="shared" si="165"/>
        <v>0</v>
      </c>
      <c r="BH194" s="187">
        <f t="shared" si="166"/>
        <v>2</v>
      </c>
      <c r="BI194" s="187">
        <f t="shared" si="167"/>
        <v>0</v>
      </c>
      <c r="BJ194" s="187">
        <f t="shared" si="168"/>
        <v>0</v>
      </c>
      <c r="BK194" s="187">
        <f t="shared" si="169"/>
        <v>0</v>
      </c>
      <c r="BL194" s="187">
        <f t="shared" si="170"/>
        <v>0</v>
      </c>
      <c r="BM194" s="187">
        <f t="shared" si="171"/>
        <v>0</v>
      </c>
      <c r="BN194" s="188">
        <f t="shared" si="172"/>
        <v>0</v>
      </c>
      <c r="BO194" s="187">
        <f t="shared" si="173"/>
        <v>0</v>
      </c>
      <c r="BP194" s="187">
        <f t="shared" ref="BP194:BQ194" si="616">IF(G194=1,1,0)</f>
        <v>0</v>
      </c>
      <c r="BQ194" s="187">
        <f t="shared" si="616"/>
        <v>0</v>
      </c>
      <c r="BR194" s="187">
        <f t="shared" ref="BR194:BT194" si="617">IF(K194=1,1,0)</f>
        <v>0</v>
      </c>
      <c r="BS194" s="187">
        <f t="shared" si="617"/>
        <v>0</v>
      </c>
      <c r="BT194" s="187">
        <f t="shared" si="617"/>
        <v>0</v>
      </c>
      <c r="BU194" s="187">
        <f t="shared" ref="BU194:BV194" si="618">IF(P194=1,1,0)</f>
        <v>0</v>
      </c>
      <c r="BV194" s="187">
        <f t="shared" si="618"/>
        <v>0</v>
      </c>
      <c r="BW194" s="187">
        <f t="shared" si="177"/>
        <v>0</v>
      </c>
      <c r="BX194" s="187">
        <f t="shared" si="178"/>
        <v>0</v>
      </c>
      <c r="BY194" s="187">
        <f t="shared" si="179"/>
        <v>0</v>
      </c>
      <c r="BZ194" s="187">
        <f t="shared" si="180"/>
        <v>0</v>
      </c>
      <c r="CA194" s="167">
        <f t="shared" si="181"/>
        <v>95</v>
      </c>
      <c r="CB194" s="167">
        <f t="shared" si="47"/>
        <v>100</v>
      </c>
      <c r="CC194" s="644">
        <f t="shared" si="48"/>
        <v>23</v>
      </c>
      <c r="CD194" s="644">
        <f t="shared" si="49"/>
        <v>19</v>
      </c>
      <c r="CE194" s="644">
        <f t="shared" si="50"/>
        <v>15</v>
      </c>
      <c r="CF194" s="644">
        <f t="shared" si="51"/>
        <v>15</v>
      </c>
      <c r="CG194" s="644">
        <f t="shared" si="52"/>
        <v>9</v>
      </c>
      <c r="CH194" s="644">
        <f t="shared" si="597"/>
        <v>7</v>
      </c>
      <c r="CI194" s="644">
        <f t="shared" si="54"/>
        <v>7</v>
      </c>
      <c r="CJ194" s="644">
        <f t="shared" si="55"/>
        <v>0</v>
      </c>
      <c r="CK194" s="644">
        <f t="shared" si="56"/>
        <v>5</v>
      </c>
      <c r="CL194" s="644">
        <f t="shared" si="57"/>
        <v>5</v>
      </c>
      <c r="CM194" s="644">
        <f t="shared" si="58"/>
        <v>0</v>
      </c>
      <c r="CN194" s="644">
        <f t="shared" si="59"/>
        <v>0</v>
      </c>
      <c r="CO194" s="644">
        <f t="shared" si="60"/>
        <v>0</v>
      </c>
      <c r="CP194" s="644">
        <f t="shared" si="61"/>
        <v>0</v>
      </c>
      <c r="CQ194" s="644">
        <f t="shared" si="62"/>
        <v>2</v>
      </c>
      <c r="CR194" s="644">
        <f t="shared" si="63"/>
        <v>0</v>
      </c>
      <c r="CS194" s="644">
        <f t="shared" si="64"/>
        <v>0</v>
      </c>
      <c r="CT194" s="644">
        <f t="shared" si="65"/>
        <v>0</v>
      </c>
      <c r="CU194" s="644">
        <f t="shared" si="66"/>
        <v>0</v>
      </c>
      <c r="CV194" s="644">
        <f t="shared" si="67"/>
        <v>0</v>
      </c>
      <c r="CW194" s="644">
        <f t="shared" si="68"/>
        <v>0</v>
      </c>
      <c r="CX194" s="644">
        <f t="shared" si="69"/>
        <v>0</v>
      </c>
      <c r="CY194" s="644">
        <f t="shared" si="70"/>
        <v>0</v>
      </c>
      <c r="CZ194" s="624" t="s">
        <v>768</v>
      </c>
      <c r="DA194" s="257"/>
    </row>
    <row r="195" spans="1:105" ht="25.5">
      <c r="A195" s="249" t="s">
        <v>932</v>
      </c>
      <c r="B195" s="187"/>
      <c r="C195" s="187"/>
      <c r="D195" s="644"/>
      <c r="E195" s="644">
        <v>1</v>
      </c>
      <c r="F195" s="251"/>
      <c r="G195" s="251"/>
      <c r="H195" s="251"/>
      <c r="I195" s="251"/>
      <c r="J195" s="644"/>
      <c r="K195" s="644"/>
      <c r="L195" s="644"/>
      <c r="M195" s="644"/>
      <c r="N195" s="644"/>
      <c r="O195" s="644"/>
      <c r="P195" s="644"/>
      <c r="Q195" s="644"/>
      <c r="R195" s="644">
        <v>1</v>
      </c>
      <c r="S195" s="644"/>
      <c r="T195" s="644"/>
      <c r="U195" s="644">
        <v>1</v>
      </c>
      <c r="V195" s="644"/>
      <c r="W195" s="644">
        <v>1</v>
      </c>
      <c r="X195" s="644"/>
      <c r="Y195" s="644"/>
      <c r="Z195" s="644"/>
      <c r="AA195" s="644"/>
      <c r="AB195" s="644"/>
      <c r="AC195" s="644">
        <v>1</v>
      </c>
      <c r="AD195" s="644">
        <v>1</v>
      </c>
      <c r="AE195" s="644"/>
      <c r="AF195" s="644"/>
      <c r="AG195" s="644"/>
      <c r="AH195" s="644">
        <v>1</v>
      </c>
      <c r="AI195" s="644"/>
      <c r="AJ195" s="644">
        <v>1</v>
      </c>
      <c r="AK195" s="644"/>
      <c r="AL195" s="167">
        <v>8</v>
      </c>
      <c r="AM195" s="185" t="s">
        <v>1247</v>
      </c>
      <c r="AN195" s="186">
        <v>42009</v>
      </c>
      <c r="AO195" s="187"/>
      <c r="AP195" s="187">
        <f t="shared" si="148"/>
        <v>0</v>
      </c>
      <c r="AQ195" s="187">
        <f t="shared" si="149"/>
        <v>0</v>
      </c>
      <c r="AR195" s="187">
        <f t="shared" si="150"/>
        <v>13</v>
      </c>
      <c r="AS195" s="187">
        <f t="shared" si="151"/>
        <v>13</v>
      </c>
      <c r="AT195" s="187">
        <f t="shared" si="152"/>
        <v>0</v>
      </c>
      <c r="AU195" s="187">
        <f t="shared" si="153"/>
        <v>0</v>
      </c>
      <c r="AV195" s="187">
        <f t="shared" si="154"/>
        <v>9</v>
      </c>
      <c r="AW195" s="187">
        <f t="shared" si="155"/>
        <v>7</v>
      </c>
      <c r="AX195" s="187">
        <f t="shared" si="156"/>
        <v>7</v>
      </c>
      <c r="AY195" s="187">
        <f t="shared" si="157"/>
        <v>0</v>
      </c>
      <c r="AZ195" s="187">
        <f t="shared" si="158"/>
        <v>7</v>
      </c>
      <c r="BA195" s="187">
        <f t="shared" si="159"/>
        <v>7</v>
      </c>
      <c r="BB195" s="187">
        <f t="shared" si="160"/>
        <v>0</v>
      </c>
      <c r="BC195" s="187">
        <f t="shared" si="161"/>
        <v>0</v>
      </c>
      <c r="BD195" s="187">
        <f t="shared" si="162"/>
        <v>0</v>
      </c>
      <c r="BE195" s="187">
        <f t="shared" si="163"/>
        <v>0</v>
      </c>
      <c r="BF195" s="187">
        <f t="shared" si="164"/>
        <v>3</v>
      </c>
      <c r="BG195" s="187">
        <f t="shared" si="165"/>
        <v>0</v>
      </c>
      <c r="BH195" s="187">
        <f t="shared" si="166"/>
        <v>0</v>
      </c>
      <c r="BI195" s="187">
        <f t="shared" si="167"/>
        <v>0</v>
      </c>
      <c r="BJ195" s="187">
        <f t="shared" si="168"/>
        <v>0</v>
      </c>
      <c r="BK195" s="187">
        <f t="shared" si="169"/>
        <v>0</v>
      </c>
      <c r="BL195" s="187">
        <f t="shared" si="170"/>
        <v>0</v>
      </c>
      <c r="BM195" s="187">
        <f t="shared" si="171"/>
        <v>0</v>
      </c>
      <c r="BN195" s="188">
        <f t="shared" si="172"/>
        <v>2</v>
      </c>
      <c r="BO195" s="187">
        <f t="shared" si="173"/>
        <v>0</v>
      </c>
      <c r="BP195" s="187">
        <f t="shared" ref="BP195:BQ195" si="619">IF(G195=1,1,0)</f>
        <v>0</v>
      </c>
      <c r="BQ195" s="187">
        <f t="shared" si="619"/>
        <v>0</v>
      </c>
      <c r="BR195" s="187">
        <f t="shared" ref="BR195:BT195" si="620">IF(K195=1,1,0)</f>
        <v>0</v>
      </c>
      <c r="BS195" s="187">
        <f t="shared" si="620"/>
        <v>0</v>
      </c>
      <c r="BT195" s="187">
        <f t="shared" si="620"/>
        <v>0</v>
      </c>
      <c r="BU195" s="187">
        <f t="shared" ref="BU195:BV195" si="621">IF(P195=1,1,0)</f>
        <v>0</v>
      </c>
      <c r="BV195" s="187">
        <f t="shared" si="621"/>
        <v>0</v>
      </c>
      <c r="BW195" s="187">
        <f t="shared" si="177"/>
        <v>0</v>
      </c>
      <c r="BX195" s="187">
        <f t="shared" si="178"/>
        <v>0</v>
      </c>
      <c r="BY195" s="187">
        <f t="shared" si="179"/>
        <v>2</v>
      </c>
      <c r="BZ195" s="187">
        <f t="shared" si="180"/>
        <v>-4</v>
      </c>
      <c r="CA195" s="167">
        <f t="shared" si="181"/>
        <v>62</v>
      </c>
      <c r="CB195" s="167">
        <f t="shared" si="47"/>
        <v>94</v>
      </c>
      <c r="CC195" s="644">
        <f t="shared" si="48"/>
        <v>23</v>
      </c>
      <c r="CD195" s="644">
        <f t="shared" si="49"/>
        <v>19</v>
      </c>
      <c r="CE195" s="644">
        <f t="shared" si="50"/>
        <v>15</v>
      </c>
      <c r="CF195" s="644">
        <f t="shared" si="51"/>
        <v>15</v>
      </c>
      <c r="CG195" s="644">
        <f t="shared" si="52"/>
        <v>0</v>
      </c>
      <c r="CH195" s="644">
        <f t="shared" si="597"/>
        <v>7</v>
      </c>
      <c r="CI195" s="644">
        <f t="shared" si="54"/>
        <v>7</v>
      </c>
      <c r="CJ195" s="644">
        <f t="shared" si="55"/>
        <v>5</v>
      </c>
      <c r="CK195" s="644">
        <f t="shared" si="56"/>
        <v>0</v>
      </c>
      <c r="CL195" s="644">
        <f t="shared" si="57"/>
        <v>0</v>
      </c>
      <c r="CM195" s="644">
        <f t="shared" si="58"/>
        <v>0</v>
      </c>
      <c r="CN195" s="644">
        <f t="shared" si="59"/>
        <v>0</v>
      </c>
      <c r="CO195" s="644">
        <f t="shared" si="60"/>
        <v>3</v>
      </c>
      <c r="CP195" s="644">
        <f t="shared" si="61"/>
        <v>0</v>
      </c>
      <c r="CQ195" s="644">
        <f t="shared" si="62"/>
        <v>0</v>
      </c>
      <c r="CR195" s="644">
        <f t="shared" si="63"/>
        <v>2</v>
      </c>
      <c r="CS195" s="644">
        <f t="shared" si="64"/>
        <v>0</v>
      </c>
      <c r="CT195" s="644">
        <f t="shared" si="65"/>
        <v>0</v>
      </c>
      <c r="CU195" s="644">
        <f t="shared" si="66"/>
        <v>0</v>
      </c>
      <c r="CV195" s="644">
        <f t="shared" si="67"/>
        <v>0</v>
      </c>
      <c r="CW195" s="644">
        <f t="shared" si="68"/>
        <v>0</v>
      </c>
      <c r="CX195" s="644">
        <f t="shared" si="69"/>
        <v>0</v>
      </c>
      <c r="CY195" s="644">
        <f t="shared" si="70"/>
        <v>0</v>
      </c>
      <c r="CZ195" s="271" t="s">
        <v>754</v>
      </c>
      <c r="DA195" s="257"/>
    </row>
    <row r="196" spans="1:105">
      <c r="A196" s="249" t="s">
        <v>357</v>
      </c>
      <c r="B196" s="187"/>
      <c r="C196" s="187"/>
      <c r="D196" s="644"/>
      <c r="E196" s="644"/>
      <c r="F196" s="251">
        <v>1</v>
      </c>
      <c r="G196" s="251"/>
      <c r="H196" s="251"/>
      <c r="I196" s="251">
        <v>1</v>
      </c>
      <c r="J196" s="644"/>
      <c r="K196" s="644"/>
      <c r="L196" s="644"/>
      <c r="M196" s="644"/>
      <c r="N196" s="644"/>
      <c r="O196" s="644"/>
      <c r="P196" s="644"/>
      <c r="Q196" s="644"/>
      <c r="R196" s="644">
        <v>1</v>
      </c>
      <c r="S196" s="644"/>
      <c r="T196" s="644">
        <v>1</v>
      </c>
      <c r="U196" s="644">
        <v>1</v>
      </c>
      <c r="V196" s="644">
        <v>1</v>
      </c>
      <c r="W196" s="644"/>
      <c r="X196" s="644"/>
      <c r="Y196" s="644"/>
      <c r="Z196" s="644"/>
      <c r="AA196" s="644"/>
      <c r="AB196" s="644">
        <v>1</v>
      </c>
      <c r="AC196" s="644">
        <v>1</v>
      </c>
      <c r="AD196" s="258">
        <v>1</v>
      </c>
      <c r="AE196" s="644"/>
      <c r="AF196" s="644"/>
      <c r="AG196" s="644"/>
      <c r="AH196" s="644">
        <v>1</v>
      </c>
      <c r="AI196" s="644"/>
      <c r="AJ196" s="644"/>
      <c r="AK196" s="644"/>
      <c r="AL196" s="167">
        <v>10</v>
      </c>
      <c r="AM196" s="187" t="s">
        <v>138</v>
      </c>
      <c r="AN196" s="186">
        <v>41997</v>
      </c>
      <c r="AO196" s="187"/>
      <c r="AP196" s="187">
        <f t="shared" si="148"/>
        <v>13</v>
      </c>
      <c r="AQ196" s="187">
        <f t="shared" si="149"/>
        <v>13</v>
      </c>
      <c r="AR196" s="187">
        <f t="shared" si="150"/>
        <v>13</v>
      </c>
      <c r="AS196" s="187">
        <f t="shared" si="151"/>
        <v>13</v>
      </c>
      <c r="AT196" s="187">
        <f t="shared" si="152"/>
        <v>9</v>
      </c>
      <c r="AU196" s="187">
        <f t="shared" si="153"/>
        <v>0</v>
      </c>
      <c r="AV196" s="187">
        <f t="shared" si="154"/>
        <v>9</v>
      </c>
      <c r="AW196" s="187">
        <f t="shared" si="155"/>
        <v>0</v>
      </c>
      <c r="AX196" s="187">
        <f t="shared" si="156"/>
        <v>7</v>
      </c>
      <c r="AY196" s="187">
        <f t="shared" si="157"/>
        <v>0</v>
      </c>
      <c r="AZ196" s="187">
        <f t="shared" si="158"/>
        <v>7</v>
      </c>
      <c r="BA196" s="187">
        <f t="shared" si="159"/>
        <v>0</v>
      </c>
      <c r="BB196" s="187">
        <f t="shared" si="160"/>
        <v>0</v>
      </c>
      <c r="BC196" s="187">
        <f t="shared" si="161"/>
        <v>4</v>
      </c>
      <c r="BD196" s="187">
        <f t="shared" si="162"/>
        <v>0</v>
      </c>
      <c r="BE196" s="187">
        <f t="shared" si="163"/>
        <v>0</v>
      </c>
      <c r="BF196" s="187">
        <f t="shared" si="164"/>
        <v>0</v>
      </c>
      <c r="BG196" s="187">
        <f t="shared" si="165"/>
        <v>0</v>
      </c>
      <c r="BH196" s="187">
        <f t="shared" si="166"/>
        <v>0</v>
      </c>
      <c r="BI196" s="187">
        <f t="shared" si="167"/>
        <v>1</v>
      </c>
      <c r="BJ196" s="187">
        <f t="shared" si="168"/>
        <v>0</v>
      </c>
      <c r="BK196" s="187">
        <f t="shared" si="169"/>
        <v>0</v>
      </c>
      <c r="BL196" s="187">
        <f t="shared" si="170"/>
        <v>0</v>
      </c>
      <c r="BM196" s="187">
        <f t="shared" si="171"/>
        <v>0</v>
      </c>
      <c r="BN196" s="188">
        <f t="shared" si="172"/>
        <v>0</v>
      </c>
      <c r="BO196" s="187">
        <f t="shared" si="173"/>
        <v>0</v>
      </c>
      <c r="BP196" s="187">
        <f t="shared" ref="BP196:BQ196" si="622">IF(G196=1,1,0)</f>
        <v>0</v>
      </c>
      <c r="BQ196" s="187">
        <f t="shared" si="622"/>
        <v>0</v>
      </c>
      <c r="BR196" s="187">
        <f t="shared" ref="BR196:BT196" si="623">IF(K196=1,1,0)</f>
        <v>0</v>
      </c>
      <c r="BS196" s="187">
        <f t="shared" si="623"/>
        <v>0</v>
      </c>
      <c r="BT196" s="187">
        <f t="shared" si="623"/>
        <v>0</v>
      </c>
      <c r="BU196" s="187">
        <f t="shared" ref="BU196:BV196" si="624">IF(P196=1,1,0)</f>
        <v>0</v>
      </c>
      <c r="BV196" s="187">
        <f t="shared" si="624"/>
        <v>0</v>
      </c>
      <c r="BW196" s="187">
        <f t="shared" si="177"/>
        <v>0</v>
      </c>
      <c r="BX196" s="187">
        <f t="shared" si="178"/>
        <v>0</v>
      </c>
      <c r="BY196" s="187">
        <f t="shared" si="179"/>
        <v>0</v>
      </c>
      <c r="BZ196" s="187">
        <f t="shared" si="180"/>
        <v>0</v>
      </c>
      <c r="CA196" s="167">
        <f t="shared" si="181"/>
        <v>89</v>
      </c>
      <c r="CB196" s="167">
        <f t="shared" si="47"/>
        <v>90</v>
      </c>
      <c r="CC196" s="644">
        <f t="shared" si="48"/>
        <v>23</v>
      </c>
      <c r="CD196" s="644">
        <f t="shared" si="49"/>
        <v>19</v>
      </c>
      <c r="CE196" s="644">
        <f t="shared" si="50"/>
        <v>15</v>
      </c>
      <c r="CF196" s="644">
        <f t="shared" si="51"/>
        <v>0</v>
      </c>
      <c r="CG196" s="644">
        <f t="shared" si="52"/>
        <v>9</v>
      </c>
      <c r="CH196" s="644">
        <f t="shared" si="597"/>
        <v>7</v>
      </c>
      <c r="CI196" s="644">
        <f t="shared" si="54"/>
        <v>7</v>
      </c>
      <c r="CJ196" s="644">
        <f t="shared" si="55"/>
        <v>5</v>
      </c>
      <c r="CK196" s="644">
        <f t="shared" si="56"/>
        <v>5</v>
      </c>
      <c r="CL196" s="644">
        <f t="shared" si="57"/>
        <v>5</v>
      </c>
      <c r="CM196" s="644">
        <f t="shared" si="58"/>
        <v>0</v>
      </c>
      <c r="CN196" s="644">
        <f t="shared" si="59"/>
        <v>3</v>
      </c>
      <c r="CO196" s="644">
        <f t="shared" si="60"/>
        <v>0</v>
      </c>
      <c r="CP196" s="644">
        <f t="shared" si="61"/>
        <v>0</v>
      </c>
      <c r="CQ196" s="644">
        <f t="shared" si="62"/>
        <v>0</v>
      </c>
      <c r="CR196" s="644">
        <f t="shared" si="63"/>
        <v>0</v>
      </c>
      <c r="CS196" s="644">
        <f t="shared" si="64"/>
        <v>0</v>
      </c>
      <c r="CT196" s="644">
        <f t="shared" si="65"/>
        <v>0</v>
      </c>
      <c r="CU196" s="644">
        <f t="shared" si="66"/>
        <v>0</v>
      </c>
      <c r="CV196" s="644">
        <f t="shared" si="67"/>
        <v>1</v>
      </c>
      <c r="CW196" s="644">
        <f t="shared" si="68"/>
        <v>0</v>
      </c>
      <c r="CX196" s="644">
        <f t="shared" si="69"/>
        <v>0</v>
      </c>
      <c r="CY196" s="644">
        <f t="shared" si="70"/>
        <v>0</v>
      </c>
      <c r="CZ196" s="624" t="s">
        <v>756</v>
      </c>
      <c r="DA196" s="257"/>
    </row>
    <row r="197" spans="1:105">
      <c r="A197" s="249" t="s">
        <v>358</v>
      </c>
      <c r="B197" s="187"/>
      <c r="C197" s="187"/>
      <c r="D197" s="644"/>
      <c r="E197" s="644"/>
      <c r="F197" s="251"/>
      <c r="G197" s="251"/>
      <c r="H197" s="251"/>
      <c r="I197" s="251"/>
      <c r="J197" s="644"/>
      <c r="K197" s="644"/>
      <c r="L197" s="644"/>
      <c r="M197" s="644"/>
      <c r="N197" s="644"/>
      <c r="O197" s="644"/>
      <c r="P197" s="644"/>
      <c r="Q197" s="644"/>
      <c r="R197" s="644">
        <v>1</v>
      </c>
      <c r="S197" s="644"/>
      <c r="T197" s="644"/>
      <c r="U197" s="644">
        <v>1</v>
      </c>
      <c r="V197" s="644"/>
      <c r="W197" s="644"/>
      <c r="X197" s="644"/>
      <c r="Y197" s="644"/>
      <c r="Z197" s="644"/>
      <c r="AA197" s="644"/>
      <c r="AB197" s="644"/>
      <c r="AC197" s="258">
        <v>1</v>
      </c>
      <c r="AD197" s="644">
        <v>1</v>
      </c>
      <c r="AE197" s="644"/>
      <c r="AF197" s="644"/>
      <c r="AG197" s="644"/>
      <c r="AH197" s="644">
        <v>1</v>
      </c>
      <c r="AI197" s="644"/>
      <c r="AJ197" s="644">
        <v>1</v>
      </c>
      <c r="AK197" s="644"/>
      <c r="AL197" s="167">
        <v>6</v>
      </c>
      <c r="AM197" s="185" t="s">
        <v>1248</v>
      </c>
      <c r="AN197" s="186">
        <v>41989</v>
      </c>
      <c r="AO197" s="187"/>
      <c r="AP197" s="187">
        <f t="shared" si="148"/>
        <v>0</v>
      </c>
      <c r="AQ197" s="187">
        <f t="shared" si="149"/>
        <v>0</v>
      </c>
      <c r="AR197" s="187">
        <f t="shared" si="150"/>
        <v>13</v>
      </c>
      <c r="AS197" s="187">
        <f t="shared" si="151"/>
        <v>13</v>
      </c>
      <c r="AT197" s="187">
        <f t="shared" si="152"/>
        <v>0</v>
      </c>
      <c r="AU197" s="187">
        <f t="shared" si="153"/>
        <v>0</v>
      </c>
      <c r="AV197" s="187">
        <f t="shared" si="154"/>
        <v>9</v>
      </c>
      <c r="AW197" s="187">
        <f t="shared" si="155"/>
        <v>7</v>
      </c>
      <c r="AX197" s="187">
        <f t="shared" si="156"/>
        <v>7</v>
      </c>
      <c r="AY197" s="187">
        <f t="shared" si="157"/>
        <v>0</v>
      </c>
      <c r="AZ197" s="187">
        <f t="shared" si="158"/>
        <v>7</v>
      </c>
      <c r="BA197" s="187">
        <f t="shared" si="159"/>
        <v>0</v>
      </c>
      <c r="BB197" s="187">
        <f t="shared" si="160"/>
        <v>0</v>
      </c>
      <c r="BC197" s="187">
        <f t="shared" si="161"/>
        <v>0</v>
      </c>
      <c r="BD197" s="187">
        <f t="shared" si="162"/>
        <v>0</v>
      </c>
      <c r="BE197" s="187">
        <f t="shared" si="163"/>
        <v>0</v>
      </c>
      <c r="BF197" s="187">
        <f t="shared" si="164"/>
        <v>0</v>
      </c>
      <c r="BG197" s="187">
        <f t="shared" si="165"/>
        <v>0</v>
      </c>
      <c r="BH197" s="187">
        <f t="shared" si="166"/>
        <v>0</v>
      </c>
      <c r="BI197" s="187">
        <f t="shared" si="167"/>
        <v>0</v>
      </c>
      <c r="BJ197" s="187">
        <f t="shared" si="168"/>
        <v>0</v>
      </c>
      <c r="BK197" s="187">
        <f t="shared" si="169"/>
        <v>0</v>
      </c>
      <c r="BL197" s="187">
        <f t="shared" si="170"/>
        <v>0</v>
      </c>
      <c r="BM197" s="187">
        <f t="shared" si="171"/>
        <v>0</v>
      </c>
      <c r="BN197" s="188">
        <f t="shared" si="172"/>
        <v>4</v>
      </c>
      <c r="BO197" s="187">
        <f t="shared" si="173"/>
        <v>0</v>
      </c>
      <c r="BP197" s="187">
        <f t="shared" ref="BP197:BQ197" si="625">IF(G197=1,1,0)</f>
        <v>0</v>
      </c>
      <c r="BQ197" s="187">
        <f t="shared" si="625"/>
        <v>0</v>
      </c>
      <c r="BR197" s="187">
        <f t="shared" ref="BR197:BT197" si="626">IF(K197=1,1,0)</f>
        <v>0</v>
      </c>
      <c r="BS197" s="187">
        <f t="shared" si="626"/>
        <v>0</v>
      </c>
      <c r="BT197" s="187">
        <f t="shared" si="626"/>
        <v>0</v>
      </c>
      <c r="BU197" s="187">
        <f t="shared" ref="BU197:BV197" si="627">IF(P197=1,1,0)</f>
        <v>0</v>
      </c>
      <c r="BV197" s="187">
        <f t="shared" si="627"/>
        <v>0</v>
      </c>
      <c r="BW197" s="187">
        <f t="shared" si="177"/>
        <v>0</v>
      </c>
      <c r="BX197" s="187">
        <f t="shared" si="178"/>
        <v>0</v>
      </c>
      <c r="BY197" s="187">
        <f t="shared" si="179"/>
        <v>4</v>
      </c>
      <c r="BZ197" s="187">
        <f t="shared" si="180"/>
        <v>-16</v>
      </c>
      <c r="CA197" s="167">
        <f t="shared" si="181"/>
        <v>40</v>
      </c>
      <c r="CB197" s="167">
        <f t="shared" si="47"/>
        <v>72</v>
      </c>
      <c r="CC197" s="644">
        <f t="shared" si="48"/>
        <v>23</v>
      </c>
      <c r="CD197" s="644">
        <f t="shared" si="49"/>
        <v>19</v>
      </c>
      <c r="CE197" s="644">
        <f t="shared" si="50"/>
        <v>15</v>
      </c>
      <c r="CF197" s="644">
        <f t="shared" si="51"/>
        <v>0</v>
      </c>
      <c r="CG197" s="644">
        <f t="shared" si="52"/>
        <v>0</v>
      </c>
      <c r="CH197" s="644">
        <f t="shared" si="597"/>
        <v>0</v>
      </c>
      <c r="CI197" s="644">
        <f t="shared" si="54"/>
        <v>7</v>
      </c>
      <c r="CJ197" s="644">
        <f t="shared" si="55"/>
        <v>5</v>
      </c>
      <c r="CK197" s="644">
        <f t="shared" si="56"/>
        <v>0</v>
      </c>
      <c r="CL197" s="644">
        <f t="shared" si="57"/>
        <v>0</v>
      </c>
      <c r="CM197" s="644">
        <f t="shared" si="58"/>
        <v>0</v>
      </c>
      <c r="CN197" s="644">
        <f t="shared" si="59"/>
        <v>0</v>
      </c>
      <c r="CO197" s="644">
        <f t="shared" si="60"/>
        <v>3</v>
      </c>
      <c r="CP197" s="644">
        <f t="shared" si="61"/>
        <v>0</v>
      </c>
      <c r="CQ197" s="644">
        <f t="shared" si="62"/>
        <v>0</v>
      </c>
      <c r="CR197" s="644">
        <f t="shared" si="63"/>
        <v>0</v>
      </c>
      <c r="CS197" s="644">
        <f t="shared" si="64"/>
        <v>0</v>
      </c>
      <c r="CT197" s="644">
        <f t="shared" si="65"/>
        <v>0</v>
      </c>
      <c r="CU197" s="644">
        <f t="shared" si="66"/>
        <v>0</v>
      </c>
      <c r="CV197" s="644">
        <f t="shared" si="67"/>
        <v>0</v>
      </c>
      <c r="CW197" s="644">
        <f t="shared" si="68"/>
        <v>0</v>
      </c>
      <c r="CX197" s="644">
        <f t="shared" si="69"/>
        <v>0</v>
      </c>
      <c r="CY197" s="644">
        <f t="shared" si="70"/>
        <v>0</v>
      </c>
      <c r="CZ197" s="624" t="s">
        <v>740</v>
      </c>
      <c r="DA197" s="257"/>
    </row>
    <row r="198" spans="1:105">
      <c r="A198" s="249" t="s">
        <v>360</v>
      </c>
      <c r="B198" s="187"/>
      <c r="C198" s="187"/>
      <c r="D198" s="644"/>
      <c r="E198" s="644">
        <v>1</v>
      </c>
      <c r="F198" s="251">
        <v>1</v>
      </c>
      <c r="G198" s="251"/>
      <c r="H198" s="251"/>
      <c r="I198" s="251">
        <v>1</v>
      </c>
      <c r="J198" s="644"/>
      <c r="K198" s="644"/>
      <c r="L198" s="644"/>
      <c r="M198" s="644"/>
      <c r="N198" s="644"/>
      <c r="O198" s="644"/>
      <c r="P198" s="644"/>
      <c r="Q198" s="644"/>
      <c r="R198" s="644">
        <v>1</v>
      </c>
      <c r="S198" s="644"/>
      <c r="T198" s="644">
        <v>1</v>
      </c>
      <c r="U198" s="644">
        <v>1</v>
      </c>
      <c r="V198" s="644"/>
      <c r="W198" s="644"/>
      <c r="X198" s="644"/>
      <c r="Y198" s="644"/>
      <c r="Z198" s="644"/>
      <c r="AA198" s="644"/>
      <c r="AB198" s="644"/>
      <c r="AC198" s="644">
        <v>1</v>
      </c>
      <c r="AD198" s="644">
        <v>1</v>
      </c>
      <c r="AE198" s="644"/>
      <c r="AF198" s="644"/>
      <c r="AG198" s="644"/>
      <c r="AH198" s="644">
        <v>1</v>
      </c>
      <c r="AI198" s="644"/>
      <c r="AJ198" s="644"/>
      <c r="AK198" s="644"/>
      <c r="AL198" s="167">
        <v>9</v>
      </c>
      <c r="AM198" s="185" t="s">
        <v>1105</v>
      </c>
      <c r="AN198" s="186">
        <v>42010</v>
      </c>
      <c r="AO198" s="187"/>
      <c r="AP198" s="187">
        <f t="shared" si="148"/>
        <v>13</v>
      </c>
      <c r="AQ198" s="187">
        <f t="shared" si="149"/>
        <v>13</v>
      </c>
      <c r="AR198" s="187">
        <f t="shared" si="150"/>
        <v>13</v>
      </c>
      <c r="AS198" s="187">
        <f t="shared" si="151"/>
        <v>13</v>
      </c>
      <c r="AT198" s="187">
        <f t="shared" si="152"/>
        <v>0</v>
      </c>
      <c r="AU198" s="187">
        <f t="shared" si="153"/>
        <v>0</v>
      </c>
      <c r="AV198" s="187">
        <f t="shared" si="154"/>
        <v>9</v>
      </c>
      <c r="AW198" s="187">
        <f t="shared" si="155"/>
        <v>0</v>
      </c>
      <c r="AX198" s="187">
        <f t="shared" si="156"/>
        <v>7</v>
      </c>
      <c r="AY198" s="187">
        <f t="shared" si="157"/>
        <v>0</v>
      </c>
      <c r="AZ198" s="187">
        <f t="shared" si="158"/>
        <v>7</v>
      </c>
      <c r="BA198" s="187">
        <f t="shared" si="159"/>
        <v>7</v>
      </c>
      <c r="BB198" s="187">
        <f t="shared" si="160"/>
        <v>0</v>
      </c>
      <c r="BC198" s="187">
        <f t="shared" si="161"/>
        <v>4</v>
      </c>
      <c r="BD198" s="187">
        <f t="shared" si="162"/>
        <v>0</v>
      </c>
      <c r="BE198" s="187">
        <f t="shared" si="163"/>
        <v>0</v>
      </c>
      <c r="BF198" s="187">
        <f t="shared" si="164"/>
        <v>0</v>
      </c>
      <c r="BG198" s="187">
        <f t="shared" si="165"/>
        <v>0</v>
      </c>
      <c r="BH198" s="187">
        <f t="shared" si="166"/>
        <v>0</v>
      </c>
      <c r="BI198" s="187">
        <f t="shared" si="167"/>
        <v>0</v>
      </c>
      <c r="BJ198" s="187">
        <f t="shared" si="168"/>
        <v>0</v>
      </c>
      <c r="BK198" s="187">
        <f t="shared" si="169"/>
        <v>0</v>
      </c>
      <c r="BL198" s="187">
        <f t="shared" si="170"/>
        <v>0</v>
      </c>
      <c r="BM198" s="187">
        <f t="shared" si="171"/>
        <v>0</v>
      </c>
      <c r="BN198" s="188">
        <f t="shared" si="172"/>
        <v>1</v>
      </c>
      <c r="BO198" s="187">
        <f t="shared" si="173"/>
        <v>0</v>
      </c>
      <c r="BP198" s="187">
        <f t="shared" ref="BP198:BQ198" si="628">IF(G198=1,1,0)</f>
        <v>0</v>
      </c>
      <c r="BQ198" s="187">
        <f t="shared" si="628"/>
        <v>0</v>
      </c>
      <c r="BR198" s="187">
        <f t="shared" ref="BR198:BT198" si="629">IF(K198=1,1,0)</f>
        <v>0</v>
      </c>
      <c r="BS198" s="187">
        <f t="shared" si="629"/>
        <v>0</v>
      </c>
      <c r="BT198" s="187">
        <f t="shared" si="629"/>
        <v>0</v>
      </c>
      <c r="BU198" s="187">
        <f t="shared" ref="BU198:BV198" si="630">IF(P198=1,1,0)</f>
        <v>0</v>
      </c>
      <c r="BV198" s="187">
        <f t="shared" si="630"/>
        <v>0</v>
      </c>
      <c r="BW198" s="187">
        <f t="shared" si="177"/>
        <v>0</v>
      </c>
      <c r="BX198" s="187">
        <f t="shared" si="178"/>
        <v>0</v>
      </c>
      <c r="BY198" s="187">
        <f t="shared" si="179"/>
        <v>1</v>
      </c>
      <c r="BZ198" s="187">
        <f t="shared" si="180"/>
        <v>-1</v>
      </c>
      <c r="CA198" s="167">
        <f t="shared" si="181"/>
        <v>85</v>
      </c>
      <c r="CB198" s="167">
        <f t="shared" si="47"/>
        <v>94</v>
      </c>
      <c r="CC198" s="644">
        <f t="shared" si="48"/>
        <v>23</v>
      </c>
      <c r="CD198" s="644">
        <f t="shared" si="49"/>
        <v>19</v>
      </c>
      <c r="CE198" s="644">
        <f t="shared" si="50"/>
        <v>15</v>
      </c>
      <c r="CF198" s="644">
        <f t="shared" si="51"/>
        <v>15</v>
      </c>
      <c r="CG198" s="644">
        <f t="shared" si="52"/>
        <v>0</v>
      </c>
      <c r="CH198" s="644">
        <f t="shared" si="597"/>
        <v>0</v>
      </c>
      <c r="CI198" s="644">
        <f t="shared" si="54"/>
        <v>7</v>
      </c>
      <c r="CJ198" s="644">
        <f t="shared" si="55"/>
        <v>5</v>
      </c>
      <c r="CK198" s="644">
        <f t="shared" si="56"/>
        <v>5</v>
      </c>
      <c r="CL198" s="644">
        <f t="shared" si="57"/>
        <v>5</v>
      </c>
      <c r="CM198" s="644">
        <f t="shared" si="58"/>
        <v>0</v>
      </c>
      <c r="CN198" s="644">
        <f t="shared" si="59"/>
        <v>3</v>
      </c>
      <c r="CO198" s="644">
        <f t="shared" si="60"/>
        <v>0</v>
      </c>
      <c r="CP198" s="644">
        <f t="shared" si="61"/>
        <v>0</v>
      </c>
      <c r="CQ198" s="644">
        <f t="shared" si="62"/>
        <v>0</v>
      </c>
      <c r="CR198" s="644">
        <f t="shared" si="63"/>
        <v>0</v>
      </c>
      <c r="CS198" s="644">
        <f t="shared" si="64"/>
        <v>0</v>
      </c>
      <c r="CT198" s="644">
        <f t="shared" si="65"/>
        <v>0</v>
      </c>
      <c r="CU198" s="644">
        <f t="shared" si="66"/>
        <v>0</v>
      </c>
      <c r="CV198" s="644">
        <f t="shared" si="67"/>
        <v>0</v>
      </c>
      <c r="CW198" s="644">
        <f t="shared" si="68"/>
        <v>0</v>
      </c>
      <c r="CX198" s="644">
        <f t="shared" si="69"/>
        <v>0</v>
      </c>
      <c r="CY198" s="644">
        <f t="shared" si="70"/>
        <v>0</v>
      </c>
      <c r="CZ198" s="624" t="s">
        <v>756</v>
      </c>
      <c r="DA198" s="257"/>
    </row>
    <row r="199" spans="1:105">
      <c r="A199" s="249" t="s">
        <v>361</v>
      </c>
      <c r="B199" s="187"/>
      <c r="C199" s="187"/>
      <c r="D199" s="644">
        <v>1</v>
      </c>
      <c r="E199" s="644">
        <v>1</v>
      </c>
      <c r="F199" s="251"/>
      <c r="G199" s="251"/>
      <c r="H199" s="251"/>
      <c r="I199" s="251"/>
      <c r="J199" s="644"/>
      <c r="K199" s="644"/>
      <c r="L199" s="644"/>
      <c r="M199" s="644"/>
      <c r="N199" s="644"/>
      <c r="O199" s="644"/>
      <c r="P199" s="644"/>
      <c r="Q199" s="644"/>
      <c r="R199" s="644">
        <v>1</v>
      </c>
      <c r="S199" s="644"/>
      <c r="T199" s="644">
        <v>1</v>
      </c>
      <c r="U199" s="644">
        <v>1</v>
      </c>
      <c r="V199" s="644"/>
      <c r="W199" s="644"/>
      <c r="X199" s="644"/>
      <c r="Y199" s="644"/>
      <c r="Z199" s="644"/>
      <c r="AA199" s="644"/>
      <c r="AB199" s="644">
        <v>1</v>
      </c>
      <c r="AC199" s="644"/>
      <c r="AD199" s="644"/>
      <c r="AE199" s="644"/>
      <c r="AF199" s="644"/>
      <c r="AG199" s="644"/>
      <c r="AH199" s="644">
        <v>1</v>
      </c>
      <c r="AI199" s="644"/>
      <c r="AJ199" s="644"/>
      <c r="AK199" s="644"/>
      <c r="AL199" s="167">
        <v>7</v>
      </c>
      <c r="AM199" s="185" t="s">
        <v>1249</v>
      </c>
      <c r="AN199" s="186">
        <v>42009</v>
      </c>
      <c r="AO199" s="187"/>
      <c r="AP199" s="187">
        <f t="shared" si="148"/>
        <v>0</v>
      </c>
      <c r="AQ199" s="187">
        <f t="shared" si="149"/>
        <v>0</v>
      </c>
      <c r="AR199" s="187">
        <f t="shared" si="150"/>
        <v>13</v>
      </c>
      <c r="AS199" s="187">
        <f t="shared" si="151"/>
        <v>13</v>
      </c>
      <c r="AT199" s="187">
        <f t="shared" si="152"/>
        <v>9</v>
      </c>
      <c r="AU199" s="187">
        <f t="shared" si="153"/>
        <v>9</v>
      </c>
      <c r="AV199" s="187">
        <f t="shared" si="154"/>
        <v>0</v>
      </c>
      <c r="AW199" s="187">
        <f t="shared" si="155"/>
        <v>0</v>
      </c>
      <c r="AX199" s="187">
        <f t="shared" si="156"/>
        <v>0</v>
      </c>
      <c r="AY199" s="187">
        <f t="shared" si="157"/>
        <v>0</v>
      </c>
      <c r="AZ199" s="187">
        <f t="shared" si="158"/>
        <v>7</v>
      </c>
      <c r="BA199" s="187">
        <f t="shared" si="159"/>
        <v>7</v>
      </c>
      <c r="BB199" s="187">
        <f t="shared" si="160"/>
        <v>0</v>
      </c>
      <c r="BC199" s="187">
        <f t="shared" si="161"/>
        <v>4</v>
      </c>
      <c r="BD199" s="187">
        <f t="shared" si="162"/>
        <v>0</v>
      </c>
      <c r="BE199" s="187">
        <f t="shared" si="163"/>
        <v>0</v>
      </c>
      <c r="BF199" s="187">
        <f t="shared" si="164"/>
        <v>0</v>
      </c>
      <c r="BG199" s="187">
        <f t="shared" si="165"/>
        <v>0</v>
      </c>
      <c r="BH199" s="187">
        <f t="shared" si="166"/>
        <v>0</v>
      </c>
      <c r="BI199" s="187">
        <f t="shared" si="167"/>
        <v>0</v>
      </c>
      <c r="BJ199" s="187">
        <f t="shared" si="168"/>
        <v>0</v>
      </c>
      <c r="BK199" s="187">
        <f t="shared" si="169"/>
        <v>0</v>
      </c>
      <c r="BL199" s="187">
        <f t="shared" si="170"/>
        <v>0</v>
      </c>
      <c r="BM199" s="187">
        <f t="shared" si="171"/>
        <v>0</v>
      </c>
      <c r="BN199" s="188">
        <f t="shared" si="172"/>
        <v>3</v>
      </c>
      <c r="BO199" s="187">
        <f t="shared" si="173"/>
        <v>0</v>
      </c>
      <c r="BP199" s="187">
        <f t="shared" ref="BP199:BQ199" si="631">IF(G199=1,1,0)</f>
        <v>0</v>
      </c>
      <c r="BQ199" s="187">
        <f t="shared" si="631"/>
        <v>0</v>
      </c>
      <c r="BR199" s="187">
        <f t="shared" ref="BR199:BT199" si="632">IF(K199=1,1,0)</f>
        <v>0</v>
      </c>
      <c r="BS199" s="187">
        <f t="shared" si="632"/>
        <v>0</v>
      </c>
      <c r="BT199" s="187">
        <f t="shared" si="632"/>
        <v>0</v>
      </c>
      <c r="BU199" s="187">
        <f t="shared" ref="BU199:BV199" si="633">IF(P199=1,1,0)</f>
        <v>0</v>
      </c>
      <c r="BV199" s="187">
        <f t="shared" si="633"/>
        <v>0</v>
      </c>
      <c r="BW199" s="187">
        <f t="shared" si="177"/>
        <v>0</v>
      </c>
      <c r="BX199" s="187">
        <f t="shared" si="178"/>
        <v>0</v>
      </c>
      <c r="BY199" s="187">
        <f t="shared" si="179"/>
        <v>3</v>
      </c>
      <c r="BZ199" s="187">
        <f t="shared" si="180"/>
        <v>-9</v>
      </c>
      <c r="CA199" s="167">
        <f t="shared" si="181"/>
        <v>53</v>
      </c>
      <c r="CB199" s="167">
        <f t="shared" si="47"/>
        <v>91</v>
      </c>
      <c r="CC199" s="644">
        <f t="shared" si="48"/>
        <v>23</v>
      </c>
      <c r="CD199" s="644">
        <f t="shared" si="49"/>
        <v>19</v>
      </c>
      <c r="CE199" s="644">
        <f t="shared" si="50"/>
        <v>15</v>
      </c>
      <c r="CF199" s="644">
        <f t="shared" si="51"/>
        <v>15</v>
      </c>
      <c r="CG199" s="644">
        <f t="shared" si="52"/>
        <v>9</v>
      </c>
      <c r="CH199" s="644">
        <f t="shared" si="597"/>
        <v>7</v>
      </c>
      <c r="CI199" s="644">
        <f t="shared" si="54"/>
        <v>0</v>
      </c>
      <c r="CJ199" s="644">
        <f t="shared" si="55"/>
        <v>0</v>
      </c>
      <c r="CK199" s="644">
        <f t="shared" si="56"/>
        <v>0</v>
      </c>
      <c r="CL199" s="644">
        <f t="shared" si="57"/>
        <v>0</v>
      </c>
      <c r="CM199" s="644">
        <f t="shared" si="58"/>
        <v>0</v>
      </c>
      <c r="CN199" s="644">
        <f t="shared" si="59"/>
        <v>3</v>
      </c>
      <c r="CO199" s="644">
        <f t="shared" si="60"/>
        <v>0</v>
      </c>
      <c r="CP199" s="644">
        <f t="shared" si="61"/>
        <v>0</v>
      </c>
      <c r="CQ199" s="644">
        <f t="shared" si="62"/>
        <v>0</v>
      </c>
      <c r="CR199" s="644">
        <f t="shared" si="63"/>
        <v>0</v>
      </c>
      <c r="CS199" s="644">
        <f t="shared" si="64"/>
        <v>0</v>
      </c>
      <c r="CT199" s="644">
        <f t="shared" si="65"/>
        <v>0</v>
      </c>
      <c r="CU199" s="644">
        <f t="shared" si="66"/>
        <v>0</v>
      </c>
      <c r="CV199" s="644">
        <f t="shared" si="67"/>
        <v>0</v>
      </c>
      <c r="CW199" s="644">
        <f t="shared" si="68"/>
        <v>0</v>
      </c>
      <c r="CX199" s="644">
        <f t="shared" si="69"/>
        <v>0</v>
      </c>
      <c r="CY199" s="644">
        <f t="shared" si="70"/>
        <v>0</v>
      </c>
      <c r="CZ199" s="624" t="s">
        <v>748</v>
      </c>
      <c r="DA199" s="257"/>
    </row>
    <row r="200" spans="1:105" ht="25.5">
      <c r="A200" s="249" t="s">
        <v>938</v>
      </c>
      <c r="B200" s="187"/>
      <c r="C200" s="187"/>
      <c r="D200" s="258">
        <v>1</v>
      </c>
      <c r="E200" s="644">
        <v>1</v>
      </c>
      <c r="F200" s="251">
        <v>1</v>
      </c>
      <c r="G200" s="251"/>
      <c r="H200" s="251"/>
      <c r="I200" s="251">
        <v>1</v>
      </c>
      <c r="J200" s="644"/>
      <c r="K200" s="644"/>
      <c r="L200" s="644"/>
      <c r="M200" s="644"/>
      <c r="N200" s="644"/>
      <c r="O200" s="644"/>
      <c r="P200" s="644"/>
      <c r="Q200" s="644"/>
      <c r="R200" s="644">
        <v>1</v>
      </c>
      <c r="S200" s="644">
        <v>1</v>
      </c>
      <c r="T200" s="644">
        <v>1</v>
      </c>
      <c r="U200" s="644">
        <v>1</v>
      </c>
      <c r="V200" s="644"/>
      <c r="W200" s="644"/>
      <c r="X200" s="644"/>
      <c r="Y200" s="644"/>
      <c r="Z200" s="250"/>
      <c r="AA200" s="644"/>
      <c r="AB200" s="258">
        <v>1</v>
      </c>
      <c r="AC200" s="644"/>
      <c r="AD200" s="644"/>
      <c r="AE200" s="644"/>
      <c r="AF200" s="644"/>
      <c r="AG200" s="644">
        <v>1</v>
      </c>
      <c r="AH200" s="644"/>
      <c r="AI200" s="644"/>
      <c r="AJ200" s="644"/>
      <c r="AK200" s="644"/>
      <c r="AL200" s="167">
        <v>10</v>
      </c>
      <c r="AM200" s="185" t="s">
        <v>1221</v>
      </c>
      <c r="AN200" s="186">
        <v>42009</v>
      </c>
      <c r="AO200" s="187"/>
      <c r="AP200" s="187">
        <f t="shared" si="148"/>
        <v>13</v>
      </c>
      <c r="AQ200" s="187">
        <f t="shared" si="149"/>
        <v>13</v>
      </c>
      <c r="AR200" s="187">
        <f t="shared" si="150"/>
        <v>13</v>
      </c>
      <c r="AS200" s="187">
        <f t="shared" si="151"/>
        <v>13</v>
      </c>
      <c r="AT200" s="187">
        <f t="shared" si="152"/>
        <v>9</v>
      </c>
      <c r="AU200" s="187">
        <f t="shared" si="153"/>
        <v>9</v>
      </c>
      <c r="AV200" s="187">
        <f t="shared" si="154"/>
        <v>0</v>
      </c>
      <c r="AW200" s="187">
        <f t="shared" si="155"/>
        <v>0</v>
      </c>
      <c r="AX200" s="187">
        <f t="shared" si="156"/>
        <v>0</v>
      </c>
      <c r="AY200" s="187">
        <f t="shared" si="157"/>
        <v>0</v>
      </c>
      <c r="AZ200" s="187">
        <f t="shared" si="158"/>
        <v>0</v>
      </c>
      <c r="BA200" s="187">
        <f t="shared" si="159"/>
        <v>7</v>
      </c>
      <c r="BB200" s="187">
        <f t="shared" si="160"/>
        <v>0</v>
      </c>
      <c r="BC200" s="187">
        <f t="shared" si="161"/>
        <v>4</v>
      </c>
      <c r="BD200" s="187">
        <f t="shared" si="162"/>
        <v>0</v>
      </c>
      <c r="BE200" s="187">
        <f t="shared" si="163"/>
        <v>0</v>
      </c>
      <c r="BF200" s="187">
        <f t="shared" si="164"/>
        <v>0</v>
      </c>
      <c r="BG200" s="187">
        <f t="shared" si="165"/>
        <v>0</v>
      </c>
      <c r="BH200" s="187">
        <f t="shared" si="166"/>
        <v>2</v>
      </c>
      <c r="BI200" s="187">
        <f t="shared" si="167"/>
        <v>0</v>
      </c>
      <c r="BJ200" s="187">
        <f t="shared" si="168"/>
        <v>1</v>
      </c>
      <c r="BK200" s="187">
        <f t="shared" si="169"/>
        <v>0</v>
      </c>
      <c r="BL200" s="187">
        <f t="shared" si="170"/>
        <v>0</v>
      </c>
      <c r="BM200" s="187">
        <f t="shared" si="171"/>
        <v>0</v>
      </c>
      <c r="BN200" s="188">
        <f t="shared" si="172"/>
        <v>0</v>
      </c>
      <c r="BO200" s="187">
        <f t="shared" si="173"/>
        <v>0</v>
      </c>
      <c r="BP200" s="187">
        <f t="shared" ref="BP200:BQ200" si="634">IF(G200=1,1,0)</f>
        <v>0</v>
      </c>
      <c r="BQ200" s="187">
        <f t="shared" si="634"/>
        <v>0</v>
      </c>
      <c r="BR200" s="187">
        <f t="shared" ref="BR200:BT200" si="635">IF(K200=1,1,0)</f>
        <v>0</v>
      </c>
      <c r="BS200" s="187">
        <f t="shared" si="635"/>
        <v>0</v>
      </c>
      <c r="BT200" s="187">
        <f t="shared" si="635"/>
        <v>0</v>
      </c>
      <c r="BU200" s="187">
        <f t="shared" ref="BU200:BV200" si="636">IF(P200=1,1,0)</f>
        <v>0</v>
      </c>
      <c r="BV200" s="187">
        <f t="shared" si="636"/>
        <v>0</v>
      </c>
      <c r="BW200" s="187">
        <f t="shared" si="177"/>
        <v>0</v>
      </c>
      <c r="BX200" s="187">
        <f t="shared" si="178"/>
        <v>0</v>
      </c>
      <c r="BY200" s="187">
        <f t="shared" si="179"/>
        <v>0</v>
      </c>
      <c r="BZ200" s="187">
        <f t="shared" si="180"/>
        <v>0</v>
      </c>
      <c r="CA200" s="167">
        <f t="shared" si="181"/>
        <v>84</v>
      </c>
      <c r="CB200" s="167">
        <f t="shared" si="47"/>
        <v>82</v>
      </c>
      <c r="CC200" s="644">
        <f t="shared" si="48"/>
        <v>23</v>
      </c>
      <c r="CD200" s="644">
        <f t="shared" si="49"/>
        <v>19</v>
      </c>
      <c r="CE200" s="644">
        <f t="shared" si="50"/>
        <v>0</v>
      </c>
      <c r="CF200" s="644">
        <f t="shared" si="51"/>
        <v>15</v>
      </c>
      <c r="CG200" s="644">
        <f t="shared" si="52"/>
        <v>9</v>
      </c>
      <c r="CH200" s="644">
        <f t="shared" si="597"/>
        <v>0</v>
      </c>
      <c r="CI200" s="644">
        <f t="shared" si="54"/>
        <v>0</v>
      </c>
      <c r="CJ200" s="644">
        <f t="shared" si="55"/>
        <v>0</v>
      </c>
      <c r="CK200" s="644">
        <f t="shared" si="56"/>
        <v>5</v>
      </c>
      <c r="CL200" s="644">
        <f t="shared" si="57"/>
        <v>5</v>
      </c>
      <c r="CM200" s="644">
        <f t="shared" si="58"/>
        <v>3</v>
      </c>
      <c r="CN200" s="644">
        <f t="shared" si="59"/>
        <v>3</v>
      </c>
      <c r="CO200" s="644">
        <f t="shared" si="60"/>
        <v>0</v>
      </c>
      <c r="CP200" s="644">
        <f t="shared" si="61"/>
        <v>0</v>
      </c>
      <c r="CQ200" s="644">
        <f t="shared" si="62"/>
        <v>2</v>
      </c>
      <c r="CR200" s="644">
        <f t="shared" si="63"/>
        <v>0</v>
      </c>
      <c r="CS200" s="644">
        <f t="shared" si="64"/>
        <v>0</v>
      </c>
      <c r="CT200" s="644">
        <f t="shared" si="65"/>
        <v>0</v>
      </c>
      <c r="CU200" s="644">
        <f t="shared" si="66"/>
        <v>0</v>
      </c>
      <c r="CV200" s="644">
        <f t="shared" si="67"/>
        <v>0</v>
      </c>
      <c r="CW200" s="644">
        <f t="shared" si="68"/>
        <v>0</v>
      </c>
      <c r="CX200" s="644">
        <f t="shared" si="69"/>
        <v>0</v>
      </c>
      <c r="CY200" s="644">
        <f t="shared" si="70"/>
        <v>0</v>
      </c>
      <c r="CZ200" s="624" t="s">
        <v>743</v>
      </c>
      <c r="DA200" s="257"/>
    </row>
    <row r="201" spans="1:105">
      <c r="A201" s="249" t="s">
        <v>362</v>
      </c>
      <c r="B201" s="187"/>
      <c r="C201" s="187"/>
      <c r="D201" s="644">
        <v>1</v>
      </c>
      <c r="E201" s="258">
        <v>1</v>
      </c>
      <c r="F201" s="251">
        <v>1</v>
      </c>
      <c r="G201" s="251"/>
      <c r="H201" s="251"/>
      <c r="I201" s="251">
        <v>1</v>
      </c>
      <c r="J201" s="644"/>
      <c r="K201" s="644"/>
      <c r="L201" s="644"/>
      <c r="M201" s="644"/>
      <c r="N201" s="644"/>
      <c r="O201" s="644"/>
      <c r="P201" s="644"/>
      <c r="Q201" s="644"/>
      <c r="R201" s="644">
        <v>1</v>
      </c>
      <c r="S201" s="644"/>
      <c r="T201" s="644"/>
      <c r="U201" s="644">
        <v>1</v>
      </c>
      <c r="V201" s="644"/>
      <c r="W201" s="644"/>
      <c r="X201" s="644"/>
      <c r="Y201" s="644"/>
      <c r="Z201" s="644">
        <v>1</v>
      </c>
      <c r="AA201" s="644"/>
      <c r="AB201" s="644">
        <v>1</v>
      </c>
      <c r="AC201" s="251">
        <v>1</v>
      </c>
      <c r="AD201" s="644">
        <v>1</v>
      </c>
      <c r="AE201" s="644"/>
      <c r="AF201" s="644"/>
      <c r="AG201" s="644"/>
      <c r="AH201" s="644"/>
      <c r="AI201" s="644"/>
      <c r="AJ201" s="644"/>
      <c r="AK201" s="644"/>
      <c r="AL201" s="167">
        <v>10</v>
      </c>
      <c r="AM201" s="185" t="s">
        <v>1250</v>
      </c>
      <c r="AN201" s="186">
        <v>41998</v>
      </c>
      <c r="AO201" s="187"/>
      <c r="AP201" s="187">
        <f t="shared" si="148"/>
        <v>13</v>
      </c>
      <c r="AQ201" s="187">
        <f t="shared" si="149"/>
        <v>13</v>
      </c>
      <c r="AR201" s="187">
        <f t="shared" si="150"/>
        <v>13</v>
      </c>
      <c r="AS201" s="187">
        <f t="shared" si="151"/>
        <v>13</v>
      </c>
      <c r="AT201" s="187">
        <f t="shared" si="152"/>
        <v>9</v>
      </c>
      <c r="AU201" s="187">
        <f t="shared" si="153"/>
        <v>9</v>
      </c>
      <c r="AV201" s="187">
        <f t="shared" si="154"/>
        <v>9</v>
      </c>
      <c r="AW201" s="187">
        <f t="shared" si="155"/>
        <v>0</v>
      </c>
      <c r="AX201" s="187">
        <f t="shared" si="156"/>
        <v>7</v>
      </c>
      <c r="AY201" s="187">
        <f t="shared" si="157"/>
        <v>7</v>
      </c>
      <c r="AZ201" s="187">
        <f t="shared" si="158"/>
        <v>0</v>
      </c>
      <c r="BA201" s="187">
        <f t="shared" si="159"/>
        <v>7</v>
      </c>
      <c r="BB201" s="187">
        <f t="shared" si="160"/>
        <v>0</v>
      </c>
      <c r="BC201" s="187">
        <f t="shared" si="161"/>
        <v>0</v>
      </c>
      <c r="BD201" s="187">
        <f t="shared" si="162"/>
        <v>0</v>
      </c>
      <c r="BE201" s="187">
        <f t="shared" si="163"/>
        <v>0</v>
      </c>
      <c r="BF201" s="187">
        <f t="shared" si="164"/>
        <v>0</v>
      </c>
      <c r="BG201" s="187">
        <f t="shared" si="165"/>
        <v>0</v>
      </c>
      <c r="BH201" s="187">
        <f t="shared" si="166"/>
        <v>0</v>
      </c>
      <c r="BI201" s="187">
        <f t="shared" si="167"/>
        <v>0</v>
      </c>
      <c r="BJ201" s="187">
        <f t="shared" si="168"/>
        <v>0</v>
      </c>
      <c r="BK201" s="187">
        <f t="shared" si="169"/>
        <v>0</v>
      </c>
      <c r="BL201" s="187">
        <f t="shared" si="170"/>
        <v>0</v>
      </c>
      <c r="BM201" s="187">
        <f t="shared" si="171"/>
        <v>0</v>
      </c>
      <c r="BN201" s="188">
        <f t="shared" si="172"/>
        <v>0</v>
      </c>
      <c r="BO201" s="187">
        <f t="shared" si="173"/>
        <v>0</v>
      </c>
      <c r="BP201" s="187">
        <f t="shared" ref="BP201:BQ201" si="637">IF(G201=1,1,0)</f>
        <v>0</v>
      </c>
      <c r="BQ201" s="187">
        <f t="shared" si="637"/>
        <v>0</v>
      </c>
      <c r="BR201" s="187">
        <f t="shared" ref="BR201:BT201" si="638">IF(K201=1,1,0)</f>
        <v>0</v>
      </c>
      <c r="BS201" s="187">
        <f t="shared" si="638"/>
        <v>0</v>
      </c>
      <c r="BT201" s="187">
        <f t="shared" si="638"/>
        <v>0</v>
      </c>
      <c r="BU201" s="187">
        <f t="shared" ref="BU201:BV201" si="639">IF(P201=1,1,0)</f>
        <v>0</v>
      </c>
      <c r="BV201" s="187">
        <f t="shared" si="639"/>
        <v>0</v>
      </c>
      <c r="BW201" s="187">
        <f t="shared" si="177"/>
        <v>0</v>
      </c>
      <c r="BX201" s="187">
        <f t="shared" si="178"/>
        <v>0</v>
      </c>
      <c r="BY201" s="187">
        <f t="shared" si="179"/>
        <v>0</v>
      </c>
      <c r="BZ201" s="187">
        <f t="shared" si="180"/>
        <v>0</v>
      </c>
      <c r="CA201" s="167">
        <f t="shared" si="181"/>
        <v>100</v>
      </c>
      <c r="CB201" s="167">
        <f t="shared" si="47"/>
        <v>90</v>
      </c>
      <c r="CC201" s="644">
        <f t="shared" si="48"/>
        <v>23</v>
      </c>
      <c r="CD201" s="644">
        <f t="shared" si="49"/>
        <v>19</v>
      </c>
      <c r="CE201" s="644">
        <f t="shared" si="50"/>
        <v>0</v>
      </c>
      <c r="CF201" s="644">
        <f t="shared" si="51"/>
        <v>15</v>
      </c>
      <c r="CG201" s="644">
        <f t="shared" si="52"/>
        <v>9</v>
      </c>
      <c r="CH201" s="644">
        <f t="shared" si="597"/>
        <v>7</v>
      </c>
      <c r="CI201" s="644">
        <f t="shared" si="54"/>
        <v>7</v>
      </c>
      <c r="CJ201" s="644">
        <f t="shared" si="55"/>
        <v>5</v>
      </c>
      <c r="CK201" s="644">
        <f t="shared" si="56"/>
        <v>5</v>
      </c>
      <c r="CL201" s="644">
        <f t="shared" si="57"/>
        <v>5</v>
      </c>
      <c r="CM201" s="644">
        <f t="shared" si="58"/>
        <v>0</v>
      </c>
      <c r="CN201" s="644">
        <f t="shared" si="59"/>
        <v>0</v>
      </c>
      <c r="CO201" s="644">
        <f t="shared" si="60"/>
        <v>0</v>
      </c>
      <c r="CP201" s="644">
        <f t="shared" si="61"/>
        <v>3</v>
      </c>
      <c r="CQ201" s="644">
        <f t="shared" si="62"/>
        <v>0</v>
      </c>
      <c r="CR201" s="644">
        <f t="shared" si="63"/>
        <v>0</v>
      </c>
      <c r="CS201" s="644">
        <f t="shared" si="64"/>
        <v>0</v>
      </c>
      <c r="CT201" s="644">
        <f t="shared" si="65"/>
        <v>0</v>
      </c>
      <c r="CU201" s="644">
        <f t="shared" si="66"/>
        <v>0</v>
      </c>
      <c r="CV201" s="644">
        <f t="shared" si="67"/>
        <v>0</v>
      </c>
      <c r="CW201" s="644">
        <f t="shared" si="68"/>
        <v>0</v>
      </c>
      <c r="CX201" s="644">
        <f t="shared" si="69"/>
        <v>0</v>
      </c>
      <c r="CY201" s="644">
        <f t="shared" si="70"/>
        <v>0</v>
      </c>
      <c r="CZ201" s="624" t="s">
        <v>740</v>
      </c>
      <c r="DA201" s="257"/>
    </row>
    <row r="202" spans="1:105">
      <c r="A202" s="249" t="s">
        <v>364</v>
      </c>
      <c r="B202" s="187"/>
      <c r="C202" s="187"/>
      <c r="D202" s="644">
        <v>1</v>
      </c>
      <c r="E202" s="258">
        <v>1</v>
      </c>
      <c r="F202" s="251"/>
      <c r="G202" s="251"/>
      <c r="H202" s="251"/>
      <c r="I202" s="251"/>
      <c r="J202" s="644"/>
      <c r="K202" s="644"/>
      <c r="L202" s="644"/>
      <c r="M202" s="644"/>
      <c r="N202" s="644"/>
      <c r="O202" s="644"/>
      <c r="P202" s="644"/>
      <c r="Q202" s="644"/>
      <c r="R202" s="644">
        <v>1</v>
      </c>
      <c r="S202" s="644">
        <v>1</v>
      </c>
      <c r="T202" s="644"/>
      <c r="U202" s="644">
        <v>1</v>
      </c>
      <c r="V202" s="644"/>
      <c r="W202" s="644"/>
      <c r="X202" s="644"/>
      <c r="Y202" s="644"/>
      <c r="Z202" s="644">
        <v>1</v>
      </c>
      <c r="AA202" s="644"/>
      <c r="AB202" s="644">
        <v>1</v>
      </c>
      <c r="AC202" s="258">
        <v>1</v>
      </c>
      <c r="AD202" s="644">
        <v>1</v>
      </c>
      <c r="AE202" s="644"/>
      <c r="AF202" s="644"/>
      <c r="AG202" s="644"/>
      <c r="AH202" s="644">
        <v>1</v>
      </c>
      <c r="AI202" s="644"/>
      <c r="AJ202" s="644"/>
      <c r="AK202" s="644"/>
      <c r="AL202" s="167">
        <v>10</v>
      </c>
      <c r="AM202" s="185" t="s">
        <v>1251</v>
      </c>
      <c r="AN202" s="186">
        <v>41994</v>
      </c>
      <c r="AO202" s="187"/>
      <c r="AP202" s="187">
        <f t="shared" si="148"/>
        <v>0</v>
      </c>
      <c r="AQ202" s="187">
        <f t="shared" si="149"/>
        <v>0</v>
      </c>
      <c r="AR202" s="187">
        <f t="shared" si="150"/>
        <v>13</v>
      </c>
      <c r="AS202" s="187">
        <f t="shared" si="151"/>
        <v>13</v>
      </c>
      <c r="AT202" s="187">
        <f t="shared" si="152"/>
        <v>9</v>
      </c>
      <c r="AU202" s="187">
        <f t="shared" si="153"/>
        <v>9</v>
      </c>
      <c r="AV202" s="187">
        <f t="shared" si="154"/>
        <v>9</v>
      </c>
      <c r="AW202" s="187">
        <f t="shared" si="155"/>
        <v>0</v>
      </c>
      <c r="AX202" s="187">
        <f t="shared" si="156"/>
        <v>7</v>
      </c>
      <c r="AY202" s="187">
        <f t="shared" si="157"/>
        <v>7</v>
      </c>
      <c r="AZ202" s="187">
        <f t="shared" si="158"/>
        <v>7</v>
      </c>
      <c r="BA202" s="187">
        <f t="shared" si="159"/>
        <v>7</v>
      </c>
      <c r="BB202" s="187">
        <f t="shared" si="160"/>
        <v>0</v>
      </c>
      <c r="BC202" s="187">
        <f t="shared" si="161"/>
        <v>0</v>
      </c>
      <c r="BD202" s="187">
        <f t="shared" si="162"/>
        <v>0</v>
      </c>
      <c r="BE202" s="187">
        <f t="shared" si="163"/>
        <v>0</v>
      </c>
      <c r="BF202" s="187">
        <f t="shared" si="164"/>
        <v>0</v>
      </c>
      <c r="BG202" s="187">
        <f t="shared" si="165"/>
        <v>0</v>
      </c>
      <c r="BH202" s="187">
        <f t="shared" si="166"/>
        <v>2</v>
      </c>
      <c r="BI202" s="187">
        <f t="shared" si="167"/>
        <v>0</v>
      </c>
      <c r="BJ202" s="187">
        <f t="shared" si="168"/>
        <v>0</v>
      </c>
      <c r="BK202" s="187">
        <f t="shared" si="169"/>
        <v>0</v>
      </c>
      <c r="BL202" s="187">
        <f t="shared" si="170"/>
        <v>0</v>
      </c>
      <c r="BM202" s="187">
        <f t="shared" si="171"/>
        <v>0</v>
      </c>
      <c r="BN202" s="188">
        <f t="shared" si="172"/>
        <v>0</v>
      </c>
      <c r="BO202" s="187">
        <f t="shared" si="173"/>
        <v>0</v>
      </c>
      <c r="BP202" s="187">
        <f t="shared" ref="BP202:BQ202" si="640">IF(G202=1,1,0)</f>
        <v>0</v>
      </c>
      <c r="BQ202" s="187">
        <f t="shared" si="640"/>
        <v>0</v>
      </c>
      <c r="BR202" s="187">
        <f t="shared" ref="BR202:BT202" si="641">IF(K202=1,1,0)</f>
        <v>0</v>
      </c>
      <c r="BS202" s="187">
        <f t="shared" si="641"/>
        <v>0</v>
      </c>
      <c r="BT202" s="187">
        <f t="shared" si="641"/>
        <v>0</v>
      </c>
      <c r="BU202" s="187">
        <f t="shared" ref="BU202:BV202" si="642">IF(P202=1,1,0)</f>
        <v>0</v>
      </c>
      <c r="BV202" s="187">
        <f t="shared" si="642"/>
        <v>0</v>
      </c>
      <c r="BW202" s="187">
        <f t="shared" si="177"/>
        <v>0</v>
      </c>
      <c r="BX202" s="187">
        <f t="shared" si="178"/>
        <v>0</v>
      </c>
      <c r="BY202" s="187">
        <f t="shared" si="179"/>
        <v>0</v>
      </c>
      <c r="BZ202" s="187">
        <f t="shared" si="180"/>
        <v>0</v>
      </c>
      <c r="CA202" s="167">
        <f t="shared" si="181"/>
        <v>83</v>
      </c>
      <c r="CB202" s="167">
        <f t="shared" si="47"/>
        <v>100</v>
      </c>
      <c r="CC202" s="644">
        <f t="shared" si="48"/>
        <v>23</v>
      </c>
      <c r="CD202" s="644">
        <f t="shared" si="49"/>
        <v>19</v>
      </c>
      <c r="CE202" s="644">
        <f t="shared" si="50"/>
        <v>15</v>
      </c>
      <c r="CF202" s="644">
        <f t="shared" si="51"/>
        <v>15</v>
      </c>
      <c r="CG202" s="644">
        <f t="shared" si="52"/>
        <v>9</v>
      </c>
      <c r="CH202" s="644">
        <f t="shared" si="597"/>
        <v>7</v>
      </c>
      <c r="CI202" s="644">
        <f t="shared" si="54"/>
        <v>7</v>
      </c>
      <c r="CJ202" s="644">
        <f t="shared" si="55"/>
        <v>5</v>
      </c>
      <c r="CK202" s="644">
        <f t="shared" si="56"/>
        <v>0</v>
      </c>
      <c r="CL202" s="644">
        <f t="shared" si="57"/>
        <v>0</v>
      </c>
      <c r="CM202" s="644">
        <f t="shared" si="58"/>
        <v>0</v>
      </c>
      <c r="CN202" s="644">
        <f t="shared" si="59"/>
        <v>0</v>
      </c>
      <c r="CO202" s="644">
        <f t="shared" si="60"/>
        <v>0</v>
      </c>
      <c r="CP202" s="644">
        <f t="shared" si="61"/>
        <v>3</v>
      </c>
      <c r="CQ202" s="644">
        <f t="shared" si="62"/>
        <v>2</v>
      </c>
      <c r="CR202" s="644">
        <f t="shared" si="63"/>
        <v>0</v>
      </c>
      <c r="CS202" s="644">
        <f t="shared" si="64"/>
        <v>0</v>
      </c>
      <c r="CT202" s="644">
        <f t="shared" si="65"/>
        <v>0</v>
      </c>
      <c r="CU202" s="644">
        <f t="shared" si="66"/>
        <v>0</v>
      </c>
      <c r="CV202" s="644">
        <f t="shared" si="67"/>
        <v>0</v>
      </c>
      <c r="CW202" s="644">
        <f t="shared" si="68"/>
        <v>0</v>
      </c>
      <c r="CX202" s="644">
        <f t="shared" si="69"/>
        <v>0</v>
      </c>
      <c r="CY202" s="644">
        <f t="shared" si="70"/>
        <v>0</v>
      </c>
      <c r="CZ202" s="624" t="s">
        <v>809</v>
      </c>
      <c r="DA202" s="257"/>
    </row>
    <row r="203" spans="1:105">
      <c r="A203" s="249" t="s">
        <v>366</v>
      </c>
      <c r="B203" s="187"/>
      <c r="C203" s="187"/>
      <c r="D203" s="644"/>
      <c r="E203" s="258">
        <v>1</v>
      </c>
      <c r="F203" s="251">
        <v>1</v>
      </c>
      <c r="G203" s="251"/>
      <c r="H203" s="251"/>
      <c r="I203" s="251">
        <v>1</v>
      </c>
      <c r="J203" s="644"/>
      <c r="K203" s="644"/>
      <c r="L203" s="644"/>
      <c r="M203" s="644"/>
      <c r="N203" s="644"/>
      <c r="O203" s="644"/>
      <c r="P203" s="644"/>
      <c r="Q203" s="644"/>
      <c r="R203" s="644">
        <v>1</v>
      </c>
      <c r="S203" s="644"/>
      <c r="T203" s="644">
        <v>1</v>
      </c>
      <c r="U203" s="644">
        <v>1</v>
      </c>
      <c r="V203" s="644"/>
      <c r="W203" s="644"/>
      <c r="X203" s="644"/>
      <c r="Y203" s="644"/>
      <c r="Z203" s="644"/>
      <c r="AA203" s="644"/>
      <c r="AB203" s="644"/>
      <c r="AC203" s="644"/>
      <c r="AD203" s="644"/>
      <c r="AE203" s="644"/>
      <c r="AF203" s="644"/>
      <c r="AG203" s="644">
        <v>1</v>
      </c>
      <c r="AH203" s="644">
        <v>1</v>
      </c>
      <c r="AI203" s="644"/>
      <c r="AJ203" s="644"/>
      <c r="AK203" s="644"/>
      <c r="AL203" s="167">
        <v>8</v>
      </c>
      <c r="AM203" s="185" t="s">
        <v>1252</v>
      </c>
      <c r="AN203" s="186">
        <v>42008</v>
      </c>
      <c r="AO203" s="187"/>
      <c r="AP203" s="187">
        <f t="shared" si="148"/>
        <v>13</v>
      </c>
      <c r="AQ203" s="187">
        <f t="shared" si="149"/>
        <v>13</v>
      </c>
      <c r="AR203" s="187">
        <f t="shared" si="150"/>
        <v>13</v>
      </c>
      <c r="AS203" s="187">
        <f t="shared" si="151"/>
        <v>13</v>
      </c>
      <c r="AT203" s="187">
        <f t="shared" si="152"/>
        <v>0</v>
      </c>
      <c r="AU203" s="187">
        <f t="shared" si="153"/>
        <v>0</v>
      </c>
      <c r="AV203" s="187">
        <f t="shared" si="154"/>
        <v>0</v>
      </c>
      <c r="AW203" s="187">
        <f t="shared" si="155"/>
        <v>0</v>
      </c>
      <c r="AX203" s="187">
        <f t="shared" si="156"/>
        <v>0</v>
      </c>
      <c r="AY203" s="187">
        <f t="shared" si="157"/>
        <v>0</v>
      </c>
      <c r="AZ203" s="187">
        <f t="shared" si="158"/>
        <v>7</v>
      </c>
      <c r="BA203" s="187">
        <f t="shared" si="159"/>
        <v>7</v>
      </c>
      <c r="BB203" s="187">
        <f t="shared" si="160"/>
        <v>0</v>
      </c>
      <c r="BC203" s="187">
        <f t="shared" si="161"/>
        <v>4</v>
      </c>
      <c r="BD203" s="187">
        <f t="shared" si="162"/>
        <v>0</v>
      </c>
      <c r="BE203" s="187">
        <f t="shared" si="163"/>
        <v>0</v>
      </c>
      <c r="BF203" s="187">
        <f t="shared" si="164"/>
        <v>0</v>
      </c>
      <c r="BG203" s="187">
        <f t="shared" si="165"/>
        <v>0</v>
      </c>
      <c r="BH203" s="187">
        <f t="shared" si="166"/>
        <v>0</v>
      </c>
      <c r="BI203" s="187">
        <f t="shared" si="167"/>
        <v>0</v>
      </c>
      <c r="BJ203" s="187">
        <f t="shared" si="168"/>
        <v>1</v>
      </c>
      <c r="BK203" s="187">
        <f t="shared" si="169"/>
        <v>0</v>
      </c>
      <c r="BL203" s="187">
        <f t="shared" si="170"/>
        <v>0</v>
      </c>
      <c r="BM203" s="187">
        <f t="shared" si="171"/>
        <v>0</v>
      </c>
      <c r="BN203" s="188">
        <f t="shared" si="172"/>
        <v>2</v>
      </c>
      <c r="BO203" s="187">
        <f t="shared" si="173"/>
        <v>0</v>
      </c>
      <c r="BP203" s="187">
        <f t="shared" ref="BP203:BQ203" si="643">IF(G203=1,1,0)</f>
        <v>0</v>
      </c>
      <c r="BQ203" s="187">
        <f t="shared" si="643"/>
        <v>0</v>
      </c>
      <c r="BR203" s="187">
        <f t="shared" ref="BR203:BT203" si="644">IF(K203=1,1,0)</f>
        <v>0</v>
      </c>
      <c r="BS203" s="187">
        <f t="shared" si="644"/>
        <v>0</v>
      </c>
      <c r="BT203" s="187">
        <f t="shared" si="644"/>
        <v>0</v>
      </c>
      <c r="BU203" s="187">
        <f t="shared" ref="BU203:BV203" si="645">IF(P203=1,1,0)</f>
        <v>0</v>
      </c>
      <c r="BV203" s="187">
        <f t="shared" si="645"/>
        <v>0</v>
      </c>
      <c r="BW203" s="187">
        <f t="shared" si="177"/>
        <v>0</v>
      </c>
      <c r="BX203" s="187">
        <f t="shared" si="178"/>
        <v>0</v>
      </c>
      <c r="BY203" s="187">
        <f t="shared" si="179"/>
        <v>2</v>
      </c>
      <c r="BZ203" s="187">
        <f t="shared" si="180"/>
        <v>-4</v>
      </c>
      <c r="CA203" s="167">
        <f t="shared" si="181"/>
        <v>67</v>
      </c>
      <c r="CB203" s="167">
        <f t="shared" si="47"/>
        <v>88</v>
      </c>
      <c r="CC203" s="644">
        <f t="shared" si="48"/>
        <v>23</v>
      </c>
      <c r="CD203" s="644">
        <f t="shared" si="49"/>
        <v>19</v>
      </c>
      <c r="CE203" s="644">
        <f t="shared" si="50"/>
        <v>15</v>
      </c>
      <c r="CF203" s="644">
        <f t="shared" si="51"/>
        <v>15</v>
      </c>
      <c r="CG203" s="644">
        <f t="shared" si="52"/>
        <v>0</v>
      </c>
      <c r="CH203" s="644">
        <f t="shared" si="597"/>
        <v>0</v>
      </c>
      <c r="CI203" s="644">
        <f t="shared" si="54"/>
        <v>0</v>
      </c>
      <c r="CJ203" s="644">
        <f t="shared" si="55"/>
        <v>0</v>
      </c>
      <c r="CK203" s="644">
        <f t="shared" si="56"/>
        <v>5</v>
      </c>
      <c r="CL203" s="644">
        <f t="shared" si="57"/>
        <v>5</v>
      </c>
      <c r="CM203" s="644">
        <f t="shared" si="58"/>
        <v>3</v>
      </c>
      <c r="CN203" s="644">
        <f t="shared" si="59"/>
        <v>3</v>
      </c>
      <c r="CO203" s="644">
        <f t="shared" si="60"/>
        <v>0</v>
      </c>
      <c r="CP203" s="644">
        <f t="shared" si="61"/>
        <v>0</v>
      </c>
      <c r="CQ203" s="644">
        <f t="shared" si="62"/>
        <v>0</v>
      </c>
      <c r="CR203" s="644">
        <f t="shared" si="63"/>
        <v>0</v>
      </c>
      <c r="CS203" s="644">
        <f t="shared" si="64"/>
        <v>0</v>
      </c>
      <c r="CT203" s="644">
        <f t="shared" si="65"/>
        <v>0</v>
      </c>
      <c r="CU203" s="644">
        <f t="shared" si="66"/>
        <v>0</v>
      </c>
      <c r="CV203" s="644">
        <f t="shared" si="67"/>
        <v>0</v>
      </c>
      <c r="CW203" s="644">
        <f t="shared" si="68"/>
        <v>0</v>
      </c>
      <c r="CX203" s="644">
        <f t="shared" si="69"/>
        <v>0</v>
      </c>
      <c r="CY203" s="644">
        <f t="shared" si="70"/>
        <v>0</v>
      </c>
      <c r="CZ203" s="624" t="s">
        <v>743</v>
      </c>
      <c r="DA203" s="257"/>
    </row>
    <row r="204" spans="1:105">
      <c r="A204" s="249" t="s">
        <v>365</v>
      </c>
      <c r="B204" s="187"/>
      <c r="C204" s="187"/>
      <c r="D204" s="644">
        <v>1</v>
      </c>
      <c r="E204" s="644">
        <v>1</v>
      </c>
      <c r="F204" s="251"/>
      <c r="G204" s="251"/>
      <c r="H204" s="251"/>
      <c r="I204" s="251"/>
      <c r="J204" s="644"/>
      <c r="K204" s="644"/>
      <c r="L204" s="644"/>
      <c r="M204" s="644"/>
      <c r="N204" s="644"/>
      <c r="O204" s="644"/>
      <c r="P204" s="644"/>
      <c r="Q204" s="644"/>
      <c r="R204" s="644">
        <v>1</v>
      </c>
      <c r="S204" s="644"/>
      <c r="T204" s="644"/>
      <c r="U204" s="644">
        <v>1</v>
      </c>
      <c r="V204" s="644"/>
      <c r="W204" s="644"/>
      <c r="X204" s="644"/>
      <c r="Y204" s="644"/>
      <c r="Z204" s="644">
        <v>1</v>
      </c>
      <c r="AA204" s="644"/>
      <c r="AB204" s="644">
        <v>1</v>
      </c>
      <c r="AC204" s="258">
        <v>1</v>
      </c>
      <c r="AD204" s="644">
        <v>1</v>
      </c>
      <c r="AE204" s="644"/>
      <c r="AF204" s="644"/>
      <c r="AG204" s="644"/>
      <c r="AH204" s="644">
        <v>1</v>
      </c>
      <c r="AI204" s="644"/>
      <c r="AJ204" s="644"/>
      <c r="AK204" s="644"/>
      <c r="AL204" s="167">
        <v>9</v>
      </c>
      <c r="AM204" s="185" t="s">
        <v>1253</v>
      </c>
      <c r="AN204" s="186">
        <v>42009</v>
      </c>
      <c r="AO204" s="187"/>
      <c r="AP204" s="187">
        <f t="shared" si="148"/>
        <v>0</v>
      </c>
      <c r="AQ204" s="187">
        <f t="shared" si="149"/>
        <v>0</v>
      </c>
      <c r="AR204" s="187">
        <f t="shared" si="150"/>
        <v>13</v>
      </c>
      <c r="AS204" s="187">
        <f t="shared" si="151"/>
        <v>13</v>
      </c>
      <c r="AT204" s="187">
        <f t="shared" si="152"/>
        <v>9</v>
      </c>
      <c r="AU204" s="187">
        <f t="shared" si="153"/>
        <v>9</v>
      </c>
      <c r="AV204" s="187">
        <f t="shared" si="154"/>
        <v>9</v>
      </c>
      <c r="AW204" s="187">
        <f t="shared" si="155"/>
        <v>0</v>
      </c>
      <c r="AX204" s="187">
        <f t="shared" si="156"/>
        <v>7</v>
      </c>
      <c r="AY204" s="187">
        <f t="shared" si="157"/>
        <v>7</v>
      </c>
      <c r="AZ204" s="187">
        <f t="shared" si="158"/>
        <v>7</v>
      </c>
      <c r="BA204" s="187">
        <f t="shared" si="159"/>
        <v>7</v>
      </c>
      <c r="BB204" s="187">
        <f t="shared" si="160"/>
        <v>0</v>
      </c>
      <c r="BC204" s="187">
        <f t="shared" si="161"/>
        <v>0</v>
      </c>
      <c r="BD204" s="187">
        <f t="shared" si="162"/>
        <v>0</v>
      </c>
      <c r="BE204" s="187">
        <f t="shared" si="163"/>
        <v>0</v>
      </c>
      <c r="BF204" s="187">
        <f t="shared" si="164"/>
        <v>0</v>
      </c>
      <c r="BG204" s="187">
        <f t="shared" si="165"/>
        <v>0</v>
      </c>
      <c r="BH204" s="187">
        <f t="shared" si="166"/>
        <v>0</v>
      </c>
      <c r="BI204" s="187">
        <f t="shared" si="167"/>
        <v>0</v>
      </c>
      <c r="BJ204" s="187">
        <f t="shared" si="168"/>
        <v>0</v>
      </c>
      <c r="BK204" s="187">
        <f t="shared" si="169"/>
        <v>0</v>
      </c>
      <c r="BL204" s="187">
        <f t="shared" si="170"/>
        <v>0</v>
      </c>
      <c r="BM204" s="187">
        <f t="shared" si="171"/>
        <v>0</v>
      </c>
      <c r="BN204" s="188">
        <f t="shared" si="172"/>
        <v>1</v>
      </c>
      <c r="BO204" s="187">
        <f t="shared" si="173"/>
        <v>0</v>
      </c>
      <c r="BP204" s="187">
        <f t="shared" ref="BP204:BQ204" si="646">IF(G204=1,1,0)</f>
        <v>0</v>
      </c>
      <c r="BQ204" s="187">
        <f t="shared" si="646"/>
        <v>0</v>
      </c>
      <c r="BR204" s="187">
        <f t="shared" ref="BR204:BT204" si="647">IF(K204=1,1,0)</f>
        <v>0</v>
      </c>
      <c r="BS204" s="187">
        <f t="shared" si="647"/>
        <v>0</v>
      </c>
      <c r="BT204" s="187">
        <f t="shared" si="647"/>
        <v>0</v>
      </c>
      <c r="BU204" s="187">
        <f t="shared" ref="BU204:BV204" si="648">IF(P204=1,1,0)</f>
        <v>0</v>
      </c>
      <c r="BV204" s="187">
        <f t="shared" si="648"/>
        <v>0</v>
      </c>
      <c r="BW204" s="187">
        <f t="shared" si="177"/>
        <v>0</v>
      </c>
      <c r="BX204" s="187">
        <f t="shared" si="178"/>
        <v>0</v>
      </c>
      <c r="BY204" s="187">
        <f t="shared" si="179"/>
        <v>1</v>
      </c>
      <c r="BZ204" s="187">
        <f t="shared" si="180"/>
        <v>-1</v>
      </c>
      <c r="CA204" s="167">
        <f t="shared" si="181"/>
        <v>80</v>
      </c>
      <c r="CB204" s="167">
        <f t="shared" si="47"/>
        <v>100</v>
      </c>
      <c r="CC204" s="644">
        <f t="shared" si="48"/>
        <v>23</v>
      </c>
      <c r="CD204" s="644">
        <f t="shared" si="49"/>
        <v>19</v>
      </c>
      <c r="CE204" s="644">
        <f t="shared" si="50"/>
        <v>15</v>
      </c>
      <c r="CF204" s="644">
        <f t="shared" si="51"/>
        <v>15</v>
      </c>
      <c r="CG204" s="644">
        <f t="shared" si="52"/>
        <v>9</v>
      </c>
      <c r="CH204" s="644">
        <f t="shared" si="597"/>
        <v>7</v>
      </c>
      <c r="CI204" s="644">
        <f t="shared" si="54"/>
        <v>7</v>
      </c>
      <c r="CJ204" s="644">
        <f t="shared" si="55"/>
        <v>5</v>
      </c>
      <c r="CK204" s="644">
        <f t="shared" si="56"/>
        <v>0</v>
      </c>
      <c r="CL204" s="644">
        <f t="shared" si="57"/>
        <v>0</v>
      </c>
      <c r="CM204" s="644">
        <f t="shared" si="58"/>
        <v>0</v>
      </c>
      <c r="CN204" s="644">
        <f t="shared" si="59"/>
        <v>0</v>
      </c>
      <c r="CO204" s="644">
        <f t="shared" si="60"/>
        <v>0</v>
      </c>
      <c r="CP204" s="644">
        <f t="shared" si="61"/>
        <v>3</v>
      </c>
      <c r="CQ204" s="644">
        <f t="shared" si="62"/>
        <v>0</v>
      </c>
      <c r="CR204" s="644">
        <f t="shared" si="63"/>
        <v>0</v>
      </c>
      <c r="CS204" s="644">
        <f t="shared" si="64"/>
        <v>0</v>
      </c>
      <c r="CT204" s="644">
        <f t="shared" si="65"/>
        <v>0</v>
      </c>
      <c r="CU204" s="644">
        <f t="shared" si="66"/>
        <v>0</v>
      </c>
      <c r="CV204" s="644">
        <f t="shared" si="67"/>
        <v>0</v>
      </c>
      <c r="CW204" s="644">
        <f t="shared" si="68"/>
        <v>0</v>
      </c>
      <c r="CX204" s="644">
        <f t="shared" si="69"/>
        <v>0</v>
      </c>
      <c r="CY204" s="644">
        <f t="shared" si="70"/>
        <v>0</v>
      </c>
      <c r="CZ204" s="624" t="s">
        <v>752</v>
      </c>
      <c r="DA204" s="257"/>
    </row>
    <row r="205" spans="1:105" ht="27">
      <c r="A205" s="272" t="str">
        <f>HYPERLINK("https://twitter.com/NotMrTibbs/status/546387088707301376", "Art Spander (Partial?)")</f>
        <v>Art Spander (Partial?)</v>
      </c>
      <c r="B205" s="187"/>
      <c r="C205" s="187"/>
      <c r="D205" s="644">
        <v>1</v>
      </c>
      <c r="E205" s="644"/>
      <c r="F205" s="251">
        <v>1</v>
      </c>
      <c r="G205" s="251"/>
      <c r="H205" s="251"/>
      <c r="I205" s="251">
        <v>1</v>
      </c>
      <c r="J205" s="644"/>
      <c r="K205" s="644"/>
      <c r="L205" s="644"/>
      <c r="M205" s="644"/>
      <c r="N205" s="644"/>
      <c r="O205" s="644"/>
      <c r="P205" s="644"/>
      <c r="Q205" s="644"/>
      <c r="R205" s="644">
        <v>1</v>
      </c>
      <c r="S205" s="644"/>
      <c r="T205" s="644"/>
      <c r="U205" s="644">
        <v>1</v>
      </c>
      <c r="V205" s="644"/>
      <c r="W205" s="644"/>
      <c r="X205" s="644"/>
      <c r="Y205" s="644"/>
      <c r="Z205" s="644"/>
      <c r="AA205" s="644"/>
      <c r="AB205" s="644"/>
      <c r="AC205" s="644"/>
      <c r="AD205" s="644"/>
      <c r="AE205" s="644"/>
      <c r="AF205" s="644"/>
      <c r="AG205" s="644"/>
      <c r="AH205" s="644"/>
      <c r="AI205" s="644"/>
      <c r="AJ205" s="644"/>
      <c r="AK205" s="644"/>
      <c r="AL205" s="167">
        <v>5</v>
      </c>
      <c r="AM205" s="273" t="s">
        <v>1254</v>
      </c>
      <c r="AN205" s="186">
        <v>41993</v>
      </c>
      <c r="AO205" s="187"/>
      <c r="AP205" s="187">
        <f t="shared" si="148"/>
        <v>13</v>
      </c>
      <c r="AQ205" s="187">
        <f t="shared" si="149"/>
        <v>13</v>
      </c>
      <c r="AR205" s="187">
        <f t="shared" si="150"/>
        <v>13</v>
      </c>
      <c r="AS205" s="187">
        <f t="shared" si="151"/>
        <v>13</v>
      </c>
      <c r="AT205" s="187">
        <f t="shared" si="152"/>
        <v>0</v>
      </c>
      <c r="AU205" s="187">
        <f t="shared" si="153"/>
        <v>9</v>
      </c>
      <c r="AV205" s="187">
        <f t="shared" si="154"/>
        <v>0</v>
      </c>
      <c r="AW205" s="187">
        <f t="shared" si="155"/>
        <v>0</v>
      </c>
      <c r="AX205" s="187">
        <f t="shared" si="156"/>
        <v>0</v>
      </c>
      <c r="AY205" s="187">
        <f t="shared" si="157"/>
        <v>0</v>
      </c>
      <c r="AZ205" s="187">
        <f t="shared" si="158"/>
        <v>0</v>
      </c>
      <c r="BA205" s="187">
        <f t="shared" si="159"/>
        <v>0</v>
      </c>
      <c r="BB205" s="187">
        <f t="shared" si="160"/>
        <v>0</v>
      </c>
      <c r="BC205" s="187">
        <f t="shared" si="161"/>
        <v>0</v>
      </c>
      <c r="BD205" s="187">
        <f t="shared" si="162"/>
        <v>0</v>
      </c>
      <c r="BE205" s="187">
        <f t="shared" si="163"/>
        <v>0</v>
      </c>
      <c r="BF205" s="187">
        <f t="shared" si="164"/>
        <v>0</v>
      </c>
      <c r="BG205" s="187">
        <f t="shared" si="165"/>
        <v>0</v>
      </c>
      <c r="BH205" s="187">
        <f t="shared" si="166"/>
        <v>0</v>
      </c>
      <c r="BI205" s="187">
        <f t="shared" si="167"/>
        <v>0</v>
      </c>
      <c r="BJ205" s="187">
        <f t="shared" si="168"/>
        <v>0</v>
      </c>
      <c r="BK205" s="187">
        <f t="shared" si="169"/>
        <v>0</v>
      </c>
      <c r="BL205" s="187">
        <f t="shared" si="170"/>
        <v>0</v>
      </c>
      <c r="BM205" s="187">
        <f t="shared" si="171"/>
        <v>0</v>
      </c>
      <c r="BN205" s="188">
        <f t="shared" si="172"/>
        <v>5</v>
      </c>
      <c r="BO205" s="187">
        <f t="shared" si="173"/>
        <v>0</v>
      </c>
      <c r="BP205" s="187">
        <f t="shared" ref="BP205:BQ205" si="649">IF(G205=1,1,0)</f>
        <v>0</v>
      </c>
      <c r="BQ205" s="187">
        <f t="shared" si="649"/>
        <v>0</v>
      </c>
      <c r="BR205" s="187">
        <f t="shared" ref="BR205:BT205" si="650">IF(K205=1,1,0)</f>
        <v>0</v>
      </c>
      <c r="BS205" s="187">
        <f t="shared" si="650"/>
        <v>0</v>
      </c>
      <c r="BT205" s="187">
        <f t="shared" si="650"/>
        <v>0</v>
      </c>
      <c r="BU205" s="187">
        <f t="shared" ref="BU205:BV205" si="651">IF(P205=1,1,0)</f>
        <v>0</v>
      </c>
      <c r="BV205" s="187">
        <f t="shared" si="651"/>
        <v>0</v>
      </c>
      <c r="BW205" s="187">
        <f t="shared" si="177"/>
        <v>0</v>
      </c>
      <c r="BX205" s="187">
        <f t="shared" si="178"/>
        <v>0</v>
      </c>
      <c r="BY205" s="187">
        <f t="shared" si="179"/>
        <v>5</v>
      </c>
      <c r="BZ205" s="187">
        <f t="shared" si="180"/>
        <v>-25</v>
      </c>
      <c r="CA205" s="167">
        <f t="shared" si="181"/>
        <v>36</v>
      </c>
      <c r="CB205" s="167">
        <f t="shared" si="47"/>
        <v>59</v>
      </c>
      <c r="CC205" s="644">
        <f t="shared" si="48"/>
        <v>23</v>
      </c>
      <c r="CD205" s="644">
        <f t="shared" si="49"/>
        <v>19</v>
      </c>
      <c r="CE205" s="644">
        <f t="shared" si="50"/>
        <v>0</v>
      </c>
      <c r="CF205" s="644">
        <f t="shared" si="51"/>
        <v>0</v>
      </c>
      <c r="CG205" s="644">
        <f t="shared" si="52"/>
        <v>0</v>
      </c>
      <c r="CH205" s="644">
        <f t="shared" si="597"/>
        <v>7</v>
      </c>
      <c r="CI205" s="644">
        <f t="shared" si="54"/>
        <v>0</v>
      </c>
      <c r="CJ205" s="644">
        <f t="shared" si="55"/>
        <v>0</v>
      </c>
      <c r="CK205" s="644">
        <f t="shared" si="56"/>
        <v>5</v>
      </c>
      <c r="CL205" s="644">
        <f t="shared" si="57"/>
        <v>5</v>
      </c>
      <c r="CM205" s="644">
        <f t="shared" si="58"/>
        <v>0</v>
      </c>
      <c r="CN205" s="644">
        <f t="shared" si="59"/>
        <v>0</v>
      </c>
      <c r="CO205" s="644">
        <f t="shared" si="60"/>
        <v>0</v>
      </c>
      <c r="CP205" s="644">
        <f t="shared" si="61"/>
        <v>0</v>
      </c>
      <c r="CQ205" s="644">
        <f t="shared" si="62"/>
        <v>0</v>
      </c>
      <c r="CR205" s="644">
        <f t="shared" si="63"/>
        <v>0</v>
      </c>
      <c r="CS205" s="644">
        <f t="shared" si="64"/>
        <v>0</v>
      </c>
      <c r="CT205" s="644">
        <f t="shared" si="65"/>
        <v>0</v>
      </c>
      <c r="CU205" s="644">
        <f t="shared" si="66"/>
        <v>0</v>
      </c>
      <c r="CV205" s="644">
        <f t="shared" si="67"/>
        <v>0</v>
      </c>
      <c r="CW205" s="644">
        <f t="shared" si="68"/>
        <v>0</v>
      </c>
      <c r="CX205" s="644">
        <f t="shared" si="69"/>
        <v>0</v>
      </c>
      <c r="CY205" s="644">
        <f t="shared" si="70"/>
        <v>0</v>
      </c>
      <c r="CZ205" s="624" t="s">
        <v>752</v>
      </c>
      <c r="DA205" s="257"/>
    </row>
    <row r="206" spans="1:105" ht="25.5">
      <c r="A206" s="249" t="s">
        <v>941</v>
      </c>
      <c r="B206" s="187"/>
      <c r="C206" s="187"/>
      <c r="D206" s="644"/>
      <c r="E206" s="644">
        <v>1</v>
      </c>
      <c r="F206" s="251"/>
      <c r="G206" s="251"/>
      <c r="H206" s="251"/>
      <c r="I206" s="251"/>
      <c r="J206" s="644"/>
      <c r="K206" s="644"/>
      <c r="L206" s="644"/>
      <c r="M206" s="644"/>
      <c r="N206" s="644"/>
      <c r="O206" s="644"/>
      <c r="P206" s="644"/>
      <c r="Q206" s="644"/>
      <c r="R206" s="644">
        <v>1</v>
      </c>
      <c r="S206" s="644"/>
      <c r="T206" s="644"/>
      <c r="U206" s="644">
        <v>1</v>
      </c>
      <c r="V206" s="644"/>
      <c r="W206" s="644">
        <v>1</v>
      </c>
      <c r="X206" s="644"/>
      <c r="Y206" s="644"/>
      <c r="Z206" s="258">
        <v>1</v>
      </c>
      <c r="AA206" s="644"/>
      <c r="AB206" s="644">
        <v>1</v>
      </c>
      <c r="AC206" s="644">
        <v>1</v>
      </c>
      <c r="AD206" s="258">
        <v>1</v>
      </c>
      <c r="AE206" s="644"/>
      <c r="AF206" s="644"/>
      <c r="AG206" s="644"/>
      <c r="AH206" s="644">
        <v>1</v>
      </c>
      <c r="AI206" s="644"/>
      <c r="AJ206" s="644">
        <v>1</v>
      </c>
      <c r="AK206" s="644"/>
      <c r="AL206" s="167">
        <v>10</v>
      </c>
      <c r="AM206" s="185" t="s">
        <v>1221</v>
      </c>
      <c r="AN206" s="186">
        <v>42009</v>
      </c>
      <c r="AO206" s="187"/>
      <c r="AP206" s="187">
        <f t="shared" si="148"/>
        <v>0</v>
      </c>
      <c r="AQ206" s="187">
        <f t="shared" si="149"/>
        <v>0</v>
      </c>
      <c r="AR206" s="187">
        <f t="shared" si="150"/>
        <v>13</v>
      </c>
      <c r="AS206" s="187">
        <f t="shared" si="151"/>
        <v>13</v>
      </c>
      <c r="AT206" s="187">
        <f t="shared" si="152"/>
        <v>9</v>
      </c>
      <c r="AU206" s="187">
        <f t="shared" si="153"/>
        <v>0</v>
      </c>
      <c r="AV206" s="187">
        <f t="shared" si="154"/>
        <v>9</v>
      </c>
      <c r="AW206" s="187">
        <f t="shared" si="155"/>
        <v>7</v>
      </c>
      <c r="AX206" s="187">
        <f t="shared" si="156"/>
        <v>7</v>
      </c>
      <c r="AY206" s="187">
        <f t="shared" si="157"/>
        <v>7</v>
      </c>
      <c r="AZ206" s="187">
        <f t="shared" si="158"/>
        <v>7</v>
      </c>
      <c r="BA206" s="187">
        <f t="shared" si="159"/>
        <v>7</v>
      </c>
      <c r="BB206" s="187">
        <f t="shared" si="160"/>
        <v>0</v>
      </c>
      <c r="BC206" s="187">
        <f t="shared" si="161"/>
        <v>0</v>
      </c>
      <c r="BD206" s="187">
        <f t="shared" si="162"/>
        <v>0</v>
      </c>
      <c r="BE206" s="187">
        <f t="shared" si="163"/>
        <v>0</v>
      </c>
      <c r="BF206" s="187">
        <f t="shared" si="164"/>
        <v>3</v>
      </c>
      <c r="BG206" s="187">
        <f t="shared" si="165"/>
        <v>0</v>
      </c>
      <c r="BH206" s="187">
        <f t="shared" si="166"/>
        <v>0</v>
      </c>
      <c r="BI206" s="187">
        <f t="shared" si="167"/>
        <v>0</v>
      </c>
      <c r="BJ206" s="187">
        <f t="shared" si="168"/>
        <v>0</v>
      </c>
      <c r="BK206" s="187">
        <f t="shared" si="169"/>
        <v>0</v>
      </c>
      <c r="BL206" s="187">
        <f t="shared" si="170"/>
        <v>0</v>
      </c>
      <c r="BM206" s="187">
        <f t="shared" si="171"/>
        <v>0</v>
      </c>
      <c r="BN206" s="188">
        <f t="shared" si="172"/>
        <v>0</v>
      </c>
      <c r="BO206" s="187">
        <f t="shared" si="173"/>
        <v>0</v>
      </c>
      <c r="BP206" s="187">
        <f t="shared" ref="BP206:BQ206" si="652">IF(G206=1,1,0)</f>
        <v>0</v>
      </c>
      <c r="BQ206" s="187">
        <f t="shared" si="652"/>
        <v>0</v>
      </c>
      <c r="BR206" s="187">
        <f t="shared" ref="BR206:BT206" si="653">IF(K206=1,1,0)</f>
        <v>0</v>
      </c>
      <c r="BS206" s="187">
        <f t="shared" si="653"/>
        <v>0</v>
      </c>
      <c r="BT206" s="187">
        <f t="shared" si="653"/>
        <v>0</v>
      </c>
      <c r="BU206" s="187">
        <f t="shared" ref="BU206:BV206" si="654">IF(P206=1,1,0)</f>
        <v>0</v>
      </c>
      <c r="BV206" s="187">
        <f t="shared" si="654"/>
        <v>0</v>
      </c>
      <c r="BW206" s="187">
        <f t="shared" si="177"/>
        <v>0</v>
      </c>
      <c r="BX206" s="187">
        <f t="shared" si="178"/>
        <v>0</v>
      </c>
      <c r="BY206" s="187">
        <f t="shared" si="179"/>
        <v>0</v>
      </c>
      <c r="BZ206" s="187">
        <f t="shared" si="180"/>
        <v>0</v>
      </c>
      <c r="CA206" s="167">
        <f t="shared" si="181"/>
        <v>82</v>
      </c>
      <c r="CB206" s="167">
        <f t="shared" si="47"/>
        <v>100</v>
      </c>
      <c r="CC206" s="644">
        <f t="shared" si="48"/>
        <v>23</v>
      </c>
      <c r="CD206" s="644">
        <f t="shared" si="49"/>
        <v>19</v>
      </c>
      <c r="CE206" s="644">
        <f t="shared" si="50"/>
        <v>15</v>
      </c>
      <c r="CF206" s="644">
        <f t="shared" si="51"/>
        <v>15</v>
      </c>
      <c r="CG206" s="644">
        <f t="shared" si="52"/>
        <v>9</v>
      </c>
      <c r="CH206" s="644">
        <f t="shared" si="597"/>
        <v>7</v>
      </c>
      <c r="CI206" s="644">
        <f t="shared" si="54"/>
        <v>7</v>
      </c>
      <c r="CJ206" s="644">
        <f t="shared" si="55"/>
        <v>5</v>
      </c>
      <c r="CK206" s="644">
        <f t="shared" si="56"/>
        <v>0</v>
      </c>
      <c r="CL206" s="644">
        <f t="shared" si="57"/>
        <v>0</v>
      </c>
      <c r="CM206" s="644">
        <f t="shared" si="58"/>
        <v>0</v>
      </c>
      <c r="CN206" s="644">
        <f t="shared" si="59"/>
        <v>0</v>
      </c>
      <c r="CO206" s="644">
        <f t="shared" si="60"/>
        <v>3</v>
      </c>
      <c r="CP206" s="644">
        <f t="shared" si="61"/>
        <v>3</v>
      </c>
      <c r="CQ206" s="644">
        <f t="shared" si="62"/>
        <v>0</v>
      </c>
      <c r="CR206" s="644">
        <f t="shared" si="63"/>
        <v>2</v>
      </c>
      <c r="CS206" s="644">
        <f t="shared" si="64"/>
        <v>0</v>
      </c>
      <c r="CT206" s="644">
        <f t="shared" si="65"/>
        <v>0</v>
      </c>
      <c r="CU206" s="644">
        <f t="shared" si="66"/>
        <v>0</v>
      </c>
      <c r="CV206" s="644">
        <f t="shared" si="67"/>
        <v>0</v>
      </c>
      <c r="CW206" s="644">
        <f t="shared" si="68"/>
        <v>0</v>
      </c>
      <c r="CX206" s="644">
        <f t="shared" si="69"/>
        <v>0</v>
      </c>
      <c r="CY206" s="644">
        <f t="shared" si="70"/>
        <v>0</v>
      </c>
      <c r="CZ206" s="624" t="s">
        <v>743</v>
      </c>
      <c r="DA206" s="257"/>
    </row>
    <row r="207" spans="1:105">
      <c r="A207" s="249" t="s">
        <v>371</v>
      </c>
      <c r="B207" s="187"/>
      <c r="C207" s="187"/>
      <c r="D207" s="644"/>
      <c r="E207" s="250"/>
      <c r="F207" s="251"/>
      <c r="G207" s="251"/>
      <c r="H207" s="251"/>
      <c r="I207" s="251"/>
      <c r="J207" s="644"/>
      <c r="K207" s="644"/>
      <c r="L207" s="644"/>
      <c r="M207" s="644"/>
      <c r="N207" s="644"/>
      <c r="O207" s="644"/>
      <c r="P207" s="644"/>
      <c r="Q207" s="644"/>
      <c r="R207" s="644">
        <v>1</v>
      </c>
      <c r="S207" s="644"/>
      <c r="T207" s="644"/>
      <c r="U207" s="644">
        <v>1</v>
      </c>
      <c r="V207" s="644"/>
      <c r="W207" s="644"/>
      <c r="X207" s="644"/>
      <c r="Y207" s="644"/>
      <c r="Z207" s="644"/>
      <c r="AA207" s="644"/>
      <c r="AB207" s="644"/>
      <c r="AC207" s="644"/>
      <c r="AD207" s="258">
        <v>1</v>
      </c>
      <c r="AE207" s="644"/>
      <c r="AF207" s="644"/>
      <c r="AG207" s="644"/>
      <c r="AH207" s="644">
        <v>1</v>
      </c>
      <c r="AI207" s="644"/>
      <c r="AJ207" s="644"/>
      <c r="AK207" s="644"/>
      <c r="AL207" s="167">
        <v>4</v>
      </c>
      <c r="AM207" s="185" t="s">
        <v>1103</v>
      </c>
      <c r="AN207" s="186">
        <v>42008</v>
      </c>
      <c r="AO207" s="187"/>
      <c r="AP207" s="187">
        <f t="shared" si="148"/>
        <v>0</v>
      </c>
      <c r="AQ207" s="187">
        <f t="shared" si="149"/>
        <v>0</v>
      </c>
      <c r="AR207" s="187">
        <f t="shared" si="150"/>
        <v>13</v>
      </c>
      <c r="AS207" s="187">
        <f t="shared" si="151"/>
        <v>13</v>
      </c>
      <c r="AT207" s="187">
        <f t="shared" si="152"/>
        <v>0</v>
      </c>
      <c r="AU207" s="187">
        <f t="shared" si="153"/>
        <v>0</v>
      </c>
      <c r="AV207" s="187">
        <f t="shared" si="154"/>
        <v>0</v>
      </c>
      <c r="AW207" s="187">
        <f t="shared" si="155"/>
        <v>0</v>
      </c>
      <c r="AX207" s="187">
        <f t="shared" si="156"/>
        <v>7</v>
      </c>
      <c r="AY207" s="187">
        <f t="shared" si="157"/>
        <v>0</v>
      </c>
      <c r="AZ207" s="187">
        <f t="shared" si="158"/>
        <v>7</v>
      </c>
      <c r="BA207" s="187">
        <f t="shared" si="159"/>
        <v>0</v>
      </c>
      <c r="BB207" s="187">
        <f t="shared" si="160"/>
        <v>0</v>
      </c>
      <c r="BC207" s="187">
        <f t="shared" si="161"/>
        <v>0</v>
      </c>
      <c r="BD207" s="187">
        <f t="shared" si="162"/>
        <v>0</v>
      </c>
      <c r="BE207" s="187">
        <f t="shared" si="163"/>
        <v>0</v>
      </c>
      <c r="BF207" s="187">
        <f t="shared" si="164"/>
        <v>0</v>
      </c>
      <c r="BG207" s="187">
        <f t="shared" si="165"/>
        <v>0</v>
      </c>
      <c r="BH207" s="187">
        <f t="shared" si="166"/>
        <v>0</v>
      </c>
      <c r="BI207" s="187">
        <f t="shared" si="167"/>
        <v>0</v>
      </c>
      <c r="BJ207" s="187">
        <f t="shared" si="168"/>
        <v>0</v>
      </c>
      <c r="BK207" s="187">
        <f t="shared" si="169"/>
        <v>0</v>
      </c>
      <c r="BL207" s="187">
        <f t="shared" si="170"/>
        <v>0</v>
      </c>
      <c r="BM207" s="187">
        <f t="shared" si="171"/>
        <v>0</v>
      </c>
      <c r="BN207" s="188">
        <f t="shared" si="172"/>
        <v>6</v>
      </c>
      <c r="BO207" s="187">
        <f t="shared" si="173"/>
        <v>0</v>
      </c>
      <c r="BP207" s="187">
        <f t="shared" ref="BP207:BQ207" si="655">IF(G207=1,1,0)</f>
        <v>0</v>
      </c>
      <c r="BQ207" s="187">
        <f t="shared" si="655"/>
        <v>0</v>
      </c>
      <c r="BR207" s="187">
        <f t="shared" ref="BR207:BT207" si="656">IF(K207=1,1,0)</f>
        <v>0</v>
      </c>
      <c r="BS207" s="187">
        <f t="shared" si="656"/>
        <v>0</v>
      </c>
      <c r="BT207" s="187">
        <f t="shared" si="656"/>
        <v>0</v>
      </c>
      <c r="BU207" s="187">
        <f t="shared" ref="BU207:BV207" si="657">IF(P207=1,1,0)</f>
        <v>0</v>
      </c>
      <c r="BV207" s="187">
        <f t="shared" si="657"/>
        <v>0</v>
      </c>
      <c r="BW207" s="187">
        <f t="shared" si="177"/>
        <v>0</v>
      </c>
      <c r="BX207" s="187">
        <f t="shared" si="178"/>
        <v>0</v>
      </c>
      <c r="BY207" s="187">
        <f t="shared" si="179"/>
        <v>6</v>
      </c>
      <c r="BZ207" s="187">
        <f t="shared" si="180"/>
        <v>-36</v>
      </c>
      <c r="CA207" s="167">
        <f t="shared" si="181"/>
        <v>4</v>
      </c>
      <c r="CB207" s="167">
        <f t="shared" si="47"/>
        <v>62</v>
      </c>
      <c r="CC207" s="644">
        <f t="shared" si="48"/>
        <v>23</v>
      </c>
      <c r="CD207" s="644">
        <f t="shared" si="49"/>
        <v>19</v>
      </c>
      <c r="CE207" s="644">
        <f t="shared" si="50"/>
        <v>15</v>
      </c>
      <c r="CF207" s="644">
        <f t="shared" si="51"/>
        <v>0</v>
      </c>
      <c r="CG207" s="644">
        <f t="shared" si="52"/>
        <v>0</v>
      </c>
      <c r="CH207" s="644">
        <f t="shared" si="597"/>
        <v>0</v>
      </c>
      <c r="CI207" s="644">
        <f t="shared" si="54"/>
        <v>0</v>
      </c>
      <c r="CJ207" s="644">
        <f t="shared" si="55"/>
        <v>5</v>
      </c>
      <c r="CK207" s="644">
        <f t="shared" si="56"/>
        <v>0</v>
      </c>
      <c r="CL207" s="644">
        <f t="shared" si="57"/>
        <v>0</v>
      </c>
      <c r="CM207" s="644">
        <f t="shared" si="58"/>
        <v>0</v>
      </c>
      <c r="CN207" s="644">
        <f t="shared" si="59"/>
        <v>0</v>
      </c>
      <c r="CO207" s="644">
        <f t="shared" si="60"/>
        <v>0</v>
      </c>
      <c r="CP207" s="644">
        <f t="shared" si="61"/>
        <v>0</v>
      </c>
      <c r="CQ207" s="644">
        <f t="shared" si="62"/>
        <v>0</v>
      </c>
      <c r="CR207" s="644">
        <f t="shared" si="63"/>
        <v>0</v>
      </c>
      <c r="CS207" s="644">
        <f t="shared" si="64"/>
        <v>0</v>
      </c>
      <c r="CT207" s="644">
        <f t="shared" si="65"/>
        <v>0</v>
      </c>
      <c r="CU207" s="644">
        <f t="shared" si="66"/>
        <v>0</v>
      </c>
      <c r="CV207" s="644">
        <f t="shared" si="67"/>
        <v>0</v>
      </c>
      <c r="CW207" s="644">
        <f t="shared" si="68"/>
        <v>0</v>
      </c>
      <c r="CX207" s="644">
        <f t="shared" si="69"/>
        <v>0</v>
      </c>
      <c r="CY207" s="644">
        <f t="shared" si="70"/>
        <v>0</v>
      </c>
      <c r="CZ207" s="624" t="s">
        <v>756</v>
      </c>
      <c r="DA207" s="257"/>
    </row>
    <row r="208" spans="1:105">
      <c r="A208" s="249" t="s">
        <v>373</v>
      </c>
      <c r="B208" s="187"/>
      <c r="C208" s="187"/>
      <c r="D208" s="644">
        <v>1</v>
      </c>
      <c r="E208" s="644">
        <v>1</v>
      </c>
      <c r="F208" s="251">
        <v>1</v>
      </c>
      <c r="G208" s="251"/>
      <c r="H208" s="251"/>
      <c r="I208" s="251">
        <v>1</v>
      </c>
      <c r="J208" s="644"/>
      <c r="K208" s="644"/>
      <c r="L208" s="644"/>
      <c r="M208" s="644"/>
      <c r="N208" s="644"/>
      <c r="O208" s="644"/>
      <c r="P208" s="644"/>
      <c r="Q208" s="644"/>
      <c r="R208" s="644">
        <v>1</v>
      </c>
      <c r="S208" s="644"/>
      <c r="T208" s="644"/>
      <c r="U208" s="644">
        <v>1</v>
      </c>
      <c r="V208" s="644"/>
      <c r="W208" s="644"/>
      <c r="X208" s="644"/>
      <c r="Y208" s="644"/>
      <c r="Z208" s="250"/>
      <c r="AA208" s="644"/>
      <c r="AB208" s="644">
        <v>1</v>
      </c>
      <c r="AC208" s="644">
        <v>1</v>
      </c>
      <c r="AD208" s="258">
        <v>1</v>
      </c>
      <c r="AE208" s="644"/>
      <c r="AF208" s="644"/>
      <c r="AG208" s="644"/>
      <c r="AH208" s="644">
        <v>1</v>
      </c>
      <c r="AI208" s="644"/>
      <c r="AJ208" s="644"/>
      <c r="AK208" s="644"/>
      <c r="AL208" s="167">
        <v>10</v>
      </c>
      <c r="AM208" s="185" t="s">
        <v>1103</v>
      </c>
      <c r="AN208" s="186">
        <v>42008</v>
      </c>
      <c r="AO208" s="187"/>
      <c r="AP208" s="187">
        <f t="shared" si="148"/>
        <v>13</v>
      </c>
      <c r="AQ208" s="187">
        <f t="shared" si="149"/>
        <v>13</v>
      </c>
      <c r="AR208" s="187">
        <f t="shared" si="150"/>
        <v>13</v>
      </c>
      <c r="AS208" s="187">
        <f t="shared" si="151"/>
        <v>13</v>
      </c>
      <c r="AT208" s="187">
        <f t="shared" si="152"/>
        <v>9</v>
      </c>
      <c r="AU208" s="187">
        <f t="shared" si="153"/>
        <v>9</v>
      </c>
      <c r="AV208" s="187">
        <f t="shared" si="154"/>
        <v>9</v>
      </c>
      <c r="AW208" s="187">
        <f t="shared" si="155"/>
        <v>0</v>
      </c>
      <c r="AX208" s="187">
        <f t="shared" si="156"/>
        <v>7</v>
      </c>
      <c r="AY208" s="187">
        <f t="shared" si="157"/>
        <v>0</v>
      </c>
      <c r="AZ208" s="187">
        <f t="shared" si="158"/>
        <v>7</v>
      </c>
      <c r="BA208" s="187">
        <f t="shared" si="159"/>
        <v>7</v>
      </c>
      <c r="BB208" s="187">
        <f t="shared" si="160"/>
        <v>0</v>
      </c>
      <c r="BC208" s="187">
        <f t="shared" si="161"/>
        <v>0</v>
      </c>
      <c r="BD208" s="187">
        <f t="shared" si="162"/>
        <v>0</v>
      </c>
      <c r="BE208" s="187">
        <f t="shared" si="163"/>
        <v>0</v>
      </c>
      <c r="BF208" s="187">
        <f t="shared" si="164"/>
        <v>0</v>
      </c>
      <c r="BG208" s="187">
        <f t="shared" si="165"/>
        <v>0</v>
      </c>
      <c r="BH208" s="187">
        <f t="shared" si="166"/>
        <v>0</v>
      </c>
      <c r="BI208" s="187">
        <f t="shared" si="167"/>
        <v>0</v>
      </c>
      <c r="BJ208" s="187">
        <f t="shared" si="168"/>
        <v>0</v>
      </c>
      <c r="BK208" s="187">
        <f t="shared" si="169"/>
        <v>0</v>
      </c>
      <c r="BL208" s="187">
        <f t="shared" si="170"/>
        <v>0</v>
      </c>
      <c r="BM208" s="187">
        <f t="shared" si="171"/>
        <v>0</v>
      </c>
      <c r="BN208" s="188">
        <f t="shared" si="172"/>
        <v>0</v>
      </c>
      <c r="BO208" s="187">
        <f t="shared" si="173"/>
        <v>0</v>
      </c>
      <c r="BP208" s="187">
        <f t="shared" ref="BP208:BQ208" si="658">IF(G208=1,1,0)</f>
        <v>0</v>
      </c>
      <c r="BQ208" s="187">
        <f t="shared" si="658"/>
        <v>0</v>
      </c>
      <c r="BR208" s="187">
        <f t="shared" ref="BR208:BT208" si="659">IF(K208=1,1,0)</f>
        <v>0</v>
      </c>
      <c r="BS208" s="187">
        <f t="shared" si="659"/>
        <v>0</v>
      </c>
      <c r="BT208" s="187">
        <f t="shared" si="659"/>
        <v>0</v>
      </c>
      <c r="BU208" s="187">
        <f t="shared" ref="BU208:BV208" si="660">IF(P208=1,1,0)</f>
        <v>0</v>
      </c>
      <c r="BV208" s="187">
        <f t="shared" si="660"/>
        <v>0</v>
      </c>
      <c r="BW208" s="187">
        <f t="shared" si="177"/>
        <v>0</v>
      </c>
      <c r="BX208" s="187">
        <f t="shared" si="178"/>
        <v>0</v>
      </c>
      <c r="BY208" s="187">
        <f t="shared" si="179"/>
        <v>0</v>
      </c>
      <c r="BZ208" s="187">
        <f t="shared" si="180"/>
        <v>0</v>
      </c>
      <c r="CA208" s="167">
        <f t="shared" si="181"/>
        <v>100</v>
      </c>
      <c r="CB208" s="167">
        <f t="shared" si="47"/>
        <v>100</v>
      </c>
      <c r="CC208" s="644">
        <f t="shared" si="48"/>
        <v>23</v>
      </c>
      <c r="CD208" s="644">
        <f t="shared" si="49"/>
        <v>19</v>
      </c>
      <c r="CE208" s="644">
        <f t="shared" si="50"/>
        <v>15</v>
      </c>
      <c r="CF208" s="644">
        <f t="shared" si="51"/>
        <v>15</v>
      </c>
      <c r="CG208" s="644">
        <f t="shared" si="52"/>
        <v>9</v>
      </c>
      <c r="CH208" s="644">
        <f t="shared" si="597"/>
        <v>7</v>
      </c>
      <c r="CI208" s="644">
        <f t="shared" si="54"/>
        <v>7</v>
      </c>
      <c r="CJ208" s="644">
        <f t="shared" si="55"/>
        <v>5</v>
      </c>
      <c r="CK208" s="644">
        <f t="shared" si="56"/>
        <v>5</v>
      </c>
      <c r="CL208" s="644">
        <f t="shared" si="57"/>
        <v>5</v>
      </c>
      <c r="CM208" s="644">
        <f t="shared" si="58"/>
        <v>0</v>
      </c>
      <c r="CN208" s="644">
        <f t="shared" si="59"/>
        <v>0</v>
      </c>
      <c r="CO208" s="644">
        <f t="shared" si="60"/>
        <v>0</v>
      </c>
      <c r="CP208" s="644">
        <f t="shared" si="61"/>
        <v>0</v>
      </c>
      <c r="CQ208" s="644">
        <f t="shared" si="62"/>
        <v>0</v>
      </c>
      <c r="CR208" s="644">
        <f t="shared" si="63"/>
        <v>0</v>
      </c>
      <c r="CS208" s="644">
        <f t="shared" si="64"/>
        <v>0</v>
      </c>
      <c r="CT208" s="644">
        <f t="shared" si="65"/>
        <v>0</v>
      </c>
      <c r="CU208" s="644">
        <f t="shared" si="66"/>
        <v>0</v>
      </c>
      <c r="CV208" s="644">
        <f t="shared" si="67"/>
        <v>0</v>
      </c>
      <c r="CW208" s="644">
        <f t="shared" si="68"/>
        <v>0</v>
      </c>
      <c r="CX208" s="644">
        <f t="shared" si="69"/>
        <v>0</v>
      </c>
      <c r="CY208" s="644">
        <f t="shared" si="70"/>
        <v>0</v>
      </c>
      <c r="CZ208" s="624" t="s">
        <v>1098</v>
      </c>
      <c r="DA208" s="257"/>
    </row>
    <row r="209" spans="1:105">
      <c r="A209" s="249" t="s">
        <v>376</v>
      </c>
      <c r="B209" s="187"/>
      <c r="C209" s="187"/>
      <c r="D209" s="644">
        <v>1</v>
      </c>
      <c r="E209" s="644">
        <v>1</v>
      </c>
      <c r="F209" s="251">
        <v>1</v>
      </c>
      <c r="G209" s="251"/>
      <c r="H209" s="251"/>
      <c r="I209" s="251">
        <v>1</v>
      </c>
      <c r="J209" s="644"/>
      <c r="K209" s="644"/>
      <c r="L209" s="644"/>
      <c r="M209" s="644"/>
      <c r="N209" s="644"/>
      <c r="O209" s="644"/>
      <c r="P209" s="644"/>
      <c r="Q209" s="644"/>
      <c r="R209" s="644">
        <v>1</v>
      </c>
      <c r="S209" s="644"/>
      <c r="T209" s="644"/>
      <c r="U209" s="644">
        <v>1</v>
      </c>
      <c r="V209" s="644"/>
      <c r="W209" s="644"/>
      <c r="X209" s="644"/>
      <c r="Y209" s="644"/>
      <c r="Z209" s="644"/>
      <c r="AA209" s="644"/>
      <c r="AB209" s="644">
        <v>1</v>
      </c>
      <c r="AC209" s="644">
        <v>1</v>
      </c>
      <c r="AD209" s="251"/>
      <c r="AE209" s="644"/>
      <c r="AF209" s="644"/>
      <c r="AG209" s="644"/>
      <c r="AH209" s="644">
        <v>1</v>
      </c>
      <c r="AI209" s="644"/>
      <c r="AJ209" s="644">
        <v>1</v>
      </c>
      <c r="AK209" s="644"/>
      <c r="AL209" s="167">
        <v>10</v>
      </c>
      <c r="AM209" s="185" t="s">
        <v>1255</v>
      </c>
      <c r="AN209" s="186">
        <v>41977</v>
      </c>
      <c r="AO209" s="187"/>
      <c r="AP209" s="187">
        <f t="shared" si="148"/>
        <v>13</v>
      </c>
      <c r="AQ209" s="187">
        <f t="shared" si="149"/>
        <v>13</v>
      </c>
      <c r="AR209" s="187">
        <f t="shared" si="150"/>
        <v>13</v>
      </c>
      <c r="AS209" s="187">
        <f t="shared" si="151"/>
        <v>13</v>
      </c>
      <c r="AT209" s="187">
        <f t="shared" si="152"/>
        <v>9</v>
      </c>
      <c r="AU209" s="187">
        <f t="shared" si="153"/>
        <v>9</v>
      </c>
      <c r="AV209" s="187">
        <f t="shared" si="154"/>
        <v>9</v>
      </c>
      <c r="AW209" s="187">
        <f t="shared" si="155"/>
        <v>7</v>
      </c>
      <c r="AX209" s="187">
        <f t="shared" si="156"/>
        <v>0</v>
      </c>
      <c r="AY209" s="187">
        <f t="shared" si="157"/>
        <v>0</v>
      </c>
      <c r="AZ209" s="187">
        <f t="shared" si="158"/>
        <v>7</v>
      </c>
      <c r="BA209" s="187">
        <f t="shared" si="159"/>
        <v>7</v>
      </c>
      <c r="BB209" s="187">
        <f t="shared" si="160"/>
        <v>0</v>
      </c>
      <c r="BC209" s="187">
        <f t="shared" si="161"/>
        <v>0</v>
      </c>
      <c r="BD209" s="187">
        <f t="shared" si="162"/>
        <v>0</v>
      </c>
      <c r="BE209" s="187">
        <f t="shared" si="163"/>
        <v>0</v>
      </c>
      <c r="BF209" s="187">
        <f t="shared" si="164"/>
        <v>0</v>
      </c>
      <c r="BG209" s="187">
        <f t="shared" si="165"/>
        <v>0</v>
      </c>
      <c r="BH209" s="187">
        <f t="shared" si="166"/>
        <v>0</v>
      </c>
      <c r="BI209" s="187">
        <f t="shared" si="167"/>
        <v>0</v>
      </c>
      <c r="BJ209" s="187">
        <f t="shared" si="168"/>
        <v>0</v>
      </c>
      <c r="BK209" s="187">
        <f t="shared" si="169"/>
        <v>0</v>
      </c>
      <c r="BL209" s="187">
        <f t="shared" si="170"/>
        <v>0</v>
      </c>
      <c r="BM209" s="187">
        <f t="shared" si="171"/>
        <v>0</v>
      </c>
      <c r="BN209" s="188">
        <f t="shared" si="172"/>
        <v>0</v>
      </c>
      <c r="BO209" s="187">
        <f t="shared" si="173"/>
        <v>0</v>
      </c>
      <c r="BP209" s="187">
        <f t="shared" ref="BP209:BQ209" si="661">IF(G209=1,1,0)</f>
        <v>0</v>
      </c>
      <c r="BQ209" s="187">
        <f t="shared" si="661"/>
        <v>0</v>
      </c>
      <c r="BR209" s="187">
        <f t="shared" ref="BR209:BT209" si="662">IF(K209=1,1,0)</f>
        <v>0</v>
      </c>
      <c r="BS209" s="187">
        <f t="shared" si="662"/>
        <v>0</v>
      </c>
      <c r="BT209" s="187">
        <f t="shared" si="662"/>
        <v>0</v>
      </c>
      <c r="BU209" s="187">
        <f t="shared" ref="BU209:BV209" si="663">IF(P209=1,1,0)</f>
        <v>0</v>
      </c>
      <c r="BV209" s="187">
        <f t="shared" si="663"/>
        <v>0</v>
      </c>
      <c r="BW209" s="187">
        <f t="shared" si="177"/>
        <v>0</v>
      </c>
      <c r="BX209" s="187">
        <f t="shared" si="178"/>
        <v>0</v>
      </c>
      <c r="BY209" s="187">
        <f t="shared" si="179"/>
        <v>0</v>
      </c>
      <c r="BZ209" s="187">
        <f t="shared" si="180"/>
        <v>0</v>
      </c>
      <c r="CA209" s="167">
        <f t="shared" si="181"/>
        <v>100</v>
      </c>
      <c r="CB209" s="167">
        <f t="shared" si="47"/>
        <v>100</v>
      </c>
      <c r="CC209" s="644">
        <f t="shared" si="48"/>
        <v>23</v>
      </c>
      <c r="CD209" s="644">
        <f t="shared" si="49"/>
        <v>19</v>
      </c>
      <c r="CE209" s="644">
        <f t="shared" si="50"/>
        <v>15</v>
      </c>
      <c r="CF209" s="644">
        <f t="shared" si="51"/>
        <v>15</v>
      </c>
      <c r="CG209" s="644">
        <f t="shared" si="52"/>
        <v>9</v>
      </c>
      <c r="CH209" s="644">
        <f t="shared" si="597"/>
        <v>7</v>
      </c>
      <c r="CI209" s="644">
        <f t="shared" si="54"/>
        <v>7</v>
      </c>
      <c r="CJ209" s="644">
        <f t="shared" si="55"/>
        <v>0</v>
      </c>
      <c r="CK209" s="644">
        <f t="shared" si="56"/>
        <v>5</v>
      </c>
      <c r="CL209" s="644">
        <f t="shared" si="57"/>
        <v>5</v>
      </c>
      <c r="CM209" s="644">
        <f t="shared" si="58"/>
        <v>0</v>
      </c>
      <c r="CN209" s="644">
        <f t="shared" si="59"/>
        <v>0</v>
      </c>
      <c r="CO209" s="644">
        <f t="shared" si="60"/>
        <v>3</v>
      </c>
      <c r="CP209" s="644">
        <f t="shared" si="61"/>
        <v>0</v>
      </c>
      <c r="CQ209" s="644">
        <f t="shared" si="62"/>
        <v>0</v>
      </c>
      <c r="CR209" s="644">
        <f t="shared" si="63"/>
        <v>0</v>
      </c>
      <c r="CS209" s="644">
        <f t="shared" si="64"/>
        <v>0</v>
      </c>
      <c r="CT209" s="644">
        <f t="shared" si="65"/>
        <v>0</v>
      </c>
      <c r="CU209" s="644">
        <f t="shared" si="66"/>
        <v>0</v>
      </c>
      <c r="CV209" s="644">
        <f t="shared" si="67"/>
        <v>0</v>
      </c>
      <c r="CW209" s="644">
        <f t="shared" si="68"/>
        <v>0</v>
      </c>
      <c r="CX209" s="644">
        <f t="shared" si="69"/>
        <v>0</v>
      </c>
      <c r="CY209" s="644">
        <f t="shared" si="70"/>
        <v>0</v>
      </c>
      <c r="CZ209" s="624" t="s">
        <v>752</v>
      </c>
      <c r="DA209" s="257"/>
    </row>
    <row r="210" spans="1:105">
      <c r="A210" s="249" t="s">
        <v>378</v>
      </c>
      <c r="B210" s="187"/>
      <c r="C210" s="274"/>
      <c r="D210" s="644">
        <v>1</v>
      </c>
      <c r="E210" s="644">
        <v>1</v>
      </c>
      <c r="F210" s="251">
        <v>1</v>
      </c>
      <c r="G210" s="251"/>
      <c r="H210" s="251"/>
      <c r="I210" s="251">
        <v>1</v>
      </c>
      <c r="J210" s="644"/>
      <c r="K210" s="644"/>
      <c r="L210" s="644"/>
      <c r="M210" s="644"/>
      <c r="N210" s="644"/>
      <c r="O210" s="644"/>
      <c r="P210" s="644"/>
      <c r="Q210" s="644"/>
      <c r="R210" s="644">
        <v>1</v>
      </c>
      <c r="S210" s="644"/>
      <c r="T210" s="644">
        <v>1</v>
      </c>
      <c r="U210" s="644">
        <v>1</v>
      </c>
      <c r="V210" s="644"/>
      <c r="W210" s="644"/>
      <c r="X210" s="644"/>
      <c r="Y210" s="644"/>
      <c r="Z210" s="644"/>
      <c r="AA210" s="644"/>
      <c r="AB210" s="644">
        <v>1</v>
      </c>
      <c r="AC210" s="644">
        <v>1</v>
      </c>
      <c r="AD210" s="251"/>
      <c r="AE210" s="644"/>
      <c r="AF210" s="644"/>
      <c r="AG210" s="644"/>
      <c r="AH210" s="644">
        <v>1</v>
      </c>
      <c r="AI210" s="644"/>
      <c r="AJ210" s="644"/>
      <c r="AK210" s="644"/>
      <c r="AL210" s="262">
        <v>10</v>
      </c>
      <c r="AM210" s="185" t="s">
        <v>1256</v>
      </c>
      <c r="AN210" s="186">
        <v>41985</v>
      </c>
      <c r="AO210" s="187"/>
      <c r="AP210" s="187">
        <f t="shared" si="148"/>
        <v>13</v>
      </c>
      <c r="AQ210" s="187">
        <f t="shared" si="149"/>
        <v>13</v>
      </c>
      <c r="AR210" s="187">
        <f t="shared" si="150"/>
        <v>13</v>
      </c>
      <c r="AS210" s="187">
        <f t="shared" si="151"/>
        <v>13</v>
      </c>
      <c r="AT210" s="187">
        <f t="shared" si="152"/>
        <v>9</v>
      </c>
      <c r="AU210" s="187">
        <f t="shared" si="153"/>
        <v>9</v>
      </c>
      <c r="AV210" s="187">
        <f t="shared" si="154"/>
        <v>9</v>
      </c>
      <c r="AW210" s="187">
        <f t="shared" si="155"/>
        <v>0</v>
      </c>
      <c r="AX210" s="187">
        <f t="shared" si="156"/>
        <v>0</v>
      </c>
      <c r="AY210" s="187">
        <f t="shared" si="157"/>
        <v>0</v>
      </c>
      <c r="AZ210" s="187">
        <f t="shared" si="158"/>
        <v>7</v>
      </c>
      <c r="BA210" s="187">
        <f t="shared" si="159"/>
        <v>7</v>
      </c>
      <c r="BB210" s="187">
        <f t="shared" si="160"/>
        <v>0</v>
      </c>
      <c r="BC210" s="187">
        <f t="shared" si="161"/>
        <v>4</v>
      </c>
      <c r="BD210" s="187">
        <f t="shared" si="162"/>
        <v>0</v>
      </c>
      <c r="BE210" s="187">
        <f t="shared" si="163"/>
        <v>0</v>
      </c>
      <c r="BF210" s="187">
        <f t="shared" si="164"/>
        <v>0</v>
      </c>
      <c r="BG210" s="187">
        <f t="shared" si="165"/>
        <v>0</v>
      </c>
      <c r="BH210" s="187">
        <f t="shared" si="166"/>
        <v>0</v>
      </c>
      <c r="BI210" s="187">
        <f t="shared" si="167"/>
        <v>0</v>
      </c>
      <c r="BJ210" s="187">
        <f t="shared" si="168"/>
        <v>0</v>
      </c>
      <c r="BK210" s="187">
        <f t="shared" si="169"/>
        <v>0</v>
      </c>
      <c r="BL210" s="187">
        <f t="shared" si="170"/>
        <v>0</v>
      </c>
      <c r="BM210" s="187">
        <f t="shared" si="171"/>
        <v>0</v>
      </c>
      <c r="BN210" s="188">
        <f t="shared" si="172"/>
        <v>0</v>
      </c>
      <c r="BO210" s="187">
        <f t="shared" si="173"/>
        <v>0</v>
      </c>
      <c r="BP210" s="187">
        <f t="shared" ref="BP210:BQ210" si="664">IF(G210=1,1,0)</f>
        <v>0</v>
      </c>
      <c r="BQ210" s="187">
        <f t="shared" si="664"/>
        <v>0</v>
      </c>
      <c r="BR210" s="187">
        <f t="shared" ref="BR210:BT210" si="665">IF(K210=1,1,0)</f>
        <v>0</v>
      </c>
      <c r="BS210" s="187">
        <f t="shared" si="665"/>
        <v>0</v>
      </c>
      <c r="BT210" s="187">
        <f t="shared" si="665"/>
        <v>0</v>
      </c>
      <c r="BU210" s="187">
        <f t="shared" ref="BU210:BV210" si="666">IF(P210=1,1,0)</f>
        <v>0</v>
      </c>
      <c r="BV210" s="187">
        <f t="shared" si="666"/>
        <v>0</v>
      </c>
      <c r="BW210" s="187">
        <f t="shared" si="177"/>
        <v>0</v>
      </c>
      <c r="BX210" s="187">
        <f t="shared" si="178"/>
        <v>0</v>
      </c>
      <c r="BY210" s="187">
        <f t="shared" si="179"/>
        <v>0</v>
      </c>
      <c r="BZ210" s="187">
        <f t="shared" si="180"/>
        <v>0</v>
      </c>
      <c r="CA210" s="167">
        <f t="shared" si="181"/>
        <v>97</v>
      </c>
      <c r="CB210" s="167">
        <f t="shared" si="47"/>
        <v>100</v>
      </c>
      <c r="CC210" s="644">
        <f t="shared" si="48"/>
        <v>23</v>
      </c>
      <c r="CD210" s="644">
        <f t="shared" si="49"/>
        <v>19</v>
      </c>
      <c r="CE210" s="644">
        <f t="shared" si="50"/>
        <v>15</v>
      </c>
      <c r="CF210" s="644">
        <f t="shared" si="51"/>
        <v>15</v>
      </c>
      <c r="CG210" s="644">
        <f t="shared" si="52"/>
        <v>9</v>
      </c>
      <c r="CH210" s="644">
        <f t="shared" si="597"/>
        <v>7</v>
      </c>
      <c r="CI210" s="644">
        <f t="shared" si="54"/>
        <v>7</v>
      </c>
      <c r="CJ210" s="644">
        <f t="shared" si="55"/>
        <v>0</v>
      </c>
      <c r="CK210" s="644">
        <f t="shared" si="56"/>
        <v>5</v>
      </c>
      <c r="CL210" s="644">
        <f t="shared" si="57"/>
        <v>5</v>
      </c>
      <c r="CM210" s="644">
        <f t="shared" si="58"/>
        <v>0</v>
      </c>
      <c r="CN210" s="644">
        <f t="shared" si="59"/>
        <v>3</v>
      </c>
      <c r="CO210" s="644">
        <f t="shared" si="60"/>
        <v>0</v>
      </c>
      <c r="CP210" s="644">
        <f t="shared" si="61"/>
        <v>0</v>
      </c>
      <c r="CQ210" s="644">
        <f t="shared" si="62"/>
        <v>0</v>
      </c>
      <c r="CR210" s="644">
        <f t="shared" si="63"/>
        <v>0</v>
      </c>
      <c r="CS210" s="644">
        <f t="shared" si="64"/>
        <v>0</v>
      </c>
      <c r="CT210" s="644">
        <f t="shared" si="65"/>
        <v>0</v>
      </c>
      <c r="CU210" s="644">
        <f t="shared" si="66"/>
        <v>0</v>
      </c>
      <c r="CV210" s="644">
        <f t="shared" si="67"/>
        <v>0</v>
      </c>
      <c r="CW210" s="644">
        <f t="shared" si="68"/>
        <v>0</v>
      </c>
      <c r="CX210" s="644">
        <f t="shared" si="69"/>
        <v>0</v>
      </c>
      <c r="CY210" s="644">
        <f t="shared" si="70"/>
        <v>0</v>
      </c>
      <c r="CZ210" s="624" t="s">
        <v>748</v>
      </c>
      <c r="DA210" s="257"/>
    </row>
    <row r="211" spans="1:105">
      <c r="A211" s="249" t="s">
        <v>1257</v>
      </c>
      <c r="B211" s="187"/>
      <c r="C211" s="187"/>
      <c r="D211" s="644"/>
      <c r="E211" s="644">
        <v>1</v>
      </c>
      <c r="F211" s="251"/>
      <c r="G211" s="251"/>
      <c r="H211" s="251"/>
      <c r="I211" s="251"/>
      <c r="J211" s="644"/>
      <c r="K211" s="644"/>
      <c r="L211" s="644"/>
      <c r="M211" s="644"/>
      <c r="N211" s="644">
        <v>1</v>
      </c>
      <c r="O211" s="644"/>
      <c r="P211" s="644"/>
      <c r="Q211" s="644"/>
      <c r="R211" s="644">
        <v>1</v>
      </c>
      <c r="S211" s="644"/>
      <c r="T211" s="644">
        <v>1</v>
      </c>
      <c r="U211" s="644">
        <v>1</v>
      </c>
      <c r="V211" s="644"/>
      <c r="W211" s="644"/>
      <c r="X211" s="644"/>
      <c r="Y211" s="644"/>
      <c r="Z211" s="644"/>
      <c r="AA211" s="644"/>
      <c r="AB211" s="644">
        <v>1</v>
      </c>
      <c r="AC211" s="644">
        <v>1</v>
      </c>
      <c r="AD211" s="250"/>
      <c r="AE211" s="644"/>
      <c r="AF211" s="644"/>
      <c r="AG211" s="644">
        <v>1</v>
      </c>
      <c r="AH211" s="644">
        <v>1</v>
      </c>
      <c r="AI211" s="644"/>
      <c r="AJ211" s="644"/>
      <c r="AK211" s="644"/>
      <c r="AL211" s="167">
        <v>9</v>
      </c>
      <c r="AM211" s="185" t="s">
        <v>1258</v>
      </c>
      <c r="AN211" s="186">
        <v>42009</v>
      </c>
      <c r="AO211" s="187"/>
      <c r="AP211" s="187">
        <f t="shared" si="148"/>
        <v>0</v>
      </c>
      <c r="AQ211" s="187">
        <f t="shared" si="149"/>
        <v>0</v>
      </c>
      <c r="AR211" s="187">
        <f t="shared" si="150"/>
        <v>13</v>
      </c>
      <c r="AS211" s="187">
        <f t="shared" si="151"/>
        <v>13</v>
      </c>
      <c r="AT211" s="187">
        <f t="shared" si="152"/>
        <v>9</v>
      </c>
      <c r="AU211" s="187">
        <f t="shared" si="153"/>
        <v>0</v>
      </c>
      <c r="AV211" s="187">
        <f t="shared" si="154"/>
        <v>9</v>
      </c>
      <c r="AW211" s="187">
        <f t="shared" si="155"/>
        <v>0</v>
      </c>
      <c r="AX211" s="187">
        <f t="shared" si="156"/>
        <v>0</v>
      </c>
      <c r="AY211" s="187">
        <f t="shared" si="157"/>
        <v>0</v>
      </c>
      <c r="AZ211" s="187">
        <f t="shared" si="158"/>
        <v>7</v>
      </c>
      <c r="BA211" s="187">
        <f t="shared" si="159"/>
        <v>7</v>
      </c>
      <c r="BB211" s="187">
        <f t="shared" si="160"/>
        <v>0</v>
      </c>
      <c r="BC211" s="187">
        <f t="shared" si="161"/>
        <v>4</v>
      </c>
      <c r="BD211" s="187">
        <f t="shared" si="162"/>
        <v>0</v>
      </c>
      <c r="BE211" s="187">
        <f t="shared" si="163"/>
        <v>0</v>
      </c>
      <c r="BF211" s="187">
        <f t="shared" si="164"/>
        <v>0</v>
      </c>
      <c r="BG211" s="187">
        <f t="shared" si="165"/>
        <v>0</v>
      </c>
      <c r="BH211" s="187">
        <f t="shared" si="166"/>
        <v>0</v>
      </c>
      <c r="BI211" s="187">
        <f t="shared" si="167"/>
        <v>0</v>
      </c>
      <c r="BJ211" s="187">
        <f t="shared" si="168"/>
        <v>1</v>
      </c>
      <c r="BK211" s="187">
        <f t="shared" si="169"/>
        <v>0</v>
      </c>
      <c r="BL211" s="187">
        <f t="shared" si="170"/>
        <v>0</v>
      </c>
      <c r="BM211" s="187">
        <f t="shared" si="171"/>
        <v>1</v>
      </c>
      <c r="BN211" s="188">
        <f t="shared" si="172"/>
        <v>1</v>
      </c>
      <c r="BO211" s="187">
        <f t="shared" si="173"/>
        <v>0</v>
      </c>
      <c r="BP211" s="187">
        <f t="shared" ref="BP211:BQ211" si="667">IF(G211=1,1,0)</f>
        <v>0</v>
      </c>
      <c r="BQ211" s="187">
        <f t="shared" si="667"/>
        <v>0</v>
      </c>
      <c r="BR211" s="187">
        <f t="shared" ref="BR211:BT211" si="668">IF(K211=1,1,0)</f>
        <v>0</v>
      </c>
      <c r="BS211" s="187">
        <f t="shared" si="668"/>
        <v>0</v>
      </c>
      <c r="BT211" s="187">
        <f t="shared" si="668"/>
        <v>0</v>
      </c>
      <c r="BU211" s="187">
        <f t="shared" ref="BU211:BV211" si="669">IF(P211=1,1,0)</f>
        <v>0</v>
      </c>
      <c r="BV211" s="187">
        <f t="shared" si="669"/>
        <v>0</v>
      </c>
      <c r="BW211" s="187">
        <f t="shared" si="177"/>
        <v>0</v>
      </c>
      <c r="BX211" s="187">
        <f t="shared" si="178"/>
        <v>0</v>
      </c>
      <c r="BY211" s="187">
        <f t="shared" si="179"/>
        <v>1</v>
      </c>
      <c r="BZ211" s="187">
        <f t="shared" si="180"/>
        <v>-1</v>
      </c>
      <c r="CA211" s="167">
        <f t="shared" si="181"/>
        <v>63</v>
      </c>
      <c r="CB211" s="167">
        <f t="shared" si="47"/>
        <v>94</v>
      </c>
      <c r="CC211" s="644">
        <f t="shared" si="48"/>
        <v>23</v>
      </c>
      <c r="CD211" s="644">
        <f t="shared" si="49"/>
        <v>19</v>
      </c>
      <c r="CE211" s="644">
        <f t="shared" si="50"/>
        <v>15</v>
      </c>
      <c r="CF211" s="644">
        <f t="shared" si="51"/>
        <v>15</v>
      </c>
      <c r="CG211" s="644">
        <f t="shared" si="52"/>
        <v>9</v>
      </c>
      <c r="CH211" s="644">
        <f t="shared" si="597"/>
        <v>0</v>
      </c>
      <c r="CI211" s="644">
        <f t="shared" si="54"/>
        <v>7</v>
      </c>
      <c r="CJ211" s="644">
        <f t="shared" si="55"/>
        <v>0</v>
      </c>
      <c r="CK211" s="644">
        <f t="shared" si="56"/>
        <v>0</v>
      </c>
      <c r="CL211" s="644">
        <f t="shared" si="57"/>
        <v>0</v>
      </c>
      <c r="CM211" s="644">
        <f t="shared" si="58"/>
        <v>3</v>
      </c>
      <c r="CN211" s="644">
        <f t="shared" si="59"/>
        <v>3</v>
      </c>
      <c r="CO211" s="644">
        <f t="shared" si="60"/>
        <v>0</v>
      </c>
      <c r="CP211" s="644">
        <f t="shared" si="61"/>
        <v>0</v>
      </c>
      <c r="CQ211" s="644">
        <f t="shared" si="62"/>
        <v>0</v>
      </c>
      <c r="CR211" s="644">
        <f t="shared" si="63"/>
        <v>0</v>
      </c>
      <c r="CS211" s="644">
        <f t="shared" si="64"/>
        <v>0</v>
      </c>
      <c r="CT211" s="644">
        <f t="shared" si="65"/>
        <v>0</v>
      </c>
      <c r="CU211" s="644">
        <f t="shared" si="66"/>
        <v>0</v>
      </c>
      <c r="CV211" s="644">
        <f t="shared" si="67"/>
        <v>0</v>
      </c>
      <c r="CW211" s="644">
        <f t="shared" si="68"/>
        <v>0</v>
      </c>
      <c r="CX211" s="644">
        <f t="shared" si="69"/>
        <v>1</v>
      </c>
      <c r="CY211" s="644">
        <f t="shared" si="70"/>
        <v>0</v>
      </c>
      <c r="CZ211" s="624" t="s">
        <v>743</v>
      </c>
      <c r="DA211" s="257"/>
    </row>
    <row r="212" spans="1:105">
      <c r="A212" s="249" t="s">
        <v>381</v>
      </c>
      <c r="B212" s="187"/>
      <c r="C212" s="187"/>
      <c r="D212" s="644"/>
      <c r="E212" s="644">
        <v>1</v>
      </c>
      <c r="F212" s="251"/>
      <c r="G212" s="251"/>
      <c r="H212" s="251"/>
      <c r="I212" s="251"/>
      <c r="J212" s="644"/>
      <c r="K212" s="644"/>
      <c r="L212" s="644"/>
      <c r="M212" s="644"/>
      <c r="N212" s="644"/>
      <c r="O212" s="644"/>
      <c r="P212" s="644"/>
      <c r="Q212" s="644"/>
      <c r="R212" s="644">
        <v>1</v>
      </c>
      <c r="S212" s="644"/>
      <c r="T212" s="644"/>
      <c r="U212" s="644">
        <v>1</v>
      </c>
      <c r="V212" s="644"/>
      <c r="W212" s="644"/>
      <c r="X212" s="644"/>
      <c r="Y212" s="644"/>
      <c r="Z212" s="644"/>
      <c r="AA212" s="644"/>
      <c r="AB212" s="644"/>
      <c r="AC212" s="644">
        <v>1</v>
      </c>
      <c r="AD212" s="644"/>
      <c r="AE212" s="644"/>
      <c r="AF212" s="644"/>
      <c r="AG212" s="644">
        <v>1</v>
      </c>
      <c r="AH212" s="644">
        <v>1</v>
      </c>
      <c r="AI212" s="644"/>
      <c r="AJ212" s="644"/>
      <c r="AK212" s="644"/>
      <c r="AL212" s="167">
        <v>6</v>
      </c>
      <c r="AM212" s="185" t="s">
        <v>1148</v>
      </c>
      <c r="AN212" s="186">
        <v>42006</v>
      </c>
      <c r="AO212" s="187"/>
      <c r="AP212" s="187">
        <f t="shared" si="148"/>
        <v>0</v>
      </c>
      <c r="AQ212" s="187">
        <f t="shared" si="149"/>
        <v>0</v>
      </c>
      <c r="AR212" s="187">
        <f t="shared" si="150"/>
        <v>13</v>
      </c>
      <c r="AS212" s="187">
        <f t="shared" si="151"/>
        <v>13</v>
      </c>
      <c r="AT212" s="187">
        <f t="shared" si="152"/>
        <v>0</v>
      </c>
      <c r="AU212" s="187">
        <f t="shared" si="153"/>
        <v>0</v>
      </c>
      <c r="AV212" s="187">
        <f t="shared" si="154"/>
        <v>9</v>
      </c>
      <c r="AW212" s="187">
        <f t="shared" si="155"/>
        <v>0</v>
      </c>
      <c r="AX212" s="187">
        <f t="shared" si="156"/>
        <v>0</v>
      </c>
      <c r="AY212" s="187">
        <f t="shared" si="157"/>
        <v>0</v>
      </c>
      <c r="AZ212" s="187">
        <f t="shared" si="158"/>
        <v>7</v>
      </c>
      <c r="BA212" s="187">
        <f t="shared" si="159"/>
        <v>7</v>
      </c>
      <c r="BB212" s="187">
        <f t="shared" si="160"/>
        <v>0</v>
      </c>
      <c r="BC212" s="187">
        <f t="shared" si="161"/>
        <v>0</v>
      </c>
      <c r="BD212" s="187">
        <f t="shared" si="162"/>
        <v>0</v>
      </c>
      <c r="BE212" s="187">
        <f t="shared" si="163"/>
        <v>0</v>
      </c>
      <c r="BF212" s="187">
        <f t="shared" si="164"/>
        <v>0</v>
      </c>
      <c r="BG212" s="187">
        <f t="shared" si="165"/>
        <v>0</v>
      </c>
      <c r="BH212" s="187">
        <f t="shared" si="166"/>
        <v>0</v>
      </c>
      <c r="BI212" s="187">
        <f t="shared" si="167"/>
        <v>0</v>
      </c>
      <c r="BJ212" s="187">
        <f t="shared" si="168"/>
        <v>1</v>
      </c>
      <c r="BK212" s="187">
        <f t="shared" si="169"/>
        <v>0</v>
      </c>
      <c r="BL212" s="187">
        <f t="shared" si="170"/>
        <v>0</v>
      </c>
      <c r="BM212" s="187">
        <f t="shared" si="171"/>
        <v>0</v>
      </c>
      <c r="BN212" s="188">
        <f t="shared" si="172"/>
        <v>4</v>
      </c>
      <c r="BO212" s="187">
        <f t="shared" si="173"/>
        <v>0</v>
      </c>
      <c r="BP212" s="187">
        <f t="shared" ref="BP212:BQ212" si="670">IF(G212=1,1,0)</f>
        <v>0</v>
      </c>
      <c r="BQ212" s="187">
        <f t="shared" si="670"/>
        <v>0</v>
      </c>
      <c r="BR212" s="187">
        <f t="shared" ref="BR212:BT212" si="671">IF(K212=1,1,0)</f>
        <v>0</v>
      </c>
      <c r="BS212" s="187">
        <f t="shared" si="671"/>
        <v>0</v>
      </c>
      <c r="BT212" s="187">
        <f t="shared" si="671"/>
        <v>0</v>
      </c>
      <c r="BU212" s="187">
        <f t="shared" ref="BU212:BV212" si="672">IF(P212=1,1,0)</f>
        <v>0</v>
      </c>
      <c r="BV212" s="187">
        <f t="shared" si="672"/>
        <v>0</v>
      </c>
      <c r="BW212" s="187">
        <f t="shared" si="177"/>
        <v>0</v>
      </c>
      <c r="BX212" s="187">
        <f t="shared" si="178"/>
        <v>0</v>
      </c>
      <c r="BY212" s="187">
        <f t="shared" si="179"/>
        <v>4</v>
      </c>
      <c r="BZ212" s="187">
        <f t="shared" si="180"/>
        <v>-16</v>
      </c>
      <c r="CA212" s="167">
        <f t="shared" si="181"/>
        <v>34</v>
      </c>
      <c r="CB212" s="167">
        <f t="shared" si="47"/>
        <v>89</v>
      </c>
      <c r="CC212" s="644">
        <f t="shared" si="48"/>
        <v>23</v>
      </c>
      <c r="CD212" s="644">
        <f t="shared" si="49"/>
        <v>19</v>
      </c>
      <c r="CE212" s="644">
        <f t="shared" si="50"/>
        <v>15</v>
      </c>
      <c r="CF212" s="644">
        <f t="shared" si="51"/>
        <v>15</v>
      </c>
      <c r="CG212" s="644">
        <f t="shared" si="52"/>
        <v>0</v>
      </c>
      <c r="CH212" s="644">
        <f t="shared" si="597"/>
        <v>7</v>
      </c>
      <c r="CI212" s="644">
        <f t="shared" si="54"/>
        <v>7</v>
      </c>
      <c r="CJ212" s="644">
        <f t="shared" si="55"/>
        <v>0</v>
      </c>
      <c r="CK212" s="644">
        <f t="shared" si="56"/>
        <v>0</v>
      </c>
      <c r="CL212" s="644">
        <f t="shared" si="57"/>
        <v>0</v>
      </c>
      <c r="CM212" s="644">
        <f t="shared" si="58"/>
        <v>3</v>
      </c>
      <c r="CN212" s="644">
        <f t="shared" si="59"/>
        <v>0</v>
      </c>
      <c r="CO212" s="644">
        <f t="shared" si="60"/>
        <v>0</v>
      </c>
      <c r="CP212" s="644">
        <f t="shared" si="61"/>
        <v>0</v>
      </c>
      <c r="CQ212" s="644">
        <f t="shared" si="62"/>
        <v>0</v>
      </c>
      <c r="CR212" s="644">
        <f t="shared" si="63"/>
        <v>0</v>
      </c>
      <c r="CS212" s="644">
        <f t="shared" si="64"/>
        <v>0</v>
      </c>
      <c r="CT212" s="644">
        <f t="shared" si="65"/>
        <v>0</v>
      </c>
      <c r="CU212" s="644">
        <f t="shared" si="66"/>
        <v>0</v>
      </c>
      <c r="CV212" s="644">
        <f t="shared" si="67"/>
        <v>0</v>
      </c>
      <c r="CW212" s="644">
        <f t="shared" si="68"/>
        <v>0</v>
      </c>
      <c r="CX212" s="644">
        <f t="shared" si="69"/>
        <v>0</v>
      </c>
      <c r="CY212" s="644">
        <f t="shared" si="70"/>
        <v>0</v>
      </c>
      <c r="CZ212" s="624" t="s">
        <v>814</v>
      </c>
      <c r="DA212" s="257"/>
    </row>
    <row r="213" spans="1:105">
      <c r="A213" s="249" t="s">
        <v>382</v>
      </c>
      <c r="B213" s="187"/>
      <c r="C213" s="187"/>
      <c r="D213" s="644">
        <v>1</v>
      </c>
      <c r="E213" s="644">
        <v>1</v>
      </c>
      <c r="F213" s="251">
        <v>1</v>
      </c>
      <c r="G213" s="251"/>
      <c r="H213" s="251"/>
      <c r="I213" s="251">
        <v>1</v>
      </c>
      <c r="J213" s="644"/>
      <c r="K213" s="644"/>
      <c r="L213" s="644"/>
      <c r="M213" s="644"/>
      <c r="N213" s="644"/>
      <c r="O213" s="644"/>
      <c r="P213" s="644"/>
      <c r="Q213" s="644"/>
      <c r="R213" s="644">
        <v>1</v>
      </c>
      <c r="S213" s="644"/>
      <c r="T213" s="644"/>
      <c r="U213" s="644">
        <v>1</v>
      </c>
      <c r="V213" s="644"/>
      <c r="W213" s="644"/>
      <c r="X213" s="644"/>
      <c r="Y213" s="644"/>
      <c r="Z213" s="644">
        <v>1</v>
      </c>
      <c r="AA213" s="644"/>
      <c r="AB213" s="644">
        <v>1</v>
      </c>
      <c r="AC213" s="258">
        <v>1</v>
      </c>
      <c r="AD213" s="258">
        <v>1</v>
      </c>
      <c r="AE213" s="644"/>
      <c r="AF213" s="644"/>
      <c r="AG213" s="644"/>
      <c r="AH213" s="644"/>
      <c r="AI213" s="644"/>
      <c r="AJ213" s="644"/>
      <c r="AK213" s="644"/>
      <c r="AL213" s="167">
        <v>10</v>
      </c>
      <c r="AM213" s="185" t="str">
        <f>HYPERLINK("http://bit.ly/1JSfxbZ", "Comment #28")</f>
        <v>Comment #28</v>
      </c>
      <c r="AN213" s="186">
        <v>41998</v>
      </c>
      <c r="AO213" s="187"/>
      <c r="AP213" s="187">
        <f t="shared" si="148"/>
        <v>13</v>
      </c>
      <c r="AQ213" s="187">
        <f t="shared" si="149"/>
        <v>13</v>
      </c>
      <c r="AR213" s="187">
        <f t="shared" si="150"/>
        <v>13</v>
      </c>
      <c r="AS213" s="187">
        <f t="shared" si="151"/>
        <v>13</v>
      </c>
      <c r="AT213" s="187">
        <f t="shared" si="152"/>
        <v>9</v>
      </c>
      <c r="AU213" s="187">
        <f t="shared" si="153"/>
        <v>9</v>
      </c>
      <c r="AV213" s="187">
        <f t="shared" si="154"/>
        <v>9</v>
      </c>
      <c r="AW213" s="187">
        <f t="shared" si="155"/>
        <v>0</v>
      </c>
      <c r="AX213" s="187">
        <f t="shared" si="156"/>
        <v>7</v>
      </c>
      <c r="AY213" s="187">
        <f t="shared" si="157"/>
        <v>7</v>
      </c>
      <c r="AZ213" s="187">
        <f t="shared" si="158"/>
        <v>0</v>
      </c>
      <c r="BA213" s="187">
        <f t="shared" si="159"/>
        <v>7</v>
      </c>
      <c r="BB213" s="187">
        <f t="shared" si="160"/>
        <v>0</v>
      </c>
      <c r="BC213" s="187">
        <f t="shared" si="161"/>
        <v>0</v>
      </c>
      <c r="BD213" s="187">
        <f t="shared" si="162"/>
        <v>0</v>
      </c>
      <c r="BE213" s="187">
        <f t="shared" si="163"/>
        <v>0</v>
      </c>
      <c r="BF213" s="187">
        <f t="shared" si="164"/>
        <v>0</v>
      </c>
      <c r="BG213" s="187">
        <f t="shared" si="165"/>
        <v>0</v>
      </c>
      <c r="BH213" s="187">
        <f t="shared" si="166"/>
        <v>0</v>
      </c>
      <c r="BI213" s="187">
        <f t="shared" si="167"/>
        <v>0</v>
      </c>
      <c r="BJ213" s="187">
        <f t="shared" si="168"/>
        <v>0</v>
      </c>
      <c r="BK213" s="187">
        <f t="shared" si="169"/>
        <v>0</v>
      </c>
      <c r="BL213" s="187">
        <f t="shared" si="170"/>
        <v>0</v>
      </c>
      <c r="BM213" s="187">
        <f t="shared" si="171"/>
        <v>0</v>
      </c>
      <c r="BN213" s="188">
        <f t="shared" si="172"/>
        <v>0</v>
      </c>
      <c r="BO213" s="187">
        <f t="shared" si="173"/>
        <v>0</v>
      </c>
      <c r="BP213" s="187">
        <f t="shared" ref="BP213:BQ213" si="673">IF(G213=1,1,0)</f>
        <v>0</v>
      </c>
      <c r="BQ213" s="187">
        <f t="shared" si="673"/>
        <v>0</v>
      </c>
      <c r="BR213" s="187">
        <f t="shared" ref="BR213:BT213" si="674">IF(K213=1,1,0)</f>
        <v>0</v>
      </c>
      <c r="BS213" s="187">
        <f t="shared" si="674"/>
        <v>0</v>
      </c>
      <c r="BT213" s="187">
        <f t="shared" si="674"/>
        <v>0</v>
      </c>
      <c r="BU213" s="187">
        <f t="shared" ref="BU213:BV213" si="675">IF(P213=1,1,0)</f>
        <v>0</v>
      </c>
      <c r="BV213" s="187">
        <f t="shared" si="675"/>
        <v>0</v>
      </c>
      <c r="BW213" s="187">
        <f t="shared" si="177"/>
        <v>0</v>
      </c>
      <c r="BX213" s="187">
        <f t="shared" si="178"/>
        <v>0</v>
      </c>
      <c r="BY213" s="187">
        <f t="shared" si="179"/>
        <v>0</v>
      </c>
      <c r="BZ213" s="187">
        <f t="shared" si="180"/>
        <v>0</v>
      </c>
      <c r="CA213" s="167">
        <f t="shared" si="181"/>
        <v>100</v>
      </c>
      <c r="CB213" s="167">
        <f t="shared" si="47"/>
        <v>88</v>
      </c>
      <c r="CC213" s="644">
        <f t="shared" si="48"/>
        <v>23</v>
      </c>
      <c r="CD213" s="644">
        <f t="shared" si="49"/>
        <v>19</v>
      </c>
      <c r="CE213" s="644">
        <f t="shared" si="50"/>
        <v>0</v>
      </c>
      <c r="CF213" s="644">
        <f t="shared" si="51"/>
        <v>15</v>
      </c>
      <c r="CG213" s="644">
        <f t="shared" si="52"/>
        <v>9</v>
      </c>
      <c r="CH213" s="644">
        <f t="shared" si="597"/>
        <v>0</v>
      </c>
      <c r="CI213" s="644">
        <f t="shared" si="54"/>
        <v>7</v>
      </c>
      <c r="CJ213" s="644">
        <f t="shared" si="55"/>
        <v>5</v>
      </c>
      <c r="CK213" s="644">
        <f t="shared" si="56"/>
        <v>5</v>
      </c>
      <c r="CL213" s="644">
        <f t="shared" si="57"/>
        <v>5</v>
      </c>
      <c r="CM213" s="644">
        <f t="shared" si="58"/>
        <v>0</v>
      </c>
      <c r="CN213" s="644">
        <f t="shared" si="59"/>
        <v>0</v>
      </c>
      <c r="CO213" s="644">
        <f t="shared" si="60"/>
        <v>0</v>
      </c>
      <c r="CP213" s="644">
        <f t="shared" si="61"/>
        <v>3</v>
      </c>
      <c r="CQ213" s="644">
        <f t="shared" si="62"/>
        <v>0</v>
      </c>
      <c r="CR213" s="644">
        <f t="shared" si="63"/>
        <v>0</v>
      </c>
      <c r="CS213" s="644">
        <f t="shared" si="64"/>
        <v>0</v>
      </c>
      <c r="CT213" s="644">
        <f t="shared" si="65"/>
        <v>0</v>
      </c>
      <c r="CU213" s="644">
        <f t="shared" si="66"/>
        <v>0</v>
      </c>
      <c r="CV213" s="644">
        <f t="shared" si="67"/>
        <v>0</v>
      </c>
      <c r="CW213" s="644">
        <f t="shared" si="68"/>
        <v>0</v>
      </c>
      <c r="CX213" s="644">
        <f t="shared" si="69"/>
        <v>0</v>
      </c>
      <c r="CY213" s="644">
        <f t="shared" si="70"/>
        <v>0</v>
      </c>
      <c r="CZ213" s="624" t="s">
        <v>746</v>
      </c>
      <c r="DA213" s="257"/>
    </row>
    <row r="214" spans="1:105">
      <c r="A214" s="249" t="s">
        <v>386</v>
      </c>
      <c r="B214" s="187"/>
      <c r="C214" s="187"/>
      <c r="D214" s="644"/>
      <c r="E214" s="250"/>
      <c r="F214" s="251">
        <v>1</v>
      </c>
      <c r="G214" s="251"/>
      <c r="H214" s="251"/>
      <c r="I214" s="251">
        <v>1</v>
      </c>
      <c r="J214" s="644"/>
      <c r="K214" s="644"/>
      <c r="L214" s="644"/>
      <c r="M214" s="644"/>
      <c r="N214" s="644"/>
      <c r="O214" s="644"/>
      <c r="P214" s="644"/>
      <c r="Q214" s="644"/>
      <c r="R214" s="644">
        <v>1</v>
      </c>
      <c r="S214" s="644"/>
      <c r="T214" s="644"/>
      <c r="U214" s="644">
        <v>1</v>
      </c>
      <c r="V214" s="644"/>
      <c r="W214" s="644"/>
      <c r="X214" s="644">
        <v>1</v>
      </c>
      <c r="Y214" s="644"/>
      <c r="Z214" s="644"/>
      <c r="AA214" s="644"/>
      <c r="AB214" s="644">
        <v>1</v>
      </c>
      <c r="AC214" s="644"/>
      <c r="AD214" s="644">
        <v>1</v>
      </c>
      <c r="AE214" s="644"/>
      <c r="AF214" s="644">
        <v>1</v>
      </c>
      <c r="AG214" s="644"/>
      <c r="AH214" s="644">
        <v>1</v>
      </c>
      <c r="AI214" s="644"/>
      <c r="AJ214" s="644">
        <v>1</v>
      </c>
      <c r="AK214" s="644"/>
      <c r="AL214" s="167">
        <v>10</v>
      </c>
      <c r="AM214" s="185" t="s">
        <v>1259</v>
      </c>
      <c r="AN214" s="186">
        <v>42005</v>
      </c>
      <c r="AO214" s="187"/>
      <c r="AP214" s="187">
        <f t="shared" si="148"/>
        <v>13</v>
      </c>
      <c r="AQ214" s="187">
        <f t="shared" si="149"/>
        <v>13</v>
      </c>
      <c r="AR214" s="187">
        <f t="shared" si="150"/>
        <v>13</v>
      </c>
      <c r="AS214" s="187">
        <f t="shared" si="151"/>
        <v>13</v>
      </c>
      <c r="AT214" s="187">
        <f t="shared" si="152"/>
        <v>9</v>
      </c>
      <c r="AU214" s="187">
        <f t="shared" si="153"/>
        <v>0</v>
      </c>
      <c r="AV214" s="187">
        <f t="shared" si="154"/>
        <v>0</v>
      </c>
      <c r="AW214" s="187">
        <f t="shared" si="155"/>
        <v>7</v>
      </c>
      <c r="AX214" s="187">
        <f t="shared" si="156"/>
        <v>7</v>
      </c>
      <c r="AY214" s="187">
        <f t="shared" si="157"/>
        <v>0</v>
      </c>
      <c r="AZ214" s="187">
        <f t="shared" si="158"/>
        <v>7</v>
      </c>
      <c r="BA214" s="187">
        <f t="shared" si="159"/>
        <v>0</v>
      </c>
      <c r="BB214" s="187">
        <f t="shared" si="160"/>
        <v>0</v>
      </c>
      <c r="BC214" s="187">
        <f t="shared" si="161"/>
        <v>0</v>
      </c>
      <c r="BD214" s="187">
        <f t="shared" si="162"/>
        <v>4</v>
      </c>
      <c r="BE214" s="187">
        <f t="shared" si="163"/>
        <v>3</v>
      </c>
      <c r="BF214" s="187">
        <f t="shared" si="164"/>
        <v>0</v>
      </c>
      <c r="BG214" s="187">
        <f t="shared" si="165"/>
        <v>0</v>
      </c>
      <c r="BH214" s="187">
        <f t="shared" si="166"/>
        <v>0</v>
      </c>
      <c r="BI214" s="187">
        <f t="shared" si="167"/>
        <v>0</v>
      </c>
      <c r="BJ214" s="187">
        <f t="shared" si="168"/>
        <v>0</v>
      </c>
      <c r="BK214" s="187">
        <f t="shared" si="169"/>
        <v>0</v>
      </c>
      <c r="BL214" s="187">
        <f t="shared" si="170"/>
        <v>0</v>
      </c>
      <c r="BM214" s="187">
        <f t="shared" si="171"/>
        <v>0</v>
      </c>
      <c r="BN214" s="188">
        <f t="shared" si="172"/>
        <v>0</v>
      </c>
      <c r="BO214" s="187">
        <f t="shared" si="173"/>
        <v>0</v>
      </c>
      <c r="BP214" s="187">
        <f t="shared" ref="BP214:BQ214" si="676">IF(G214=1,1,0)</f>
        <v>0</v>
      </c>
      <c r="BQ214" s="187">
        <f t="shared" si="676"/>
        <v>0</v>
      </c>
      <c r="BR214" s="187">
        <f t="shared" ref="BR214:BT214" si="677">IF(K214=1,1,0)</f>
        <v>0</v>
      </c>
      <c r="BS214" s="187">
        <f t="shared" si="677"/>
        <v>0</v>
      </c>
      <c r="BT214" s="187">
        <f t="shared" si="677"/>
        <v>0</v>
      </c>
      <c r="BU214" s="187">
        <f t="shared" ref="BU214:BV214" si="678">IF(P214=1,1,0)</f>
        <v>0</v>
      </c>
      <c r="BV214" s="187">
        <f t="shared" si="678"/>
        <v>0</v>
      </c>
      <c r="BW214" s="187">
        <f t="shared" si="177"/>
        <v>0</v>
      </c>
      <c r="BX214" s="187">
        <f t="shared" si="178"/>
        <v>0</v>
      </c>
      <c r="BY214" s="187">
        <f t="shared" si="179"/>
        <v>0</v>
      </c>
      <c r="BZ214" s="187">
        <f t="shared" si="180"/>
        <v>0</v>
      </c>
      <c r="CA214" s="167">
        <f t="shared" si="181"/>
        <v>89</v>
      </c>
      <c r="CB214" s="167">
        <f t="shared" si="47"/>
        <v>84</v>
      </c>
      <c r="CC214" s="644">
        <f t="shared" si="48"/>
        <v>23</v>
      </c>
      <c r="CD214" s="644">
        <f t="shared" si="49"/>
        <v>19</v>
      </c>
      <c r="CE214" s="644">
        <f t="shared" si="50"/>
        <v>15</v>
      </c>
      <c r="CF214" s="644">
        <f t="shared" si="51"/>
        <v>0</v>
      </c>
      <c r="CG214" s="644">
        <f t="shared" si="52"/>
        <v>9</v>
      </c>
      <c r="CH214" s="644">
        <f t="shared" si="597"/>
        <v>0</v>
      </c>
      <c r="CI214" s="644">
        <f t="shared" si="54"/>
        <v>0</v>
      </c>
      <c r="CJ214" s="644">
        <f t="shared" si="55"/>
        <v>5</v>
      </c>
      <c r="CK214" s="644">
        <f t="shared" si="56"/>
        <v>5</v>
      </c>
      <c r="CL214" s="644">
        <f t="shared" si="57"/>
        <v>5</v>
      </c>
      <c r="CM214" s="644">
        <f t="shared" si="58"/>
        <v>0</v>
      </c>
      <c r="CN214" s="644">
        <f t="shared" si="59"/>
        <v>0</v>
      </c>
      <c r="CO214" s="644">
        <f t="shared" si="60"/>
        <v>3</v>
      </c>
      <c r="CP214" s="644">
        <f t="shared" si="61"/>
        <v>0</v>
      </c>
      <c r="CQ214" s="644">
        <f t="shared" si="62"/>
        <v>0</v>
      </c>
      <c r="CR214" s="644">
        <f t="shared" si="63"/>
        <v>0</v>
      </c>
      <c r="CS214" s="644">
        <f t="shared" si="64"/>
        <v>0</v>
      </c>
      <c r="CT214" s="644">
        <f t="shared" si="65"/>
        <v>2</v>
      </c>
      <c r="CU214" s="644">
        <f t="shared" si="66"/>
        <v>1</v>
      </c>
      <c r="CV214" s="644">
        <f t="shared" si="67"/>
        <v>0</v>
      </c>
      <c r="CW214" s="644">
        <f t="shared" si="68"/>
        <v>0</v>
      </c>
      <c r="CX214" s="644">
        <f t="shared" si="69"/>
        <v>0</v>
      </c>
      <c r="CY214" s="644">
        <f t="shared" si="70"/>
        <v>0</v>
      </c>
      <c r="CZ214" s="624" t="s">
        <v>740</v>
      </c>
      <c r="DA214" s="257"/>
    </row>
    <row r="215" spans="1:105">
      <c r="A215" s="249" t="s">
        <v>387</v>
      </c>
      <c r="B215" s="187"/>
      <c r="C215" s="187"/>
      <c r="D215" s="644">
        <v>1</v>
      </c>
      <c r="E215" s="644">
        <v>1</v>
      </c>
      <c r="F215" s="251">
        <v>1</v>
      </c>
      <c r="G215" s="251"/>
      <c r="H215" s="251"/>
      <c r="I215" s="251">
        <v>1</v>
      </c>
      <c r="J215" s="644"/>
      <c r="K215" s="644"/>
      <c r="L215" s="644"/>
      <c r="M215" s="644"/>
      <c r="N215" s="644"/>
      <c r="O215" s="644"/>
      <c r="P215" s="644"/>
      <c r="Q215" s="644"/>
      <c r="R215" s="644">
        <v>1</v>
      </c>
      <c r="S215" s="644"/>
      <c r="T215" s="644"/>
      <c r="U215" s="644">
        <v>1</v>
      </c>
      <c r="V215" s="644"/>
      <c r="W215" s="644">
        <v>1</v>
      </c>
      <c r="X215" s="644"/>
      <c r="Y215" s="644"/>
      <c r="Z215" s="644"/>
      <c r="AA215" s="644"/>
      <c r="AB215" s="644">
        <v>1</v>
      </c>
      <c r="AC215" s="644"/>
      <c r="AD215" s="644"/>
      <c r="AE215" s="644"/>
      <c r="AF215" s="644">
        <v>1</v>
      </c>
      <c r="AG215" s="644"/>
      <c r="AH215" s="644">
        <v>1</v>
      </c>
      <c r="AI215" s="644"/>
      <c r="AJ215" s="644"/>
      <c r="AK215" s="644"/>
      <c r="AL215" s="167">
        <v>10</v>
      </c>
      <c r="AM215" s="185" t="s">
        <v>1260</v>
      </c>
      <c r="AN215" s="186">
        <v>41994</v>
      </c>
      <c r="AO215" s="187"/>
      <c r="AP215" s="187">
        <f t="shared" si="148"/>
        <v>13</v>
      </c>
      <c r="AQ215" s="187">
        <f t="shared" si="149"/>
        <v>13</v>
      </c>
      <c r="AR215" s="187">
        <f t="shared" si="150"/>
        <v>13</v>
      </c>
      <c r="AS215" s="187">
        <f t="shared" si="151"/>
        <v>13</v>
      </c>
      <c r="AT215" s="187">
        <f t="shared" si="152"/>
        <v>9</v>
      </c>
      <c r="AU215" s="187">
        <f t="shared" si="153"/>
        <v>9</v>
      </c>
      <c r="AV215" s="187">
        <f t="shared" si="154"/>
        <v>0</v>
      </c>
      <c r="AW215" s="187">
        <f t="shared" si="155"/>
        <v>0</v>
      </c>
      <c r="AX215" s="187">
        <f t="shared" si="156"/>
        <v>0</v>
      </c>
      <c r="AY215" s="187">
        <f t="shared" si="157"/>
        <v>0</v>
      </c>
      <c r="AZ215" s="187">
        <f t="shared" si="158"/>
        <v>7</v>
      </c>
      <c r="BA215" s="187">
        <f t="shared" si="159"/>
        <v>7</v>
      </c>
      <c r="BB215" s="187">
        <f t="shared" si="160"/>
        <v>0</v>
      </c>
      <c r="BC215" s="187">
        <f t="shared" si="161"/>
        <v>0</v>
      </c>
      <c r="BD215" s="187">
        <f t="shared" si="162"/>
        <v>0</v>
      </c>
      <c r="BE215" s="187">
        <f t="shared" si="163"/>
        <v>3</v>
      </c>
      <c r="BF215" s="187">
        <f t="shared" si="164"/>
        <v>3</v>
      </c>
      <c r="BG215" s="187">
        <f t="shared" si="165"/>
        <v>0</v>
      </c>
      <c r="BH215" s="187">
        <f t="shared" si="166"/>
        <v>0</v>
      </c>
      <c r="BI215" s="187">
        <f t="shared" si="167"/>
        <v>0</v>
      </c>
      <c r="BJ215" s="187">
        <f t="shared" si="168"/>
        <v>0</v>
      </c>
      <c r="BK215" s="187">
        <f t="shared" si="169"/>
        <v>0</v>
      </c>
      <c r="BL215" s="187">
        <f t="shared" si="170"/>
        <v>0</v>
      </c>
      <c r="BM215" s="187">
        <f t="shared" si="171"/>
        <v>0</v>
      </c>
      <c r="BN215" s="188">
        <f t="shared" si="172"/>
        <v>0</v>
      </c>
      <c r="BO215" s="187">
        <f t="shared" si="173"/>
        <v>0</v>
      </c>
      <c r="BP215" s="187">
        <f t="shared" ref="BP215:BQ215" si="679">IF(G215=1,1,0)</f>
        <v>0</v>
      </c>
      <c r="BQ215" s="187">
        <f t="shared" si="679"/>
        <v>0</v>
      </c>
      <c r="BR215" s="187">
        <f t="shared" ref="BR215:BT215" si="680">IF(K215=1,1,0)</f>
        <v>0</v>
      </c>
      <c r="BS215" s="187">
        <f t="shared" si="680"/>
        <v>0</v>
      </c>
      <c r="BT215" s="187">
        <f t="shared" si="680"/>
        <v>0</v>
      </c>
      <c r="BU215" s="187">
        <f t="shared" ref="BU215:BV215" si="681">IF(P215=1,1,0)</f>
        <v>0</v>
      </c>
      <c r="BV215" s="187">
        <f t="shared" si="681"/>
        <v>0</v>
      </c>
      <c r="BW215" s="187">
        <f t="shared" si="177"/>
        <v>0</v>
      </c>
      <c r="BX215" s="187">
        <f t="shared" si="178"/>
        <v>0</v>
      </c>
      <c r="BY215" s="187">
        <f t="shared" si="179"/>
        <v>0</v>
      </c>
      <c r="BZ215" s="187">
        <f t="shared" si="180"/>
        <v>0</v>
      </c>
      <c r="CA215" s="167">
        <f t="shared" si="181"/>
        <v>90</v>
      </c>
      <c r="CB215" s="167">
        <f t="shared" si="47"/>
        <v>93</v>
      </c>
      <c r="CC215" s="644">
        <f t="shared" si="48"/>
        <v>23</v>
      </c>
      <c r="CD215" s="644">
        <f t="shared" si="49"/>
        <v>19</v>
      </c>
      <c r="CE215" s="644">
        <f t="shared" si="50"/>
        <v>15</v>
      </c>
      <c r="CF215" s="644">
        <f t="shared" si="51"/>
        <v>15</v>
      </c>
      <c r="CG215" s="644">
        <f t="shared" si="52"/>
        <v>9</v>
      </c>
      <c r="CH215" s="644">
        <f t="shared" si="597"/>
        <v>0</v>
      </c>
      <c r="CI215" s="644">
        <f t="shared" si="54"/>
        <v>0</v>
      </c>
      <c r="CJ215" s="644">
        <f t="shared" si="55"/>
        <v>0</v>
      </c>
      <c r="CK215" s="644">
        <f t="shared" si="56"/>
        <v>5</v>
      </c>
      <c r="CL215" s="644">
        <f t="shared" si="57"/>
        <v>5</v>
      </c>
      <c r="CM215" s="644">
        <f t="shared" si="58"/>
        <v>0</v>
      </c>
      <c r="CN215" s="644">
        <f t="shared" si="59"/>
        <v>0</v>
      </c>
      <c r="CO215" s="644">
        <f t="shared" si="60"/>
        <v>0</v>
      </c>
      <c r="CP215" s="644">
        <f t="shared" si="61"/>
        <v>0</v>
      </c>
      <c r="CQ215" s="644">
        <f t="shared" si="62"/>
        <v>0</v>
      </c>
      <c r="CR215" s="644">
        <f t="shared" si="63"/>
        <v>2</v>
      </c>
      <c r="CS215" s="644">
        <f t="shared" si="64"/>
        <v>0</v>
      </c>
      <c r="CT215" s="644">
        <f t="shared" si="65"/>
        <v>2</v>
      </c>
      <c r="CU215" s="644">
        <f t="shared" si="66"/>
        <v>0</v>
      </c>
      <c r="CV215" s="644">
        <f t="shared" si="67"/>
        <v>0</v>
      </c>
      <c r="CW215" s="644">
        <f t="shared" si="68"/>
        <v>0</v>
      </c>
      <c r="CX215" s="644">
        <f t="shared" si="69"/>
        <v>0</v>
      </c>
      <c r="CY215" s="644">
        <f t="shared" si="70"/>
        <v>0</v>
      </c>
      <c r="CZ215" s="624" t="s">
        <v>843</v>
      </c>
      <c r="DA215" s="257"/>
    </row>
    <row r="216" spans="1:105" ht="25.5">
      <c r="A216" s="249" t="s">
        <v>388</v>
      </c>
      <c r="B216" s="187"/>
      <c r="C216" s="187"/>
      <c r="D216" s="644">
        <v>1</v>
      </c>
      <c r="E216" s="258">
        <v>1</v>
      </c>
      <c r="F216" s="251">
        <v>1</v>
      </c>
      <c r="G216" s="251"/>
      <c r="H216" s="251"/>
      <c r="I216" s="251">
        <v>1</v>
      </c>
      <c r="J216" s="644"/>
      <c r="K216" s="644"/>
      <c r="L216" s="644"/>
      <c r="M216" s="644"/>
      <c r="N216" s="644"/>
      <c r="O216" s="644"/>
      <c r="P216" s="644"/>
      <c r="Q216" s="644"/>
      <c r="R216" s="644">
        <v>1</v>
      </c>
      <c r="S216" s="644"/>
      <c r="T216" s="644"/>
      <c r="U216" s="644">
        <v>1</v>
      </c>
      <c r="V216" s="644"/>
      <c r="W216" s="644"/>
      <c r="X216" s="644"/>
      <c r="Y216" s="644"/>
      <c r="Z216" s="250"/>
      <c r="AA216" s="644"/>
      <c r="AB216" s="644">
        <v>1</v>
      </c>
      <c r="AC216" s="258">
        <v>1</v>
      </c>
      <c r="AD216" s="644">
        <v>1</v>
      </c>
      <c r="AE216" s="644"/>
      <c r="AF216" s="644"/>
      <c r="AG216" s="644"/>
      <c r="AH216" s="644">
        <v>1</v>
      </c>
      <c r="AI216" s="644"/>
      <c r="AJ216" s="644"/>
      <c r="AK216" s="644"/>
      <c r="AL216" s="267">
        <v>10</v>
      </c>
      <c r="AM216" s="187" t="s">
        <v>1261</v>
      </c>
      <c r="AN216" s="186">
        <v>41992</v>
      </c>
      <c r="AO216" s="187"/>
      <c r="AP216" s="187">
        <f t="shared" si="148"/>
        <v>13</v>
      </c>
      <c r="AQ216" s="187">
        <f t="shared" si="149"/>
        <v>13</v>
      </c>
      <c r="AR216" s="187">
        <f t="shared" si="150"/>
        <v>13</v>
      </c>
      <c r="AS216" s="187">
        <f t="shared" si="151"/>
        <v>13</v>
      </c>
      <c r="AT216" s="187">
        <f t="shared" si="152"/>
        <v>9</v>
      </c>
      <c r="AU216" s="187">
        <f t="shared" si="153"/>
        <v>9</v>
      </c>
      <c r="AV216" s="187">
        <f t="shared" si="154"/>
        <v>9</v>
      </c>
      <c r="AW216" s="187">
        <f t="shared" si="155"/>
        <v>0</v>
      </c>
      <c r="AX216" s="187">
        <f t="shared" si="156"/>
        <v>7</v>
      </c>
      <c r="AY216" s="187">
        <f t="shared" si="157"/>
        <v>0</v>
      </c>
      <c r="AZ216" s="187">
        <f t="shared" si="158"/>
        <v>7</v>
      </c>
      <c r="BA216" s="187">
        <f t="shared" si="159"/>
        <v>7</v>
      </c>
      <c r="BB216" s="187">
        <f t="shared" si="160"/>
        <v>0</v>
      </c>
      <c r="BC216" s="187">
        <f t="shared" si="161"/>
        <v>0</v>
      </c>
      <c r="BD216" s="187">
        <f t="shared" si="162"/>
        <v>0</v>
      </c>
      <c r="BE216" s="187">
        <f t="shared" si="163"/>
        <v>0</v>
      </c>
      <c r="BF216" s="187">
        <f t="shared" si="164"/>
        <v>0</v>
      </c>
      <c r="BG216" s="187">
        <f t="shared" si="165"/>
        <v>0</v>
      </c>
      <c r="BH216" s="187">
        <f t="shared" si="166"/>
        <v>0</v>
      </c>
      <c r="BI216" s="187">
        <f t="shared" si="167"/>
        <v>0</v>
      </c>
      <c r="BJ216" s="187">
        <f t="shared" si="168"/>
        <v>0</v>
      </c>
      <c r="BK216" s="187">
        <f t="shared" si="169"/>
        <v>0</v>
      </c>
      <c r="BL216" s="187">
        <f t="shared" si="170"/>
        <v>0</v>
      </c>
      <c r="BM216" s="187">
        <f t="shared" si="171"/>
        <v>0</v>
      </c>
      <c r="BN216" s="188">
        <f t="shared" si="172"/>
        <v>0</v>
      </c>
      <c r="BO216" s="187">
        <f t="shared" si="173"/>
        <v>0</v>
      </c>
      <c r="BP216" s="187">
        <f t="shared" ref="BP216:BQ216" si="682">IF(G216=1,1,0)</f>
        <v>0</v>
      </c>
      <c r="BQ216" s="187">
        <f t="shared" si="682"/>
        <v>0</v>
      </c>
      <c r="BR216" s="187">
        <f t="shared" ref="BR216:BT216" si="683">IF(K216=1,1,0)</f>
        <v>0</v>
      </c>
      <c r="BS216" s="187">
        <f t="shared" si="683"/>
        <v>0</v>
      </c>
      <c r="BT216" s="187">
        <f t="shared" si="683"/>
        <v>0</v>
      </c>
      <c r="BU216" s="187">
        <f t="shared" ref="BU216:BV216" si="684">IF(P216=1,1,0)</f>
        <v>0</v>
      </c>
      <c r="BV216" s="187">
        <f t="shared" si="684"/>
        <v>0</v>
      </c>
      <c r="BW216" s="187">
        <f t="shared" si="177"/>
        <v>0</v>
      </c>
      <c r="BX216" s="187">
        <f t="shared" si="178"/>
        <v>0</v>
      </c>
      <c r="BY216" s="187">
        <f t="shared" si="179"/>
        <v>0</v>
      </c>
      <c r="BZ216" s="187">
        <f t="shared" si="180"/>
        <v>0</v>
      </c>
      <c r="CA216" s="167">
        <f t="shared" si="181"/>
        <v>100</v>
      </c>
      <c r="CB216" s="167">
        <f t="shared" si="47"/>
        <v>98</v>
      </c>
      <c r="CC216" s="644">
        <f t="shared" si="48"/>
        <v>23</v>
      </c>
      <c r="CD216" s="644">
        <f t="shared" si="49"/>
        <v>19</v>
      </c>
      <c r="CE216" s="644">
        <f t="shared" si="50"/>
        <v>15</v>
      </c>
      <c r="CF216" s="644">
        <f t="shared" si="51"/>
        <v>15</v>
      </c>
      <c r="CG216" s="644">
        <f t="shared" si="52"/>
        <v>9</v>
      </c>
      <c r="CH216" s="644">
        <f t="shared" si="597"/>
        <v>0</v>
      </c>
      <c r="CI216" s="644">
        <f t="shared" si="54"/>
        <v>7</v>
      </c>
      <c r="CJ216" s="644">
        <f t="shared" si="55"/>
        <v>5</v>
      </c>
      <c r="CK216" s="644">
        <f t="shared" si="56"/>
        <v>5</v>
      </c>
      <c r="CL216" s="644">
        <f t="shared" si="57"/>
        <v>5</v>
      </c>
      <c r="CM216" s="644">
        <f t="shared" si="58"/>
        <v>0</v>
      </c>
      <c r="CN216" s="644">
        <f t="shared" si="59"/>
        <v>0</v>
      </c>
      <c r="CO216" s="644">
        <f t="shared" si="60"/>
        <v>0</v>
      </c>
      <c r="CP216" s="644">
        <f t="shared" si="61"/>
        <v>0</v>
      </c>
      <c r="CQ216" s="644">
        <f t="shared" si="62"/>
        <v>0</v>
      </c>
      <c r="CR216" s="644">
        <f t="shared" si="63"/>
        <v>0</v>
      </c>
      <c r="CS216" s="644">
        <f t="shared" si="64"/>
        <v>0</v>
      </c>
      <c r="CT216" s="644">
        <f t="shared" si="65"/>
        <v>0</v>
      </c>
      <c r="CU216" s="644">
        <f t="shared" si="66"/>
        <v>0</v>
      </c>
      <c r="CV216" s="644">
        <f t="shared" si="67"/>
        <v>0</v>
      </c>
      <c r="CW216" s="644">
        <f t="shared" si="68"/>
        <v>0</v>
      </c>
      <c r="CX216" s="644">
        <f t="shared" si="69"/>
        <v>0</v>
      </c>
      <c r="CY216" s="644">
        <f t="shared" si="70"/>
        <v>0</v>
      </c>
      <c r="CZ216" s="624" t="s">
        <v>756</v>
      </c>
      <c r="DA216" s="257"/>
    </row>
    <row r="217" spans="1:105">
      <c r="A217" s="249" t="s">
        <v>390</v>
      </c>
      <c r="B217" s="187"/>
      <c r="C217" s="187"/>
      <c r="D217" s="644"/>
      <c r="E217" s="644"/>
      <c r="F217" s="251"/>
      <c r="G217" s="251"/>
      <c r="H217" s="251"/>
      <c r="I217" s="251"/>
      <c r="J217" s="644">
        <v>1</v>
      </c>
      <c r="K217" s="644"/>
      <c r="L217" s="644"/>
      <c r="M217" s="644"/>
      <c r="N217" s="644"/>
      <c r="O217" s="644"/>
      <c r="P217" s="644"/>
      <c r="Q217" s="644"/>
      <c r="R217" s="644">
        <v>1</v>
      </c>
      <c r="S217" s="644"/>
      <c r="T217" s="644"/>
      <c r="U217" s="644">
        <v>1</v>
      </c>
      <c r="V217" s="644"/>
      <c r="W217" s="644">
        <v>1</v>
      </c>
      <c r="X217" s="644"/>
      <c r="Y217" s="644"/>
      <c r="Z217" s="644"/>
      <c r="AA217" s="644"/>
      <c r="AB217" s="644"/>
      <c r="AC217" s="644"/>
      <c r="AD217" s="644"/>
      <c r="AE217" s="644"/>
      <c r="AF217" s="644"/>
      <c r="AG217" s="644">
        <v>1</v>
      </c>
      <c r="AH217" s="644">
        <v>1</v>
      </c>
      <c r="AI217" s="644"/>
      <c r="AJ217" s="644"/>
      <c r="AK217" s="644"/>
      <c r="AL217" s="267">
        <v>6</v>
      </c>
      <c r="AM217" s="185" t="s">
        <v>1262</v>
      </c>
      <c r="AN217" s="186">
        <v>42000</v>
      </c>
      <c r="AO217" s="187"/>
      <c r="AP217" s="187">
        <f t="shared" si="148"/>
        <v>0</v>
      </c>
      <c r="AQ217" s="187">
        <f t="shared" si="149"/>
        <v>0</v>
      </c>
      <c r="AR217" s="187">
        <f t="shared" si="150"/>
        <v>13</v>
      </c>
      <c r="AS217" s="187">
        <f t="shared" si="151"/>
        <v>13</v>
      </c>
      <c r="AT217" s="187">
        <f t="shared" si="152"/>
        <v>0</v>
      </c>
      <c r="AU217" s="187">
        <f t="shared" si="153"/>
        <v>0</v>
      </c>
      <c r="AV217" s="187">
        <f t="shared" si="154"/>
        <v>0</v>
      </c>
      <c r="AW217" s="187">
        <f t="shared" si="155"/>
        <v>0</v>
      </c>
      <c r="AX217" s="187">
        <f t="shared" si="156"/>
        <v>0</v>
      </c>
      <c r="AY217" s="187">
        <f t="shared" si="157"/>
        <v>0</v>
      </c>
      <c r="AZ217" s="187">
        <f t="shared" si="158"/>
        <v>7</v>
      </c>
      <c r="BA217" s="187">
        <f t="shared" si="159"/>
        <v>0</v>
      </c>
      <c r="BB217" s="187">
        <f t="shared" si="160"/>
        <v>0</v>
      </c>
      <c r="BC217" s="187">
        <f t="shared" si="161"/>
        <v>0</v>
      </c>
      <c r="BD217" s="187">
        <f t="shared" si="162"/>
        <v>0</v>
      </c>
      <c r="BE217" s="187">
        <f t="shared" si="163"/>
        <v>0</v>
      </c>
      <c r="BF217" s="187">
        <f t="shared" si="164"/>
        <v>3</v>
      </c>
      <c r="BG217" s="187">
        <f t="shared" si="165"/>
        <v>0</v>
      </c>
      <c r="BH217" s="187">
        <f t="shared" si="166"/>
        <v>0</v>
      </c>
      <c r="BI217" s="187">
        <f t="shared" si="167"/>
        <v>0</v>
      </c>
      <c r="BJ217" s="187">
        <f t="shared" si="168"/>
        <v>1</v>
      </c>
      <c r="BK217" s="187">
        <f t="shared" si="169"/>
        <v>0</v>
      </c>
      <c r="BL217" s="187">
        <f t="shared" si="170"/>
        <v>1</v>
      </c>
      <c r="BM217" s="187">
        <f t="shared" si="171"/>
        <v>0</v>
      </c>
      <c r="BN217" s="188">
        <f t="shared" si="172"/>
        <v>4</v>
      </c>
      <c r="BO217" s="187">
        <f t="shared" si="173"/>
        <v>0</v>
      </c>
      <c r="BP217" s="187">
        <f t="shared" ref="BP217:BQ217" si="685">IF(G217=1,1,0)</f>
        <v>0</v>
      </c>
      <c r="BQ217" s="187">
        <f t="shared" si="685"/>
        <v>0</v>
      </c>
      <c r="BR217" s="187">
        <f t="shared" ref="BR217:BT217" si="686">IF(K217=1,1,0)</f>
        <v>0</v>
      </c>
      <c r="BS217" s="187">
        <f t="shared" si="686"/>
        <v>0</v>
      </c>
      <c r="BT217" s="187">
        <f t="shared" si="686"/>
        <v>0</v>
      </c>
      <c r="BU217" s="187">
        <f t="shared" ref="BU217:BV217" si="687">IF(P217=1,1,0)</f>
        <v>0</v>
      </c>
      <c r="BV217" s="187">
        <f t="shared" si="687"/>
        <v>0</v>
      </c>
      <c r="BW217" s="187">
        <f t="shared" si="177"/>
        <v>0</v>
      </c>
      <c r="BX217" s="187">
        <f t="shared" si="178"/>
        <v>0</v>
      </c>
      <c r="BY217" s="187">
        <f t="shared" si="179"/>
        <v>4</v>
      </c>
      <c r="BZ217" s="187">
        <f t="shared" si="180"/>
        <v>-16</v>
      </c>
      <c r="CA217" s="167">
        <f t="shared" si="181"/>
        <v>22</v>
      </c>
      <c r="CB217" s="167">
        <f t="shared" si="47"/>
        <v>70</v>
      </c>
      <c r="CC217" s="644">
        <f t="shared" si="48"/>
        <v>23</v>
      </c>
      <c r="CD217" s="644">
        <f t="shared" si="49"/>
        <v>19</v>
      </c>
      <c r="CE217" s="644">
        <f t="shared" si="50"/>
        <v>15</v>
      </c>
      <c r="CF217" s="644">
        <f t="shared" si="51"/>
        <v>0</v>
      </c>
      <c r="CG217" s="644">
        <f t="shared" si="52"/>
        <v>0</v>
      </c>
      <c r="CH217" s="644">
        <f t="shared" si="597"/>
        <v>7</v>
      </c>
      <c r="CI217" s="644">
        <f t="shared" si="54"/>
        <v>0</v>
      </c>
      <c r="CJ217" s="644">
        <f t="shared" si="55"/>
        <v>0</v>
      </c>
      <c r="CK217" s="644">
        <f t="shared" si="56"/>
        <v>0</v>
      </c>
      <c r="CL217" s="644">
        <f t="shared" si="57"/>
        <v>0</v>
      </c>
      <c r="CM217" s="644">
        <f t="shared" si="58"/>
        <v>3</v>
      </c>
      <c r="CN217" s="644">
        <f t="shared" si="59"/>
        <v>0</v>
      </c>
      <c r="CO217" s="644">
        <f t="shared" si="60"/>
        <v>0</v>
      </c>
      <c r="CP217" s="644">
        <f t="shared" si="61"/>
        <v>0</v>
      </c>
      <c r="CQ217" s="644">
        <f t="shared" si="62"/>
        <v>0</v>
      </c>
      <c r="CR217" s="644">
        <f t="shared" si="63"/>
        <v>2</v>
      </c>
      <c r="CS217" s="644">
        <f t="shared" si="64"/>
        <v>0</v>
      </c>
      <c r="CT217" s="644">
        <f t="shared" si="65"/>
        <v>0</v>
      </c>
      <c r="CU217" s="644">
        <f t="shared" si="66"/>
        <v>0</v>
      </c>
      <c r="CV217" s="644">
        <f t="shared" si="67"/>
        <v>0</v>
      </c>
      <c r="CW217" s="644">
        <f t="shared" si="68"/>
        <v>0</v>
      </c>
      <c r="CX217" s="644">
        <f t="shared" si="69"/>
        <v>0</v>
      </c>
      <c r="CY217" s="644">
        <f t="shared" si="70"/>
        <v>1</v>
      </c>
      <c r="CZ217" s="624" t="s">
        <v>756</v>
      </c>
      <c r="DA217" s="257"/>
    </row>
    <row r="218" spans="1:105">
      <c r="A218" s="249" t="s">
        <v>391</v>
      </c>
      <c r="B218" s="187"/>
      <c r="C218" s="187"/>
      <c r="D218" s="258">
        <v>1</v>
      </c>
      <c r="E218" s="644">
        <v>1</v>
      </c>
      <c r="F218" s="251"/>
      <c r="G218" s="251"/>
      <c r="H218" s="251"/>
      <c r="I218" s="251"/>
      <c r="J218" s="644"/>
      <c r="K218" s="644"/>
      <c r="L218" s="644"/>
      <c r="M218" s="644"/>
      <c r="N218" s="644"/>
      <c r="O218" s="644"/>
      <c r="P218" s="644"/>
      <c r="Q218" s="644"/>
      <c r="R218" s="644">
        <v>1</v>
      </c>
      <c r="S218" s="644">
        <v>1</v>
      </c>
      <c r="T218" s="644"/>
      <c r="U218" s="644">
        <v>1</v>
      </c>
      <c r="V218" s="644"/>
      <c r="W218" s="644">
        <v>1</v>
      </c>
      <c r="X218" s="644"/>
      <c r="Y218" s="644"/>
      <c r="Z218" s="644">
        <v>1</v>
      </c>
      <c r="AA218" s="644"/>
      <c r="AB218" s="644"/>
      <c r="AC218" s="644">
        <v>1</v>
      </c>
      <c r="AD218" s="644">
        <v>1</v>
      </c>
      <c r="AE218" s="644"/>
      <c r="AF218" s="644"/>
      <c r="AG218" s="644"/>
      <c r="AH218" s="644">
        <v>1</v>
      </c>
      <c r="AI218" s="644"/>
      <c r="AJ218" s="644"/>
      <c r="AK218" s="644"/>
      <c r="AL218" s="267">
        <v>10</v>
      </c>
      <c r="AM218" s="185" t="str">
        <f>HYPERLINK("http://bit.ly/1xorSiY", "MLB Network")</f>
        <v>MLB Network</v>
      </c>
      <c r="AN218" s="186">
        <v>42006</v>
      </c>
      <c r="AO218" s="187"/>
      <c r="AP218" s="187">
        <f t="shared" si="148"/>
        <v>0</v>
      </c>
      <c r="AQ218" s="187">
        <f t="shared" si="149"/>
        <v>0</v>
      </c>
      <c r="AR218" s="187">
        <f t="shared" si="150"/>
        <v>13</v>
      </c>
      <c r="AS218" s="187">
        <f t="shared" si="151"/>
        <v>13</v>
      </c>
      <c r="AT218" s="187">
        <f t="shared" si="152"/>
        <v>0</v>
      </c>
      <c r="AU218" s="187">
        <f t="shared" si="153"/>
        <v>9</v>
      </c>
      <c r="AV218" s="187">
        <f t="shared" si="154"/>
        <v>9</v>
      </c>
      <c r="AW218" s="187">
        <f t="shared" si="155"/>
        <v>0</v>
      </c>
      <c r="AX218" s="187">
        <f t="shared" si="156"/>
        <v>7</v>
      </c>
      <c r="AY218" s="187">
        <f t="shared" si="157"/>
        <v>7</v>
      </c>
      <c r="AZ218" s="187">
        <f t="shared" si="158"/>
        <v>7</v>
      </c>
      <c r="BA218" s="187">
        <f t="shared" si="159"/>
        <v>7</v>
      </c>
      <c r="BB218" s="187">
        <f t="shared" si="160"/>
        <v>0</v>
      </c>
      <c r="BC218" s="187">
        <f t="shared" si="161"/>
        <v>0</v>
      </c>
      <c r="BD218" s="187">
        <f t="shared" si="162"/>
        <v>0</v>
      </c>
      <c r="BE218" s="187">
        <f t="shared" si="163"/>
        <v>0</v>
      </c>
      <c r="BF218" s="187">
        <f t="shared" si="164"/>
        <v>3</v>
      </c>
      <c r="BG218" s="187">
        <f t="shared" si="165"/>
        <v>0</v>
      </c>
      <c r="BH218" s="187">
        <f t="shared" si="166"/>
        <v>2</v>
      </c>
      <c r="BI218" s="187">
        <f t="shared" si="167"/>
        <v>0</v>
      </c>
      <c r="BJ218" s="187">
        <f t="shared" si="168"/>
        <v>0</v>
      </c>
      <c r="BK218" s="187">
        <f t="shared" si="169"/>
        <v>0</v>
      </c>
      <c r="BL218" s="187">
        <f t="shared" si="170"/>
        <v>0</v>
      </c>
      <c r="BM218" s="187">
        <f t="shared" si="171"/>
        <v>0</v>
      </c>
      <c r="BN218" s="188">
        <f t="shared" si="172"/>
        <v>0</v>
      </c>
      <c r="BO218" s="187">
        <f t="shared" si="173"/>
        <v>0</v>
      </c>
      <c r="BP218" s="187">
        <f t="shared" ref="BP218:BQ218" si="688">IF(G218=1,1,0)</f>
        <v>0</v>
      </c>
      <c r="BQ218" s="187">
        <f t="shared" si="688"/>
        <v>0</v>
      </c>
      <c r="BR218" s="187">
        <f t="shared" ref="BR218:BT218" si="689">IF(K218=1,1,0)</f>
        <v>0</v>
      </c>
      <c r="BS218" s="187">
        <f t="shared" si="689"/>
        <v>0</v>
      </c>
      <c r="BT218" s="187">
        <f t="shared" si="689"/>
        <v>0</v>
      </c>
      <c r="BU218" s="187">
        <f t="shared" ref="BU218:BV218" si="690">IF(P218=1,1,0)</f>
        <v>0</v>
      </c>
      <c r="BV218" s="187">
        <f t="shared" si="690"/>
        <v>0</v>
      </c>
      <c r="BW218" s="187">
        <f t="shared" si="177"/>
        <v>0</v>
      </c>
      <c r="BX218" s="187">
        <f t="shared" si="178"/>
        <v>0</v>
      </c>
      <c r="BY218" s="187">
        <f t="shared" si="179"/>
        <v>0</v>
      </c>
      <c r="BZ218" s="187">
        <f t="shared" si="180"/>
        <v>0</v>
      </c>
      <c r="CA218" s="167">
        <f t="shared" si="181"/>
        <v>77</v>
      </c>
      <c r="CB218" s="167">
        <f t="shared" si="47"/>
        <v>94</v>
      </c>
      <c r="CC218" s="644">
        <f t="shared" si="48"/>
        <v>23</v>
      </c>
      <c r="CD218" s="644">
        <f t="shared" si="49"/>
        <v>19</v>
      </c>
      <c r="CE218" s="644">
        <f t="shared" si="50"/>
        <v>15</v>
      </c>
      <c r="CF218" s="644">
        <f t="shared" si="51"/>
        <v>15</v>
      </c>
      <c r="CG218" s="644">
        <f t="shared" si="52"/>
        <v>0</v>
      </c>
      <c r="CH218" s="644">
        <f t="shared" si="597"/>
        <v>7</v>
      </c>
      <c r="CI218" s="644">
        <f t="shared" si="54"/>
        <v>7</v>
      </c>
      <c r="CJ218" s="644">
        <f t="shared" si="55"/>
        <v>5</v>
      </c>
      <c r="CK218" s="644">
        <f t="shared" si="56"/>
        <v>0</v>
      </c>
      <c r="CL218" s="644">
        <f t="shared" si="57"/>
        <v>0</v>
      </c>
      <c r="CM218" s="644">
        <f t="shared" si="58"/>
        <v>0</v>
      </c>
      <c r="CN218" s="644">
        <f t="shared" si="59"/>
        <v>0</v>
      </c>
      <c r="CO218" s="644">
        <f t="shared" si="60"/>
        <v>0</v>
      </c>
      <c r="CP218" s="644">
        <f t="shared" si="61"/>
        <v>3</v>
      </c>
      <c r="CQ218" s="644">
        <f t="shared" si="62"/>
        <v>2</v>
      </c>
      <c r="CR218" s="644">
        <f t="shared" si="63"/>
        <v>2</v>
      </c>
      <c r="CS218" s="644">
        <f t="shared" si="64"/>
        <v>0</v>
      </c>
      <c r="CT218" s="644">
        <f t="shared" si="65"/>
        <v>0</v>
      </c>
      <c r="CU218" s="644">
        <f t="shared" si="66"/>
        <v>0</v>
      </c>
      <c r="CV218" s="644">
        <f t="shared" si="67"/>
        <v>0</v>
      </c>
      <c r="CW218" s="644">
        <f t="shared" si="68"/>
        <v>0</v>
      </c>
      <c r="CX218" s="644">
        <f t="shared" si="69"/>
        <v>0</v>
      </c>
      <c r="CY218" s="644">
        <f t="shared" si="70"/>
        <v>0</v>
      </c>
      <c r="CZ218" s="624" t="s">
        <v>756</v>
      </c>
      <c r="DA218" s="257"/>
    </row>
    <row r="219" spans="1:105">
      <c r="A219" s="249" t="s">
        <v>1263</v>
      </c>
      <c r="B219" s="187"/>
      <c r="C219" s="187"/>
      <c r="D219" s="251">
        <v>1</v>
      </c>
      <c r="E219" s="644">
        <v>1</v>
      </c>
      <c r="F219" s="251"/>
      <c r="G219" s="251"/>
      <c r="H219" s="251"/>
      <c r="I219" s="251"/>
      <c r="J219" s="644"/>
      <c r="K219" s="644"/>
      <c r="L219" s="644"/>
      <c r="M219" s="644"/>
      <c r="N219" s="644"/>
      <c r="O219" s="644"/>
      <c r="P219" s="644"/>
      <c r="Q219" s="644"/>
      <c r="R219" s="644">
        <v>1</v>
      </c>
      <c r="S219" s="644"/>
      <c r="T219" s="644"/>
      <c r="U219" s="644">
        <v>1</v>
      </c>
      <c r="V219" s="644"/>
      <c r="W219" s="644"/>
      <c r="X219" s="644"/>
      <c r="Y219" s="644"/>
      <c r="Z219" s="644"/>
      <c r="AA219" s="644"/>
      <c r="AB219" s="258">
        <v>1</v>
      </c>
      <c r="AC219" s="644">
        <v>1</v>
      </c>
      <c r="AD219" s="258">
        <v>1</v>
      </c>
      <c r="AE219" s="644"/>
      <c r="AF219" s="644"/>
      <c r="AG219" s="644">
        <v>1</v>
      </c>
      <c r="AH219" s="644">
        <v>1</v>
      </c>
      <c r="AI219" s="644"/>
      <c r="AJ219" s="644"/>
      <c r="AK219" s="644"/>
      <c r="AL219" s="267">
        <v>9</v>
      </c>
      <c r="AM219" s="185" t="str">
        <f>HYPERLINK("http://bit.ly/1xI0778", "Email to Ilychs")</f>
        <v>Email to Ilychs</v>
      </c>
      <c r="AN219" s="186">
        <v>42008</v>
      </c>
      <c r="AO219" s="187"/>
      <c r="AP219" s="187">
        <f t="shared" si="148"/>
        <v>0</v>
      </c>
      <c r="AQ219" s="187">
        <f t="shared" si="149"/>
        <v>0</v>
      </c>
      <c r="AR219" s="187">
        <f t="shared" si="150"/>
        <v>13</v>
      </c>
      <c r="AS219" s="187">
        <f t="shared" si="151"/>
        <v>13</v>
      </c>
      <c r="AT219" s="187">
        <f t="shared" si="152"/>
        <v>9</v>
      </c>
      <c r="AU219" s="187">
        <f t="shared" si="153"/>
        <v>9</v>
      </c>
      <c r="AV219" s="187">
        <f t="shared" si="154"/>
        <v>9</v>
      </c>
      <c r="AW219" s="187">
        <f t="shared" si="155"/>
        <v>0</v>
      </c>
      <c r="AX219" s="187">
        <f t="shared" si="156"/>
        <v>7</v>
      </c>
      <c r="AY219" s="187">
        <f t="shared" si="157"/>
        <v>0</v>
      </c>
      <c r="AZ219" s="187">
        <f t="shared" si="158"/>
        <v>7</v>
      </c>
      <c r="BA219" s="187">
        <f t="shared" si="159"/>
        <v>7</v>
      </c>
      <c r="BB219" s="187">
        <f t="shared" si="160"/>
        <v>0</v>
      </c>
      <c r="BC219" s="187">
        <f t="shared" si="161"/>
        <v>0</v>
      </c>
      <c r="BD219" s="187">
        <f t="shared" si="162"/>
        <v>0</v>
      </c>
      <c r="BE219" s="187">
        <f t="shared" si="163"/>
        <v>0</v>
      </c>
      <c r="BF219" s="187">
        <f t="shared" si="164"/>
        <v>0</v>
      </c>
      <c r="BG219" s="187">
        <f t="shared" si="165"/>
        <v>0</v>
      </c>
      <c r="BH219" s="187">
        <f t="shared" si="166"/>
        <v>0</v>
      </c>
      <c r="BI219" s="187">
        <f t="shared" si="167"/>
        <v>0</v>
      </c>
      <c r="BJ219" s="187">
        <f t="shared" si="168"/>
        <v>1</v>
      </c>
      <c r="BK219" s="187">
        <f t="shared" si="169"/>
        <v>0</v>
      </c>
      <c r="BL219" s="187">
        <f t="shared" si="170"/>
        <v>0</v>
      </c>
      <c r="BM219" s="187">
        <f t="shared" si="171"/>
        <v>0</v>
      </c>
      <c r="BN219" s="188">
        <f t="shared" si="172"/>
        <v>1</v>
      </c>
      <c r="BO219" s="187">
        <f t="shared" si="173"/>
        <v>0</v>
      </c>
      <c r="BP219" s="187">
        <f t="shared" ref="BP219:BQ219" si="691">IF(G219=1,1,0)</f>
        <v>0</v>
      </c>
      <c r="BQ219" s="187">
        <f t="shared" si="691"/>
        <v>0</v>
      </c>
      <c r="BR219" s="187">
        <f t="shared" ref="BR219:BT219" si="692">IF(K219=1,1,0)</f>
        <v>0</v>
      </c>
      <c r="BS219" s="187">
        <f t="shared" si="692"/>
        <v>0</v>
      </c>
      <c r="BT219" s="187">
        <f t="shared" si="692"/>
        <v>0</v>
      </c>
      <c r="BU219" s="187">
        <f t="shared" ref="BU219:BV219" si="693">IF(P219=1,1,0)</f>
        <v>0</v>
      </c>
      <c r="BV219" s="187">
        <f t="shared" si="693"/>
        <v>0</v>
      </c>
      <c r="BW219" s="187">
        <f t="shared" si="177"/>
        <v>0</v>
      </c>
      <c r="BX219" s="187">
        <f t="shared" si="178"/>
        <v>0</v>
      </c>
      <c r="BY219" s="187">
        <f t="shared" si="179"/>
        <v>1</v>
      </c>
      <c r="BZ219" s="187">
        <f t="shared" si="180"/>
        <v>-1</v>
      </c>
      <c r="CA219" s="167">
        <f t="shared" si="181"/>
        <v>74</v>
      </c>
      <c r="CB219" s="167">
        <f t="shared" si="47"/>
        <v>100</v>
      </c>
      <c r="CC219" s="644">
        <f t="shared" si="48"/>
        <v>23</v>
      </c>
      <c r="CD219" s="644">
        <f t="shared" si="49"/>
        <v>19</v>
      </c>
      <c r="CE219" s="644">
        <f t="shared" si="50"/>
        <v>15</v>
      </c>
      <c r="CF219" s="644">
        <f t="shared" si="51"/>
        <v>15</v>
      </c>
      <c r="CG219" s="644">
        <f t="shared" si="52"/>
        <v>9</v>
      </c>
      <c r="CH219" s="644">
        <f t="shared" si="597"/>
        <v>7</v>
      </c>
      <c r="CI219" s="644">
        <f t="shared" si="54"/>
        <v>7</v>
      </c>
      <c r="CJ219" s="644">
        <f t="shared" si="55"/>
        <v>5</v>
      </c>
      <c r="CK219" s="644">
        <f t="shared" si="56"/>
        <v>0</v>
      </c>
      <c r="CL219" s="644">
        <f t="shared" si="57"/>
        <v>0</v>
      </c>
      <c r="CM219" s="644">
        <f t="shared" si="58"/>
        <v>3</v>
      </c>
      <c r="CN219" s="644">
        <f t="shared" si="59"/>
        <v>0</v>
      </c>
      <c r="CO219" s="644">
        <f t="shared" si="60"/>
        <v>0</v>
      </c>
      <c r="CP219" s="644">
        <f t="shared" si="61"/>
        <v>0</v>
      </c>
      <c r="CQ219" s="644">
        <f t="shared" si="62"/>
        <v>0</v>
      </c>
      <c r="CR219" s="644">
        <f t="shared" si="63"/>
        <v>0</v>
      </c>
      <c r="CS219" s="644">
        <f t="shared" si="64"/>
        <v>0</v>
      </c>
      <c r="CT219" s="644">
        <f t="shared" si="65"/>
        <v>0</v>
      </c>
      <c r="CU219" s="644">
        <f t="shared" si="66"/>
        <v>0</v>
      </c>
      <c r="CV219" s="644">
        <f t="shared" si="67"/>
        <v>0</v>
      </c>
      <c r="CW219" s="644">
        <f t="shared" si="68"/>
        <v>0</v>
      </c>
      <c r="CX219" s="644">
        <f t="shared" si="69"/>
        <v>0</v>
      </c>
      <c r="CY219" s="644">
        <f t="shared" si="70"/>
        <v>0</v>
      </c>
      <c r="CZ219" s="624" t="s">
        <v>743</v>
      </c>
      <c r="DA219" s="257"/>
    </row>
    <row r="220" spans="1:105">
      <c r="A220" s="249" t="s">
        <v>396</v>
      </c>
      <c r="B220" s="187"/>
      <c r="C220" s="187"/>
      <c r="D220" s="644"/>
      <c r="E220" s="644">
        <v>1</v>
      </c>
      <c r="F220" s="251">
        <v>1</v>
      </c>
      <c r="G220" s="251"/>
      <c r="H220" s="251"/>
      <c r="I220" s="251">
        <v>1</v>
      </c>
      <c r="J220" s="644"/>
      <c r="K220" s="644"/>
      <c r="L220" s="644"/>
      <c r="M220" s="644"/>
      <c r="N220" s="644"/>
      <c r="O220" s="644"/>
      <c r="P220" s="644"/>
      <c r="Q220" s="644"/>
      <c r="R220" s="644"/>
      <c r="S220" s="644"/>
      <c r="T220" s="644"/>
      <c r="U220" s="644">
        <v>1</v>
      </c>
      <c r="V220" s="644"/>
      <c r="W220" s="644"/>
      <c r="X220" s="644"/>
      <c r="Y220" s="644"/>
      <c r="Z220" s="644"/>
      <c r="AA220" s="644"/>
      <c r="AB220" s="644">
        <v>1</v>
      </c>
      <c r="AC220" s="644"/>
      <c r="AD220" s="644"/>
      <c r="AE220" s="644"/>
      <c r="AF220" s="644">
        <v>1</v>
      </c>
      <c r="AG220" s="644"/>
      <c r="AH220" s="644">
        <v>1</v>
      </c>
      <c r="AI220" s="644"/>
      <c r="AJ220" s="644"/>
      <c r="AK220" s="644"/>
      <c r="AL220" s="267">
        <v>7</v>
      </c>
      <c r="AM220" s="185" t="s">
        <v>1105</v>
      </c>
      <c r="AN220" s="186">
        <v>42010</v>
      </c>
      <c r="AO220" s="187"/>
      <c r="AP220" s="187">
        <f t="shared" si="148"/>
        <v>13</v>
      </c>
      <c r="AQ220" s="187">
        <f t="shared" si="149"/>
        <v>13</v>
      </c>
      <c r="AR220" s="187">
        <f t="shared" si="150"/>
        <v>0</v>
      </c>
      <c r="AS220" s="187">
        <f t="shared" si="151"/>
        <v>13</v>
      </c>
      <c r="AT220" s="187">
        <f t="shared" si="152"/>
        <v>9</v>
      </c>
      <c r="AU220" s="187">
        <f t="shared" si="153"/>
        <v>0</v>
      </c>
      <c r="AV220" s="187">
        <f t="shared" si="154"/>
        <v>0</v>
      </c>
      <c r="AW220" s="187">
        <f t="shared" si="155"/>
        <v>0</v>
      </c>
      <c r="AX220" s="187">
        <f t="shared" si="156"/>
        <v>0</v>
      </c>
      <c r="AY220" s="187">
        <f t="shared" si="157"/>
        <v>0</v>
      </c>
      <c r="AZ220" s="187">
        <f t="shared" si="158"/>
        <v>7</v>
      </c>
      <c r="BA220" s="187">
        <f t="shared" si="159"/>
        <v>7</v>
      </c>
      <c r="BB220" s="187">
        <f t="shared" si="160"/>
        <v>0</v>
      </c>
      <c r="BC220" s="187">
        <f t="shared" si="161"/>
        <v>0</v>
      </c>
      <c r="BD220" s="187">
        <f t="shared" si="162"/>
        <v>0</v>
      </c>
      <c r="BE220" s="187">
        <f t="shared" si="163"/>
        <v>3</v>
      </c>
      <c r="BF220" s="187">
        <f t="shared" si="164"/>
        <v>0</v>
      </c>
      <c r="BG220" s="187">
        <f t="shared" si="165"/>
        <v>0</v>
      </c>
      <c r="BH220" s="187">
        <f t="shared" si="166"/>
        <v>0</v>
      </c>
      <c r="BI220" s="187">
        <f t="shared" si="167"/>
        <v>0</v>
      </c>
      <c r="BJ220" s="187">
        <f t="shared" si="168"/>
        <v>0</v>
      </c>
      <c r="BK220" s="187">
        <f t="shared" si="169"/>
        <v>0</v>
      </c>
      <c r="BL220" s="187">
        <f t="shared" si="170"/>
        <v>0</v>
      </c>
      <c r="BM220" s="187">
        <f t="shared" si="171"/>
        <v>0</v>
      </c>
      <c r="BN220" s="188">
        <f t="shared" si="172"/>
        <v>3</v>
      </c>
      <c r="BO220" s="187">
        <f t="shared" si="173"/>
        <v>0</v>
      </c>
      <c r="BP220" s="187">
        <f t="shared" ref="BP220:BQ220" si="694">IF(G220=1,1,0)</f>
        <v>0</v>
      </c>
      <c r="BQ220" s="187">
        <f t="shared" si="694"/>
        <v>0</v>
      </c>
      <c r="BR220" s="187">
        <f t="shared" ref="BR220:BT220" si="695">IF(K220=1,1,0)</f>
        <v>0</v>
      </c>
      <c r="BS220" s="187">
        <f t="shared" si="695"/>
        <v>0</v>
      </c>
      <c r="BT220" s="187">
        <f t="shared" si="695"/>
        <v>0</v>
      </c>
      <c r="BU220" s="187">
        <f t="shared" ref="BU220:BV220" si="696">IF(P220=1,1,0)</f>
        <v>0</v>
      </c>
      <c r="BV220" s="187">
        <f t="shared" si="696"/>
        <v>0</v>
      </c>
      <c r="BW220" s="187">
        <f t="shared" si="177"/>
        <v>0</v>
      </c>
      <c r="BX220" s="187">
        <f t="shared" si="178"/>
        <v>0</v>
      </c>
      <c r="BY220" s="187">
        <f t="shared" si="179"/>
        <v>3</v>
      </c>
      <c r="BZ220" s="187">
        <f t="shared" si="180"/>
        <v>-9</v>
      </c>
      <c r="CA220" s="167">
        <f t="shared" si="181"/>
        <v>56</v>
      </c>
      <c r="CB220" s="167">
        <f t="shared" si="47"/>
        <v>77</v>
      </c>
      <c r="CC220" s="644">
        <f t="shared" si="48"/>
        <v>0</v>
      </c>
      <c r="CD220" s="644">
        <f t="shared" si="49"/>
        <v>19</v>
      </c>
      <c r="CE220" s="644">
        <f t="shared" si="50"/>
        <v>15</v>
      </c>
      <c r="CF220" s="644">
        <f t="shared" si="51"/>
        <v>15</v>
      </c>
      <c r="CG220" s="644">
        <f t="shared" si="52"/>
        <v>9</v>
      </c>
      <c r="CH220" s="644">
        <f t="shared" si="597"/>
        <v>7</v>
      </c>
      <c r="CI220" s="644">
        <f t="shared" si="54"/>
        <v>0</v>
      </c>
      <c r="CJ220" s="644">
        <f t="shared" si="55"/>
        <v>0</v>
      </c>
      <c r="CK220" s="644">
        <f t="shared" si="56"/>
        <v>5</v>
      </c>
      <c r="CL220" s="644">
        <f t="shared" si="57"/>
        <v>5</v>
      </c>
      <c r="CM220" s="644">
        <f t="shared" si="58"/>
        <v>0</v>
      </c>
      <c r="CN220" s="644">
        <f t="shared" si="59"/>
        <v>0</v>
      </c>
      <c r="CO220" s="644">
        <f t="shared" si="60"/>
        <v>0</v>
      </c>
      <c r="CP220" s="644">
        <f t="shared" si="61"/>
        <v>0</v>
      </c>
      <c r="CQ220" s="644">
        <f t="shared" si="62"/>
        <v>0</v>
      </c>
      <c r="CR220" s="644">
        <f t="shared" si="63"/>
        <v>0</v>
      </c>
      <c r="CS220" s="644">
        <f t="shared" si="64"/>
        <v>0</v>
      </c>
      <c r="CT220" s="644">
        <f t="shared" si="65"/>
        <v>2</v>
      </c>
      <c r="CU220" s="644">
        <f t="shared" si="66"/>
        <v>0</v>
      </c>
      <c r="CV220" s="644">
        <f t="shared" si="67"/>
        <v>0</v>
      </c>
      <c r="CW220" s="644">
        <f t="shared" si="68"/>
        <v>0</v>
      </c>
      <c r="CX220" s="644">
        <f t="shared" si="69"/>
        <v>0</v>
      </c>
      <c r="CY220" s="644">
        <f t="shared" si="70"/>
        <v>0</v>
      </c>
      <c r="CZ220" s="624" t="s">
        <v>756</v>
      </c>
      <c r="DA220" s="257"/>
    </row>
    <row r="221" spans="1:105">
      <c r="A221" s="249" t="s">
        <v>398</v>
      </c>
      <c r="B221" s="187"/>
      <c r="C221" s="187"/>
      <c r="D221" s="258">
        <v>1</v>
      </c>
      <c r="E221" s="644">
        <v>1</v>
      </c>
      <c r="F221" s="251"/>
      <c r="G221" s="251"/>
      <c r="H221" s="251"/>
      <c r="I221" s="251"/>
      <c r="J221" s="644"/>
      <c r="K221" s="644"/>
      <c r="L221" s="644"/>
      <c r="M221" s="644"/>
      <c r="N221" s="644"/>
      <c r="O221" s="644"/>
      <c r="P221" s="644"/>
      <c r="Q221" s="644"/>
      <c r="R221" s="644">
        <v>1</v>
      </c>
      <c r="S221" s="644"/>
      <c r="T221" s="644"/>
      <c r="U221" s="644">
        <v>1</v>
      </c>
      <c r="V221" s="644"/>
      <c r="W221" s="644"/>
      <c r="X221" s="644"/>
      <c r="Y221" s="644"/>
      <c r="Z221" s="644"/>
      <c r="AA221" s="644"/>
      <c r="AB221" s="644">
        <v>1</v>
      </c>
      <c r="AC221" s="644"/>
      <c r="AD221" s="644"/>
      <c r="AE221" s="644"/>
      <c r="AF221" s="644"/>
      <c r="AG221" s="644">
        <v>1</v>
      </c>
      <c r="AH221" s="644">
        <v>1</v>
      </c>
      <c r="AI221" s="644"/>
      <c r="AJ221" s="644">
        <v>1</v>
      </c>
      <c r="AK221" s="644"/>
      <c r="AL221" s="267">
        <v>8</v>
      </c>
      <c r="AM221" s="187" t="s">
        <v>1137</v>
      </c>
      <c r="AN221" s="186">
        <v>42000</v>
      </c>
      <c r="AO221" s="187"/>
      <c r="AP221" s="187">
        <f t="shared" si="148"/>
        <v>0</v>
      </c>
      <c r="AQ221" s="187">
        <f t="shared" si="149"/>
        <v>0</v>
      </c>
      <c r="AR221" s="187">
        <f t="shared" si="150"/>
        <v>13</v>
      </c>
      <c r="AS221" s="187">
        <f t="shared" si="151"/>
        <v>13</v>
      </c>
      <c r="AT221" s="187">
        <f t="shared" si="152"/>
        <v>9</v>
      </c>
      <c r="AU221" s="187">
        <f t="shared" si="153"/>
        <v>9</v>
      </c>
      <c r="AV221" s="187">
        <f t="shared" si="154"/>
        <v>0</v>
      </c>
      <c r="AW221" s="187">
        <f t="shared" si="155"/>
        <v>7</v>
      </c>
      <c r="AX221" s="187">
        <f t="shared" si="156"/>
        <v>0</v>
      </c>
      <c r="AY221" s="187">
        <f t="shared" si="157"/>
        <v>0</v>
      </c>
      <c r="AZ221" s="187">
        <f t="shared" si="158"/>
        <v>7</v>
      </c>
      <c r="BA221" s="187">
        <f t="shared" si="159"/>
        <v>7</v>
      </c>
      <c r="BB221" s="187">
        <f t="shared" si="160"/>
        <v>0</v>
      </c>
      <c r="BC221" s="187">
        <f t="shared" si="161"/>
        <v>0</v>
      </c>
      <c r="BD221" s="187">
        <f t="shared" si="162"/>
        <v>0</v>
      </c>
      <c r="BE221" s="187">
        <f t="shared" si="163"/>
        <v>0</v>
      </c>
      <c r="BF221" s="187">
        <f t="shared" si="164"/>
        <v>0</v>
      </c>
      <c r="BG221" s="187">
        <f t="shared" si="165"/>
        <v>0</v>
      </c>
      <c r="BH221" s="187">
        <f t="shared" si="166"/>
        <v>0</v>
      </c>
      <c r="BI221" s="187">
        <f t="shared" si="167"/>
        <v>0</v>
      </c>
      <c r="BJ221" s="187">
        <f t="shared" si="168"/>
        <v>1</v>
      </c>
      <c r="BK221" s="187">
        <f t="shared" si="169"/>
        <v>0</v>
      </c>
      <c r="BL221" s="187">
        <f t="shared" si="170"/>
        <v>0</v>
      </c>
      <c r="BM221" s="187">
        <f t="shared" si="171"/>
        <v>0</v>
      </c>
      <c r="BN221" s="188">
        <f t="shared" si="172"/>
        <v>2</v>
      </c>
      <c r="BO221" s="187">
        <f t="shared" si="173"/>
        <v>0</v>
      </c>
      <c r="BP221" s="187">
        <f t="shared" ref="BP221:BQ221" si="697">IF(G221=1,1,0)</f>
        <v>0</v>
      </c>
      <c r="BQ221" s="187">
        <f t="shared" si="697"/>
        <v>0</v>
      </c>
      <c r="BR221" s="187">
        <f t="shared" ref="BR221:BT221" si="698">IF(K221=1,1,0)</f>
        <v>0</v>
      </c>
      <c r="BS221" s="187">
        <f t="shared" si="698"/>
        <v>0</v>
      </c>
      <c r="BT221" s="187">
        <f t="shared" si="698"/>
        <v>0</v>
      </c>
      <c r="BU221" s="187">
        <f t="shared" ref="BU221:BV221" si="699">IF(P221=1,1,0)</f>
        <v>0</v>
      </c>
      <c r="BV221" s="187">
        <f t="shared" si="699"/>
        <v>0</v>
      </c>
      <c r="BW221" s="187">
        <f t="shared" si="177"/>
        <v>0</v>
      </c>
      <c r="BX221" s="187">
        <f t="shared" si="178"/>
        <v>0</v>
      </c>
      <c r="BY221" s="187">
        <f t="shared" si="179"/>
        <v>2</v>
      </c>
      <c r="BZ221" s="187">
        <f t="shared" si="180"/>
        <v>-4</v>
      </c>
      <c r="CA221" s="167">
        <f t="shared" si="181"/>
        <v>62</v>
      </c>
      <c r="CB221" s="167">
        <f t="shared" si="47"/>
        <v>87</v>
      </c>
      <c r="CC221" s="644">
        <f t="shared" si="48"/>
        <v>23</v>
      </c>
      <c r="CD221" s="644">
        <f t="shared" si="49"/>
        <v>19</v>
      </c>
      <c r="CE221" s="644">
        <f t="shared" si="50"/>
        <v>15</v>
      </c>
      <c r="CF221" s="644">
        <f t="shared" si="51"/>
        <v>15</v>
      </c>
      <c r="CG221" s="644">
        <f t="shared" si="52"/>
        <v>9</v>
      </c>
      <c r="CH221" s="644">
        <f t="shared" si="597"/>
        <v>0</v>
      </c>
      <c r="CI221" s="644">
        <f t="shared" si="54"/>
        <v>0</v>
      </c>
      <c r="CJ221" s="644">
        <f t="shared" si="55"/>
        <v>0</v>
      </c>
      <c r="CK221" s="644">
        <f t="shared" si="56"/>
        <v>0</v>
      </c>
      <c r="CL221" s="644">
        <f t="shared" si="57"/>
        <v>0</v>
      </c>
      <c r="CM221" s="644">
        <f t="shared" si="58"/>
        <v>3</v>
      </c>
      <c r="CN221" s="644">
        <f t="shared" si="59"/>
        <v>0</v>
      </c>
      <c r="CO221" s="644">
        <f t="shared" si="60"/>
        <v>3</v>
      </c>
      <c r="CP221" s="644">
        <f t="shared" si="61"/>
        <v>0</v>
      </c>
      <c r="CQ221" s="644">
        <f t="shared" si="62"/>
        <v>0</v>
      </c>
      <c r="CR221" s="644">
        <f t="shared" si="63"/>
        <v>0</v>
      </c>
      <c r="CS221" s="644">
        <f t="shared" si="64"/>
        <v>0</v>
      </c>
      <c r="CT221" s="644">
        <f t="shared" si="65"/>
        <v>0</v>
      </c>
      <c r="CU221" s="644">
        <f t="shared" si="66"/>
        <v>0</v>
      </c>
      <c r="CV221" s="644">
        <f t="shared" si="67"/>
        <v>0</v>
      </c>
      <c r="CW221" s="644">
        <f t="shared" si="68"/>
        <v>0</v>
      </c>
      <c r="CX221" s="644">
        <f t="shared" si="69"/>
        <v>0</v>
      </c>
      <c r="CY221" s="644">
        <f t="shared" si="70"/>
        <v>0</v>
      </c>
      <c r="CZ221" s="624" t="s">
        <v>793</v>
      </c>
      <c r="DA221" s="257"/>
    </row>
    <row r="222" spans="1:105">
      <c r="A222" s="275" t="s">
        <v>480</v>
      </c>
      <c r="B222" s="187"/>
      <c r="C222" s="187"/>
      <c r="D222" s="644"/>
      <c r="E222" s="644"/>
      <c r="F222" s="644"/>
      <c r="G222" s="644"/>
      <c r="H222" s="644"/>
      <c r="I222" s="644"/>
      <c r="J222" s="644"/>
      <c r="K222" s="644"/>
      <c r="L222" s="644"/>
      <c r="M222" s="644"/>
      <c r="N222" s="644"/>
      <c r="O222" s="644"/>
      <c r="P222" s="644"/>
      <c r="Q222" s="644"/>
      <c r="R222" s="644">
        <v>1</v>
      </c>
      <c r="S222" s="644"/>
      <c r="T222" s="644">
        <v>1</v>
      </c>
      <c r="U222" s="644">
        <v>1</v>
      </c>
      <c r="V222" s="644"/>
      <c r="W222" s="644"/>
      <c r="X222" s="644"/>
      <c r="Y222" s="644"/>
      <c r="Z222" s="644"/>
      <c r="AA222" s="644"/>
      <c r="AB222" s="644"/>
      <c r="AC222" s="644">
        <v>1</v>
      </c>
      <c r="AD222" s="644"/>
      <c r="AE222" s="644"/>
      <c r="AF222" s="644"/>
      <c r="AG222" s="644">
        <v>1</v>
      </c>
      <c r="AH222" s="644">
        <v>1</v>
      </c>
      <c r="AI222" s="644"/>
      <c r="AJ222" s="644"/>
      <c r="AK222" s="644"/>
      <c r="AL222" s="267">
        <v>6</v>
      </c>
      <c r="AM222" s="187"/>
      <c r="AN222" s="186">
        <v>42007</v>
      </c>
      <c r="AO222" s="187"/>
      <c r="AP222" s="187">
        <f t="shared" si="148"/>
        <v>0</v>
      </c>
      <c r="AQ222" s="187">
        <f t="shared" si="149"/>
        <v>0</v>
      </c>
      <c r="AR222" s="187">
        <f t="shared" si="150"/>
        <v>13</v>
      </c>
      <c r="AS222" s="187">
        <f t="shared" si="151"/>
        <v>13</v>
      </c>
      <c r="AT222" s="187">
        <f t="shared" si="152"/>
        <v>0</v>
      </c>
      <c r="AU222" s="187">
        <f t="shared" si="153"/>
        <v>0</v>
      </c>
      <c r="AV222" s="187">
        <f t="shared" si="154"/>
        <v>9</v>
      </c>
      <c r="AW222" s="187">
        <f t="shared" si="155"/>
        <v>0</v>
      </c>
      <c r="AX222" s="187">
        <f t="shared" si="156"/>
        <v>0</v>
      </c>
      <c r="AY222" s="187">
        <f t="shared" si="157"/>
        <v>0</v>
      </c>
      <c r="AZ222" s="187">
        <f t="shared" si="158"/>
        <v>7</v>
      </c>
      <c r="BA222" s="187">
        <f t="shared" si="159"/>
        <v>0</v>
      </c>
      <c r="BB222" s="187">
        <f t="shared" si="160"/>
        <v>0</v>
      </c>
      <c r="BC222" s="187">
        <f t="shared" si="161"/>
        <v>4</v>
      </c>
      <c r="BD222" s="187">
        <f t="shared" si="162"/>
        <v>0</v>
      </c>
      <c r="BE222" s="187">
        <f t="shared" si="163"/>
        <v>0</v>
      </c>
      <c r="BF222" s="187">
        <f t="shared" si="164"/>
        <v>0</v>
      </c>
      <c r="BG222" s="187">
        <f t="shared" si="165"/>
        <v>0</v>
      </c>
      <c r="BH222" s="187">
        <f t="shared" si="166"/>
        <v>0</v>
      </c>
      <c r="BI222" s="187">
        <f t="shared" si="167"/>
        <v>0</v>
      </c>
      <c r="BJ222" s="187">
        <f t="shared" si="168"/>
        <v>1</v>
      </c>
      <c r="BK222" s="187">
        <f t="shared" si="169"/>
        <v>0</v>
      </c>
      <c r="BL222" s="187">
        <f t="shared" si="170"/>
        <v>0</v>
      </c>
      <c r="BM222" s="187">
        <f t="shared" si="171"/>
        <v>0</v>
      </c>
      <c r="BN222" s="188">
        <f t="shared" si="172"/>
        <v>4</v>
      </c>
      <c r="BO222" s="187">
        <f t="shared" si="173"/>
        <v>0</v>
      </c>
      <c r="BP222" s="187">
        <f t="shared" ref="BP222:BQ222" si="700">IF(G222=1,1,0)</f>
        <v>0</v>
      </c>
      <c r="BQ222" s="187">
        <f t="shared" si="700"/>
        <v>0</v>
      </c>
      <c r="BR222" s="187">
        <f t="shared" ref="BR222:BT222" si="701">IF(K222=1,1,0)</f>
        <v>0</v>
      </c>
      <c r="BS222" s="187">
        <f t="shared" si="701"/>
        <v>0</v>
      </c>
      <c r="BT222" s="187">
        <f t="shared" si="701"/>
        <v>0</v>
      </c>
      <c r="BU222" s="187">
        <f t="shared" ref="BU222:BV222" si="702">IF(P222=1,1,0)</f>
        <v>0</v>
      </c>
      <c r="BV222" s="187">
        <f t="shared" si="702"/>
        <v>0</v>
      </c>
      <c r="BW222" s="187">
        <f t="shared" si="177"/>
        <v>0</v>
      </c>
      <c r="BX222" s="187">
        <f t="shared" si="178"/>
        <v>0</v>
      </c>
      <c r="BY222" s="187">
        <f t="shared" si="179"/>
        <v>4</v>
      </c>
      <c r="BZ222" s="187">
        <f t="shared" si="180"/>
        <v>-16</v>
      </c>
      <c r="CA222" s="167">
        <f t="shared" si="181"/>
        <v>31</v>
      </c>
      <c r="CB222" s="167">
        <f t="shared" si="47"/>
        <v>77</v>
      </c>
      <c r="CC222" s="644">
        <f t="shared" si="48"/>
        <v>23</v>
      </c>
      <c r="CD222" s="644">
        <f t="shared" si="49"/>
        <v>19</v>
      </c>
      <c r="CE222" s="644">
        <f t="shared" si="50"/>
        <v>15</v>
      </c>
      <c r="CF222" s="644">
        <f t="shared" si="51"/>
        <v>0</v>
      </c>
      <c r="CG222" s="644">
        <f t="shared" si="52"/>
        <v>0</v>
      </c>
      <c r="CH222" s="644">
        <f t="shared" si="597"/>
        <v>7</v>
      </c>
      <c r="CI222" s="644">
        <f t="shared" si="54"/>
        <v>7</v>
      </c>
      <c r="CJ222" s="644">
        <f t="shared" si="55"/>
        <v>0</v>
      </c>
      <c r="CK222" s="644">
        <f t="shared" si="56"/>
        <v>0</v>
      </c>
      <c r="CL222" s="644">
        <f t="shared" si="57"/>
        <v>0</v>
      </c>
      <c r="CM222" s="644">
        <f t="shared" si="58"/>
        <v>3</v>
      </c>
      <c r="CN222" s="644">
        <f t="shared" si="59"/>
        <v>3</v>
      </c>
      <c r="CO222" s="644">
        <f t="shared" si="60"/>
        <v>0</v>
      </c>
      <c r="CP222" s="644">
        <f t="shared" si="61"/>
        <v>0</v>
      </c>
      <c r="CQ222" s="644">
        <f t="shared" si="62"/>
        <v>0</v>
      </c>
      <c r="CR222" s="644">
        <f t="shared" si="63"/>
        <v>0</v>
      </c>
      <c r="CS222" s="644">
        <f t="shared" si="64"/>
        <v>0</v>
      </c>
      <c r="CT222" s="644">
        <f t="shared" si="65"/>
        <v>0</v>
      </c>
      <c r="CU222" s="644">
        <f t="shared" si="66"/>
        <v>0</v>
      </c>
      <c r="CV222" s="644">
        <f t="shared" si="67"/>
        <v>0</v>
      </c>
      <c r="CW222" s="644">
        <f t="shared" si="68"/>
        <v>0</v>
      </c>
      <c r="CX222" s="644">
        <f t="shared" si="69"/>
        <v>0</v>
      </c>
      <c r="CY222" s="644">
        <f t="shared" si="70"/>
        <v>0</v>
      </c>
      <c r="CZ222" s="624"/>
      <c r="DA222" s="257"/>
    </row>
    <row r="223" spans="1:105" ht="15.75">
      <c r="A223" s="253"/>
      <c r="B223" s="641"/>
      <c r="C223" s="641"/>
      <c r="D223" s="814" t="s">
        <v>1264</v>
      </c>
      <c r="E223" s="815"/>
      <c r="F223" s="815"/>
      <c r="G223" s="815"/>
      <c r="H223" s="815"/>
      <c r="I223" s="815"/>
      <c r="J223" s="815"/>
      <c r="K223" s="815"/>
      <c r="L223" s="815"/>
      <c r="M223" s="815"/>
      <c r="N223" s="815"/>
      <c r="O223" s="815"/>
      <c r="P223" s="815"/>
      <c r="Q223" s="815"/>
      <c r="R223" s="815"/>
      <c r="S223" s="815"/>
      <c r="T223" s="815"/>
      <c r="U223" s="815"/>
      <c r="V223" s="815"/>
      <c r="W223" s="815"/>
      <c r="X223" s="815"/>
      <c r="Y223" s="815"/>
      <c r="Z223" s="815"/>
      <c r="AA223" s="815"/>
      <c r="AB223" s="815"/>
      <c r="AC223" s="815"/>
      <c r="AD223" s="815"/>
      <c r="AE223" s="815"/>
      <c r="AF223" s="815"/>
      <c r="AG223" s="815"/>
      <c r="AH223" s="815"/>
      <c r="AI223" s="815"/>
      <c r="AJ223" s="815"/>
      <c r="AK223" s="815"/>
      <c r="AL223" s="193"/>
      <c r="AM223" s="194"/>
      <c r="AN223" s="194"/>
      <c r="AO223" s="194"/>
      <c r="AP223" s="247"/>
      <c r="AQ223" s="247"/>
      <c r="AR223" s="247"/>
      <c r="AS223" s="247"/>
      <c r="AT223" s="247"/>
      <c r="AU223" s="247"/>
      <c r="AV223" s="247"/>
      <c r="AW223" s="247"/>
      <c r="AX223" s="247"/>
      <c r="AY223" s="247"/>
      <c r="AZ223" s="247"/>
      <c r="BA223" s="641"/>
      <c r="BB223" s="641"/>
      <c r="BC223" s="641"/>
      <c r="BD223" s="641"/>
      <c r="BE223" s="641"/>
      <c r="BF223" s="641"/>
      <c r="BG223" s="641"/>
      <c r="BH223" s="641"/>
      <c r="BI223" s="641"/>
      <c r="BJ223" s="641"/>
      <c r="BK223" s="641"/>
      <c r="BL223" s="641"/>
      <c r="BM223" s="641"/>
      <c r="BN223" s="641"/>
      <c r="BO223" s="641"/>
      <c r="BP223" s="641"/>
      <c r="BQ223" s="641"/>
      <c r="BR223" s="641"/>
      <c r="BS223" s="641"/>
      <c r="BT223" s="641"/>
      <c r="BU223" s="641"/>
      <c r="BV223" s="641"/>
      <c r="BW223" s="641"/>
      <c r="BX223" s="641"/>
      <c r="BY223" s="641"/>
      <c r="BZ223" s="641"/>
      <c r="CA223" s="644"/>
      <c r="CB223" s="167"/>
      <c r="CC223" s="641"/>
      <c r="CD223" s="641"/>
      <c r="CE223" s="641"/>
      <c r="CF223" s="641"/>
      <c r="CG223" s="641"/>
      <c r="CH223" s="641"/>
      <c r="CI223" s="641"/>
      <c r="CJ223" s="641"/>
      <c r="CK223" s="641"/>
      <c r="CL223" s="641"/>
      <c r="CM223" s="641"/>
      <c r="CN223" s="641"/>
      <c r="CO223" s="641"/>
      <c r="CP223" s="641"/>
      <c r="CQ223" s="641"/>
      <c r="CR223" s="641"/>
      <c r="CS223" s="641"/>
      <c r="CT223" s="641"/>
      <c r="CU223" s="641"/>
      <c r="CV223" s="641"/>
      <c r="CW223" s="641"/>
      <c r="CX223" s="641"/>
      <c r="CY223" s="641"/>
      <c r="CZ223" s="624"/>
      <c r="DA223" s="252"/>
    </row>
    <row r="224" spans="1:105">
      <c r="A224" s="253" t="s">
        <v>656</v>
      </c>
      <c r="B224" s="641"/>
      <c r="C224" s="641"/>
      <c r="D224" s="155"/>
      <c r="E224" s="155">
        <v>1</v>
      </c>
      <c r="F224" s="155"/>
      <c r="G224" s="155"/>
      <c r="H224" s="155"/>
      <c r="I224" s="155"/>
      <c r="J224" s="155"/>
      <c r="K224" s="155"/>
      <c r="L224" s="155"/>
      <c r="M224" s="155"/>
      <c r="N224" s="155"/>
      <c r="O224" s="155"/>
      <c r="P224" s="155"/>
      <c r="Q224" s="155"/>
      <c r="R224" s="155">
        <v>1</v>
      </c>
      <c r="S224" s="155"/>
      <c r="T224" s="155">
        <v>1</v>
      </c>
      <c r="U224" s="155">
        <v>1</v>
      </c>
      <c r="V224" s="155"/>
      <c r="W224" s="155"/>
      <c r="X224" s="155"/>
      <c r="Y224" s="155"/>
      <c r="Z224" s="155"/>
      <c r="AA224" s="155"/>
      <c r="AB224" s="155">
        <v>1</v>
      </c>
      <c r="AC224" s="155"/>
      <c r="AD224" s="155"/>
      <c r="AE224" s="155"/>
      <c r="AF224" s="155"/>
      <c r="AG224" s="155"/>
      <c r="AH224" s="155">
        <v>1</v>
      </c>
      <c r="AI224" s="155"/>
      <c r="AJ224" s="155"/>
      <c r="AK224" s="155"/>
      <c r="AL224" s="190">
        <v>6</v>
      </c>
      <c r="AM224" s="191" t="s">
        <v>1265</v>
      </c>
      <c r="AN224" s="192">
        <v>42010</v>
      </c>
      <c r="AO224" s="187"/>
      <c r="AP224" s="187">
        <f t="shared" ref="AP224:AP353" si="703">IF(F224=1,13,0)</f>
        <v>0</v>
      </c>
      <c r="AQ224" s="187">
        <f t="shared" ref="AQ224:AQ353" si="704">IF(I224=1,13,0)</f>
        <v>0</v>
      </c>
      <c r="AR224" s="187">
        <f t="shared" ref="AR224:AR353" si="705">IF(R224=1,13,0)</f>
        <v>13</v>
      </c>
      <c r="AS224" s="187">
        <f t="shared" ref="AS224:AS353" si="706">IF(U224=1,13,0)</f>
        <v>13</v>
      </c>
      <c r="AT224" s="187">
        <f t="shared" ref="AT224:AT353" si="707">IF(AB224=1, 9,0)</f>
        <v>9</v>
      </c>
      <c r="AU224" s="187">
        <f t="shared" ref="AU224:AU353" si="708">IF(D224=1, 9,0)</f>
        <v>0</v>
      </c>
      <c r="AV224" s="187">
        <f t="shared" ref="AV224:AV353" si="709">IF(AC224=1, 9,0)</f>
        <v>0</v>
      </c>
      <c r="AW224" s="187">
        <f t="shared" ref="AW224:AW353" si="710">IF(AJ224=1,7,0)</f>
        <v>0</v>
      </c>
      <c r="AX224" s="187">
        <f t="shared" ref="AX224:AX353" si="711">IF(AD224=1,7,0)</f>
        <v>0</v>
      </c>
      <c r="AY224" s="187">
        <f t="shared" ref="AY224:AY353" si="712">IF(Z224=1,7,0)</f>
        <v>0</v>
      </c>
      <c r="AZ224" s="187">
        <f t="shared" ref="AZ224:AZ353" si="713">IF(AH224=1,7,0)</f>
        <v>7</v>
      </c>
      <c r="BA224" s="187">
        <f t="shared" ref="BA224:BA353" si="714">IF(E224=1,7,0)</f>
        <v>7</v>
      </c>
      <c r="BB224" s="187">
        <f t="shared" ref="BB224:BB353" si="715">IF(AK224=1,4,0)</f>
        <v>0</v>
      </c>
      <c r="BC224" s="187">
        <f t="shared" ref="BC224:BC353" si="716">IF(T224=1,4,0)</f>
        <v>4</v>
      </c>
      <c r="BD224" s="187">
        <f t="shared" ref="BD224:BD353" si="717">IF(X224=1,4,0)</f>
        <v>0</v>
      </c>
      <c r="BE224" s="187">
        <f t="shared" ref="BE224:BE353" si="718">IF(AF224=1,3,0)</f>
        <v>0</v>
      </c>
      <c r="BF224" s="187">
        <f t="shared" ref="BF224:BF353" si="719">IF(W224=1,3,0)</f>
        <v>0</v>
      </c>
      <c r="BG224" s="187">
        <f t="shared" ref="BG224:BG353" si="720">IF(AI224=1,2,0)</f>
        <v>0</v>
      </c>
      <c r="BH224" s="187">
        <f t="shared" ref="BH224:BH353" si="721">IF(S224=1,2,0)</f>
        <v>0</v>
      </c>
      <c r="BI224" s="187">
        <f t="shared" ref="BI224:BI353" si="722">IF(V224=1,1,0)</f>
        <v>0</v>
      </c>
      <c r="BJ224" s="187">
        <f t="shared" ref="BJ224:BJ353" si="723">IF(AG224=1,1,0)</f>
        <v>0</v>
      </c>
      <c r="BK224" s="187">
        <f t="shared" ref="BK224:BK353" si="724">IF(O224=1,1,0)</f>
        <v>0</v>
      </c>
      <c r="BL224" s="187">
        <f t="shared" ref="BL224:BL353" si="725">IF(J224=1,1,0)</f>
        <v>0</v>
      </c>
      <c r="BM224" s="187">
        <f t="shared" ref="BM224:BM353" si="726">IF(N224=1,1,0)</f>
        <v>0</v>
      </c>
      <c r="BN224" s="188">
        <f t="shared" ref="BN224:BN353" si="727">10-AL224</f>
        <v>4</v>
      </c>
      <c r="BO224" s="187">
        <f t="shared" ref="BO224:BO353" si="728">IF(C224=1,1,0)</f>
        <v>0</v>
      </c>
      <c r="BP224" s="187">
        <f t="shared" ref="BP224:BQ224" si="729">IF(G224=1,1,0)</f>
        <v>0</v>
      </c>
      <c r="BQ224" s="187">
        <f t="shared" si="729"/>
        <v>0</v>
      </c>
      <c r="BR224" s="187">
        <f t="shared" ref="BR224:BT224" si="730">IF(K224=1,1,0)</f>
        <v>0</v>
      </c>
      <c r="BS224" s="187">
        <f t="shared" si="730"/>
        <v>0</v>
      </c>
      <c r="BT224" s="187">
        <f t="shared" si="730"/>
        <v>0</v>
      </c>
      <c r="BU224" s="187">
        <f t="shared" ref="BU224:BV224" si="731">IF(P224=1,1,0)</f>
        <v>0</v>
      </c>
      <c r="BV224" s="187">
        <f t="shared" si="731"/>
        <v>0</v>
      </c>
      <c r="BW224" s="187">
        <f t="shared" ref="BW224:BW353" si="732">IF(AA224=1,1,0)</f>
        <v>0</v>
      </c>
      <c r="BX224" s="187">
        <f t="shared" ref="BX224:BX353" si="733">IF(AE224=1,1,0)</f>
        <v>0</v>
      </c>
      <c r="BY224" s="187">
        <f t="shared" ref="BY224:BY353" si="734">SUM(BN224:BX224)</f>
        <v>4</v>
      </c>
      <c r="BZ224" s="187">
        <f t="shared" ref="BZ224:BZ353" si="735">(BY224*BY224)*-1</f>
        <v>-16</v>
      </c>
      <c r="CA224" s="167">
        <f t="shared" ref="CA224:CA353" si="736">SUM(AP224:BM224)+BZ224</f>
        <v>37</v>
      </c>
      <c r="CB224" s="167">
        <f t="shared" ref="CB224:CB353" si="737">LARGE(CC224:CY224,1)+LARGE(CC224:CY224,2)+LARGE(CC224:CY224,3)+LARGE(CC224:CY224,4)+LARGE(CC224:CY224,5)+LARGE(CC224:CY224,6)+LARGE(CC224:CY224,7)+LARGE(CC224:CY224,8)</f>
        <v>84</v>
      </c>
      <c r="CC224" s="644">
        <f t="shared" ref="CC224:CC353" si="738">IF(R224=1,23,0)</f>
        <v>23</v>
      </c>
      <c r="CD224" s="644">
        <f t="shared" ref="CD224:CD353" si="739">IF(U224=1,19,0)</f>
        <v>19</v>
      </c>
      <c r="CE224" s="644">
        <f t="shared" ref="CE224:CE353" si="740">IF(AH224=1,15,0)</f>
        <v>15</v>
      </c>
      <c r="CF224" s="644">
        <f t="shared" ref="CF224:CF353" si="741">IF(E224=1,15,0)</f>
        <v>15</v>
      </c>
      <c r="CG224" s="644">
        <f t="shared" ref="CG224:CG353" si="742">IF(AB224=1, 9,0)</f>
        <v>9</v>
      </c>
      <c r="CH224" s="644">
        <f t="shared" ref="CH224:CH226" si="743">IF(D206=1,7,0)</f>
        <v>0</v>
      </c>
      <c r="CI224" s="644">
        <f t="shared" ref="CI224:CI353" si="744">IF(AC224=1,7,0)</f>
        <v>0</v>
      </c>
      <c r="CJ224" s="644">
        <f t="shared" ref="CJ224:CJ353" si="745">IF(AD224=1,5,0)</f>
        <v>0</v>
      </c>
      <c r="CK224" s="644">
        <f t="shared" ref="CK224:CK353" si="746">IF(I224=1,5,0)</f>
        <v>0</v>
      </c>
      <c r="CL224" s="644">
        <f t="shared" ref="CL224:CL353" si="747">IF(F224=1,5,0)</f>
        <v>0</v>
      </c>
      <c r="CM224" s="644">
        <f t="shared" ref="CM224:CM353" si="748">IF(AG224=1,3,0)</f>
        <v>0</v>
      </c>
      <c r="CN224" s="644">
        <f t="shared" ref="CN224:CN353" si="749">IF(T224=1,3,0)</f>
        <v>3</v>
      </c>
      <c r="CO224" s="644">
        <f t="shared" ref="CO224:CO353" si="750">IF(AJ224=1,3,0)</f>
        <v>0</v>
      </c>
      <c r="CP224" s="644">
        <f t="shared" ref="CP224:CP353" si="751">IF(Z224=1,3,0)</f>
        <v>0</v>
      </c>
      <c r="CQ224" s="644">
        <f t="shared" ref="CQ224:CQ353" si="752">IF(S224=1,2,0)</f>
        <v>0</v>
      </c>
      <c r="CR224" s="644">
        <f t="shared" ref="CR224:CR353" si="753">IF(W224=1,2,0)</f>
        <v>0</v>
      </c>
      <c r="CS224" s="644">
        <f t="shared" ref="CS224:CS353" si="754">IF(AK224=1,2,0)</f>
        <v>0</v>
      </c>
      <c r="CT224" s="644">
        <f t="shared" ref="CT224:CT353" si="755">IF(AF224=1,2,0)</f>
        <v>0</v>
      </c>
      <c r="CU224" s="644">
        <f t="shared" ref="CU224:CU353" si="756">IF(X224=1,1,0)</f>
        <v>0</v>
      </c>
      <c r="CV224" s="644">
        <f t="shared" ref="CV224:CV353" si="757">IF(V224=1,1,0)</f>
        <v>0</v>
      </c>
      <c r="CW224" s="644">
        <f t="shared" ref="CW224:CW353" si="758">IF(AI224=1,1,0)</f>
        <v>0</v>
      </c>
      <c r="CX224" s="644">
        <f t="shared" ref="CX224:CX353" si="759">IF(N224=1,1,0)</f>
        <v>0</v>
      </c>
      <c r="CY224" s="644">
        <f t="shared" ref="CY224:CY353" si="760">IF(J224=1,1,0)</f>
        <v>0</v>
      </c>
      <c r="CZ224" s="624" t="s">
        <v>740</v>
      </c>
    </row>
    <row r="225" spans="1:105">
      <c r="A225" s="253" t="s">
        <v>106</v>
      </c>
      <c r="B225" s="641"/>
      <c r="C225" s="641"/>
      <c r="D225" s="155">
        <v>1</v>
      </c>
      <c r="E225" s="155">
        <v>1</v>
      </c>
      <c r="F225" s="155"/>
      <c r="G225" s="155"/>
      <c r="H225" s="155"/>
      <c r="I225" s="155"/>
      <c r="J225" s="155"/>
      <c r="K225" s="155"/>
      <c r="L225" s="155"/>
      <c r="M225" s="155"/>
      <c r="N225" s="155"/>
      <c r="O225" s="155"/>
      <c r="P225" s="155"/>
      <c r="Q225" s="155"/>
      <c r="R225" s="155">
        <v>1</v>
      </c>
      <c r="S225" s="155"/>
      <c r="T225" s="155">
        <v>1</v>
      </c>
      <c r="U225" s="155">
        <v>1</v>
      </c>
      <c r="V225" s="155"/>
      <c r="W225" s="155"/>
      <c r="X225" s="155"/>
      <c r="Y225" s="155"/>
      <c r="Z225" s="276">
        <v>1</v>
      </c>
      <c r="AA225" s="155"/>
      <c r="AB225" s="155">
        <v>1</v>
      </c>
      <c r="AC225" s="155">
        <v>1</v>
      </c>
      <c r="AD225" s="155">
        <v>1</v>
      </c>
      <c r="AE225" s="155"/>
      <c r="AF225" s="155"/>
      <c r="AG225" s="155"/>
      <c r="AH225" s="155">
        <v>1</v>
      </c>
      <c r="AI225" s="155"/>
      <c r="AJ225" s="155"/>
      <c r="AK225" s="155"/>
      <c r="AL225" s="190">
        <v>10</v>
      </c>
      <c r="AM225" s="191" t="s">
        <v>1265</v>
      </c>
      <c r="AN225" s="192">
        <v>42010</v>
      </c>
      <c r="AO225" s="187"/>
      <c r="AP225" s="187">
        <f t="shared" si="703"/>
        <v>0</v>
      </c>
      <c r="AQ225" s="187">
        <f t="shared" si="704"/>
        <v>0</v>
      </c>
      <c r="AR225" s="187">
        <f t="shared" si="705"/>
        <v>13</v>
      </c>
      <c r="AS225" s="187">
        <f t="shared" si="706"/>
        <v>13</v>
      </c>
      <c r="AT225" s="187">
        <f t="shared" si="707"/>
        <v>9</v>
      </c>
      <c r="AU225" s="187">
        <f t="shared" si="708"/>
        <v>9</v>
      </c>
      <c r="AV225" s="187">
        <f t="shared" si="709"/>
        <v>9</v>
      </c>
      <c r="AW225" s="187">
        <f t="shared" si="710"/>
        <v>0</v>
      </c>
      <c r="AX225" s="187">
        <f t="shared" si="711"/>
        <v>7</v>
      </c>
      <c r="AY225" s="187">
        <f t="shared" si="712"/>
        <v>7</v>
      </c>
      <c r="AZ225" s="187">
        <f t="shared" si="713"/>
        <v>7</v>
      </c>
      <c r="BA225" s="187">
        <f t="shared" si="714"/>
        <v>7</v>
      </c>
      <c r="BB225" s="187">
        <f t="shared" si="715"/>
        <v>0</v>
      </c>
      <c r="BC225" s="187">
        <f t="shared" si="716"/>
        <v>4</v>
      </c>
      <c r="BD225" s="187">
        <f t="shared" si="717"/>
        <v>0</v>
      </c>
      <c r="BE225" s="187">
        <f t="shared" si="718"/>
        <v>0</v>
      </c>
      <c r="BF225" s="187">
        <f t="shared" si="719"/>
        <v>0</v>
      </c>
      <c r="BG225" s="187">
        <f t="shared" si="720"/>
        <v>0</v>
      </c>
      <c r="BH225" s="187">
        <f t="shared" si="721"/>
        <v>0</v>
      </c>
      <c r="BI225" s="187">
        <f t="shared" si="722"/>
        <v>0</v>
      </c>
      <c r="BJ225" s="187">
        <f t="shared" si="723"/>
        <v>0</v>
      </c>
      <c r="BK225" s="187">
        <f t="shared" si="724"/>
        <v>0</v>
      </c>
      <c r="BL225" s="187">
        <f t="shared" si="725"/>
        <v>0</v>
      </c>
      <c r="BM225" s="187">
        <f t="shared" si="726"/>
        <v>0</v>
      </c>
      <c r="BN225" s="188">
        <f t="shared" si="727"/>
        <v>0</v>
      </c>
      <c r="BO225" s="187">
        <f t="shared" si="728"/>
        <v>0</v>
      </c>
      <c r="BP225" s="187">
        <f t="shared" ref="BP225:BQ225" si="761">IF(G225=1,1,0)</f>
        <v>0</v>
      </c>
      <c r="BQ225" s="187">
        <f t="shared" si="761"/>
        <v>0</v>
      </c>
      <c r="BR225" s="187">
        <f t="shared" ref="BR225:BT225" si="762">IF(K225=1,1,0)</f>
        <v>0</v>
      </c>
      <c r="BS225" s="187">
        <f t="shared" si="762"/>
        <v>0</v>
      </c>
      <c r="BT225" s="187">
        <f t="shared" si="762"/>
        <v>0</v>
      </c>
      <c r="BU225" s="187">
        <f t="shared" ref="BU225:BV225" si="763">IF(P225=1,1,0)</f>
        <v>0</v>
      </c>
      <c r="BV225" s="187">
        <f t="shared" si="763"/>
        <v>0</v>
      </c>
      <c r="BW225" s="187">
        <f t="shared" si="732"/>
        <v>0</v>
      </c>
      <c r="BX225" s="187">
        <f t="shared" si="733"/>
        <v>0</v>
      </c>
      <c r="BY225" s="187">
        <f t="shared" si="734"/>
        <v>0</v>
      </c>
      <c r="BZ225" s="187">
        <f t="shared" si="735"/>
        <v>0</v>
      </c>
      <c r="CA225" s="167">
        <f t="shared" si="736"/>
        <v>85</v>
      </c>
      <c r="CB225" s="167">
        <f t="shared" si="737"/>
        <v>96</v>
      </c>
      <c r="CC225" s="644">
        <f t="shared" si="738"/>
        <v>23</v>
      </c>
      <c r="CD225" s="644">
        <f t="shared" si="739"/>
        <v>19</v>
      </c>
      <c r="CE225" s="644">
        <f t="shared" si="740"/>
        <v>15</v>
      </c>
      <c r="CF225" s="644">
        <f t="shared" si="741"/>
        <v>15</v>
      </c>
      <c r="CG225" s="644">
        <f t="shared" si="742"/>
        <v>9</v>
      </c>
      <c r="CH225" s="644">
        <f t="shared" si="743"/>
        <v>0</v>
      </c>
      <c r="CI225" s="644">
        <f t="shared" si="744"/>
        <v>7</v>
      </c>
      <c r="CJ225" s="644">
        <f t="shared" si="745"/>
        <v>5</v>
      </c>
      <c r="CK225" s="644">
        <f t="shared" si="746"/>
        <v>0</v>
      </c>
      <c r="CL225" s="644">
        <f t="shared" si="747"/>
        <v>0</v>
      </c>
      <c r="CM225" s="644">
        <f t="shared" si="748"/>
        <v>0</v>
      </c>
      <c r="CN225" s="644">
        <f t="shared" si="749"/>
        <v>3</v>
      </c>
      <c r="CO225" s="644">
        <f t="shared" si="750"/>
        <v>0</v>
      </c>
      <c r="CP225" s="644">
        <f t="shared" si="751"/>
        <v>3</v>
      </c>
      <c r="CQ225" s="644">
        <f t="shared" si="752"/>
        <v>0</v>
      </c>
      <c r="CR225" s="644">
        <f t="shared" si="753"/>
        <v>0</v>
      </c>
      <c r="CS225" s="644">
        <f t="shared" si="754"/>
        <v>0</v>
      </c>
      <c r="CT225" s="644">
        <f t="shared" si="755"/>
        <v>0</v>
      </c>
      <c r="CU225" s="644">
        <f t="shared" si="756"/>
        <v>0</v>
      </c>
      <c r="CV225" s="644">
        <f t="shared" si="757"/>
        <v>0</v>
      </c>
      <c r="CW225" s="644">
        <f t="shared" si="758"/>
        <v>0</v>
      </c>
      <c r="CX225" s="644">
        <f t="shared" si="759"/>
        <v>0</v>
      </c>
      <c r="CY225" s="644">
        <f t="shared" si="760"/>
        <v>0</v>
      </c>
      <c r="CZ225" s="624" t="s">
        <v>740</v>
      </c>
    </row>
    <row r="226" spans="1:105">
      <c r="A226" s="253" t="s">
        <v>1266</v>
      </c>
      <c r="B226" s="641"/>
      <c r="C226" s="641"/>
      <c r="D226" s="155">
        <v>1</v>
      </c>
      <c r="E226" s="155">
        <v>1</v>
      </c>
      <c r="F226" s="155"/>
      <c r="G226" s="155"/>
      <c r="H226" s="155"/>
      <c r="I226" s="155"/>
      <c r="J226" s="155"/>
      <c r="K226" s="155"/>
      <c r="L226" s="155"/>
      <c r="M226" s="155"/>
      <c r="N226" s="155"/>
      <c r="O226" s="155"/>
      <c r="P226" s="155"/>
      <c r="Q226" s="155"/>
      <c r="R226" s="155">
        <v>1</v>
      </c>
      <c r="S226" s="155"/>
      <c r="T226" s="155"/>
      <c r="U226" s="155">
        <v>1</v>
      </c>
      <c r="V226" s="155"/>
      <c r="W226" s="155"/>
      <c r="X226" s="155"/>
      <c r="Y226" s="155"/>
      <c r="Z226" s="155"/>
      <c r="AA226" s="155"/>
      <c r="AB226" s="155"/>
      <c r="AC226" s="155">
        <v>1</v>
      </c>
      <c r="AD226" s="155">
        <v>1</v>
      </c>
      <c r="AE226" s="155"/>
      <c r="AF226" s="155"/>
      <c r="AG226" s="155">
        <v>1</v>
      </c>
      <c r="AH226" s="155">
        <v>1</v>
      </c>
      <c r="AI226" s="155"/>
      <c r="AJ226" s="155">
        <v>1</v>
      </c>
      <c r="AK226" s="155"/>
      <c r="AL226" s="190">
        <v>9</v>
      </c>
      <c r="AM226" s="191" t="str">
        <f>HYPERLINK("http://bbwaa.com/15-hof-ballots/", "BBWAA.com")</f>
        <v>BBWAA.com</v>
      </c>
      <c r="AN226" s="192">
        <v>42014</v>
      </c>
      <c r="AO226" s="187"/>
      <c r="AP226" s="187">
        <f t="shared" si="703"/>
        <v>0</v>
      </c>
      <c r="AQ226" s="187">
        <f t="shared" si="704"/>
        <v>0</v>
      </c>
      <c r="AR226" s="187">
        <f t="shared" si="705"/>
        <v>13</v>
      </c>
      <c r="AS226" s="187">
        <f t="shared" si="706"/>
        <v>13</v>
      </c>
      <c r="AT226" s="187">
        <f t="shared" si="707"/>
        <v>0</v>
      </c>
      <c r="AU226" s="187">
        <f t="shared" si="708"/>
        <v>9</v>
      </c>
      <c r="AV226" s="187">
        <f t="shared" si="709"/>
        <v>9</v>
      </c>
      <c r="AW226" s="187">
        <f t="shared" si="710"/>
        <v>7</v>
      </c>
      <c r="AX226" s="187">
        <f t="shared" si="711"/>
        <v>7</v>
      </c>
      <c r="AY226" s="187">
        <f t="shared" si="712"/>
        <v>0</v>
      </c>
      <c r="AZ226" s="187">
        <f t="shared" si="713"/>
        <v>7</v>
      </c>
      <c r="BA226" s="187">
        <f t="shared" si="714"/>
        <v>7</v>
      </c>
      <c r="BB226" s="187">
        <f t="shared" si="715"/>
        <v>0</v>
      </c>
      <c r="BC226" s="187">
        <f t="shared" si="716"/>
        <v>0</v>
      </c>
      <c r="BD226" s="187">
        <f t="shared" si="717"/>
        <v>0</v>
      </c>
      <c r="BE226" s="187">
        <f t="shared" si="718"/>
        <v>0</v>
      </c>
      <c r="BF226" s="187">
        <f t="shared" si="719"/>
        <v>0</v>
      </c>
      <c r="BG226" s="187">
        <f t="shared" si="720"/>
        <v>0</v>
      </c>
      <c r="BH226" s="187">
        <f t="shared" si="721"/>
        <v>0</v>
      </c>
      <c r="BI226" s="187">
        <f t="shared" si="722"/>
        <v>0</v>
      </c>
      <c r="BJ226" s="187">
        <f t="shared" si="723"/>
        <v>1</v>
      </c>
      <c r="BK226" s="187">
        <f t="shared" si="724"/>
        <v>0</v>
      </c>
      <c r="BL226" s="187">
        <f t="shared" si="725"/>
        <v>0</v>
      </c>
      <c r="BM226" s="187">
        <f t="shared" si="726"/>
        <v>0</v>
      </c>
      <c r="BN226" s="188">
        <f t="shared" si="727"/>
        <v>1</v>
      </c>
      <c r="BO226" s="187">
        <f t="shared" si="728"/>
        <v>0</v>
      </c>
      <c r="BP226" s="187">
        <f t="shared" ref="BP226:BQ226" si="764">IF(G226=1,1,0)</f>
        <v>0</v>
      </c>
      <c r="BQ226" s="187">
        <f t="shared" si="764"/>
        <v>0</v>
      </c>
      <c r="BR226" s="187">
        <f t="shared" ref="BR226:BT226" si="765">IF(K226=1,1,0)</f>
        <v>0</v>
      </c>
      <c r="BS226" s="187">
        <f t="shared" si="765"/>
        <v>0</v>
      </c>
      <c r="BT226" s="187">
        <f t="shared" si="765"/>
        <v>0</v>
      </c>
      <c r="BU226" s="187">
        <f t="shared" ref="BU226:BV226" si="766">IF(P226=1,1,0)</f>
        <v>0</v>
      </c>
      <c r="BV226" s="187">
        <f t="shared" si="766"/>
        <v>0</v>
      </c>
      <c r="BW226" s="187">
        <f t="shared" si="732"/>
        <v>0</v>
      </c>
      <c r="BX226" s="187">
        <f t="shared" si="733"/>
        <v>0</v>
      </c>
      <c r="BY226" s="187">
        <f t="shared" si="734"/>
        <v>1</v>
      </c>
      <c r="BZ226" s="187">
        <f t="shared" si="735"/>
        <v>-1</v>
      </c>
      <c r="CA226" s="167">
        <f t="shared" si="736"/>
        <v>72</v>
      </c>
      <c r="CB226" s="167">
        <f t="shared" si="737"/>
        <v>94</v>
      </c>
      <c r="CC226" s="644">
        <f t="shared" si="738"/>
        <v>23</v>
      </c>
      <c r="CD226" s="644">
        <f t="shared" si="739"/>
        <v>19</v>
      </c>
      <c r="CE226" s="644">
        <f t="shared" si="740"/>
        <v>15</v>
      </c>
      <c r="CF226" s="644">
        <f t="shared" si="741"/>
        <v>15</v>
      </c>
      <c r="CG226" s="644">
        <f t="shared" si="742"/>
        <v>0</v>
      </c>
      <c r="CH226" s="644">
        <f t="shared" si="743"/>
        <v>7</v>
      </c>
      <c r="CI226" s="644">
        <f t="shared" si="744"/>
        <v>7</v>
      </c>
      <c r="CJ226" s="644">
        <f t="shared" si="745"/>
        <v>5</v>
      </c>
      <c r="CK226" s="644">
        <f t="shared" si="746"/>
        <v>0</v>
      </c>
      <c r="CL226" s="644">
        <f t="shared" si="747"/>
        <v>0</v>
      </c>
      <c r="CM226" s="644">
        <f t="shared" si="748"/>
        <v>3</v>
      </c>
      <c r="CN226" s="644">
        <f t="shared" si="749"/>
        <v>0</v>
      </c>
      <c r="CO226" s="644">
        <f t="shared" si="750"/>
        <v>3</v>
      </c>
      <c r="CP226" s="644">
        <f t="shared" si="751"/>
        <v>0</v>
      </c>
      <c r="CQ226" s="644">
        <f t="shared" si="752"/>
        <v>0</v>
      </c>
      <c r="CR226" s="644">
        <f t="shared" si="753"/>
        <v>0</v>
      </c>
      <c r="CS226" s="644">
        <f t="shared" si="754"/>
        <v>0</v>
      </c>
      <c r="CT226" s="644">
        <f t="shared" si="755"/>
        <v>0</v>
      </c>
      <c r="CU226" s="644">
        <f t="shared" si="756"/>
        <v>0</v>
      </c>
      <c r="CV226" s="644">
        <f t="shared" si="757"/>
        <v>0</v>
      </c>
      <c r="CW226" s="644">
        <f t="shared" si="758"/>
        <v>0</v>
      </c>
      <c r="CX226" s="644">
        <f t="shared" si="759"/>
        <v>0</v>
      </c>
      <c r="CY226" s="644">
        <f t="shared" si="760"/>
        <v>0</v>
      </c>
      <c r="CZ226" s="624" t="s">
        <v>1267</v>
      </c>
    </row>
    <row r="227" spans="1:105">
      <c r="A227" s="253" t="s">
        <v>116</v>
      </c>
      <c r="B227" s="641"/>
      <c r="C227" s="641"/>
      <c r="D227" s="155">
        <v>1</v>
      </c>
      <c r="E227" s="155">
        <v>1</v>
      </c>
      <c r="F227" s="155">
        <v>1</v>
      </c>
      <c r="G227" s="155"/>
      <c r="H227" s="155"/>
      <c r="I227" s="155">
        <v>1</v>
      </c>
      <c r="J227" s="155"/>
      <c r="K227" s="155"/>
      <c r="L227" s="155"/>
      <c r="M227" s="155"/>
      <c r="N227" s="155"/>
      <c r="O227" s="155"/>
      <c r="P227" s="155"/>
      <c r="Q227" s="155"/>
      <c r="R227" s="155">
        <v>1</v>
      </c>
      <c r="S227" s="155"/>
      <c r="T227" s="155">
        <v>1</v>
      </c>
      <c r="U227" s="155">
        <v>1</v>
      </c>
      <c r="V227" s="155"/>
      <c r="W227" s="155"/>
      <c r="X227" s="155"/>
      <c r="Y227" s="155"/>
      <c r="Z227" s="155"/>
      <c r="AA227" s="155"/>
      <c r="AB227" s="155">
        <v>1</v>
      </c>
      <c r="AC227" s="155">
        <v>1</v>
      </c>
      <c r="AD227" s="155"/>
      <c r="AE227" s="155"/>
      <c r="AF227" s="155"/>
      <c r="AG227" s="155"/>
      <c r="AH227" s="155">
        <v>1</v>
      </c>
      <c r="AI227" s="155"/>
      <c r="AJ227" s="155"/>
      <c r="AK227" s="155"/>
      <c r="AL227" s="190">
        <v>10</v>
      </c>
      <c r="AM227" s="191" t="s">
        <v>1268</v>
      </c>
      <c r="AN227" s="192">
        <v>42010</v>
      </c>
      <c r="AO227" s="187"/>
      <c r="AP227" s="187">
        <f t="shared" si="703"/>
        <v>13</v>
      </c>
      <c r="AQ227" s="187">
        <f t="shared" si="704"/>
        <v>13</v>
      </c>
      <c r="AR227" s="187">
        <f t="shared" si="705"/>
        <v>13</v>
      </c>
      <c r="AS227" s="187">
        <f t="shared" si="706"/>
        <v>13</v>
      </c>
      <c r="AT227" s="187">
        <f t="shared" si="707"/>
        <v>9</v>
      </c>
      <c r="AU227" s="187">
        <f t="shared" si="708"/>
        <v>9</v>
      </c>
      <c r="AV227" s="187">
        <f t="shared" si="709"/>
        <v>9</v>
      </c>
      <c r="AW227" s="187">
        <f t="shared" si="710"/>
        <v>0</v>
      </c>
      <c r="AX227" s="187">
        <f t="shared" si="711"/>
        <v>0</v>
      </c>
      <c r="AY227" s="187">
        <f t="shared" si="712"/>
        <v>0</v>
      </c>
      <c r="AZ227" s="187">
        <f t="shared" si="713"/>
        <v>7</v>
      </c>
      <c r="BA227" s="187">
        <f t="shared" si="714"/>
        <v>7</v>
      </c>
      <c r="BB227" s="187">
        <f t="shared" si="715"/>
        <v>0</v>
      </c>
      <c r="BC227" s="187">
        <f t="shared" si="716"/>
        <v>4</v>
      </c>
      <c r="BD227" s="187">
        <f t="shared" si="717"/>
        <v>0</v>
      </c>
      <c r="BE227" s="187">
        <f t="shared" si="718"/>
        <v>0</v>
      </c>
      <c r="BF227" s="187">
        <f t="shared" si="719"/>
        <v>0</v>
      </c>
      <c r="BG227" s="187">
        <f t="shared" si="720"/>
        <v>0</v>
      </c>
      <c r="BH227" s="187">
        <f t="shared" si="721"/>
        <v>0</v>
      </c>
      <c r="BI227" s="187">
        <f t="shared" si="722"/>
        <v>0</v>
      </c>
      <c r="BJ227" s="187">
        <f t="shared" si="723"/>
        <v>0</v>
      </c>
      <c r="BK227" s="187">
        <f t="shared" si="724"/>
        <v>0</v>
      </c>
      <c r="BL227" s="187">
        <f t="shared" si="725"/>
        <v>0</v>
      </c>
      <c r="BM227" s="187">
        <f t="shared" si="726"/>
        <v>0</v>
      </c>
      <c r="BN227" s="188">
        <f t="shared" si="727"/>
        <v>0</v>
      </c>
      <c r="BO227" s="187">
        <f t="shared" si="728"/>
        <v>0</v>
      </c>
      <c r="BP227" s="187">
        <f t="shared" ref="BP227:BQ227" si="767">IF(G227=1,1,0)</f>
        <v>0</v>
      </c>
      <c r="BQ227" s="187">
        <f t="shared" si="767"/>
        <v>0</v>
      </c>
      <c r="BR227" s="187">
        <f t="shared" ref="BR227:BT227" si="768">IF(K227=1,1,0)</f>
        <v>0</v>
      </c>
      <c r="BS227" s="187">
        <f t="shared" si="768"/>
        <v>0</v>
      </c>
      <c r="BT227" s="187">
        <f t="shared" si="768"/>
        <v>0</v>
      </c>
      <c r="BU227" s="187">
        <f t="shared" ref="BU227:BV227" si="769">IF(P227=1,1,0)</f>
        <v>0</v>
      </c>
      <c r="BV227" s="187">
        <f t="shared" si="769"/>
        <v>0</v>
      </c>
      <c r="BW227" s="187">
        <f t="shared" si="732"/>
        <v>0</v>
      </c>
      <c r="BX227" s="187">
        <f t="shared" si="733"/>
        <v>0</v>
      </c>
      <c r="BY227" s="187">
        <f t="shared" si="734"/>
        <v>0</v>
      </c>
      <c r="BZ227" s="187">
        <f t="shared" si="735"/>
        <v>0</v>
      </c>
      <c r="CA227" s="167">
        <f t="shared" si="736"/>
        <v>97</v>
      </c>
      <c r="CB227" s="167">
        <f t="shared" si="737"/>
        <v>100</v>
      </c>
      <c r="CC227" s="644">
        <f t="shared" si="738"/>
        <v>23</v>
      </c>
      <c r="CD227" s="644">
        <f t="shared" si="739"/>
        <v>19</v>
      </c>
      <c r="CE227" s="644">
        <f t="shared" si="740"/>
        <v>15</v>
      </c>
      <c r="CF227" s="644">
        <f t="shared" si="741"/>
        <v>15</v>
      </c>
      <c r="CG227" s="644">
        <f t="shared" si="742"/>
        <v>9</v>
      </c>
      <c r="CH227" s="644">
        <f t="shared" ref="CH227:CH230" si="770">IF(D208=1,7,0)</f>
        <v>7</v>
      </c>
      <c r="CI227" s="644">
        <f t="shared" si="744"/>
        <v>7</v>
      </c>
      <c r="CJ227" s="644">
        <f t="shared" si="745"/>
        <v>0</v>
      </c>
      <c r="CK227" s="644">
        <f t="shared" si="746"/>
        <v>5</v>
      </c>
      <c r="CL227" s="644">
        <f t="shared" si="747"/>
        <v>5</v>
      </c>
      <c r="CM227" s="644">
        <f t="shared" si="748"/>
        <v>0</v>
      </c>
      <c r="CN227" s="644">
        <f t="shared" si="749"/>
        <v>3</v>
      </c>
      <c r="CO227" s="644">
        <f t="shared" si="750"/>
        <v>0</v>
      </c>
      <c r="CP227" s="644">
        <f t="shared" si="751"/>
        <v>0</v>
      </c>
      <c r="CQ227" s="644">
        <f t="shared" si="752"/>
        <v>0</v>
      </c>
      <c r="CR227" s="644">
        <f t="shared" si="753"/>
        <v>0</v>
      </c>
      <c r="CS227" s="644">
        <f t="shared" si="754"/>
        <v>0</v>
      </c>
      <c r="CT227" s="644">
        <f t="shared" si="755"/>
        <v>0</v>
      </c>
      <c r="CU227" s="644">
        <f t="shared" si="756"/>
        <v>0</v>
      </c>
      <c r="CV227" s="644">
        <f t="shared" si="757"/>
        <v>0</v>
      </c>
      <c r="CW227" s="644">
        <f t="shared" si="758"/>
        <v>0</v>
      </c>
      <c r="CX227" s="644">
        <f t="shared" si="759"/>
        <v>0</v>
      </c>
      <c r="CY227" s="644">
        <f t="shared" si="760"/>
        <v>0</v>
      </c>
      <c r="CZ227" s="624" t="s">
        <v>752</v>
      </c>
    </row>
    <row r="228" spans="1:105">
      <c r="A228" s="253" t="s">
        <v>1269</v>
      </c>
      <c r="B228" s="641"/>
      <c r="C228" s="641"/>
      <c r="D228" s="155">
        <v>1</v>
      </c>
      <c r="E228" s="155">
        <v>1</v>
      </c>
      <c r="F228" s="155"/>
      <c r="G228" s="155"/>
      <c r="H228" s="155"/>
      <c r="I228" s="155"/>
      <c r="J228" s="155"/>
      <c r="K228" s="155"/>
      <c r="L228" s="155"/>
      <c r="M228" s="155"/>
      <c r="N228" s="155"/>
      <c r="O228" s="155"/>
      <c r="P228" s="155"/>
      <c r="Q228" s="155"/>
      <c r="R228" s="155">
        <v>1</v>
      </c>
      <c r="S228" s="155"/>
      <c r="T228" s="155"/>
      <c r="U228" s="155">
        <v>1</v>
      </c>
      <c r="V228" s="155"/>
      <c r="W228" s="155"/>
      <c r="X228" s="155"/>
      <c r="Y228" s="155"/>
      <c r="Z228" s="155"/>
      <c r="AA228" s="155"/>
      <c r="AB228" s="155"/>
      <c r="AC228" s="155">
        <v>1</v>
      </c>
      <c r="AD228" s="155">
        <v>1</v>
      </c>
      <c r="AE228" s="155"/>
      <c r="AF228" s="155"/>
      <c r="AG228" s="155"/>
      <c r="AH228" s="155"/>
      <c r="AI228" s="155"/>
      <c r="AJ228" s="155">
        <v>1</v>
      </c>
      <c r="AK228" s="155"/>
      <c r="AL228" s="190">
        <v>7</v>
      </c>
      <c r="AM228" s="191" t="s">
        <v>1270</v>
      </c>
      <c r="AN228" s="192">
        <v>42010</v>
      </c>
      <c r="AO228" s="187"/>
      <c r="AP228" s="187">
        <f t="shared" si="703"/>
        <v>0</v>
      </c>
      <c r="AQ228" s="187">
        <f t="shared" si="704"/>
        <v>0</v>
      </c>
      <c r="AR228" s="187">
        <f t="shared" si="705"/>
        <v>13</v>
      </c>
      <c r="AS228" s="187">
        <f t="shared" si="706"/>
        <v>13</v>
      </c>
      <c r="AT228" s="187">
        <f t="shared" si="707"/>
        <v>0</v>
      </c>
      <c r="AU228" s="187">
        <f t="shared" si="708"/>
        <v>9</v>
      </c>
      <c r="AV228" s="187">
        <f t="shared" si="709"/>
        <v>9</v>
      </c>
      <c r="AW228" s="187">
        <f t="shared" si="710"/>
        <v>7</v>
      </c>
      <c r="AX228" s="187">
        <f t="shared" si="711"/>
        <v>7</v>
      </c>
      <c r="AY228" s="187">
        <f t="shared" si="712"/>
        <v>0</v>
      </c>
      <c r="AZ228" s="187">
        <f t="shared" si="713"/>
        <v>0</v>
      </c>
      <c r="BA228" s="187">
        <f t="shared" si="714"/>
        <v>7</v>
      </c>
      <c r="BB228" s="187">
        <f t="shared" si="715"/>
        <v>0</v>
      </c>
      <c r="BC228" s="187">
        <f t="shared" si="716"/>
        <v>0</v>
      </c>
      <c r="BD228" s="187">
        <f t="shared" si="717"/>
        <v>0</v>
      </c>
      <c r="BE228" s="187">
        <f t="shared" si="718"/>
        <v>0</v>
      </c>
      <c r="BF228" s="187">
        <f t="shared" si="719"/>
        <v>0</v>
      </c>
      <c r="BG228" s="187">
        <f t="shared" si="720"/>
        <v>0</v>
      </c>
      <c r="BH228" s="187">
        <f t="shared" si="721"/>
        <v>0</v>
      </c>
      <c r="BI228" s="187">
        <f t="shared" si="722"/>
        <v>0</v>
      </c>
      <c r="BJ228" s="187">
        <f t="shared" si="723"/>
        <v>0</v>
      </c>
      <c r="BK228" s="187">
        <f t="shared" si="724"/>
        <v>0</v>
      </c>
      <c r="BL228" s="187">
        <f t="shared" si="725"/>
        <v>0</v>
      </c>
      <c r="BM228" s="187">
        <f t="shared" si="726"/>
        <v>0</v>
      </c>
      <c r="BN228" s="188">
        <f t="shared" si="727"/>
        <v>3</v>
      </c>
      <c r="BO228" s="187">
        <f t="shared" si="728"/>
        <v>0</v>
      </c>
      <c r="BP228" s="187">
        <f t="shared" ref="BP228:BQ228" si="771">IF(G228=1,1,0)</f>
        <v>0</v>
      </c>
      <c r="BQ228" s="187">
        <f t="shared" si="771"/>
        <v>0</v>
      </c>
      <c r="BR228" s="187">
        <f t="shared" ref="BR228:BT228" si="772">IF(K228=1,1,0)</f>
        <v>0</v>
      </c>
      <c r="BS228" s="187">
        <f t="shared" si="772"/>
        <v>0</v>
      </c>
      <c r="BT228" s="187">
        <f t="shared" si="772"/>
        <v>0</v>
      </c>
      <c r="BU228" s="187">
        <f t="shared" ref="BU228:BV228" si="773">IF(P228=1,1,0)</f>
        <v>0</v>
      </c>
      <c r="BV228" s="187">
        <f t="shared" si="773"/>
        <v>0</v>
      </c>
      <c r="BW228" s="187">
        <f t="shared" si="732"/>
        <v>0</v>
      </c>
      <c r="BX228" s="187">
        <f t="shared" si="733"/>
        <v>0</v>
      </c>
      <c r="BY228" s="187">
        <f t="shared" si="734"/>
        <v>3</v>
      </c>
      <c r="BZ228" s="187">
        <f t="shared" si="735"/>
        <v>-9</v>
      </c>
      <c r="CA228" s="167">
        <f t="shared" si="736"/>
        <v>56</v>
      </c>
      <c r="CB228" s="167">
        <f t="shared" si="737"/>
        <v>79</v>
      </c>
      <c r="CC228" s="644">
        <f t="shared" si="738"/>
        <v>23</v>
      </c>
      <c r="CD228" s="644">
        <f t="shared" si="739"/>
        <v>19</v>
      </c>
      <c r="CE228" s="644">
        <f t="shared" si="740"/>
        <v>0</v>
      </c>
      <c r="CF228" s="644">
        <f t="shared" si="741"/>
        <v>15</v>
      </c>
      <c r="CG228" s="644">
        <f t="shared" si="742"/>
        <v>0</v>
      </c>
      <c r="CH228" s="644">
        <f t="shared" si="770"/>
        <v>7</v>
      </c>
      <c r="CI228" s="644">
        <f t="shared" si="744"/>
        <v>7</v>
      </c>
      <c r="CJ228" s="644">
        <f t="shared" si="745"/>
        <v>5</v>
      </c>
      <c r="CK228" s="644">
        <f t="shared" si="746"/>
        <v>0</v>
      </c>
      <c r="CL228" s="644">
        <f t="shared" si="747"/>
        <v>0</v>
      </c>
      <c r="CM228" s="644">
        <f t="shared" si="748"/>
        <v>0</v>
      </c>
      <c r="CN228" s="644">
        <f t="shared" si="749"/>
        <v>0</v>
      </c>
      <c r="CO228" s="644">
        <f t="shared" si="750"/>
        <v>3</v>
      </c>
      <c r="CP228" s="644">
        <f t="shared" si="751"/>
        <v>0</v>
      </c>
      <c r="CQ228" s="644">
        <f t="shared" si="752"/>
        <v>0</v>
      </c>
      <c r="CR228" s="644">
        <f t="shared" si="753"/>
        <v>0</v>
      </c>
      <c r="CS228" s="644">
        <f t="shared" si="754"/>
        <v>0</v>
      </c>
      <c r="CT228" s="644">
        <f t="shared" si="755"/>
        <v>0</v>
      </c>
      <c r="CU228" s="644">
        <f t="shared" si="756"/>
        <v>0</v>
      </c>
      <c r="CV228" s="644">
        <f t="shared" si="757"/>
        <v>0</v>
      </c>
      <c r="CW228" s="644">
        <f t="shared" si="758"/>
        <v>0</v>
      </c>
      <c r="CX228" s="644">
        <f t="shared" si="759"/>
        <v>0</v>
      </c>
      <c r="CY228" s="644">
        <f t="shared" si="760"/>
        <v>0</v>
      </c>
      <c r="CZ228" s="624" t="s">
        <v>748</v>
      </c>
    </row>
    <row r="229" spans="1:105">
      <c r="A229" s="277" t="s">
        <v>406</v>
      </c>
      <c r="B229" s="641"/>
      <c r="C229" s="641"/>
      <c r="D229" s="278">
        <v>1</v>
      </c>
      <c r="E229" s="278">
        <v>1</v>
      </c>
      <c r="F229" s="278">
        <v>1</v>
      </c>
      <c r="G229" s="155"/>
      <c r="H229" s="155"/>
      <c r="I229" s="278">
        <v>1</v>
      </c>
      <c r="J229" s="155"/>
      <c r="K229" s="155"/>
      <c r="L229" s="155"/>
      <c r="M229" s="155"/>
      <c r="N229" s="155"/>
      <c r="O229" s="155"/>
      <c r="P229" s="155"/>
      <c r="Q229" s="155"/>
      <c r="R229" s="155">
        <v>1</v>
      </c>
      <c r="S229" s="155"/>
      <c r="T229" s="155"/>
      <c r="U229" s="155">
        <v>1</v>
      </c>
      <c r="V229" s="155"/>
      <c r="W229" s="155"/>
      <c r="X229" s="155"/>
      <c r="Y229" s="155"/>
      <c r="Z229" s="278">
        <v>1</v>
      </c>
      <c r="AA229" s="155"/>
      <c r="AB229" s="278">
        <v>1</v>
      </c>
      <c r="AC229" s="278">
        <v>1</v>
      </c>
      <c r="AD229" s="278">
        <v>1</v>
      </c>
      <c r="AE229" s="155"/>
      <c r="AF229" s="155"/>
      <c r="AG229" s="155"/>
      <c r="AH229" s="155"/>
      <c r="AI229" s="155"/>
      <c r="AJ229" s="155"/>
      <c r="AK229" s="155"/>
      <c r="AL229" s="190">
        <v>10</v>
      </c>
      <c r="AM229" s="191" t="str">
        <f t="shared" ref="AM229:AM232" si="774">HYPERLINK("http://bbwaa.com/15-hof-ballots/", "BBWAA.com")</f>
        <v>BBWAA.com</v>
      </c>
      <c r="AN229" s="192">
        <v>42012</v>
      </c>
      <c r="AO229" s="187"/>
      <c r="AP229" s="187">
        <f t="shared" si="703"/>
        <v>13</v>
      </c>
      <c r="AQ229" s="187">
        <f t="shared" si="704"/>
        <v>13</v>
      </c>
      <c r="AR229" s="187">
        <f t="shared" si="705"/>
        <v>13</v>
      </c>
      <c r="AS229" s="187">
        <f t="shared" si="706"/>
        <v>13</v>
      </c>
      <c r="AT229" s="187">
        <f t="shared" si="707"/>
        <v>9</v>
      </c>
      <c r="AU229" s="187">
        <f t="shared" si="708"/>
        <v>9</v>
      </c>
      <c r="AV229" s="187">
        <f t="shared" si="709"/>
        <v>9</v>
      </c>
      <c r="AW229" s="187">
        <f t="shared" si="710"/>
        <v>0</v>
      </c>
      <c r="AX229" s="187">
        <f t="shared" si="711"/>
        <v>7</v>
      </c>
      <c r="AY229" s="187">
        <f t="shared" si="712"/>
        <v>7</v>
      </c>
      <c r="AZ229" s="187">
        <f t="shared" si="713"/>
        <v>0</v>
      </c>
      <c r="BA229" s="187">
        <f t="shared" si="714"/>
        <v>7</v>
      </c>
      <c r="BB229" s="187">
        <f t="shared" si="715"/>
        <v>0</v>
      </c>
      <c r="BC229" s="187">
        <f t="shared" si="716"/>
        <v>0</v>
      </c>
      <c r="BD229" s="187">
        <f t="shared" si="717"/>
        <v>0</v>
      </c>
      <c r="BE229" s="187">
        <f t="shared" si="718"/>
        <v>0</v>
      </c>
      <c r="BF229" s="187">
        <f t="shared" si="719"/>
        <v>0</v>
      </c>
      <c r="BG229" s="187">
        <f t="shared" si="720"/>
        <v>0</v>
      </c>
      <c r="BH229" s="187">
        <f t="shared" si="721"/>
        <v>0</v>
      </c>
      <c r="BI229" s="187">
        <f t="shared" si="722"/>
        <v>0</v>
      </c>
      <c r="BJ229" s="187">
        <f t="shared" si="723"/>
        <v>0</v>
      </c>
      <c r="BK229" s="187">
        <f t="shared" si="724"/>
        <v>0</v>
      </c>
      <c r="BL229" s="187">
        <f t="shared" si="725"/>
        <v>0</v>
      </c>
      <c r="BM229" s="187">
        <f t="shared" si="726"/>
        <v>0</v>
      </c>
      <c r="BN229" s="188">
        <f t="shared" si="727"/>
        <v>0</v>
      </c>
      <c r="BO229" s="187">
        <f t="shared" si="728"/>
        <v>0</v>
      </c>
      <c r="BP229" s="187">
        <f t="shared" ref="BP229:BQ229" si="775">IF(G229=1,1,0)</f>
        <v>0</v>
      </c>
      <c r="BQ229" s="187">
        <f t="shared" si="775"/>
        <v>0</v>
      </c>
      <c r="BR229" s="187">
        <f t="shared" ref="BR229:BT229" si="776">IF(K229=1,1,0)</f>
        <v>0</v>
      </c>
      <c r="BS229" s="187">
        <f t="shared" si="776"/>
        <v>0</v>
      </c>
      <c r="BT229" s="187">
        <f t="shared" si="776"/>
        <v>0</v>
      </c>
      <c r="BU229" s="187">
        <f t="shared" ref="BU229:BV229" si="777">IF(P229=1,1,0)</f>
        <v>0</v>
      </c>
      <c r="BV229" s="187">
        <f t="shared" si="777"/>
        <v>0</v>
      </c>
      <c r="BW229" s="187">
        <f t="shared" si="732"/>
        <v>0</v>
      </c>
      <c r="BX229" s="187">
        <f t="shared" si="733"/>
        <v>0</v>
      </c>
      <c r="BY229" s="187">
        <f t="shared" si="734"/>
        <v>0</v>
      </c>
      <c r="BZ229" s="187">
        <f t="shared" si="735"/>
        <v>0</v>
      </c>
      <c r="CA229" s="167">
        <f t="shared" si="736"/>
        <v>100</v>
      </c>
      <c r="CB229" s="167">
        <f t="shared" si="737"/>
        <v>90</v>
      </c>
      <c r="CC229" s="644">
        <f t="shared" si="738"/>
        <v>23</v>
      </c>
      <c r="CD229" s="644">
        <f t="shared" si="739"/>
        <v>19</v>
      </c>
      <c r="CE229" s="644">
        <f t="shared" si="740"/>
        <v>0</v>
      </c>
      <c r="CF229" s="644">
        <f t="shared" si="741"/>
        <v>15</v>
      </c>
      <c r="CG229" s="644">
        <f t="shared" si="742"/>
        <v>9</v>
      </c>
      <c r="CH229" s="644">
        <f t="shared" si="770"/>
        <v>7</v>
      </c>
      <c r="CI229" s="644">
        <f t="shared" si="744"/>
        <v>7</v>
      </c>
      <c r="CJ229" s="644">
        <f t="shared" si="745"/>
        <v>5</v>
      </c>
      <c r="CK229" s="644">
        <f t="shared" si="746"/>
        <v>5</v>
      </c>
      <c r="CL229" s="644">
        <f t="shared" si="747"/>
        <v>5</v>
      </c>
      <c r="CM229" s="644">
        <f t="shared" si="748"/>
        <v>0</v>
      </c>
      <c r="CN229" s="644">
        <f t="shared" si="749"/>
        <v>0</v>
      </c>
      <c r="CO229" s="644">
        <f t="shared" si="750"/>
        <v>0</v>
      </c>
      <c r="CP229" s="644">
        <f t="shared" si="751"/>
        <v>3</v>
      </c>
      <c r="CQ229" s="644">
        <f t="shared" si="752"/>
        <v>0</v>
      </c>
      <c r="CR229" s="644">
        <f t="shared" si="753"/>
        <v>0</v>
      </c>
      <c r="CS229" s="644">
        <f t="shared" si="754"/>
        <v>0</v>
      </c>
      <c r="CT229" s="644">
        <f t="shared" si="755"/>
        <v>0</v>
      </c>
      <c r="CU229" s="644">
        <f t="shared" si="756"/>
        <v>0</v>
      </c>
      <c r="CV229" s="644">
        <f t="shared" si="757"/>
        <v>0</v>
      </c>
      <c r="CW229" s="644">
        <f t="shared" si="758"/>
        <v>0</v>
      </c>
      <c r="CX229" s="644">
        <f t="shared" si="759"/>
        <v>0</v>
      </c>
      <c r="CY229" s="644">
        <f t="shared" si="760"/>
        <v>0</v>
      </c>
      <c r="CZ229" s="624" t="s">
        <v>853</v>
      </c>
      <c r="DA229" s="248"/>
    </row>
    <row r="230" spans="1:105">
      <c r="A230" s="249" t="s">
        <v>659</v>
      </c>
      <c r="B230" s="187"/>
      <c r="C230" s="644"/>
      <c r="D230" s="644"/>
      <c r="E230" s="644">
        <v>1</v>
      </c>
      <c r="F230" s="251">
        <v>1</v>
      </c>
      <c r="G230" s="251"/>
      <c r="H230" s="251"/>
      <c r="I230" s="251">
        <v>1</v>
      </c>
      <c r="J230" s="644"/>
      <c r="K230" s="644"/>
      <c r="L230" s="644"/>
      <c r="M230" s="644"/>
      <c r="N230" s="644"/>
      <c r="O230" s="644"/>
      <c r="P230" s="644"/>
      <c r="Q230" s="644"/>
      <c r="R230" s="644">
        <v>1</v>
      </c>
      <c r="S230" s="644"/>
      <c r="T230" s="644"/>
      <c r="U230" s="644">
        <v>1</v>
      </c>
      <c r="V230" s="644"/>
      <c r="W230" s="644"/>
      <c r="X230" s="644">
        <v>1</v>
      </c>
      <c r="Y230" s="644"/>
      <c r="Z230" s="644"/>
      <c r="AA230" s="644"/>
      <c r="AB230" s="258">
        <v>1</v>
      </c>
      <c r="AC230" s="644"/>
      <c r="AD230" s="644"/>
      <c r="AE230" s="644"/>
      <c r="AF230" s="644"/>
      <c r="AG230" s="644">
        <v>1</v>
      </c>
      <c r="AH230" s="644"/>
      <c r="AI230" s="644"/>
      <c r="AJ230" s="644"/>
      <c r="AK230" s="644"/>
      <c r="AL230" s="167">
        <v>8</v>
      </c>
      <c r="AM230" s="191" t="str">
        <f t="shared" si="774"/>
        <v>BBWAA.com</v>
      </c>
      <c r="AN230" s="186">
        <v>42012</v>
      </c>
      <c r="AO230" s="187"/>
      <c r="AP230" s="187">
        <f t="shared" si="703"/>
        <v>13</v>
      </c>
      <c r="AQ230" s="187">
        <f t="shared" si="704"/>
        <v>13</v>
      </c>
      <c r="AR230" s="187">
        <f t="shared" si="705"/>
        <v>13</v>
      </c>
      <c r="AS230" s="187">
        <f t="shared" si="706"/>
        <v>13</v>
      </c>
      <c r="AT230" s="187">
        <f t="shared" si="707"/>
        <v>9</v>
      </c>
      <c r="AU230" s="187">
        <f t="shared" si="708"/>
        <v>0</v>
      </c>
      <c r="AV230" s="187">
        <f t="shared" si="709"/>
        <v>0</v>
      </c>
      <c r="AW230" s="187">
        <f t="shared" si="710"/>
        <v>0</v>
      </c>
      <c r="AX230" s="187">
        <f t="shared" si="711"/>
        <v>0</v>
      </c>
      <c r="AY230" s="187">
        <f t="shared" si="712"/>
        <v>0</v>
      </c>
      <c r="AZ230" s="187">
        <f t="shared" si="713"/>
        <v>0</v>
      </c>
      <c r="BA230" s="187">
        <f t="shared" si="714"/>
        <v>7</v>
      </c>
      <c r="BB230" s="187">
        <f t="shared" si="715"/>
        <v>0</v>
      </c>
      <c r="BC230" s="187">
        <f t="shared" si="716"/>
        <v>0</v>
      </c>
      <c r="BD230" s="187">
        <f t="shared" si="717"/>
        <v>4</v>
      </c>
      <c r="BE230" s="187">
        <f t="shared" si="718"/>
        <v>0</v>
      </c>
      <c r="BF230" s="187">
        <f t="shared" si="719"/>
        <v>0</v>
      </c>
      <c r="BG230" s="187">
        <f t="shared" si="720"/>
        <v>0</v>
      </c>
      <c r="BH230" s="187">
        <f t="shared" si="721"/>
        <v>0</v>
      </c>
      <c r="BI230" s="187">
        <f t="shared" si="722"/>
        <v>0</v>
      </c>
      <c r="BJ230" s="187">
        <f t="shared" si="723"/>
        <v>1</v>
      </c>
      <c r="BK230" s="187">
        <f t="shared" si="724"/>
        <v>0</v>
      </c>
      <c r="BL230" s="187">
        <f t="shared" si="725"/>
        <v>0</v>
      </c>
      <c r="BM230" s="187">
        <f t="shared" si="726"/>
        <v>0</v>
      </c>
      <c r="BN230" s="188">
        <f t="shared" si="727"/>
        <v>2</v>
      </c>
      <c r="BO230" s="187">
        <f t="shared" si="728"/>
        <v>0</v>
      </c>
      <c r="BP230" s="187">
        <f t="shared" ref="BP230:BQ230" si="778">IF(G230=1,1,0)</f>
        <v>0</v>
      </c>
      <c r="BQ230" s="187">
        <f t="shared" si="778"/>
        <v>0</v>
      </c>
      <c r="BR230" s="187">
        <f t="shared" ref="BR230:BT230" si="779">IF(K230=1,1,0)</f>
        <v>0</v>
      </c>
      <c r="BS230" s="187">
        <f t="shared" si="779"/>
        <v>0</v>
      </c>
      <c r="BT230" s="187">
        <f t="shared" si="779"/>
        <v>0</v>
      </c>
      <c r="BU230" s="187">
        <f t="shared" ref="BU230:BV230" si="780">IF(P230=1,1,0)</f>
        <v>0</v>
      </c>
      <c r="BV230" s="187">
        <f t="shared" si="780"/>
        <v>0</v>
      </c>
      <c r="BW230" s="187">
        <f t="shared" si="732"/>
        <v>0</v>
      </c>
      <c r="BX230" s="187">
        <f t="shared" si="733"/>
        <v>0</v>
      </c>
      <c r="BY230" s="187">
        <f t="shared" si="734"/>
        <v>2</v>
      </c>
      <c r="BZ230" s="187">
        <f t="shared" si="735"/>
        <v>-4</v>
      </c>
      <c r="CA230" s="167">
        <f t="shared" si="736"/>
        <v>69</v>
      </c>
      <c r="CB230" s="167">
        <f t="shared" si="737"/>
        <v>80</v>
      </c>
      <c r="CC230" s="644">
        <f t="shared" si="738"/>
        <v>23</v>
      </c>
      <c r="CD230" s="644">
        <f t="shared" si="739"/>
        <v>19</v>
      </c>
      <c r="CE230" s="644">
        <f t="shared" si="740"/>
        <v>0</v>
      </c>
      <c r="CF230" s="644">
        <f t="shared" si="741"/>
        <v>15</v>
      </c>
      <c r="CG230" s="644">
        <f t="shared" si="742"/>
        <v>9</v>
      </c>
      <c r="CH230" s="644">
        <f t="shared" si="770"/>
        <v>0</v>
      </c>
      <c r="CI230" s="644">
        <f t="shared" si="744"/>
        <v>0</v>
      </c>
      <c r="CJ230" s="644">
        <f t="shared" si="745"/>
        <v>0</v>
      </c>
      <c r="CK230" s="644">
        <f t="shared" si="746"/>
        <v>5</v>
      </c>
      <c r="CL230" s="644">
        <f t="shared" si="747"/>
        <v>5</v>
      </c>
      <c r="CM230" s="644">
        <f t="shared" si="748"/>
        <v>3</v>
      </c>
      <c r="CN230" s="644">
        <f t="shared" si="749"/>
        <v>0</v>
      </c>
      <c r="CO230" s="644">
        <f t="shared" si="750"/>
        <v>0</v>
      </c>
      <c r="CP230" s="644">
        <f t="shared" si="751"/>
        <v>0</v>
      </c>
      <c r="CQ230" s="644">
        <f t="shared" si="752"/>
        <v>0</v>
      </c>
      <c r="CR230" s="644">
        <f t="shared" si="753"/>
        <v>0</v>
      </c>
      <c r="CS230" s="644">
        <f t="shared" si="754"/>
        <v>0</v>
      </c>
      <c r="CT230" s="644">
        <f t="shared" si="755"/>
        <v>0</v>
      </c>
      <c r="CU230" s="644">
        <f t="shared" si="756"/>
        <v>1</v>
      </c>
      <c r="CV230" s="644">
        <f t="shared" si="757"/>
        <v>0</v>
      </c>
      <c r="CW230" s="644">
        <f t="shared" si="758"/>
        <v>0</v>
      </c>
      <c r="CX230" s="644">
        <f t="shared" si="759"/>
        <v>0</v>
      </c>
      <c r="CY230" s="644">
        <f t="shared" si="760"/>
        <v>0</v>
      </c>
      <c r="CZ230" s="624" t="s">
        <v>853</v>
      </c>
      <c r="DA230" s="257"/>
    </row>
    <row r="231" spans="1:105">
      <c r="A231" s="249" t="s">
        <v>128</v>
      </c>
      <c r="B231" s="187"/>
      <c r="C231" s="644"/>
      <c r="D231" s="644">
        <v>1</v>
      </c>
      <c r="E231" s="644">
        <v>1</v>
      </c>
      <c r="F231" s="251"/>
      <c r="G231" s="251"/>
      <c r="H231" s="251"/>
      <c r="I231" s="251"/>
      <c r="J231" s="644"/>
      <c r="K231" s="644"/>
      <c r="L231" s="644"/>
      <c r="M231" s="644"/>
      <c r="N231" s="644"/>
      <c r="O231" s="644"/>
      <c r="P231" s="644"/>
      <c r="Q231" s="644"/>
      <c r="R231" s="644">
        <v>1</v>
      </c>
      <c r="S231" s="644"/>
      <c r="T231" s="644">
        <v>1</v>
      </c>
      <c r="U231" s="644">
        <v>1</v>
      </c>
      <c r="V231" s="644"/>
      <c r="W231" s="644">
        <v>1</v>
      </c>
      <c r="X231" s="644"/>
      <c r="Y231" s="644"/>
      <c r="Z231" s="644"/>
      <c r="AA231" s="644"/>
      <c r="AB231" s="319">
        <v>1</v>
      </c>
      <c r="AC231" s="182">
        <v>1</v>
      </c>
      <c r="AD231" s="644"/>
      <c r="AE231" s="644"/>
      <c r="AF231" s="644"/>
      <c r="AG231" s="644">
        <v>1</v>
      </c>
      <c r="AH231" s="644">
        <v>1</v>
      </c>
      <c r="AI231" s="644"/>
      <c r="AJ231" s="644"/>
      <c r="AK231" s="644"/>
      <c r="AL231" s="167">
        <v>10</v>
      </c>
      <c r="AM231" s="641" t="s">
        <v>767</v>
      </c>
      <c r="AN231" s="186">
        <v>42327</v>
      </c>
      <c r="AO231" s="187"/>
      <c r="AP231" s="187">
        <f t="shared" ref="AP231" si="781">IF(F231=1,13,0)</f>
        <v>0</v>
      </c>
      <c r="AQ231" s="187">
        <f t="shared" ref="AQ231" si="782">IF(I231=1,13,0)</f>
        <v>0</v>
      </c>
      <c r="AR231" s="187">
        <f t="shared" ref="AR231" si="783">IF(R231=1,13,0)</f>
        <v>13</v>
      </c>
      <c r="AS231" s="187">
        <f t="shared" ref="AS231" si="784">IF(U231=1,13,0)</f>
        <v>13</v>
      </c>
      <c r="AT231" s="187">
        <f t="shared" ref="AT231" si="785">IF(AB231=1, 9,0)</f>
        <v>9</v>
      </c>
      <c r="AU231" s="187">
        <f t="shared" ref="AU231" si="786">IF(D231=1, 9,0)</f>
        <v>9</v>
      </c>
      <c r="AV231" s="187">
        <f t="shared" ref="AV231" si="787">IF(AC231=1, 9,0)</f>
        <v>9</v>
      </c>
      <c r="AW231" s="187">
        <f t="shared" ref="AW231" si="788">IF(AJ231=1,7,0)</f>
        <v>0</v>
      </c>
      <c r="AX231" s="187">
        <f t="shared" ref="AX231" si="789">IF(AD231=1,7,0)</f>
        <v>0</v>
      </c>
      <c r="AY231" s="187">
        <f t="shared" ref="AY231" si="790">IF(Z231=1,7,0)</f>
        <v>0</v>
      </c>
      <c r="AZ231" s="187">
        <f t="shared" ref="AZ231" si="791">IF(AH231=1,7,0)</f>
        <v>7</v>
      </c>
      <c r="BA231" s="187">
        <f t="shared" ref="BA231" si="792">IF(E231=1,7,0)</f>
        <v>7</v>
      </c>
      <c r="BB231" s="187">
        <f t="shared" ref="BB231" si="793">IF(AK231=1,4,0)</f>
        <v>0</v>
      </c>
      <c r="BC231" s="187">
        <f t="shared" ref="BC231" si="794">IF(T231=1,4,0)</f>
        <v>4</v>
      </c>
      <c r="BD231" s="187">
        <f t="shared" ref="BD231" si="795">IF(X231=1,4,0)</f>
        <v>0</v>
      </c>
      <c r="BE231" s="187">
        <f t="shared" ref="BE231" si="796">IF(AF231=1,3,0)</f>
        <v>0</v>
      </c>
      <c r="BF231" s="187">
        <f t="shared" ref="BF231" si="797">IF(W231=1,3,0)</f>
        <v>3</v>
      </c>
      <c r="BG231" s="187">
        <f t="shared" ref="BG231" si="798">IF(AI231=1,2,0)</f>
        <v>0</v>
      </c>
      <c r="BH231" s="187">
        <f t="shared" ref="BH231" si="799">IF(S231=1,2,0)</f>
        <v>0</v>
      </c>
      <c r="BI231" s="187">
        <f t="shared" ref="BI231" si="800">IF(V231=1,1,0)</f>
        <v>0</v>
      </c>
      <c r="BJ231" s="187">
        <f t="shared" ref="BJ231" si="801">IF(AG231=1,1,0)</f>
        <v>1</v>
      </c>
      <c r="BK231" s="187">
        <f t="shared" ref="BK231" si="802">IF(O231=1,1,0)</f>
        <v>0</v>
      </c>
      <c r="BL231" s="187">
        <f t="shared" ref="BL231" si="803">IF(J231=1,1,0)</f>
        <v>0</v>
      </c>
      <c r="BM231" s="187">
        <f t="shared" ref="BM231" si="804">IF(N231=1,1,0)</f>
        <v>0</v>
      </c>
      <c r="BN231" s="188">
        <f t="shared" ref="BN231" si="805">10-AL231</f>
        <v>0</v>
      </c>
      <c r="BO231" s="187">
        <f t="shared" ref="BO231" si="806">IF(C231=1,1,0)</f>
        <v>0</v>
      </c>
      <c r="BP231" s="187">
        <f t="shared" ref="BP231" si="807">IF(G231=1,1,0)</f>
        <v>0</v>
      </c>
      <c r="BQ231" s="187">
        <f t="shared" ref="BQ231" si="808">IF(H231=1,1,0)</f>
        <v>0</v>
      </c>
      <c r="BR231" s="187">
        <f t="shared" ref="BR231" si="809">IF(K231=1,1,0)</f>
        <v>0</v>
      </c>
      <c r="BS231" s="187">
        <f t="shared" ref="BS231" si="810">IF(L231=1,1,0)</f>
        <v>0</v>
      </c>
      <c r="BT231" s="187">
        <f t="shared" ref="BT231" si="811">IF(M231=1,1,0)</f>
        <v>0</v>
      </c>
      <c r="BU231" s="187">
        <f t="shared" ref="BU231" si="812">IF(P231=1,1,0)</f>
        <v>0</v>
      </c>
      <c r="BV231" s="187">
        <f t="shared" ref="BV231" si="813">IF(Q231=1,1,0)</f>
        <v>0</v>
      </c>
      <c r="BW231" s="187">
        <f t="shared" ref="BW231" si="814">IF(AA231=1,1,0)</f>
        <v>0</v>
      </c>
      <c r="BX231" s="187">
        <f t="shared" ref="BX231" si="815">IF(AE231=1,1,0)</f>
        <v>0</v>
      </c>
      <c r="BY231" s="187">
        <f t="shared" ref="BY231" si="816">SUM(BN231:BX231)</f>
        <v>0</v>
      </c>
      <c r="BZ231" s="187">
        <f t="shared" ref="BZ231" si="817">(BY231*BY231)*-1</f>
        <v>0</v>
      </c>
      <c r="CA231" s="167">
        <f t="shared" ref="CA231" si="818">SUM(AP231:BM231)+BZ231</f>
        <v>75</v>
      </c>
      <c r="CB231" s="167">
        <f t="shared" ref="CB231" si="819">LARGE(CC231:CY231,1)+LARGE(CC231:CY231,2)+LARGE(CC231:CY231,3)+LARGE(CC231:CY231,4)+LARGE(CC231:CY231,5)+LARGE(CC231:CY231,6)+LARGE(CC231:CY231,7)+LARGE(CC231:CY231,8)</f>
        <v>94</v>
      </c>
      <c r="CC231" s="644">
        <f t="shared" ref="CC231" si="820">IF(R231=1,23,0)</f>
        <v>23</v>
      </c>
      <c r="CD231" s="644">
        <f t="shared" ref="CD231" si="821">IF(U231=1,19,0)</f>
        <v>19</v>
      </c>
      <c r="CE231" s="644">
        <f t="shared" ref="CE231" si="822">IF(AH231=1,15,0)</f>
        <v>15</v>
      </c>
      <c r="CF231" s="644">
        <f t="shared" ref="CF231" si="823">IF(E231=1,15,0)</f>
        <v>15</v>
      </c>
      <c r="CG231" s="644">
        <f t="shared" ref="CG231" si="824">IF(AB231=1, 9,0)</f>
        <v>9</v>
      </c>
      <c r="CH231" s="644">
        <f t="shared" ref="CH231" si="825">IF(D212=1,7,0)</f>
        <v>0</v>
      </c>
      <c r="CI231" s="644">
        <f t="shared" ref="CI231" si="826">IF(AC231=1,7,0)</f>
        <v>7</v>
      </c>
      <c r="CJ231" s="644">
        <f t="shared" ref="CJ231" si="827">IF(AD231=1,5,0)</f>
        <v>0</v>
      </c>
      <c r="CK231" s="644">
        <f t="shared" ref="CK231" si="828">IF(I231=1,5,0)</f>
        <v>0</v>
      </c>
      <c r="CL231" s="644">
        <f t="shared" ref="CL231" si="829">IF(F231=1,5,0)</f>
        <v>0</v>
      </c>
      <c r="CM231" s="644">
        <f t="shared" ref="CM231" si="830">IF(AG231=1,3,0)</f>
        <v>3</v>
      </c>
      <c r="CN231" s="644">
        <f t="shared" ref="CN231" si="831">IF(T231=1,3,0)</f>
        <v>3</v>
      </c>
      <c r="CO231" s="644">
        <f t="shared" ref="CO231" si="832">IF(AJ231=1,3,0)</f>
        <v>0</v>
      </c>
      <c r="CP231" s="644">
        <f t="shared" ref="CP231" si="833">IF(Z231=1,3,0)</f>
        <v>0</v>
      </c>
      <c r="CQ231" s="644">
        <f t="shared" ref="CQ231" si="834">IF(S231=1,2,0)</f>
        <v>0</v>
      </c>
      <c r="CR231" s="644">
        <f t="shared" ref="CR231" si="835">IF(W231=1,2,0)</f>
        <v>2</v>
      </c>
      <c r="CS231" s="644">
        <f t="shared" ref="CS231" si="836">IF(AK231=1,2,0)</f>
        <v>0</v>
      </c>
      <c r="CT231" s="644">
        <f t="shared" ref="CT231" si="837">IF(AF231=1,2,0)</f>
        <v>0</v>
      </c>
      <c r="CU231" s="644">
        <f t="shared" ref="CU231" si="838">IF(X231=1,1,0)</f>
        <v>0</v>
      </c>
      <c r="CV231" s="644">
        <f t="shared" ref="CV231" si="839">IF(V231=1,1,0)</f>
        <v>0</v>
      </c>
      <c r="CW231" s="644">
        <f t="shared" ref="CW231" si="840">IF(AI231=1,1,0)</f>
        <v>0</v>
      </c>
      <c r="CX231" s="644">
        <f t="shared" ref="CX231" si="841">IF(N231=1,1,0)</f>
        <v>0</v>
      </c>
      <c r="CY231" s="644">
        <f t="shared" ref="CY231" si="842">IF(J231=1,1,0)</f>
        <v>0</v>
      </c>
      <c r="CZ231" s="624" t="s">
        <v>768</v>
      </c>
      <c r="DA231" s="252"/>
    </row>
    <row r="232" spans="1:105">
      <c r="A232" s="253" t="s">
        <v>409</v>
      </c>
      <c r="B232" s="641"/>
      <c r="C232" s="641"/>
      <c r="D232" s="155"/>
      <c r="E232" s="155">
        <v>1</v>
      </c>
      <c r="F232" s="155"/>
      <c r="G232" s="155"/>
      <c r="H232" s="155"/>
      <c r="I232" s="155"/>
      <c r="J232" s="155"/>
      <c r="K232" s="155"/>
      <c r="L232" s="155"/>
      <c r="M232" s="155"/>
      <c r="N232" s="155"/>
      <c r="O232" s="155"/>
      <c r="P232" s="155"/>
      <c r="Q232" s="155"/>
      <c r="R232" s="155">
        <v>1</v>
      </c>
      <c r="S232" s="155"/>
      <c r="T232" s="155"/>
      <c r="U232" s="155">
        <v>1</v>
      </c>
      <c r="V232" s="155"/>
      <c r="W232" s="155"/>
      <c r="X232" s="155"/>
      <c r="Y232" s="155"/>
      <c r="Z232" s="155"/>
      <c r="AA232" s="155"/>
      <c r="AB232" s="155">
        <v>1</v>
      </c>
      <c r="AC232" s="155"/>
      <c r="AD232" s="155"/>
      <c r="AE232" s="155"/>
      <c r="AF232" s="155"/>
      <c r="AG232" s="155"/>
      <c r="AH232" s="155">
        <v>1</v>
      </c>
      <c r="AI232" s="155"/>
      <c r="AJ232" s="155"/>
      <c r="AK232" s="155"/>
      <c r="AL232" s="190">
        <v>5</v>
      </c>
      <c r="AM232" s="191" t="str">
        <f t="shared" si="774"/>
        <v>BBWAA.com</v>
      </c>
      <c r="AN232" s="192">
        <v>42012</v>
      </c>
      <c r="AO232" s="187"/>
      <c r="AP232" s="187">
        <f t="shared" si="703"/>
        <v>0</v>
      </c>
      <c r="AQ232" s="187">
        <f t="shared" si="704"/>
        <v>0</v>
      </c>
      <c r="AR232" s="187">
        <f t="shared" si="705"/>
        <v>13</v>
      </c>
      <c r="AS232" s="187">
        <f t="shared" si="706"/>
        <v>13</v>
      </c>
      <c r="AT232" s="187">
        <f t="shared" si="707"/>
        <v>9</v>
      </c>
      <c r="AU232" s="187">
        <f t="shared" si="708"/>
        <v>0</v>
      </c>
      <c r="AV232" s="187">
        <f t="shared" si="709"/>
        <v>0</v>
      </c>
      <c r="AW232" s="187">
        <f t="shared" si="710"/>
        <v>0</v>
      </c>
      <c r="AX232" s="187">
        <f t="shared" si="711"/>
        <v>0</v>
      </c>
      <c r="AY232" s="187">
        <f t="shared" si="712"/>
        <v>0</v>
      </c>
      <c r="AZ232" s="187">
        <f t="shared" si="713"/>
        <v>7</v>
      </c>
      <c r="BA232" s="187">
        <f t="shared" si="714"/>
        <v>7</v>
      </c>
      <c r="BB232" s="187">
        <f t="shared" si="715"/>
        <v>0</v>
      </c>
      <c r="BC232" s="187">
        <f t="shared" si="716"/>
        <v>0</v>
      </c>
      <c r="BD232" s="187">
        <f t="shared" si="717"/>
        <v>0</v>
      </c>
      <c r="BE232" s="187">
        <f t="shared" si="718"/>
        <v>0</v>
      </c>
      <c r="BF232" s="187">
        <f t="shared" si="719"/>
        <v>0</v>
      </c>
      <c r="BG232" s="187">
        <f t="shared" si="720"/>
        <v>0</v>
      </c>
      <c r="BH232" s="187">
        <f t="shared" si="721"/>
        <v>0</v>
      </c>
      <c r="BI232" s="187">
        <f t="shared" si="722"/>
        <v>0</v>
      </c>
      <c r="BJ232" s="187">
        <f t="shared" si="723"/>
        <v>0</v>
      </c>
      <c r="BK232" s="187">
        <f t="shared" si="724"/>
        <v>0</v>
      </c>
      <c r="BL232" s="187">
        <f t="shared" si="725"/>
        <v>0</v>
      </c>
      <c r="BM232" s="187">
        <f t="shared" si="726"/>
        <v>0</v>
      </c>
      <c r="BN232" s="188">
        <f t="shared" si="727"/>
        <v>5</v>
      </c>
      <c r="BO232" s="187">
        <f t="shared" si="728"/>
        <v>0</v>
      </c>
      <c r="BP232" s="187">
        <f t="shared" ref="BP232:BQ232" si="843">IF(G232=1,1,0)</f>
        <v>0</v>
      </c>
      <c r="BQ232" s="187">
        <f t="shared" si="843"/>
        <v>0</v>
      </c>
      <c r="BR232" s="187">
        <f t="shared" ref="BR232:BT232" si="844">IF(K232=1,1,0)</f>
        <v>0</v>
      </c>
      <c r="BS232" s="187">
        <f t="shared" si="844"/>
        <v>0</v>
      </c>
      <c r="BT232" s="187">
        <f t="shared" si="844"/>
        <v>0</v>
      </c>
      <c r="BU232" s="187">
        <f t="shared" ref="BU232:BV232" si="845">IF(P232=1,1,0)</f>
        <v>0</v>
      </c>
      <c r="BV232" s="187">
        <f t="shared" si="845"/>
        <v>0</v>
      </c>
      <c r="BW232" s="187">
        <f t="shared" si="732"/>
        <v>0</v>
      </c>
      <c r="BX232" s="187">
        <f t="shared" si="733"/>
        <v>0</v>
      </c>
      <c r="BY232" s="187">
        <f t="shared" si="734"/>
        <v>5</v>
      </c>
      <c r="BZ232" s="187">
        <f t="shared" si="735"/>
        <v>-25</v>
      </c>
      <c r="CA232" s="167">
        <f t="shared" si="736"/>
        <v>24</v>
      </c>
      <c r="CB232" s="167">
        <f t="shared" si="737"/>
        <v>81</v>
      </c>
      <c r="CC232" s="644">
        <f t="shared" si="738"/>
        <v>23</v>
      </c>
      <c r="CD232" s="644">
        <f t="shared" si="739"/>
        <v>19</v>
      </c>
      <c r="CE232" s="644">
        <f t="shared" si="740"/>
        <v>15</v>
      </c>
      <c r="CF232" s="644">
        <f t="shared" si="741"/>
        <v>15</v>
      </c>
      <c r="CG232" s="644">
        <f t="shared" si="742"/>
        <v>9</v>
      </c>
      <c r="CH232" s="644">
        <f>IF(D212=1,7,0)</f>
        <v>0</v>
      </c>
      <c r="CI232" s="644">
        <f t="shared" si="744"/>
        <v>0</v>
      </c>
      <c r="CJ232" s="644">
        <f t="shared" si="745"/>
        <v>0</v>
      </c>
      <c r="CK232" s="644">
        <f t="shared" si="746"/>
        <v>0</v>
      </c>
      <c r="CL232" s="644">
        <f t="shared" si="747"/>
        <v>0</v>
      </c>
      <c r="CM232" s="644">
        <f t="shared" si="748"/>
        <v>0</v>
      </c>
      <c r="CN232" s="644">
        <f t="shared" si="749"/>
        <v>0</v>
      </c>
      <c r="CO232" s="644">
        <f t="shared" si="750"/>
        <v>0</v>
      </c>
      <c r="CP232" s="644">
        <f t="shared" si="751"/>
        <v>0</v>
      </c>
      <c r="CQ232" s="644">
        <f t="shared" si="752"/>
        <v>0</v>
      </c>
      <c r="CR232" s="644">
        <f t="shared" si="753"/>
        <v>0</v>
      </c>
      <c r="CS232" s="644">
        <f t="shared" si="754"/>
        <v>0</v>
      </c>
      <c r="CT232" s="644">
        <f t="shared" si="755"/>
        <v>0</v>
      </c>
      <c r="CU232" s="644">
        <f t="shared" si="756"/>
        <v>0</v>
      </c>
      <c r="CV232" s="644">
        <f t="shared" si="757"/>
        <v>0</v>
      </c>
      <c r="CW232" s="644">
        <f t="shared" si="758"/>
        <v>0</v>
      </c>
      <c r="CX232" s="644">
        <f t="shared" si="759"/>
        <v>0</v>
      </c>
      <c r="CY232" s="644">
        <f t="shared" si="760"/>
        <v>0</v>
      </c>
      <c r="CZ232" s="624" t="s">
        <v>743</v>
      </c>
      <c r="DA232" s="252"/>
    </row>
    <row r="233" spans="1:105" ht="45">
      <c r="A233" s="279" t="s">
        <v>1271</v>
      </c>
      <c r="B233" s="187"/>
      <c r="C233" s="187"/>
      <c r="D233" s="644"/>
      <c r="E233" s="644">
        <v>1</v>
      </c>
      <c r="F233" s="644">
        <v>1</v>
      </c>
      <c r="G233" s="644"/>
      <c r="H233" s="644"/>
      <c r="I233" s="644">
        <v>1</v>
      </c>
      <c r="J233" s="644"/>
      <c r="K233" s="644"/>
      <c r="L233" s="644"/>
      <c r="M233" s="644"/>
      <c r="N233" s="644"/>
      <c r="O233" s="644"/>
      <c r="P233" s="644"/>
      <c r="Q233" s="644"/>
      <c r="R233" s="644">
        <v>1</v>
      </c>
      <c r="S233" s="644"/>
      <c r="T233" s="644"/>
      <c r="U233" s="644">
        <v>1</v>
      </c>
      <c r="V233" s="644"/>
      <c r="W233" s="644"/>
      <c r="X233" s="644"/>
      <c r="Y233" s="644"/>
      <c r="Z233" s="644"/>
      <c r="AA233" s="644"/>
      <c r="AB233" s="644">
        <v>1</v>
      </c>
      <c r="AC233" s="644"/>
      <c r="AD233" s="644"/>
      <c r="AE233" s="644"/>
      <c r="AF233" s="644"/>
      <c r="AG233" s="644">
        <v>1</v>
      </c>
      <c r="AH233" s="644">
        <v>1</v>
      </c>
      <c r="AI233" s="644"/>
      <c r="AJ233" s="644"/>
      <c r="AK233" s="644"/>
      <c r="AL233" s="167">
        <v>10</v>
      </c>
      <c r="AM233" s="273" t="s">
        <v>1272</v>
      </c>
      <c r="AN233" s="186">
        <v>42029</v>
      </c>
      <c r="AO233" s="187"/>
      <c r="AP233" s="187">
        <f t="shared" si="703"/>
        <v>13</v>
      </c>
      <c r="AQ233" s="187">
        <f t="shared" si="704"/>
        <v>13</v>
      </c>
      <c r="AR233" s="187">
        <f t="shared" si="705"/>
        <v>13</v>
      </c>
      <c r="AS233" s="187">
        <f t="shared" si="706"/>
        <v>13</v>
      </c>
      <c r="AT233" s="187">
        <f t="shared" si="707"/>
        <v>9</v>
      </c>
      <c r="AU233" s="187">
        <f t="shared" si="708"/>
        <v>0</v>
      </c>
      <c r="AV233" s="187">
        <f t="shared" si="709"/>
        <v>0</v>
      </c>
      <c r="AW233" s="187">
        <f t="shared" si="710"/>
        <v>0</v>
      </c>
      <c r="AX233" s="187">
        <f t="shared" si="711"/>
        <v>0</v>
      </c>
      <c r="AY233" s="187">
        <f t="shared" si="712"/>
        <v>0</v>
      </c>
      <c r="AZ233" s="187">
        <f t="shared" si="713"/>
        <v>7</v>
      </c>
      <c r="BA233" s="187">
        <f t="shared" si="714"/>
        <v>7</v>
      </c>
      <c r="BB233" s="187">
        <f t="shared" si="715"/>
        <v>0</v>
      </c>
      <c r="BC233" s="187">
        <f t="shared" si="716"/>
        <v>0</v>
      </c>
      <c r="BD233" s="187">
        <f t="shared" si="717"/>
        <v>0</v>
      </c>
      <c r="BE233" s="187">
        <f t="shared" si="718"/>
        <v>0</v>
      </c>
      <c r="BF233" s="187">
        <f t="shared" si="719"/>
        <v>0</v>
      </c>
      <c r="BG233" s="187">
        <f t="shared" si="720"/>
        <v>0</v>
      </c>
      <c r="BH233" s="187">
        <f t="shared" si="721"/>
        <v>0</v>
      </c>
      <c r="BI233" s="187">
        <f t="shared" si="722"/>
        <v>0</v>
      </c>
      <c r="BJ233" s="187">
        <f t="shared" si="723"/>
        <v>1</v>
      </c>
      <c r="BK233" s="187">
        <f t="shared" si="724"/>
        <v>0</v>
      </c>
      <c r="BL233" s="187">
        <f t="shared" si="725"/>
        <v>0</v>
      </c>
      <c r="BM233" s="187">
        <f t="shared" si="726"/>
        <v>0</v>
      </c>
      <c r="BN233" s="188">
        <f t="shared" si="727"/>
        <v>0</v>
      </c>
      <c r="BO233" s="187">
        <f t="shared" si="728"/>
        <v>0</v>
      </c>
      <c r="BP233" s="187">
        <f t="shared" ref="BP233:BQ233" si="846">IF(G233=1,1,0)</f>
        <v>0</v>
      </c>
      <c r="BQ233" s="187">
        <f t="shared" si="846"/>
        <v>0</v>
      </c>
      <c r="BR233" s="187">
        <f t="shared" ref="BR233:BT233" si="847">IF(K233=1,1,0)</f>
        <v>0</v>
      </c>
      <c r="BS233" s="187">
        <f t="shared" si="847"/>
        <v>0</v>
      </c>
      <c r="BT233" s="187">
        <f t="shared" si="847"/>
        <v>0</v>
      </c>
      <c r="BU233" s="187">
        <f t="shared" ref="BU233:BV233" si="848">IF(P233=1,1,0)</f>
        <v>0</v>
      </c>
      <c r="BV233" s="187">
        <f t="shared" si="848"/>
        <v>0</v>
      </c>
      <c r="BW233" s="187">
        <f t="shared" si="732"/>
        <v>0</v>
      </c>
      <c r="BX233" s="187">
        <f t="shared" si="733"/>
        <v>0</v>
      </c>
      <c r="BY233" s="187">
        <f t="shared" si="734"/>
        <v>0</v>
      </c>
      <c r="BZ233" s="187">
        <f t="shared" si="735"/>
        <v>0</v>
      </c>
      <c r="CA233" s="167">
        <f t="shared" si="736"/>
        <v>76</v>
      </c>
      <c r="CB233" s="167">
        <f t="shared" si="737"/>
        <v>98</v>
      </c>
      <c r="CC233" s="644">
        <f t="shared" si="738"/>
        <v>23</v>
      </c>
      <c r="CD233" s="644">
        <f t="shared" si="739"/>
        <v>19</v>
      </c>
      <c r="CE233" s="644">
        <f t="shared" si="740"/>
        <v>15</v>
      </c>
      <c r="CF233" s="644">
        <f t="shared" si="741"/>
        <v>15</v>
      </c>
      <c r="CG233" s="644">
        <f t="shared" si="742"/>
        <v>9</v>
      </c>
      <c r="CH233" s="644">
        <f>IF(D213=1,7,0)</f>
        <v>7</v>
      </c>
      <c r="CI233" s="644">
        <f t="shared" si="744"/>
        <v>0</v>
      </c>
      <c r="CJ233" s="644">
        <f t="shared" si="745"/>
        <v>0</v>
      </c>
      <c r="CK233" s="644">
        <f t="shared" si="746"/>
        <v>5</v>
      </c>
      <c r="CL233" s="644">
        <f t="shared" si="747"/>
        <v>5</v>
      </c>
      <c r="CM233" s="644">
        <f t="shared" si="748"/>
        <v>3</v>
      </c>
      <c r="CN233" s="644">
        <f t="shared" si="749"/>
        <v>0</v>
      </c>
      <c r="CO233" s="644">
        <f t="shared" si="750"/>
        <v>0</v>
      </c>
      <c r="CP233" s="644">
        <f t="shared" si="751"/>
        <v>0</v>
      </c>
      <c r="CQ233" s="644">
        <f t="shared" si="752"/>
        <v>0</v>
      </c>
      <c r="CR233" s="644">
        <f t="shared" si="753"/>
        <v>0</v>
      </c>
      <c r="CS233" s="644">
        <f t="shared" si="754"/>
        <v>0</v>
      </c>
      <c r="CT233" s="644">
        <f t="shared" si="755"/>
        <v>0</v>
      </c>
      <c r="CU233" s="644">
        <f t="shared" si="756"/>
        <v>0</v>
      </c>
      <c r="CV233" s="644">
        <f t="shared" si="757"/>
        <v>0</v>
      </c>
      <c r="CW233" s="644">
        <f t="shared" si="758"/>
        <v>0</v>
      </c>
      <c r="CX233" s="644">
        <f t="shared" si="759"/>
        <v>0</v>
      </c>
      <c r="CY233" s="644">
        <f t="shared" si="760"/>
        <v>0</v>
      </c>
      <c r="CZ233" s="624" t="s">
        <v>756</v>
      </c>
    </row>
    <row r="234" spans="1:105">
      <c r="A234" s="253" t="s">
        <v>544</v>
      </c>
      <c r="B234" s="641"/>
      <c r="C234" s="641"/>
      <c r="D234" s="155"/>
      <c r="E234" s="155">
        <v>1</v>
      </c>
      <c r="F234" s="155"/>
      <c r="G234" s="155"/>
      <c r="H234" s="155"/>
      <c r="I234" s="155"/>
      <c r="J234" s="155"/>
      <c r="K234" s="155"/>
      <c r="L234" s="155"/>
      <c r="M234" s="155"/>
      <c r="N234" s="155"/>
      <c r="O234" s="155"/>
      <c r="P234" s="155"/>
      <c r="Q234" s="155"/>
      <c r="R234" s="155">
        <v>1</v>
      </c>
      <c r="S234" s="155"/>
      <c r="T234" s="155"/>
      <c r="U234" s="155">
        <v>1</v>
      </c>
      <c r="V234" s="155"/>
      <c r="W234" s="155"/>
      <c r="X234" s="155"/>
      <c r="Y234" s="155"/>
      <c r="Z234" s="155">
        <v>1</v>
      </c>
      <c r="AA234" s="155"/>
      <c r="AB234" s="155">
        <v>1</v>
      </c>
      <c r="AC234" s="155">
        <v>1</v>
      </c>
      <c r="AD234" s="155">
        <v>1</v>
      </c>
      <c r="AE234" s="155"/>
      <c r="AF234" s="155"/>
      <c r="AG234" s="155"/>
      <c r="AH234" s="155">
        <v>1</v>
      </c>
      <c r="AI234" s="155"/>
      <c r="AJ234" s="155">
        <v>1</v>
      </c>
      <c r="AK234" s="155"/>
      <c r="AL234" s="190">
        <v>9</v>
      </c>
      <c r="AM234" s="191" t="s">
        <v>1273</v>
      </c>
      <c r="AN234" s="192">
        <v>42013</v>
      </c>
      <c r="AO234" s="187"/>
      <c r="AP234" s="187">
        <f t="shared" si="703"/>
        <v>0</v>
      </c>
      <c r="AQ234" s="187">
        <f t="shared" si="704"/>
        <v>0</v>
      </c>
      <c r="AR234" s="187">
        <f t="shared" si="705"/>
        <v>13</v>
      </c>
      <c r="AS234" s="187">
        <f t="shared" si="706"/>
        <v>13</v>
      </c>
      <c r="AT234" s="187">
        <f t="shared" si="707"/>
        <v>9</v>
      </c>
      <c r="AU234" s="187">
        <f t="shared" si="708"/>
        <v>0</v>
      </c>
      <c r="AV234" s="187">
        <f t="shared" si="709"/>
        <v>9</v>
      </c>
      <c r="AW234" s="187">
        <f t="shared" si="710"/>
        <v>7</v>
      </c>
      <c r="AX234" s="187">
        <f t="shared" si="711"/>
        <v>7</v>
      </c>
      <c r="AY234" s="187">
        <f t="shared" si="712"/>
        <v>7</v>
      </c>
      <c r="AZ234" s="187">
        <f t="shared" si="713"/>
        <v>7</v>
      </c>
      <c r="BA234" s="187">
        <f t="shared" si="714"/>
        <v>7</v>
      </c>
      <c r="BB234" s="187">
        <f t="shared" si="715"/>
        <v>0</v>
      </c>
      <c r="BC234" s="187">
        <f t="shared" si="716"/>
        <v>0</v>
      </c>
      <c r="BD234" s="187">
        <f t="shared" si="717"/>
        <v>0</v>
      </c>
      <c r="BE234" s="187">
        <f t="shared" si="718"/>
        <v>0</v>
      </c>
      <c r="BF234" s="187">
        <f t="shared" si="719"/>
        <v>0</v>
      </c>
      <c r="BG234" s="187">
        <f t="shared" si="720"/>
        <v>0</v>
      </c>
      <c r="BH234" s="187">
        <f t="shared" si="721"/>
        <v>0</v>
      </c>
      <c r="BI234" s="187">
        <f t="shared" si="722"/>
        <v>0</v>
      </c>
      <c r="BJ234" s="187">
        <f t="shared" si="723"/>
        <v>0</v>
      </c>
      <c r="BK234" s="187">
        <f t="shared" si="724"/>
        <v>0</v>
      </c>
      <c r="BL234" s="187">
        <f t="shared" si="725"/>
        <v>0</v>
      </c>
      <c r="BM234" s="187">
        <f t="shared" si="726"/>
        <v>0</v>
      </c>
      <c r="BN234" s="188">
        <f t="shared" si="727"/>
        <v>1</v>
      </c>
      <c r="BO234" s="187">
        <f t="shared" si="728"/>
        <v>0</v>
      </c>
      <c r="BP234" s="187">
        <f t="shared" ref="BP234:BQ234" si="849">IF(G234=1,1,0)</f>
        <v>0</v>
      </c>
      <c r="BQ234" s="187">
        <f t="shared" si="849"/>
        <v>0</v>
      </c>
      <c r="BR234" s="187">
        <f t="shared" ref="BR234:BT234" si="850">IF(K234=1,1,0)</f>
        <v>0</v>
      </c>
      <c r="BS234" s="187">
        <f t="shared" si="850"/>
        <v>0</v>
      </c>
      <c r="BT234" s="187">
        <f t="shared" si="850"/>
        <v>0</v>
      </c>
      <c r="BU234" s="187">
        <f t="shared" ref="BU234:BV234" si="851">IF(P234=1,1,0)</f>
        <v>0</v>
      </c>
      <c r="BV234" s="187">
        <f t="shared" si="851"/>
        <v>0</v>
      </c>
      <c r="BW234" s="187">
        <f t="shared" si="732"/>
        <v>0</v>
      </c>
      <c r="BX234" s="187">
        <f t="shared" si="733"/>
        <v>0</v>
      </c>
      <c r="BY234" s="187">
        <f t="shared" si="734"/>
        <v>1</v>
      </c>
      <c r="BZ234" s="187">
        <f t="shared" si="735"/>
        <v>-1</v>
      </c>
      <c r="CA234" s="167">
        <f t="shared" si="736"/>
        <v>78</v>
      </c>
      <c r="CB234" s="167">
        <f t="shared" si="737"/>
        <v>100</v>
      </c>
      <c r="CC234" s="644">
        <f t="shared" si="738"/>
        <v>23</v>
      </c>
      <c r="CD234" s="644">
        <f t="shared" si="739"/>
        <v>19</v>
      </c>
      <c r="CE234" s="644">
        <f t="shared" si="740"/>
        <v>15</v>
      </c>
      <c r="CF234" s="644">
        <f t="shared" si="741"/>
        <v>15</v>
      </c>
      <c r="CG234" s="644">
        <f t="shared" si="742"/>
        <v>9</v>
      </c>
      <c r="CH234" s="644">
        <f>IF(D213=1,7,0)</f>
        <v>7</v>
      </c>
      <c r="CI234" s="644">
        <f t="shared" si="744"/>
        <v>7</v>
      </c>
      <c r="CJ234" s="644">
        <f t="shared" si="745"/>
        <v>5</v>
      </c>
      <c r="CK234" s="644">
        <f t="shared" si="746"/>
        <v>0</v>
      </c>
      <c r="CL234" s="644">
        <f t="shared" si="747"/>
        <v>0</v>
      </c>
      <c r="CM234" s="644">
        <f t="shared" si="748"/>
        <v>0</v>
      </c>
      <c r="CN234" s="644">
        <f t="shared" si="749"/>
        <v>0</v>
      </c>
      <c r="CO234" s="644">
        <f t="shared" si="750"/>
        <v>3</v>
      </c>
      <c r="CP234" s="644">
        <f t="shared" si="751"/>
        <v>3</v>
      </c>
      <c r="CQ234" s="644">
        <f t="shared" si="752"/>
        <v>0</v>
      </c>
      <c r="CR234" s="644">
        <f t="shared" si="753"/>
        <v>0</v>
      </c>
      <c r="CS234" s="644">
        <f t="shared" si="754"/>
        <v>0</v>
      </c>
      <c r="CT234" s="644">
        <f t="shared" si="755"/>
        <v>0</v>
      </c>
      <c r="CU234" s="644">
        <f t="shared" si="756"/>
        <v>0</v>
      </c>
      <c r="CV234" s="644">
        <f t="shared" si="757"/>
        <v>0</v>
      </c>
      <c r="CW234" s="644">
        <f t="shared" si="758"/>
        <v>0</v>
      </c>
      <c r="CX234" s="644">
        <f t="shared" si="759"/>
        <v>0</v>
      </c>
      <c r="CY234" s="644">
        <f t="shared" si="760"/>
        <v>0</v>
      </c>
      <c r="CZ234" s="624" t="s">
        <v>766</v>
      </c>
    </row>
    <row r="235" spans="1:105">
      <c r="A235" s="253" t="s">
        <v>1274</v>
      </c>
      <c r="B235" s="641"/>
      <c r="C235" s="641"/>
      <c r="D235" s="155">
        <v>1</v>
      </c>
      <c r="E235" s="155">
        <v>1</v>
      </c>
      <c r="F235" s="155">
        <v>1</v>
      </c>
      <c r="G235" s="155"/>
      <c r="H235" s="155"/>
      <c r="I235" s="155">
        <v>1</v>
      </c>
      <c r="J235" s="155"/>
      <c r="K235" s="155"/>
      <c r="L235" s="155"/>
      <c r="M235" s="155"/>
      <c r="N235" s="155"/>
      <c r="O235" s="155"/>
      <c r="P235" s="155"/>
      <c r="Q235" s="155"/>
      <c r="R235" s="155">
        <v>1</v>
      </c>
      <c r="S235" s="155">
        <v>1</v>
      </c>
      <c r="T235" s="155"/>
      <c r="U235" s="155">
        <v>1</v>
      </c>
      <c r="V235" s="155"/>
      <c r="W235" s="155"/>
      <c r="X235" s="155"/>
      <c r="Y235" s="155"/>
      <c r="Z235" s="155"/>
      <c r="AA235" s="155"/>
      <c r="AB235" s="155">
        <v>1</v>
      </c>
      <c r="AC235" s="155"/>
      <c r="AD235" s="155"/>
      <c r="AE235" s="155"/>
      <c r="AF235" s="155">
        <v>1</v>
      </c>
      <c r="AG235" s="155"/>
      <c r="AH235" s="155">
        <v>1</v>
      </c>
      <c r="AI235" s="155"/>
      <c r="AJ235" s="155"/>
      <c r="AK235" s="155"/>
      <c r="AL235" s="190">
        <v>10</v>
      </c>
      <c r="AM235" s="191" t="str">
        <f>HYPERLINK("http://bbwaa.com/15-hof-ballots/", "BBWAA.com")</f>
        <v>BBWAA.com</v>
      </c>
      <c r="AN235" s="192">
        <v>42016</v>
      </c>
      <c r="AO235" s="187"/>
      <c r="AP235" s="187">
        <f t="shared" si="703"/>
        <v>13</v>
      </c>
      <c r="AQ235" s="187">
        <f t="shared" si="704"/>
        <v>13</v>
      </c>
      <c r="AR235" s="187">
        <f t="shared" si="705"/>
        <v>13</v>
      </c>
      <c r="AS235" s="187">
        <f t="shared" si="706"/>
        <v>13</v>
      </c>
      <c r="AT235" s="187">
        <f t="shared" si="707"/>
        <v>9</v>
      </c>
      <c r="AU235" s="187">
        <f t="shared" si="708"/>
        <v>9</v>
      </c>
      <c r="AV235" s="187">
        <f t="shared" si="709"/>
        <v>0</v>
      </c>
      <c r="AW235" s="187">
        <f t="shared" si="710"/>
        <v>0</v>
      </c>
      <c r="AX235" s="187">
        <f t="shared" si="711"/>
        <v>0</v>
      </c>
      <c r="AY235" s="187">
        <f t="shared" si="712"/>
        <v>0</v>
      </c>
      <c r="AZ235" s="187">
        <f t="shared" si="713"/>
        <v>7</v>
      </c>
      <c r="BA235" s="187">
        <f t="shared" si="714"/>
        <v>7</v>
      </c>
      <c r="BB235" s="187">
        <f t="shared" si="715"/>
        <v>0</v>
      </c>
      <c r="BC235" s="187">
        <f t="shared" si="716"/>
        <v>0</v>
      </c>
      <c r="BD235" s="187">
        <f t="shared" si="717"/>
        <v>0</v>
      </c>
      <c r="BE235" s="187">
        <f t="shared" si="718"/>
        <v>3</v>
      </c>
      <c r="BF235" s="187">
        <f t="shared" si="719"/>
        <v>0</v>
      </c>
      <c r="BG235" s="187">
        <f t="shared" si="720"/>
        <v>0</v>
      </c>
      <c r="BH235" s="187">
        <f t="shared" si="721"/>
        <v>2</v>
      </c>
      <c r="BI235" s="187">
        <f t="shared" si="722"/>
        <v>0</v>
      </c>
      <c r="BJ235" s="187">
        <f t="shared" si="723"/>
        <v>0</v>
      </c>
      <c r="BK235" s="187">
        <f t="shared" si="724"/>
        <v>0</v>
      </c>
      <c r="BL235" s="187">
        <f t="shared" si="725"/>
        <v>0</v>
      </c>
      <c r="BM235" s="187">
        <f t="shared" si="726"/>
        <v>0</v>
      </c>
      <c r="BN235" s="188">
        <f t="shared" si="727"/>
        <v>0</v>
      </c>
      <c r="BO235" s="187">
        <f t="shared" si="728"/>
        <v>0</v>
      </c>
      <c r="BP235" s="187">
        <f t="shared" ref="BP235:BQ235" si="852">IF(G235=1,1,0)</f>
        <v>0</v>
      </c>
      <c r="BQ235" s="187">
        <f t="shared" si="852"/>
        <v>0</v>
      </c>
      <c r="BR235" s="187">
        <f t="shared" ref="BR235:BT235" si="853">IF(K235=1,1,0)</f>
        <v>0</v>
      </c>
      <c r="BS235" s="187">
        <f t="shared" si="853"/>
        <v>0</v>
      </c>
      <c r="BT235" s="187">
        <f t="shared" si="853"/>
        <v>0</v>
      </c>
      <c r="BU235" s="187">
        <f t="shared" ref="BU235:BV235" si="854">IF(P235=1,1,0)</f>
        <v>0</v>
      </c>
      <c r="BV235" s="187">
        <f t="shared" si="854"/>
        <v>0</v>
      </c>
      <c r="BW235" s="187">
        <f t="shared" si="732"/>
        <v>0</v>
      </c>
      <c r="BX235" s="187">
        <f t="shared" si="733"/>
        <v>0</v>
      </c>
      <c r="BY235" s="187">
        <f t="shared" si="734"/>
        <v>0</v>
      </c>
      <c r="BZ235" s="187">
        <f t="shared" si="735"/>
        <v>0</v>
      </c>
      <c r="CA235" s="167">
        <f t="shared" si="736"/>
        <v>89</v>
      </c>
      <c r="CB235" s="167">
        <f t="shared" si="737"/>
        <v>93</v>
      </c>
      <c r="CC235" s="644">
        <f t="shared" si="738"/>
        <v>23</v>
      </c>
      <c r="CD235" s="644">
        <f t="shared" si="739"/>
        <v>19</v>
      </c>
      <c r="CE235" s="644">
        <f t="shared" si="740"/>
        <v>15</v>
      </c>
      <c r="CF235" s="644">
        <f t="shared" si="741"/>
        <v>15</v>
      </c>
      <c r="CG235" s="644">
        <f t="shared" si="742"/>
        <v>9</v>
      </c>
      <c r="CH235" s="644">
        <f>IF(D214=1,7,0)</f>
        <v>0</v>
      </c>
      <c r="CI235" s="644">
        <f t="shared" si="744"/>
        <v>0</v>
      </c>
      <c r="CJ235" s="644">
        <f t="shared" si="745"/>
        <v>0</v>
      </c>
      <c r="CK235" s="644">
        <f t="shared" si="746"/>
        <v>5</v>
      </c>
      <c r="CL235" s="644">
        <f t="shared" si="747"/>
        <v>5</v>
      </c>
      <c r="CM235" s="644">
        <f t="shared" si="748"/>
        <v>0</v>
      </c>
      <c r="CN235" s="644">
        <f t="shared" si="749"/>
        <v>0</v>
      </c>
      <c r="CO235" s="644">
        <f t="shared" si="750"/>
        <v>0</v>
      </c>
      <c r="CP235" s="644">
        <f t="shared" si="751"/>
        <v>0</v>
      </c>
      <c r="CQ235" s="644">
        <f t="shared" si="752"/>
        <v>2</v>
      </c>
      <c r="CR235" s="644">
        <f t="shared" si="753"/>
        <v>0</v>
      </c>
      <c r="CS235" s="644">
        <f t="shared" si="754"/>
        <v>0</v>
      </c>
      <c r="CT235" s="644">
        <f t="shared" si="755"/>
        <v>2</v>
      </c>
      <c r="CU235" s="644">
        <f t="shared" si="756"/>
        <v>0</v>
      </c>
      <c r="CV235" s="644">
        <f t="shared" si="757"/>
        <v>0</v>
      </c>
      <c r="CW235" s="644">
        <f t="shared" si="758"/>
        <v>0</v>
      </c>
      <c r="CX235" s="644">
        <f t="shared" si="759"/>
        <v>0</v>
      </c>
      <c r="CY235" s="644">
        <f t="shared" si="760"/>
        <v>0</v>
      </c>
      <c r="CZ235" s="624" t="s">
        <v>743</v>
      </c>
    </row>
    <row r="236" spans="1:105">
      <c r="A236" s="253" t="s">
        <v>1275</v>
      </c>
      <c r="B236" s="641"/>
      <c r="C236" s="641"/>
      <c r="D236" s="155">
        <v>1</v>
      </c>
      <c r="E236" s="155">
        <v>1</v>
      </c>
      <c r="F236" s="155"/>
      <c r="G236" s="155"/>
      <c r="H236" s="155"/>
      <c r="I236" s="155"/>
      <c r="J236" s="155"/>
      <c r="K236" s="155"/>
      <c r="L236" s="155"/>
      <c r="M236" s="155"/>
      <c r="N236" s="155"/>
      <c r="O236" s="155"/>
      <c r="P236" s="155"/>
      <c r="Q236" s="155"/>
      <c r="R236" s="155">
        <v>1</v>
      </c>
      <c r="S236" s="155"/>
      <c r="T236" s="155"/>
      <c r="U236" s="155">
        <v>1</v>
      </c>
      <c r="V236" s="155"/>
      <c r="W236" s="155"/>
      <c r="X236" s="155"/>
      <c r="Y236" s="155"/>
      <c r="Z236" s="155"/>
      <c r="AA236" s="155"/>
      <c r="AB236" s="155">
        <v>1</v>
      </c>
      <c r="AC236" s="155"/>
      <c r="AD236" s="155"/>
      <c r="AE236" s="155"/>
      <c r="AF236" s="155"/>
      <c r="AG236" s="155"/>
      <c r="AH236" s="155">
        <v>1</v>
      </c>
      <c r="AI236" s="155"/>
      <c r="AJ236" s="155"/>
      <c r="AK236" s="155"/>
      <c r="AL236" s="190">
        <v>6</v>
      </c>
      <c r="AM236" s="191" t="s">
        <v>1276</v>
      </c>
      <c r="AN236" s="192">
        <v>42022</v>
      </c>
      <c r="AO236" s="187"/>
      <c r="AP236" s="187">
        <f t="shared" si="703"/>
        <v>0</v>
      </c>
      <c r="AQ236" s="187">
        <f t="shared" si="704"/>
        <v>0</v>
      </c>
      <c r="AR236" s="187">
        <f t="shared" si="705"/>
        <v>13</v>
      </c>
      <c r="AS236" s="187">
        <f t="shared" si="706"/>
        <v>13</v>
      </c>
      <c r="AT236" s="187">
        <f t="shared" si="707"/>
        <v>9</v>
      </c>
      <c r="AU236" s="187">
        <f t="shared" si="708"/>
        <v>9</v>
      </c>
      <c r="AV236" s="187">
        <f t="shared" si="709"/>
        <v>0</v>
      </c>
      <c r="AW236" s="187">
        <f t="shared" si="710"/>
        <v>0</v>
      </c>
      <c r="AX236" s="187">
        <f t="shared" si="711"/>
        <v>0</v>
      </c>
      <c r="AY236" s="187">
        <f t="shared" si="712"/>
        <v>0</v>
      </c>
      <c r="AZ236" s="187">
        <f t="shared" si="713"/>
        <v>7</v>
      </c>
      <c r="BA236" s="187">
        <f t="shared" si="714"/>
        <v>7</v>
      </c>
      <c r="BB236" s="187">
        <f t="shared" si="715"/>
        <v>0</v>
      </c>
      <c r="BC236" s="187">
        <f t="shared" si="716"/>
        <v>0</v>
      </c>
      <c r="BD236" s="187">
        <f t="shared" si="717"/>
        <v>0</v>
      </c>
      <c r="BE236" s="187">
        <f t="shared" si="718"/>
        <v>0</v>
      </c>
      <c r="BF236" s="187">
        <f t="shared" si="719"/>
        <v>0</v>
      </c>
      <c r="BG236" s="187">
        <f t="shared" si="720"/>
        <v>0</v>
      </c>
      <c r="BH236" s="187">
        <f t="shared" si="721"/>
        <v>0</v>
      </c>
      <c r="BI236" s="187">
        <f t="shared" si="722"/>
        <v>0</v>
      </c>
      <c r="BJ236" s="187">
        <f t="shared" si="723"/>
        <v>0</v>
      </c>
      <c r="BK236" s="187">
        <f t="shared" si="724"/>
        <v>0</v>
      </c>
      <c r="BL236" s="187">
        <f t="shared" si="725"/>
        <v>0</v>
      </c>
      <c r="BM236" s="187">
        <f t="shared" si="726"/>
        <v>0</v>
      </c>
      <c r="BN236" s="188">
        <f t="shared" si="727"/>
        <v>4</v>
      </c>
      <c r="BO236" s="187">
        <f t="shared" si="728"/>
        <v>0</v>
      </c>
      <c r="BP236" s="187">
        <f t="shared" ref="BP236:BQ236" si="855">IF(G236=1,1,0)</f>
        <v>0</v>
      </c>
      <c r="BQ236" s="187">
        <f t="shared" si="855"/>
        <v>0</v>
      </c>
      <c r="BR236" s="187">
        <f t="shared" ref="BR236:BT236" si="856">IF(K236=1,1,0)</f>
        <v>0</v>
      </c>
      <c r="BS236" s="187">
        <f t="shared" si="856"/>
        <v>0</v>
      </c>
      <c r="BT236" s="187">
        <f t="shared" si="856"/>
        <v>0</v>
      </c>
      <c r="BU236" s="187">
        <f t="shared" ref="BU236:BV236" si="857">IF(P236=1,1,0)</f>
        <v>0</v>
      </c>
      <c r="BV236" s="187">
        <f t="shared" si="857"/>
        <v>0</v>
      </c>
      <c r="BW236" s="187">
        <f t="shared" si="732"/>
        <v>0</v>
      </c>
      <c r="BX236" s="187">
        <f t="shared" si="733"/>
        <v>0</v>
      </c>
      <c r="BY236" s="187">
        <f t="shared" si="734"/>
        <v>4</v>
      </c>
      <c r="BZ236" s="187">
        <f t="shared" si="735"/>
        <v>-16</v>
      </c>
      <c r="CA236" s="167">
        <f t="shared" si="736"/>
        <v>42</v>
      </c>
      <c r="CB236" s="167">
        <f t="shared" si="737"/>
        <v>88</v>
      </c>
      <c r="CC236" s="644">
        <f t="shared" si="738"/>
        <v>23</v>
      </c>
      <c r="CD236" s="644">
        <f t="shared" si="739"/>
        <v>19</v>
      </c>
      <c r="CE236" s="644">
        <f t="shared" si="740"/>
        <v>15</v>
      </c>
      <c r="CF236" s="644">
        <f t="shared" si="741"/>
        <v>15</v>
      </c>
      <c r="CG236" s="644">
        <f t="shared" si="742"/>
        <v>9</v>
      </c>
      <c r="CH236" s="644">
        <f>IF(D215=1,7,0)</f>
        <v>7</v>
      </c>
      <c r="CI236" s="644">
        <f t="shared" si="744"/>
        <v>0</v>
      </c>
      <c r="CJ236" s="644">
        <f t="shared" si="745"/>
        <v>0</v>
      </c>
      <c r="CK236" s="644">
        <f t="shared" si="746"/>
        <v>0</v>
      </c>
      <c r="CL236" s="644">
        <f t="shared" si="747"/>
        <v>0</v>
      </c>
      <c r="CM236" s="644">
        <f t="shared" si="748"/>
        <v>0</v>
      </c>
      <c r="CN236" s="644">
        <f t="shared" si="749"/>
        <v>0</v>
      </c>
      <c r="CO236" s="644">
        <f t="shared" si="750"/>
        <v>0</v>
      </c>
      <c r="CP236" s="644">
        <f t="shared" si="751"/>
        <v>0</v>
      </c>
      <c r="CQ236" s="644">
        <f t="shared" si="752"/>
        <v>0</v>
      </c>
      <c r="CR236" s="644">
        <f t="shared" si="753"/>
        <v>0</v>
      </c>
      <c r="CS236" s="644">
        <f t="shared" si="754"/>
        <v>0</v>
      </c>
      <c r="CT236" s="644">
        <f t="shared" si="755"/>
        <v>0</v>
      </c>
      <c r="CU236" s="644">
        <f t="shared" si="756"/>
        <v>0</v>
      </c>
      <c r="CV236" s="644">
        <f t="shared" si="757"/>
        <v>0</v>
      </c>
      <c r="CW236" s="644">
        <f t="shared" si="758"/>
        <v>0</v>
      </c>
      <c r="CX236" s="644">
        <f t="shared" si="759"/>
        <v>0</v>
      </c>
      <c r="CY236" s="644">
        <f t="shared" si="760"/>
        <v>0</v>
      </c>
      <c r="CZ236" s="624" t="s">
        <v>743</v>
      </c>
    </row>
    <row r="237" spans="1:105">
      <c r="A237" s="253" t="s">
        <v>147</v>
      </c>
      <c r="B237" s="641"/>
      <c r="C237" s="641"/>
      <c r="D237" s="155">
        <v>1</v>
      </c>
      <c r="E237" s="155">
        <v>1</v>
      </c>
      <c r="F237" s="155"/>
      <c r="G237" s="155"/>
      <c r="H237" s="155"/>
      <c r="I237" s="155"/>
      <c r="J237" s="155"/>
      <c r="K237" s="155"/>
      <c r="L237" s="155"/>
      <c r="M237" s="155"/>
      <c r="N237" s="155"/>
      <c r="O237" s="155"/>
      <c r="P237" s="155"/>
      <c r="Q237" s="155"/>
      <c r="R237" s="155">
        <v>1</v>
      </c>
      <c r="S237" s="155"/>
      <c r="T237" s="155">
        <v>1</v>
      </c>
      <c r="U237" s="155">
        <v>1</v>
      </c>
      <c r="V237" s="155"/>
      <c r="W237" s="155"/>
      <c r="X237" s="155"/>
      <c r="Y237" s="155"/>
      <c r="Z237" s="155">
        <v>1</v>
      </c>
      <c r="AA237" s="155"/>
      <c r="AB237" s="276">
        <v>1</v>
      </c>
      <c r="AC237" s="155">
        <v>1</v>
      </c>
      <c r="AD237" s="276">
        <v>1</v>
      </c>
      <c r="AE237" s="155"/>
      <c r="AF237" s="155"/>
      <c r="AG237" s="155"/>
      <c r="AH237" s="155">
        <v>1</v>
      </c>
      <c r="AI237" s="155"/>
      <c r="AJ237" s="155"/>
      <c r="AK237" s="155"/>
      <c r="AL237" s="190">
        <v>10</v>
      </c>
      <c r="AM237" s="191" t="str">
        <f>HYPERLINK("http://bit.ly/1yww15i", "Via email")</f>
        <v>Via email</v>
      </c>
      <c r="AN237" s="192">
        <v>42021</v>
      </c>
      <c r="AO237" s="187"/>
      <c r="AP237" s="187">
        <f t="shared" si="703"/>
        <v>0</v>
      </c>
      <c r="AQ237" s="187">
        <f t="shared" si="704"/>
        <v>0</v>
      </c>
      <c r="AR237" s="187">
        <f t="shared" si="705"/>
        <v>13</v>
      </c>
      <c r="AS237" s="187">
        <f t="shared" si="706"/>
        <v>13</v>
      </c>
      <c r="AT237" s="187">
        <f t="shared" si="707"/>
        <v>9</v>
      </c>
      <c r="AU237" s="187">
        <f t="shared" si="708"/>
        <v>9</v>
      </c>
      <c r="AV237" s="187">
        <f t="shared" si="709"/>
        <v>9</v>
      </c>
      <c r="AW237" s="187">
        <f t="shared" si="710"/>
        <v>0</v>
      </c>
      <c r="AX237" s="187">
        <f t="shared" si="711"/>
        <v>7</v>
      </c>
      <c r="AY237" s="187">
        <f t="shared" si="712"/>
        <v>7</v>
      </c>
      <c r="AZ237" s="187">
        <f t="shared" si="713"/>
        <v>7</v>
      </c>
      <c r="BA237" s="187">
        <f t="shared" si="714"/>
        <v>7</v>
      </c>
      <c r="BB237" s="187">
        <f t="shared" si="715"/>
        <v>0</v>
      </c>
      <c r="BC237" s="187">
        <f t="shared" si="716"/>
        <v>4</v>
      </c>
      <c r="BD237" s="187">
        <f t="shared" si="717"/>
        <v>0</v>
      </c>
      <c r="BE237" s="187">
        <f t="shared" si="718"/>
        <v>0</v>
      </c>
      <c r="BF237" s="187">
        <f t="shared" si="719"/>
        <v>0</v>
      </c>
      <c r="BG237" s="187">
        <f t="shared" si="720"/>
        <v>0</v>
      </c>
      <c r="BH237" s="187">
        <f t="shared" si="721"/>
        <v>0</v>
      </c>
      <c r="BI237" s="187">
        <f t="shared" si="722"/>
        <v>0</v>
      </c>
      <c r="BJ237" s="187">
        <f t="shared" si="723"/>
        <v>0</v>
      </c>
      <c r="BK237" s="187">
        <f t="shared" si="724"/>
        <v>0</v>
      </c>
      <c r="BL237" s="187">
        <f t="shared" si="725"/>
        <v>0</v>
      </c>
      <c r="BM237" s="187">
        <f t="shared" si="726"/>
        <v>0</v>
      </c>
      <c r="BN237" s="188">
        <f t="shared" si="727"/>
        <v>0</v>
      </c>
      <c r="BO237" s="187">
        <f t="shared" si="728"/>
        <v>0</v>
      </c>
      <c r="BP237" s="187">
        <f t="shared" ref="BP237:BQ237" si="858">IF(G237=1,1,0)</f>
        <v>0</v>
      </c>
      <c r="BQ237" s="187">
        <f t="shared" si="858"/>
        <v>0</v>
      </c>
      <c r="BR237" s="187">
        <f t="shared" ref="BR237:BT237" si="859">IF(K237=1,1,0)</f>
        <v>0</v>
      </c>
      <c r="BS237" s="187">
        <f t="shared" si="859"/>
        <v>0</v>
      </c>
      <c r="BT237" s="187">
        <f t="shared" si="859"/>
        <v>0</v>
      </c>
      <c r="BU237" s="187">
        <f t="shared" ref="BU237:BV237" si="860">IF(P237=1,1,0)</f>
        <v>0</v>
      </c>
      <c r="BV237" s="187">
        <f t="shared" si="860"/>
        <v>0</v>
      </c>
      <c r="BW237" s="187">
        <f t="shared" si="732"/>
        <v>0</v>
      </c>
      <c r="BX237" s="187">
        <f t="shared" si="733"/>
        <v>0</v>
      </c>
      <c r="BY237" s="187">
        <f t="shared" si="734"/>
        <v>0</v>
      </c>
      <c r="BZ237" s="187">
        <f t="shared" si="735"/>
        <v>0</v>
      </c>
      <c r="CA237" s="167">
        <f t="shared" si="736"/>
        <v>85</v>
      </c>
      <c r="CB237" s="167">
        <f t="shared" si="737"/>
        <v>100</v>
      </c>
      <c r="CC237" s="644">
        <f t="shared" si="738"/>
        <v>23</v>
      </c>
      <c r="CD237" s="644">
        <f t="shared" si="739"/>
        <v>19</v>
      </c>
      <c r="CE237" s="644">
        <f t="shared" si="740"/>
        <v>15</v>
      </c>
      <c r="CF237" s="644">
        <f t="shared" si="741"/>
        <v>15</v>
      </c>
      <c r="CG237" s="644">
        <f t="shared" si="742"/>
        <v>9</v>
      </c>
      <c r="CH237" s="644">
        <f>IF(D215=1,7,0)</f>
        <v>7</v>
      </c>
      <c r="CI237" s="644">
        <f t="shared" si="744"/>
        <v>7</v>
      </c>
      <c r="CJ237" s="644">
        <f t="shared" si="745"/>
        <v>5</v>
      </c>
      <c r="CK237" s="644">
        <f t="shared" si="746"/>
        <v>0</v>
      </c>
      <c r="CL237" s="644">
        <f t="shared" si="747"/>
        <v>0</v>
      </c>
      <c r="CM237" s="644">
        <f t="shared" si="748"/>
        <v>0</v>
      </c>
      <c r="CN237" s="644">
        <f t="shared" si="749"/>
        <v>3</v>
      </c>
      <c r="CO237" s="644">
        <f t="shared" si="750"/>
        <v>0</v>
      </c>
      <c r="CP237" s="644">
        <f t="shared" si="751"/>
        <v>3</v>
      </c>
      <c r="CQ237" s="644">
        <f t="shared" si="752"/>
        <v>0</v>
      </c>
      <c r="CR237" s="644">
        <f t="shared" si="753"/>
        <v>0</v>
      </c>
      <c r="CS237" s="644">
        <f t="shared" si="754"/>
        <v>0</v>
      </c>
      <c r="CT237" s="644">
        <f t="shared" si="755"/>
        <v>0</v>
      </c>
      <c r="CU237" s="644">
        <f t="shared" si="756"/>
        <v>0</v>
      </c>
      <c r="CV237" s="644">
        <f t="shared" si="757"/>
        <v>0</v>
      </c>
      <c r="CW237" s="644">
        <f t="shared" si="758"/>
        <v>0</v>
      </c>
      <c r="CX237" s="644">
        <f t="shared" si="759"/>
        <v>0</v>
      </c>
      <c r="CY237" s="644">
        <f t="shared" si="760"/>
        <v>0</v>
      </c>
      <c r="CZ237" s="624" t="s">
        <v>743</v>
      </c>
    </row>
    <row r="238" spans="1:105">
      <c r="A238" s="253" t="s">
        <v>148</v>
      </c>
      <c r="B238" s="641"/>
      <c r="C238" s="641"/>
      <c r="D238" s="155">
        <v>1</v>
      </c>
      <c r="E238" s="155">
        <v>1</v>
      </c>
      <c r="F238" s="155">
        <v>1</v>
      </c>
      <c r="G238" s="155"/>
      <c r="H238" s="155"/>
      <c r="I238" s="155">
        <v>1</v>
      </c>
      <c r="J238" s="155"/>
      <c r="K238" s="155"/>
      <c r="L238" s="155"/>
      <c r="M238" s="155"/>
      <c r="N238" s="155"/>
      <c r="O238" s="155"/>
      <c r="P238" s="155"/>
      <c r="Q238" s="155"/>
      <c r="R238" s="155">
        <v>1</v>
      </c>
      <c r="S238" s="155"/>
      <c r="T238" s="155"/>
      <c r="U238" s="155"/>
      <c r="V238" s="155"/>
      <c r="W238" s="155"/>
      <c r="X238" s="155"/>
      <c r="Y238" s="155"/>
      <c r="Z238" s="155"/>
      <c r="AA238" s="155"/>
      <c r="AB238" s="155">
        <v>1</v>
      </c>
      <c r="AC238" s="155"/>
      <c r="AD238" s="155"/>
      <c r="AE238" s="155"/>
      <c r="AF238" s="155"/>
      <c r="AG238" s="155">
        <v>1</v>
      </c>
      <c r="AH238" s="155">
        <v>1</v>
      </c>
      <c r="AI238" s="155"/>
      <c r="AJ238" s="155">
        <v>1</v>
      </c>
      <c r="AK238" s="155">
        <v>1</v>
      </c>
      <c r="AL238" s="190">
        <v>10</v>
      </c>
      <c r="AM238" s="641" t="s">
        <v>1137</v>
      </c>
      <c r="AN238" s="192">
        <v>42023</v>
      </c>
      <c r="AO238" s="187"/>
      <c r="AP238" s="187">
        <f t="shared" si="703"/>
        <v>13</v>
      </c>
      <c r="AQ238" s="187">
        <f t="shared" si="704"/>
        <v>13</v>
      </c>
      <c r="AR238" s="187">
        <f t="shared" si="705"/>
        <v>13</v>
      </c>
      <c r="AS238" s="187">
        <f t="shared" si="706"/>
        <v>0</v>
      </c>
      <c r="AT238" s="187">
        <f t="shared" si="707"/>
        <v>9</v>
      </c>
      <c r="AU238" s="187">
        <f t="shared" si="708"/>
        <v>9</v>
      </c>
      <c r="AV238" s="187">
        <f t="shared" si="709"/>
        <v>0</v>
      </c>
      <c r="AW238" s="187">
        <f t="shared" si="710"/>
        <v>7</v>
      </c>
      <c r="AX238" s="187">
        <f t="shared" si="711"/>
        <v>0</v>
      </c>
      <c r="AY238" s="187">
        <f t="shared" si="712"/>
        <v>0</v>
      </c>
      <c r="AZ238" s="187">
        <f t="shared" si="713"/>
        <v>7</v>
      </c>
      <c r="BA238" s="187">
        <f t="shared" si="714"/>
        <v>7</v>
      </c>
      <c r="BB238" s="187">
        <f t="shared" si="715"/>
        <v>4</v>
      </c>
      <c r="BC238" s="187">
        <f t="shared" si="716"/>
        <v>0</v>
      </c>
      <c r="BD238" s="187">
        <f t="shared" si="717"/>
        <v>0</v>
      </c>
      <c r="BE238" s="187">
        <f t="shared" si="718"/>
        <v>0</v>
      </c>
      <c r="BF238" s="187">
        <f t="shared" si="719"/>
        <v>0</v>
      </c>
      <c r="BG238" s="187">
        <f t="shared" si="720"/>
        <v>0</v>
      </c>
      <c r="BH238" s="187">
        <f t="shared" si="721"/>
        <v>0</v>
      </c>
      <c r="BI238" s="187">
        <f t="shared" si="722"/>
        <v>0</v>
      </c>
      <c r="BJ238" s="187">
        <f t="shared" si="723"/>
        <v>1</v>
      </c>
      <c r="BK238" s="187">
        <f t="shared" si="724"/>
        <v>0</v>
      </c>
      <c r="BL238" s="187">
        <f t="shared" si="725"/>
        <v>0</v>
      </c>
      <c r="BM238" s="187">
        <f t="shared" si="726"/>
        <v>0</v>
      </c>
      <c r="BN238" s="188">
        <f t="shared" si="727"/>
        <v>0</v>
      </c>
      <c r="BO238" s="187">
        <f t="shared" si="728"/>
        <v>0</v>
      </c>
      <c r="BP238" s="187">
        <f t="shared" ref="BP238:BQ238" si="861">IF(G238=1,1,0)</f>
        <v>0</v>
      </c>
      <c r="BQ238" s="187">
        <f t="shared" si="861"/>
        <v>0</v>
      </c>
      <c r="BR238" s="187">
        <f t="shared" ref="BR238:BT238" si="862">IF(K238=1,1,0)</f>
        <v>0</v>
      </c>
      <c r="BS238" s="187">
        <f t="shared" si="862"/>
        <v>0</v>
      </c>
      <c r="BT238" s="187">
        <f t="shared" si="862"/>
        <v>0</v>
      </c>
      <c r="BU238" s="187">
        <f t="shared" ref="BU238:BV238" si="863">IF(P238=1,1,0)</f>
        <v>0</v>
      </c>
      <c r="BV238" s="187">
        <f t="shared" si="863"/>
        <v>0</v>
      </c>
      <c r="BW238" s="187">
        <f t="shared" si="732"/>
        <v>0</v>
      </c>
      <c r="BX238" s="187">
        <f t="shared" si="733"/>
        <v>0</v>
      </c>
      <c r="BY238" s="187">
        <f t="shared" si="734"/>
        <v>0</v>
      </c>
      <c r="BZ238" s="187">
        <f t="shared" si="735"/>
        <v>0</v>
      </c>
      <c r="CA238" s="167">
        <f t="shared" si="736"/>
        <v>83</v>
      </c>
      <c r="CB238" s="167">
        <f t="shared" si="737"/>
        <v>82</v>
      </c>
      <c r="CC238" s="644">
        <f t="shared" si="738"/>
        <v>23</v>
      </c>
      <c r="CD238" s="644">
        <f t="shared" si="739"/>
        <v>0</v>
      </c>
      <c r="CE238" s="644">
        <f t="shared" si="740"/>
        <v>15</v>
      </c>
      <c r="CF238" s="644">
        <f t="shared" si="741"/>
        <v>15</v>
      </c>
      <c r="CG238" s="644">
        <f t="shared" si="742"/>
        <v>9</v>
      </c>
      <c r="CH238" s="644">
        <f>IF(D216=1,7,0)</f>
        <v>7</v>
      </c>
      <c r="CI238" s="644">
        <f t="shared" si="744"/>
        <v>0</v>
      </c>
      <c r="CJ238" s="644">
        <f t="shared" si="745"/>
        <v>0</v>
      </c>
      <c r="CK238" s="644">
        <f t="shared" si="746"/>
        <v>5</v>
      </c>
      <c r="CL238" s="644">
        <f t="shared" si="747"/>
        <v>5</v>
      </c>
      <c r="CM238" s="644">
        <f t="shared" si="748"/>
        <v>3</v>
      </c>
      <c r="CN238" s="644">
        <f t="shared" si="749"/>
        <v>0</v>
      </c>
      <c r="CO238" s="644">
        <f t="shared" si="750"/>
        <v>3</v>
      </c>
      <c r="CP238" s="644">
        <f t="shared" si="751"/>
        <v>0</v>
      </c>
      <c r="CQ238" s="644">
        <f t="shared" si="752"/>
        <v>0</v>
      </c>
      <c r="CR238" s="644">
        <f t="shared" si="753"/>
        <v>0</v>
      </c>
      <c r="CS238" s="644">
        <f t="shared" si="754"/>
        <v>2</v>
      </c>
      <c r="CT238" s="644">
        <f t="shared" si="755"/>
        <v>0</v>
      </c>
      <c r="CU238" s="644">
        <f t="shared" si="756"/>
        <v>0</v>
      </c>
      <c r="CV238" s="644">
        <f t="shared" si="757"/>
        <v>0</v>
      </c>
      <c r="CW238" s="644">
        <f t="shared" si="758"/>
        <v>0</v>
      </c>
      <c r="CX238" s="644">
        <f t="shared" si="759"/>
        <v>0</v>
      </c>
      <c r="CY238" s="644">
        <f t="shared" si="760"/>
        <v>0</v>
      </c>
      <c r="CZ238" s="624" t="s">
        <v>1090</v>
      </c>
    </row>
    <row r="239" spans="1:105" ht="25.5">
      <c r="A239" s="279" t="s">
        <v>1277</v>
      </c>
      <c r="B239" s="641"/>
      <c r="C239" s="641"/>
      <c r="D239" s="155"/>
      <c r="E239" s="644">
        <v>1</v>
      </c>
      <c r="F239" s="644"/>
      <c r="G239" s="644"/>
      <c r="H239" s="644"/>
      <c r="I239" s="644"/>
      <c r="J239" s="644"/>
      <c r="K239" s="644"/>
      <c r="L239" s="644"/>
      <c r="M239" s="644"/>
      <c r="N239" s="644"/>
      <c r="O239" s="644"/>
      <c r="P239" s="644"/>
      <c r="Q239" s="644"/>
      <c r="R239" s="644">
        <v>1</v>
      </c>
      <c r="S239" s="644"/>
      <c r="T239" s="644"/>
      <c r="U239" s="644">
        <v>1</v>
      </c>
      <c r="V239" s="644"/>
      <c r="W239" s="644"/>
      <c r="X239" s="644"/>
      <c r="Y239" s="644"/>
      <c r="Z239" s="644"/>
      <c r="AA239" s="644"/>
      <c r="AB239" s="644">
        <v>1</v>
      </c>
      <c r="AC239" s="644"/>
      <c r="AD239" s="644">
        <v>1</v>
      </c>
      <c r="AE239" s="644"/>
      <c r="AF239" s="644"/>
      <c r="AG239" s="644"/>
      <c r="AH239" s="644">
        <v>1</v>
      </c>
      <c r="AI239" s="644"/>
      <c r="AJ239" s="644">
        <v>1</v>
      </c>
      <c r="AK239" s="644"/>
      <c r="AL239" s="167">
        <v>7</v>
      </c>
      <c r="AM239" s="185" t="str">
        <f>HYPERLINK("http://bit.ly/1Dhn16J", "Did not vote 10. Won't reveal full ballot")</f>
        <v>Did not vote 10. Won't reveal full ballot</v>
      </c>
      <c r="AN239" s="186">
        <v>42010</v>
      </c>
      <c r="AO239" s="187"/>
      <c r="AP239" s="187">
        <f t="shared" si="703"/>
        <v>0</v>
      </c>
      <c r="AQ239" s="187">
        <f t="shared" si="704"/>
        <v>0</v>
      </c>
      <c r="AR239" s="187">
        <f t="shared" si="705"/>
        <v>13</v>
      </c>
      <c r="AS239" s="187">
        <f t="shared" si="706"/>
        <v>13</v>
      </c>
      <c r="AT239" s="187">
        <f t="shared" si="707"/>
        <v>9</v>
      </c>
      <c r="AU239" s="187">
        <f t="shared" si="708"/>
        <v>0</v>
      </c>
      <c r="AV239" s="187">
        <f t="shared" si="709"/>
        <v>0</v>
      </c>
      <c r="AW239" s="187">
        <f t="shared" si="710"/>
        <v>7</v>
      </c>
      <c r="AX239" s="187">
        <f t="shared" si="711"/>
        <v>7</v>
      </c>
      <c r="AY239" s="187">
        <f t="shared" si="712"/>
        <v>0</v>
      </c>
      <c r="AZ239" s="187">
        <f t="shared" si="713"/>
        <v>7</v>
      </c>
      <c r="BA239" s="187">
        <f t="shared" si="714"/>
        <v>7</v>
      </c>
      <c r="BB239" s="187">
        <f t="shared" si="715"/>
        <v>0</v>
      </c>
      <c r="BC239" s="187">
        <f t="shared" si="716"/>
        <v>0</v>
      </c>
      <c r="BD239" s="187">
        <f t="shared" si="717"/>
        <v>0</v>
      </c>
      <c r="BE239" s="187">
        <f t="shared" si="718"/>
        <v>0</v>
      </c>
      <c r="BF239" s="187">
        <f t="shared" si="719"/>
        <v>0</v>
      </c>
      <c r="BG239" s="187">
        <f t="shared" si="720"/>
        <v>0</v>
      </c>
      <c r="BH239" s="187">
        <f t="shared" si="721"/>
        <v>0</v>
      </c>
      <c r="BI239" s="187">
        <f t="shared" si="722"/>
        <v>0</v>
      </c>
      <c r="BJ239" s="187">
        <f t="shared" si="723"/>
        <v>0</v>
      </c>
      <c r="BK239" s="187">
        <f t="shared" si="724"/>
        <v>0</v>
      </c>
      <c r="BL239" s="187">
        <f t="shared" si="725"/>
        <v>0</v>
      </c>
      <c r="BM239" s="187">
        <f t="shared" si="726"/>
        <v>0</v>
      </c>
      <c r="BN239" s="188">
        <f t="shared" si="727"/>
        <v>3</v>
      </c>
      <c r="BO239" s="187">
        <f t="shared" si="728"/>
        <v>0</v>
      </c>
      <c r="BP239" s="187">
        <f t="shared" ref="BP239:BQ239" si="864">IF(G239=1,1,0)</f>
        <v>0</v>
      </c>
      <c r="BQ239" s="187">
        <f t="shared" si="864"/>
        <v>0</v>
      </c>
      <c r="BR239" s="187">
        <f t="shared" ref="BR239:BT239" si="865">IF(K239=1,1,0)</f>
        <v>0</v>
      </c>
      <c r="BS239" s="187">
        <f t="shared" si="865"/>
        <v>0</v>
      </c>
      <c r="BT239" s="187">
        <f t="shared" si="865"/>
        <v>0</v>
      </c>
      <c r="BU239" s="187">
        <f t="shared" ref="BU239:BV239" si="866">IF(P239=1,1,0)</f>
        <v>0</v>
      </c>
      <c r="BV239" s="187">
        <f t="shared" si="866"/>
        <v>0</v>
      </c>
      <c r="BW239" s="187">
        <f t="shared" si="732"/>
        <v>0</v>
      </c>
      <c r="BX239" s="187">
        <f t="shared" si="733"/>
        <v>0</v>
      </c>
      <c r="BY239" s="187">
        <f t="shared" si="734"/>
        <v>3</v>
      </c>
      <c r="BZ239" s="187">
        <f t="shared" si="735"/>
        <v>-9</v>
      </c>
      <c r="CA239" s="167">
        <f t="shared" si="736"/>
        <v>54</v>
      </c>
      <c r="CB239" s="167">
        <f t="shared" si="737"/>
        <v>89</v>
      </c>
      <c r="CC239" s="644">
        <f t="shared" si="738"/>
        <v>23</v>
      </c>
      <c r="CD239" s="644">
        <f t="shared" si="739"/>
        <v>19</v>
      </c>
      <c r="CE239" s="644">
        <f t="shared" si="740"/>
        <v>15</v>
      </c>
      <c r="CF239" s="644">
        <f t="shared" si="741"/>
        <v>15</v>
      </c>
      <c r="CG239" s="644">
        <f t="shared" si="742"/>
        <v>9</v>
      </c>
      <c r="CH239" s="644">
        <f>IF(D214=1,7,0)</f>
        <v>0</v>
      </c>
      <c r="CI239" s="644">
        <f t="shared" si="744"/>
        <v>0</v>
      </c>
      <c r="CJ239" s="644">
        <f t="shared" si="745"/>
        <v>5</v>
      </c>
      <c r="CK239" s="644">
        <f t="shared" si="746"/>
        <v>0</v>
      </c>
      <c r="CL239" s="644">
        <f t="shared" si="747"/>
        <v>0</v>
      </c>
      <c r="CM239" s="644">
        <f t="shared" si="748"/>
        <v>0</v>
      </c>
      <c r="CN239" s="644">
        <f t="shared" si="749"/>
        <v>0</v>
      </c>
      <c r="CO239" s="644">
        <f t="shared" si="750"/>
        <v>3</v>
      </c>
      <c r="CP239" s="644">
        <f t="shared" si="751"/>
        <v>0</v>
      </c>
      <c r="CQ239" s="644">
        <f t="shared" si="752"/>
        <v>0</v>
      </c>
      <c r="CR239" s="644">
        <f t="shared" si="753"/>
        <v>0</v>
      </c>
      <c r="CS239" s="644">
        <f t="shared" si="754"/>
        <v>0</v>
      </c>
      <c r="CT239" s="644">
        <f t="shared" si="755"/>
        <v>0</v>
      </c>
      <c r="CU239" s="644">
        <f t="shared" si="756"/>
        <v>0</v>
      </c>
      <c r="CV239" s="644">
        <f t="shared" si="757"/>
        <v>0</v>
      </c>
      <c r="CW239" s="644">
        <f t="shared" si="758"/>
        <v>0</v>
      </c>
      <c r="CX239" s="644">
        <f t="shared" si="759"/>
        <v>0</v>
      </c>
      <c r="CY239" s="644">
        <f t="shared" si="760"/>
        <v>0</v>
      </c>
      <c r="CZ239" s="624" t="s">
        <v>793</v>
      </c>
    </row>
    <row r="240" spans="1:105">
      <c r="A240" s="253" t="s">
        <v>1278</v>
      </c>
      <c r="B240" s="641"/>
      <c r="C240" s="641"/>
      <c r="D240" s="155"/>
      <c r="E240" s="644">
        <v>1</v>
      </c>
      <c r="F240" s="644">
        <v>1</v>
      </c>
      <c r="G240" s="644"/>
      <c r="H240" s="644"/>
      <c r="I240" s="644">
        <v>1</v>
      </c>
      <c r="J240" s="644"/>
      <c r="K240" s="644"/>
      <c r="L240" s="644"/>
      <c r="M240" s="644"/>
      <c r="N240" s="644"/>
      <c r="O240" s="644"/>
      <c r="P240" s="644"/>
      <c r="Q240" s="644"/>
      <c r="R240" s="644">
        <v>1</v>
      </c>
      <c r="S240" s="644"/>
      <c r="T240" s="644"/>
      <c r="U240" s="644">
        <v>1</v>
      </c>
      <c r="V240" s="644"/>
      <c r="W240" s="644"/>
      <c r="X240" s="644"/>
      <c r="Y240" s="644"/>
      <c r="Z240" s="644"/>
      <c r="AA240" s="644"/>
      <c r="AB240" s="644">
        <v>1</v>
      </c>
      <c r="AC240" s="644"/>
      <c r="AD240" s="644"/>
      <c r="AE240" s="644"/>
      <c r="AF240" s="644"/>
      <c r="AG240" s="644"/>
      <c r="AH240" s="644">
        <v>1</v>
      </c>
      <c r="AI240" s="644"/>
      <c r="AJ240" s="644"/>
      <c r="AK240" s="644"/>
      <c r="AL240" s="167">
        <v>7</v>
      </c>
      <c r="AM240" s="191" t="str">
        <f>HYPERLINK("http://bbwaa.com/15-hof-ballots/", "BBWAA.com")</f>
        <v>BBWAA.com</v>
      </c>
      <c r="AN240" s="192">
        <v>42014</v>
      </c>
      <c r="AO240" s="187"/>
      <c r="AP240" s="187">
        <f t="shared" si="703"/>
        <v>13</v>
      </c>
      <c r="AQ240" s="187">
        <f t="shared" si="704"/>
        <v>13</v>
      </c>
      <c r="AR240" s="187">
        <f t="shared" si="705"/>
        <v>13</v>
      </c>
      <c r="AS240" s="187">
        <f t="shared" si="706"/>
        <v>13</v>
      </c>
      <c r="AT240" s="187">
        <f t="shared" si="707"/>
        <v>9</v>
      </c>
      <c r="AU240" s="187">
        <f t="shared" si="708"/>
        <v>0</v>
      </c>
      <c r="AV240" s="187">
        <f t="shared" si="709"/>
        <v>0</v>
      </c>
      <c r="AW240" s="187">
        <f t="shared" si="710"/>
        <v>0</v>
      </c>
      <c r="AX240" s="187">
        <f t="shared" si="711"/>
        <v>0</v>
      </c>
      <c r="AY240" s="187">
        <f t="shared" si="712"/>
        <v>0</v>
      </c>
      <c r="AZ240" s="187">
        <f t="shared" si="713"/>
        <v>7</v>
      </c>
      <c r="BA240" s="187">
        <f t="shared" si="714"/>
        <v>7</v>
      </c>
      <c r="BB240" s="187">
        <f t="shared" si="715"/>
        <v>0</v>
      </c>
      <c r="BC240" s="187">
        <f t="shared" si="716"/>
        <v>0</v>
      </c>
      <c r="BD240" s="187">
        <f t="shared" si="717"/>
        <v>0</v>
      </c>
      <c r="BE240" s="187">
        <f t="shared" si="718"/>
        <v>0</v>
      </c>
      <c r="BF240" s="187">
        <f t="shared" si="719"/>
        <v>0</v>
      </c>
      <c r="BG240" s="187">
        <f t="shared" si="720"/>
        <v>0</v>
      </c>
      <c r="BH240" s="187">
        <f t="shared" si="721"/>
        <v>0</v>
      </c>
      <c r="BI240" s="187">
        <f t="shared" si="722"/>
        <v>0</v>
      </c>
      <c r="BJ240" s="187">
        <f t="shared" si="723"/>
        <v>0</v>
      </c>
      <c r="BK240" s="187">
        <f t="shared" si="724"/>
        <v>0</v>
      </c>
      <c r="BL240" s="187">
        <f t="shared" si="725"/>
        <v>0</v>
      </c>
      <c r="BM240" s="187">
        <f t="shared" si="726"/>
        <v>0</v>
      </c>
      <c r="BN240" s="188">
        <f t="shared" si="727"/>
        <v>3</v>
      </c>
      <c r="BO240" s="187">
        <f t="shared" si="728"/>
        <v>0</v>
      </c>
      <c r="BP240" s="187">
        <f t="shared" ref="BP240:BQ240" si="867">IF(G240=1,1,0)</f>
        <v>0</v>
      </c>
      <c r="BQ240" s="187">
        <f t="shared" si="867"/>
        <v>0</v>
      </c>
      <c r="BR240" s="187">
        <f t="shared" ref="BR240:BT240" si="868">IF(K240=1,1,0)</f>
        <v>0</v>
      </c>
      <c r="BS240" s="187">
        <f t="shared" si="868"/>
        <v>0</v>
      </c>
      <c r="BT240" s="187">
        <f t="shared" si="868"/>
        <v>0</v>
      </c>
      <c r="BU240" s="187">
        <f t="shared" ref="BU240:BV240" si="869">IF(P240=1,1,0)</f>
        <v>0</v>
      </c>
      <c r="BV240" s="187">
        <f t="shared" si="869"/>
        <v>0</v>
      </c>
      <c r="BW240" s="187">
        <f t="shared" si="732"/>
        <v>0</v>
      </c>
      <c r="BX240" s="187">
        <f t="shared" si="733"/>
        <v>0</v>
      </c>
      <c r="BY240" s="187">
        <f t="shared" si="734"/>
        <v>3</v>
      </c>
      <c r="BZ240" s="187">
        <f t="shared" si="735"/>
        <v>-9</v>
      </c>
      <c r="CA240" s="167">
        <f t="shared" si="736"/>
        <v>66</v>
      </c>
      <c r="CB240" s="167">
        <f t="shared" si="737"/>
        <v>98</v>
      </c>
      <c r="CC240" s="644">
        <f t="shared" si="738"/>
        <v>23</v>
      </c>
      <c r="CD240" s="644">
        <f t="shared" si="739"/>
        <v>19</v>
      </c>
      <c r="CE240" s="644">
        <f t="shared" si="740"/>
        <v>15</v>
      </c>
      <c r="CF240" s="644">
        <f t="shared" si="741"/>
        <v>15</v>
      </c>
      <c r="CG240" s="644">
        <f t="shared" si="742"/>
        <v>9</v>
      </c>
      <c r="CH240" s="644">
        <f>IF(D215=1,7,0)</f>
        <v>7</v>
      </c>
      <c r="CI240" s="644">
        <f t="shared" si="744"/>
        <v>0</v>
      </c>
      <c r="CJ240" s="644">
        <f t="shared" si="745"/>
        <v>0</v>
      </c>
      <c r="CK240" s="644">
        <f t="shared" si="746"/>
        <v>5</v>
      </c>
      <c r="CL240" s="644">
        <f t="shared" si="747"/>
        <v>5</v>
      </c>
      <c r="CM240" s="644">
        <f t="shared" si="748"/>
        <v>0</v>
      </c>
      <c r="CN240" s="644">
        <f t="shared" si="749"/>
        <v>0</v>
      </c>
      <c r="CO240" s="644">
        <f t="shared" si="750"/>
        <v>0</v>
      </c>
      <c r="CP240" s="644">
        <f t="shared" si="751"/>
        <v>0</v>
      </c>
      <c r="CQ240" s="644">
        <f t="shared" si="752"/>
        <v>0</v>
      </c>
      <c r="CR240" s="644">
        <f t="shared" si="753"/>
        <v>0</v>
      </c>
      <c r="CS240" s="644">
        <f t="shared" si="754"/>
        <v>0</v>
      </c>
      <c r="CT240" s="644">
        <f t="shared" si="755"/>
        <v>0</v>
      </c>
      <c r="CU240" s="644">
        <f t="shared" si="756"/>
        <v>0</v>
      </c>
      <c r="CV240" s="644">
        <f t="shared" si="757"/>
        <v>0</v>
      </c>
      <c r="CW240" s="644">
        <f t="shared" si="758"/>
        <v>0</v>
      </c>
      <c r="CX240" s="644">
        <f t="shared" si="759"/>
        <v>0</v>
      </c>
      <c r="CY240" s="644">
        <f t="shared" si="760"/>
        <v>0</v>
      </c>
      <c r="CZ240" s="624" t="s">
        <v>743</v>
      </c>
    </row>
    <row r="241" spans="1:104">
      <c r="A241" s="253" t="s">
        <v>153</v>
      </c>
      <c r="B241" s="641"/>
      <c r="C241" s="641"/>
      <c r="D241" s="155"/>
      <c r="E241" s="644">
        <v>1</v>
      </c>
      <c r="F241" s="644"/>
      <c r="G241" s="644"/>
      <c r="H241" s="644"/>
      <c r="I241" s="644"/>
      <c r="J241" s="644"/>
      <c r="K241" s="644"/>
      <c r="L241" s="644"/>
      <c r="M241" s="644"/>
      <c r="N241" s="644"/>
      <c r="O241" s="644"/>
      <c r="P241" s="644"/>
      <c r="Q241" s="644"/>
      <c r="R241" s="644">
        <v>1</v>
      </c>
      <c r="S241" s="644"/>
      <c r="T241" s="644"/>
      <c r="U241" s="644">
        <v>1</v>
      </c>
      <c r="V241" s="644"/>
      <c r="W241" s="644"/>
      <c r="X241" s="644"/>
      <c r="Y241" s="644"/>
      <c r="Z241" s="644"/>
      <c r="AA241" s="644"/>
      <c r="AB241" s="258">
        <v>1</v>
      </c>
      <c r="AC241" s="644">
        <v>1</v>
      </c>
      <c r="AD241" s="644"/>
      <c r="AE241" s="644"/>
      <c r="AF241" s="644"/>
      <c r="AG241" s="644">
        <v>1</v>
      </c>
      <c r="AH241" s="644">
        <v>1</v>
      </c>
      <c r="AI241" s="644"/>
      <c r="AJ241" s="644">
        <v>1</v>
      </c>
      <c r="AK241" s="644"/>
      <c r="AL241" s="167">
        <v>8</v>
      </c>
      <c r="AM241" s="191" t="s">
        <v>1279</v>
      </c>
      <c r="AN241" s="192">
        <v>42023</v>
      </c>
      <c r="AO241" s="187"/>
      <c r="AP241" s="187">
        <f t="shared" si="703"/>
        <v>0</v>
      </c>
      <c r="AQ241" s="187">
        <f t="shared" si="704"/>
        <v>0</v>
      </c>
      <c r="AR241" s="187">
        <f t="shared" si="705"/>
        <v>13</v>
      </c>
      <c r="AS241" s="187">
        <f t="shared" si="706"/>
        <v>13</v>
      </c>
      <c r="AT241" s="187">
        <f t="shared" si="707"/>
        <v>9</v>
      </c>
      <c r="AU241" s="187">
        <f t="shared" si="708"/>
        <v>0</v>
      </c>
      <c r="AV241" s="187">
        <f t="shared" si="709"/>
        <v>9</v>
      </c>
      <c r="AW241" s="187">
        <f t="shared" si="710"/>
        <v>7</v>
      </c>
      <c r="AX241" s="187">
        <f t="shared" si="711"/>
        <v>0</v>
      </c>
      <c r="AY241" s="187">
        <f t="shared" si="712"/>
        <v>0</v>
      </c>
      <c r="AZ241" s="187">
        <f t="shared" si="713"/>
        <v>7</v>
      </c>
      <c r="BA241" s="187">
        <f t="shared" si="714"/>
        <v>7</v>
      </c>
      <c r="BB241" s="187">
        <f t="shared" si="715"/>
        <v>0</v>
      </c>
      <c r="BC241" s="187">
        <f t="shared" si="716"/>
        <v>0</v>
      </c>
      <c r="BD241" s="187">
        <f t="shared" si="717"/>
        <v>0</v>
      </c>
      <c r="BE241" s="187">
        <f t="shared" si="718"/>
        <v>0</v>
      </c>
      <c r="BF241" s="187">
        <f t="shared" si="719"/>
        <v>0</v>
      </c>
      <c r="BG241" s="187">
        <f t="shared" si="720"/>
        <v>0</v>
      </c>
      <c r="BH241" s="187">
        <f t="shared" si="721"/>
        <v>0</v>
      </c>
      <c r="BI241" s="187">
        <f t="shared" si="722"/>
        <v>0</v>
      </c>
      <c r="BJ241" s="187">
        <f t="shared" si="723"/>
        <v>1</v>
      </c>
      <c r="BK241" s="187">
        <f t="shared" si="724"/>
        <v>0</v>
      </c>
      <c r="BL241" s="187">
        <f t="shared" si="725"/>
        <v>0</v>
      </c>
      <c r="BM241" s="187">
        <f t="shared" si="726"/>
        <v>0</v>
      </c>
      <c r="BN241" s="188">
        <f t="shared" si="727"/>
        <v>2</v>
      </c>
      <c r="BO241" s="187">
        <f t="shared" si="728"/>
        <v>0</v>
      </c>
      <c r="BP241" s="187">
        <f t="shared" ref="BP241:BQ241" si="870">IF(G241=1,1,0)</f>
        <v>0</v>
      </c>
      <c r="BQ241" s="187">
        <f t="shared" si="870"/>
        <v>0</v>
      </c>
      <c r="BR241" s="187">
        <f t="shared" ref="BR241:BT241" si="871">IF(K241=1,1,0)</f>
        <v>0</v>
      </c>
      <c r="BS241" s="187">
        <f t="shared" si="871"/>
        <v>0</v>
      </c>
      <c r="BT241" s="187">
        <f t="shared" si="871"/>
        <v>0</v>
      </c>
      <c r="BU241" s="187">
        <f t="shared" ref="BU241:BV241" si="872">IF(P241=1,1,0)</f>
        <v>0</v>
      </c>
      <c r="BV241" s="187">
        <f t="shared" si="872"/>
        <v>0</v>
      </c>
      <c r="BW241" s="187">
        <f t="shared" si="732"/>
        <v>0</v>
      </c>
      <c r="BX241" s="187">
        <f t="shared" si="733"/>
        <v>0</v>
      </c>
      <c r="BY241" s="187">
        <f t="shared" si="734"/>
        <v>2</v>
      </c>
      <c r="BZ241" s="187">
        <f t="shared" si="735"/>
        <v>-4</v>
      </c>
      <c r="CA241" s="167">
        <f t="shared" si="736"/>
        <v>62</v>
      </c>
      <c r="CB241" s="167">
        <f t="shared" si="737"/>
        <v>98</v>
      </c>
      <c r="CC241" s="644">
        <f t="shared" si="738"/>
        <v>23</v>
      </c>
      <c r="CD241" s="644">
        <f t="shared" si="739"/>
        <v>19</v>
      </c>
      <c r="CE241" s="644">
        <f t="shared" si="740"/>
        <v>15</v>
      </c>
      <c r="CF241" s="644">
        <f t="shared" si="741"/>
        <v>15</v>
      </c>
      <c r="CG241" s="644">
        <f t="shared" si="742"/>
        <v>9</v>
      </c>
      <c r="CH241" s="644">
        <f>IF(D216=1,7,0)</f>
        <v>7</v>
      </c>
      <c r="CI241" s="644">
        <f t="shared" si="744"/>
        <v>7</v>
      </c>
      <c r="CJ241" s="644">
        <f t="shared" si="745"/>
        <v>0</v>
      </c>
      <c r="CK241" s="644">
        <f t="shared" si="746"/>
        <v>0</v>
      </c>
      <c r="CL241" s="644">
        <f t="shared" si="747"/>
        <v>0</v>
      </c>
      <c r="CM241" s="644">
        <f t="shared" si="748"/>
        <v>3</v>
      </c>
      <c r="CN241" s="644">
        <f t="shared" si="749"/>
        <v>0</v>
      </c>
      <c r="CO241" s="644">
        <f t="shared" si="750"/>
        <v>3</v>
      </c>
      <c r="CP241" s="644">
        <f t="shared" si="751"/>
        <v>0</v>
      </c>
      <c r="CQ241" s="644">
        <f t="shared" si="752"/>
        <v>0</v>
      </c>
      <c r="CR241" s="644">
        <f t="shared" si="753"/>
        <v>0</v>
      </c>
      <c r="CS241" s="644">
        <f t="shared" si="754"/>
        <v>0</v>
      </c>
      <c r="CT241" s="644">
        <f t="shared" si="755"/>
        <v>0</v>
      </c>
      <c r="CU241" s="644">
        <f t="shared" si="756"/>
        <v>0</v>
      </c>
      <c r="CV241" s="644">
        <f t="shared" si="757"/>
        <v>0</v>
      </c>
      <c r="CW241" s="644">
        <f t="shared" si="758"/>
        <v>0</v>
      </c>
      <c r="CX241" s="644">
        <f t="shared" si="759"/>
        <v>0</v>
      </c>
      <c r="CY241" s="644">
        <f t="shared" si="760"/>
        <v>0</v>
      </c>
      <c r="CZ241" s="624" t="s">
        <v>1280</v>
      </c>
    </row>
    <row r="242" spans="1:104">
      <c r="A242" s="253" t="s">
        <v>1281</v>
      </c>
      <c r="B242" s="641"/>
      <c r="C242" s="641"/>
      <c r="D242" s="155"/>
      <c r="E242" s="644">
        <v>1</v>
      </c>
      <c r="F242" s="644"/>
      <c r="G242" s="644"/>
      <c r="H242" s="644"/>
      <c r="I242" s="644"/>
      <c r="J242" s="644"/>
      <c r="K242" s="644"/>
      <c r="L242" s="644"/>
      <c r="M242" s="644"/>
      <c r="N242" s="644"/>
      <c r="O242" s="644"/>
      <c r="P242" s="644"/>
      <c r="Q242" s="644"/>
      <c r="R242" s="644">
        <v>1</v>
      </c>
      <c r="S242" s="644">
        <v>1</v>
      </c>
      <c r="T242" s="644"/>
      <c r="U242" s="644">
        <v>1</v>
      </c>
      <c r="V242" s="644"/>
      <c r="W242" s="644"/>
      <c r="X242" s="644"/>
      <c r="Y242" s="644"/>
      <c r="Z242" s="644"/>
      <c r="AA242" s="644"/>
      <c r="AB242" s="644">
        <v>1</v>
      </c>
      <c r="AC242" s="644"/>
      <c r="AD242" s="644"/>
      <c r="AE242" s="644"/>
      <c r="AF242" s="644"/>
      <c r="AG242" s="644"/>
      <c r="AH242" s="644">
        <v>1</v>
      </c>
      <c r="AI242" s="644"/>
      <c r="AJ242" s="644"/>
      <c r="AK242" s="644"/>
      <c r="AL242" s="167">
        <v>6</v>
      </c>
      <c r="AM242" s="641" t="s">
        <v>1137</v>
      </c>
      <c r="AN242" s="192">
        <v>42026</v>
      </c>
      <c r="AO242" s="187"/>
      <c r="AP242" s="187">
        <f t="shared" si="703"/>
        <v>0</v>
      </c>
      <c r="AQ242" s="187">
        <f t="shared" si="704"/>
        <v>0</v>
      </c>
      <c r="AR242" s="187">
        <f t="shared" si="705"/>
        <v>13</v>
      </c>
      <c r="AS242" s="187">
        <f t="shared" si="706"/>
        <v>13</v>
      </c>
      <c r="AT242" s="187">
        <f t="shared" si="707"/>
        <v>9</v>
      </c>
      <c r="AU242" s="187">
        <f t="shared" si="708"/>
        <v>0</v>
      </c>
      <c r="AV242" s="187">
        <f t="shared" si="709"/>
        <v>0</v>
      </c>
      <c r="AW242" s="187">
        <f t="shared" si="710"/>
        <v>0</v>
      </c>
      <c r="AX242" s="187">
        <f t="shared" si="711"/>
        <v>0</v>
      </c>
      <c r="AY242" s="187">
        <f t="shared" si="712"/>
        <v>0</v>
      </c>
      <c r="AZ242" s="187">
        <f t="shared" si="713"/>
        <v>7</v>
      </c>
      <c r="BA242" s="187">
        <f t="shared" si="714"/>
        <v>7</v>
      </c>
      <c r="BB242" s="187">
        <f t="shared" si="715"/>
        <v>0</v>
      </c>
      <c r="BC242" s="187">
        <f t="shared" si="716"/>
        <v>0</v>
      </c>
      <c r="BD242" s="187">
        <f t="shared" si="717"/>
        <v>0</v>
      </c>
      <c r="BE242" s="187">
        <f t="shared" si="718"/>
        <v>0</v>
      </c>
      <c r="BF242" s="187">
        <f t="shared" si="719"/>
        <v>0</v>
      </c>
      <c r="BG242" s="187">
        <f t="shared" si="720"/>
        <v>0</v>
      </c>
      <c r="BH242" s="187">
        <f t="shared" si="721"/>
        <v>2</v>
      </c>
      <c r="BI242" s="187">
        <f t="shared" si="722"/>
        <v>0</v>
      </c>
      <c r="BJ242" s="187">
        <f t="shared" si="723"/>
        <v>0</v>
      </c>
      <c r="BK242" s="187">
        <f t="shared" si="724"/>
        <v>0</v>
      </c>
      <c r="BL242" s="187">
        <f t="shared" si="725"/>
        <v>0</v>
      </c>
      <c r="BM242" s="187">
        <f t="shared" si="726"/>
        <v>0</v>
      </c>
      <c r="BN242" s="188">
        <f t="shared" si="727"/>
        <v>4</v>
      </c>
      <c r="BO242" s="187">
        <f t="shared" si="728"/>
        <v>0</v>
      </c>
      <c r="BP242" s="187">
        <f t="shared" ref="BP242:BQ242" si="873">IF(G242=1,1,0)</f>
        <v>0</v>
      </c>
      <c r="BQ242" s="187">
        <f t="shared" si="873"/>
        <v>0</v>
      </c>
      <c r="BR242" s="187">
        <f t="shared" ref="BR242:BT242" si="874">IF(K242=1,1,0)</f>
        <v>0</v>
      </c>
      <c r="BS242" s="187">
        <f t="shared" si="874"/>
        <v>0</v>
      </c>
      <c r="BT242" s="187">
        <f t="shared" si="874"/>
        <v>0</v>
      </c>
      <c r="BU242" s="187">
        <f t="shared" ref="BU242:BV242" si="875">IF(P242=1,1,0)</f>
        <v>0</v>
      </c>
      <c r="BV242" s="187">
        <f t="shared" si="875"/>
        <v>0</v>
      </c>
      <c r="BW242" s="187">
        <f t="shared" si="732"/>
        <v>0</v>
      </c>
      <c r="BX242" s="187">
        <f t="shared" si="733"/>
        <v>0</v>
      </c>
      <c r="BY242" s="187">
        <f t="shared" si="734"/>
        <v>4</v>
      </c>
      <c r="BZ242" s="187">
        <f t="shared" si="735"/>
        <v>-16</v>
      </c>
      <c r="CA242" s="167">
        <f t="shared" si="736"/>
        <v>35</v>
      </c>
      <c r="CB242" s="167">
        <f t="shared" si="737"/>
        <v>83</v>
      </c>
      <c r="CC242" s="644">
        <f t="shared" si="738"/>
        <v>23</v>
      </c>
      <c r="CD242" s="644">
        <f t="shared" si="739"/>
        <v>19</v>
      </c>
      <c r="CE242" s="644">
        <f t="shared" si="740"/>
        <v>15</v>
      </c>
      <c r="CF242" s="644">
        <f t="shared" si="741"/>
        <v>15</v>
      </c>
      <c r="CG242" s="644">
        <f t="shared" si="742"/>
        <v>9</v>
      </c>
      <c r="CH242" s="644">
        <f>IF(D217=1,7,0)</f>
        <v>0</v>
      </c>
      <c r="CI242" s="644">
        <f t="shared" si="744"/>
        <v>0</v>
      </c>
      <c r="CJ242" s="644">
        <f t="shared" si="745"/>
        <v>0</v>
      </c>
      <c r="CK242" s="644">
        <f t="shared" si="746"/>
        <v>0</v>
      </c>
      <c r="CL242" s="644">
        <f t="shared" si="747"/>
        <v>0</v>
      </c>
      <c r="CM242" s="644">
        <f t="shared" si="748"/>
        <v>0</v>
      </c>
      <c r="CN242" s="644">
        <f t="shared" si="749"/>
        <v>0</v>
      </c>
      <c r="CO242" s="644">
        <f t="shared" si="750"/>
        <v>0</v>
      </c>
      <c r="CP242" s="644">
        <f t="shared" si="751"/>
        <v>0</v>
      </c>
      <c r="CQ242" s="644">
        <f t="shared" si="752"/>
        <v>2</v>
      </c>
      <c r="CR242" s="644">
        <f t="shared" si="753"/>
        <v>0</v>
      </c>
      <c r="CS242" s="644">
        <f t="shared" si="754"/>
        <v>0</v>
      </c>
      <c r="CT242" s="644">
        <f t="shared" si="755"/>
        <v>0</v>
      </c>
      <c r="CU242" s="644">
        <f t="shared" si="756"/>
        <v>0</v>
      </c>
      <c r="CV242" s="644">
        <f t="shared" si="757"/>
        <v>0</v>
      </c>
      <c r="CW242" s="644">
        <f t="shared" si="758"/>
        <v>0</v>
      </c>
      <c r="CX242" s="644">
        <f t="shared" si="759"/>
        <v>0</v>
      </c>
      <c r="CY242" s="644">
        <f t="shared" si="760"/>
        <v>0</v>
      </c>
      <c r="CZ242" s="624" t="s">
        <v>1106</v>
      </c>
    </row>
    <row r="243" spans="1:104">
      <c r="A243" s="253" t="s">
        <v>1282</v>
      </c>
      <c r="B243" s="641"/>
      <c r="C243" s="641"/>
      <c r="D243" s="155">
        <v>1</v>
      </c>
      <c r="E243" s="644">
        <v>1</v>
      </c>
      <c r="F243" s="644"/>
      <c r="G243" s="644"/>
      <c r="H243" s="644"/>
      <c r="I243" s="644"/>
      <c r="J243" s="644"/>
      <c r="K243" s="644"/>
      <c r="L243" s="644"/>
      <c r="M243" s="644"/>
      <c r="N243" s="644"/>
      <c r="O243" s="644"/>
      <c r="P243" s="644"/>
      <c r="Q243" s="644"/>
      <c r="R243" s="644">
        <v>1</v>
      </c>
      <c r="S243" s="644"/>
      <c r="T243" s="644">
        <v>1</v>
      </c>
      <c r="U243" s="644">
        <v>1</v>
      </c>
      <c r="V243" s="644"/>
      <c r="W243" s="644"/>
      <c r="X243" s="644"/>
      <c r="Y243" s="644"/>
      <c r="Z243" s="644">
        <v>1</v>
      </c>
      <c r="AA243" s="644"/>
      <c r="AB243" s="644">
        <v>1</v>
      </c>
      <c r="AC243" s="644">
        <v>1</v>
      </c>
      <c r="AD243" s="644">
        <v>1</v>
      </c>
      <c r="AE243" s="644"/>
      <c r="AF243" s="644"/>
      <c r="AG243" s="644"/>
      <c r="AH243" s="644">
        <v>1</v>
      </c>
      <c r="AI243" s="644"/>
      <c r="AJ243" s="644"/>
      <c r="AK243" s="644"/>
      <c r="AL243" s="167">
        <v>10</v>
      </c>
      <c r="AM243" s="191" t="str">
        <f t="shared" ref="AM243:AM247" si="876">HYPERLINK("http://bbwaa.com/15-hof-ballots/", "BBWAA.com")</f>
        <v>BBWAA.com</v>
      </c>
      <c r="AN243" s="192">
        <v>42012</v>
      </c>
      <c r="AO243" s="187"/>
      <c r="AP243" s="187">
        <f t="shared" si="703"/>
        <v>0</v>
      </c>
      <c r="AQ243" s="187">
        <f t="shared" si="704"/>
        <v>0</v>
      </c>
      <c r="AR243" s="187">
        <f t="shared" si="705"/>
        <v>13</v>
      </c>
      <c r="AS243" s="187">
        <f t="shared" si="706"/>
        <v>13</v>
      </c>
      <c r="AT243" s="187">
        <f t="shared" si="707"/>
        <v>9</v>
      </c>
      <c r="AU243" s="187">
        <f t="shared" si="708"/>
        <v>9</v>
      </c>
      <c r="AV243" s="187">
        <f t="shared" si="709"/>
        <v>9</v>
      </c>
      <c r="AW243" s="187">
        <f t="shared" si="710"/>
        <v>0</v>
      </c>
      <c r="AX243" s="187">
        <f t="shared" si="711"/>
        <v>7</v>
      </c>
      <c r="AY243" s="187">
        <f t="shared" si="712"/>
        <v>7</v>
      </c>
      <c r="AZ243" s="187">
        <f t="shared" si="713"/>
        <v>7</v>
      </c>
      <c r="BA243" s="187">
        <f t="shared" si="714"/>
        <v>7</v>
      </c>
      <c r="BB243" s="187">
        <f t="shared" si="715"/>
        <v>0</v>
      </c>
      <c r="BC243" s="187">
        <f t="shared" si="716"/>
        <v>4</v>
      </c>
      <c r="BD243" s="187">
        <f t="shared" si="717"/>
        <v>0</v>
      </c>
      <c r="BE243" s="187">
        <f t="shared" si="718"/>
        <v>0</v>
      </c>
      <c r="BF243" s="187">
        <f t="shared" si="719"/>
        <v>0</v>
      </c>
      <c r="BG243" s="187">
        <f t="shared" si="720"/>
        <v>0</v>
      </c>
      <c r="BH243" s="187">
        <f t="shared" si="721"/>
        <v>0</v>
      </c>
      <c r="BI243" s="187">
        <f t="shared" si="722"/>
        <v>0</v>
      </c>
      <c r="BJ243" s="187">
        <f t="shared" si="723"/>
        <v>0</v>
      </c>
      <c r="BK243" s="187">
        <f t="shared" si="724"/>
        <v>0</v>
      </c>
      <c r="BL243" s="187">
        <f t="shared" si="725"/>
        <v>0</v>
      </c>
      <c r="BM243" s="187">
        <f t="shared" si="726"/>
        <v>0</v>
      </c>
      <c r="BN243" s="188">
        <f t="shared" si="727"/>
        <v>0</v>
      </c>
      <c r="BO243" s="187">
        <f t="shared" si="728"/>
        <v>0</v>
      </c>
      <c r="BP243" s="187">
        <f t="shared" ref="BP243:BQ243" si="877">IF(G243=1,1,0)</f>
        <v>0</v>
      </c>
      <c r="BQ243" s="187">
        <f t="shared" si="877"/>
        <v>0</v>
      </c>
      <c r="BR243" s="187">
        <f t="shared" ref="BR243:BT243" si="878">IF(K243=1,1,0)</f>
        <v>0</v>
      </c>
      <c r="BS243" s="187">
        <f t="shared" si="878"/>
        <v>0</v>
      </c>
      <c r="BT243" s="187">
        <f t="shared" si="878"/>
        <v>0</v>
      </c>
      <c r="BU243" s="187">
        <f t="shared" ref="BU243:BV243" si="879">IF(P243=1,1,0)</f>
        <v>0</v>
      </c>
      <c r="BV243" s="187">
        <f t="shared" si="879"/>
        <v>0</v>
      </c>
      <c r="BW243" s="187">
        <f t="shared" si="732"/>
        <v>0</v>
      </c>
      <c r="BX243" s="187">
        <f t="shared" si="733"/>
        <v>0</v>
      </c>
      <c r="BY243" s="187">
        <f t="shared" si="734"/>
        <v>0</v>
      </c>
      <c r="BZ243" s="187">
        <f t="shared" si="735"/>
        <v>0</v>
      </c>
      <c r="CA243" s="167">
        <f t="shared" si="736"/>
        <v>85</v>
      </c>
      <c r="CB243" s="167">
        <f t="shared" si="737"/>
        <v>100</v>
      </c>
      <c r="CC243" s="644">
        <f t="shared" si="738"/>
        <v>23</v>
      </c>
      <c r="CD243" s="644">
        <f t="shared" si="739"/>
        <v>19</v>
      </c>
      <c r="CE243" s="644">
        <f t="shared" si="740"/>
        <v>15</v>
      </c>
      <c r="CF243" s="644">
        <f t="shared" si="741"/>
        <v>15</v>
      </c>
      <c r="CG243" s="644">
        <f t="shared" si="742"/>
        <v>9</v>
      </c>
      <c r="CH243" s="644">
        <f t="shared" ref="CH243:CH249" si="880">IF(D215=1,7,0)</f>
        <v>7</v>
      </c>
      <c r="CI243" s="644">
        <f t="shared" si="744"/>
        <v>7</v>
      </c>
      <c r="CJ243" s="644">
        <f t="shared" si="745"/>
        <v>5</v>
      </c>
      <c r="CK243" s="644">
        <f t="shared" si="746"/>
        <v>0</v>
      </c>
      <c r="CL243" s="644">
        <f t="shared" si="747"/>
        <v>0</v>
      </c>
      <c r="CM243" s="644">
        <f t="shared" si="748"/>
        <v>0</v>
      </c>
      <c r="CN243" s="644">
        <f t="shared" si="749"/>
        <v>3</v>
      </c>
      <c r="CO243" s="644">
        <f t="shared" si="750"/>
        <v>0</v>
      </c>
      <c r="CP243" s="644">
        <f t="shared" si="751"/>
        <v>3</v>
      </c>
      <c r="CQ243" s="644">
        <f t="shared" si="752"/>
        <v>0</v>
      </c>
      <c r="CR243" s="644">
        <f t="shared" si="753"/>
        <v>0</v>
      </c>
      <c r="CS243" s="644">
        <f t="shared" si="754"/>
        <v>0</v>
      </c>
      <c r="CT243" s="644">
        <f t="shared" si="755"/>
        <v>0</v>
      </c>
      <c r="CU243" s="644">
        <f t="shared" si="756"/>
        <v>0</v>
      </c>
      <c r="CV243" s="644">
        <f t="shared" si="757"/>
        <v>0</v>
      </c>
      <c r="CW243" s="644">
        <f t="shared" si="758"/>
        <v>0</v>
      </c>
      <c r="CX243" s="644">
        <f t="shared" si="759"/>
        <v>0</v>
      </c>
      <c r="CY243" s="644">
        <f t="shared" si="760"/>
        <v>0</v>
      </c>
      <c r="CZ243" s="624" t="s">
        <v>1097</v>
      </c>
    </row>
    <row r="244" spans="1:104">
      <c r="A244" s="253" t="s">
        <v>413</v>
      </c>
      <c r="B244" s="641"/>
      <c r="C244" s="641"/>
      <c r="D244" s="276">
        <v>1</v>
      </c>
      <c r="E244" s="258">
        <v>1</v>
      </c>
      <c r="F244" s="644">
        <v>1</v>
      </c>
      <c r="G244" s="644"/>
      <c r="H244" s="644"/>
      <c r="I244" s="644">
        <v>1</v>
      </c>
      <c r="J244" s="644"/>
      <c r="K244" s="644"/>
      <c r="L244" s="644"/>
      <c r="M244" s="644"/>
      <c r="N244" s="644"/>
      <c r="O244" s="644"/>
      <c r="P244" s="644"/>
      <c r="Q244" s="644"/>
      <c r="R244" s="644">
        <v>1</v>
      </c>
      <c r="S244" s="644"/>
      <c r="T244" s="644"/>
      <c r="U244" s="644">
        <v>1</v>
      </c>
      <c r="V244" s="644"/>
      <c r="W244" s="644"/>
      <c r="X244" s="644"/>
      <c r="Y244" s="644"/>
      <c r="Z244" s="644">
        <v>1</v>
      </c>
      <c r="AA244" s="644"/>
      <c r="AB244" s="644">
        <v>1</v>
      </c>
      <c r="AC244" s="644">
        <v>1</v>
      </c>
      <c r="AD244" s="644">
        <v>1</v>
      </c>
      <c r="AE244" s="644"/>
      <c r="AF244" s="644"/>
      <c r="AG244" s="644"/>
      <c r="AH244" s="644"/>
      <c r="AI244" s="644"/>
      <c r="AJ244" s="644"/>
      <c r="AK244" s="644"/>
      <c r="AL244" s="167">
        <v>10</v>
      </c>
      <c r="AM244" s="191" t="str">
        <f t="shared" si="876"/>
        <v>BBWAA.com</v>
      </c>
      <c r="AN244" s="192">
        <v>42012</v>
      </c>
      <c r="AO244" s="187"/>
      <c r="AP244" s="187">
        <f t="shared" si="703"/>
        <v>13</v>
      </c>
      <c r="AQ244" s="187">
        <f t="shared" si="704"/>
        <v>13</v>
      </c>
      <c r="AR244" s="187">
        <f t="shared" si="705"/>
        <v>13</v>
      </c>
      <c r="AS244" s="187">
        <f t="shared" si="706"/>
        <v>13</v>
      </c>
      <c r="AT244" s="187">
        <f t="shared" si="707"/>
        <v>9</v>
      </c>
      <c r="AU244" s="187">
        <f t="shared" si="708"/>
        <v>9</v>
      </c>
      <c r="AV244" s="187">
        <f t="shared" si="709"/>
        <v>9</v>
      </c>
      <c r="AW244" s="187">
        <f t="shared" si="710"/>
        <v>0</v>
      </c>
      <c r="AX244" s="187">
        <f t="shared" si="711"/>
        <v>7</v>
      </c>
      <c r="AY244" s="187">
        <f t="shared" si="712"/>
        <v>7</v>
      </c>
      <c r="AZ244" s="187">
        <f t="shared" si="713"/>
        <v>0</v>
      </c>
      <c r="BA244" s="187">
        <f t="shared" si="714"/>
        <v>7</v>
      </c>
      <c r="BB244" s="187">
        <f t="shared" si="715"/>
        <v>0</v>
      </c>
      <c r="BC244" s="187">
        <f t="shared" si="716"/>
        <v>0</v>
      </c>
      <c r="BD244" s="187">
        <f t="shared" si="717"/>
        <v>0</v>
      </c>
      <c r="BE244" s="187">
        <f t="shared" si="718"/>
        <v>0</v>
      </c>
      <c r="BF244" s="187">
        <f t="shared" si="719"/>
        <v>0</v>
      </c>
      <c r="BG244" s="187">
        <f t="shared" si="720"/>
        <v>0</v>
      </c>
      <c r="BH244" s="187">
        <f t="shared" si="721"/>
        <v>0</v>
      </c>
      <c r="BI244" s="187">
        <f t="shared" si="722"/>
        <v>0</v>
      </c>
      <c r="BJ244" s="187">
        <f t="shared" si="723"/>
        <v>0</v>
      </c>
      <c r="BK244" s="187">
        <f t="shared" si="724"/>
        <v>0</v>
      </c>
      <c r="BL244" s="187">
        <f t="shared" si="725"/>
        <v>0</v>
      </c>
      <c r="BM244" s="187">
        <f t="shared" si="726"/>
        <v>0</v>
      </c>
      <c r="BN244" s="188">
        <f t="shared" si="727"/>
        <v>0</v>
      </c>
      <c r="BO244" s="187">
        <f t="shared" si="728"/>
        <v>0</v>
      </c>
      <c r="BP244" s="187">
        <f t="shared" ref="BP244:BQ244" si="881">IF(G244=1,1,0)</f>
        <v>0</v>
      </c>
      <c r="BQ244" s="187">
        <f t="shared" si="881"/>
        <v>0</v>
      </c>
      <c r="BR244" s="187">
        <f t="shared" ref="BR244:BT244" si="882">IF(K244=1,1,0)</f>
        <v>0</v>
      </c>
      <c r="BS244" s="187">
        <f t="shared" si="882"/>
        <v>0</v>
      </c>
      <c r="BT244" s="187">
        <f t="shared" si="882"/>
        <v>0</v>
      </c>
      <c r="BU244" s="187">
        <f t="shared" ref="BU244:BV244" si="883">IF(P244=1,1,0)</f>
        <v>0</v>
      </c>
      <c r="BV244" s="187">
        <f t="shared" si="883"/>
        <v>0</v>
      </c>
      <c r="BW244" s="187">
        <f t="shared" si="732"/>
        <v>0</v>
      </c>
      <c r="BX244" s="187">
        <f t="shared" si="733"/>
        <v>0</v>
      </c>
      <c r="BY244" s="187">
        <f t="shared" si="734"/>
        <v>0</v>
      </c>
      <c r="BZ244" s="187">
        <f t="shared" si="735"/>
        <v>0</v>
      </c>
      <c r="CA244" s="167">
        <f t="shared" si="736"/>
        <v>100</v>
      </c>
      <c r="CB244" s="167">
        <f t="shared" si="737"/>
        <v>90</v>
      </c>
      <c r="CC244" s="644">
        <f t="shared" si="738"/>
        <v>23</v>
      </c>
      <c r="CD244" s="644">
        <f t="shared" si="739"/>
        <v>19</v>
      </c>
      <c r="CE244" s="644">
        <f t="shared" si="740"/>
        <v>0</v>
      </c>
      <c r="CF244" s="644">
        <f t="shared" si="741"/>
        <v>15</v>
      </c>
      <c r="CG244" s="644">
        <f t="shared" si="742"/>
        <v>9</v>
      </c>
      <c r="CH244" s="644">
        <f t="shared" si="880"/>
        <v>7</v>
      </c>
      <c r="CI244" s="644">
        <f t="shared" si="744"/>
        <v>7</v>
      </c>
      <c r="CJ244" s="644">
        <f t="shared" si="745"/>
        <v>5</v>
      </c>
      <c r="CK244" s="644">
        <f t="shared" si="746"/>
        <v>5</v>
      </c>
      <c r="CL244" s="644">
        <f t="shared" si="747"/>
        <v>5</v>
      </c>
      <c r="CM244" s="644">
        <f t="shared" si="748"/>
        <v>0</v>
      </c>
      <c r="CN244" s="644">
        <f t="shared" si="749"/>
        <v>0</v>
      </c>
      <c r="CO244" s="644">
        <f t="shared" si="750"/>
        <v>0</v>
      </c>
      <c r="CP244" s="644">
        <f t="shared" si="751"/>
        <v>3</v>
      </c>
      <c r="CQ244" s="644">
        <f t="shared" si="752"/>
        <v>0</v>
      </c>
      <c r="CR244" s="644">
        <f t="shared" si="753"/>
        <v>0</v>
      </c>
      <c r="CS244" s="644">
        <f t="shared" si="754"/>
        <v>0</v>
      </c>
      <c r="CT244" s="644">
        <f t="shared" si="755"/>
        <v>0</v>
      </c>
      <c r="CU244" s="644">
        <f t="shared" si="756"/>
        <v>0</v>
      </c>
      <c r="CV244" s="644">
        <f t="shared" si="757"/>
        <v>0</v>
      </c>
      <c r="CW244" s="644">
        <f t="shared" si="758"/>
        <v>0</v>
      </c>
      <c r="CX244" s="644">
        <f t="shared" si="759"/>
        <v>0</v>
      </c>
      <c r="CY244" s="644">
        <f t="shared" si="760"/>
        <v>0</v>
      </c>
      <c r="CZ244" s="624" t="s">
        <v>1090</v>
      </c>
    </row>
    <row r="245" spans="1:104">
      <c r="A245" s="253" t="s">
        <v>1283</v>
      </c>
      <c r="B245" s="641"/>
      <c r="C245" s="641"/>
      <c r="D245" s="155">
        <v>1</v>
      </c>
      <c r="E245" s="258">
        <v>1</v>
      </c>
      <c r="F245" s="644"/>
      <c r="G245" s="644"/>
      <c r="H245" s="644"/>
      <c r="I245" s="644"/>
      <c r="J245" s="644"/>
      <c r="K245" s="644"/>
      <c r="L245" s="644"/>
      <c r="M245" s="644"/>
      <c r="N245" s="644"/>
      <c r="O245" s="644"/>
      <c r="P245" s="644"/>
      <c r="Q245" s="644"/>
      <c r="R245" s="644">
        <v>1</v>
      </c>
      <c r="S245" s="644"/>
      <c r="T245" s="644">
        <v>1</v>
      </c>
      <c r="U245" s="644">
        <v>1</v>
      </c>
      <c r="V245" s="644"/>
      <c r="W245" s="644"/>
      <c r="X245" s="644"/>
      <c r="Y245" s="644"/>
      <c r="Z245" s="644"/>
      <c r="AA245" s="644"/>
      <c r="AB245" s="644">
        <v>1</v>
      </c>
      <c r="AC245" s="644">
        <v>1</v>
      </c>
      <c r="AD245" s="644"/>
      <c r="AE245" s="644"/>
      <c r="AF245" s="644"/>
      <c r="AG245" s="644"/>
      <c r="AH245" s="644">
        <v>1</v>
      </c>
      <c r="AI245" s="644"/>
      <c r="AJ245" s="644"/>
      <c r="AK245" s="644"/>
      <c r="AL245" s="167">
        <v>8</v>
      </c>
      <c r="AM245" s="191" t="str">
        <f t="shared" si="876"/>
        <v>BBWAA.com</v>
      </c>
      <c r="AN245" s="192">
        <v>42012</v>
      </c>
      <c r="AO245" s="187"/>
      <c r="AP245" s="187">
        <f t="shared" si="703"/>
        <v>0</v>
      </c>
      <c r="AQ245" s="187">
        <f t="shared" si="704"/>
        <v>0</v>
      </c>
      <c r="AR245" s="187">
        <f t="shared" si="705"/>
        <v>13</v>
      </c>
      <c r="AS245" s="187">
        <f t="shared" si="706"/>
        <v>13</v>
      </c>
      <c r="AT245" s="187">
        <f t="shared" si="707"/>
        <v>9</v>
      </c>
      <c r="AU245" s="187">
        <f t="shared" si="708"/>
        <v>9</v>
      </c>
      <c r="AV245" s="187">
        <f t="shared" si="709"/>
        <v>9</v>
      </c>
      <c r="AW245" s="187">
        <f t="shared" si="710"/>
        <v>0</v>
      </c>
      <c r="AX245" s="187">
        <f t="shared" si="711"/>
        <v>0</v>
      </c>
      <c r="AY245" s="187">
        <f t="shared" si="712"/>
        <v>0</v>
      </c>
      <c r="AZ245" s="187">
        <f t="shared" si="713"/>
        <v>7</v>
      </c>
      <c r="BA245" s="187">
        <f t="shared" si="714"/>
        <v>7</v>
      </c>
      <c r="BB245" s="187">
        <f t="shared" si="715"/>
        <v>0</v>
      </c>
      <c r="BC245" s="187">
        <f t="shared" si="716"/>
        <v>4</v>
      </c>
      <c r="BD245" s="187">
        <f t="shared" si="717"/>
        <v>0</v>
      </c>
      <c r="BE245" s="187">
        <f t="shared" si="718"/>
        <v>0</v>
      </c>
      <c r="BF245" s="187">
        <f t="shared" si="719"/>
        <v>0</v>
      </c>
      <c r="BG245" s="187">
        <f t="shared" si="720"/>
        <v>0</v>
      </c>
      <c r="BH245" s="187">
        <f t="shared" si="721"/>
        <v>0</v>
      </c>
      <c r="BI245" s="187">
        <f t="shared" si="722"/>
        <v>0</v>
      </c>
      <c r="BJ245" s="187">
        <f t="shared" si="723"/>
        <v>0</v>
      </c>
      <c r="BK245" s="187">
        <f t="shared" si="724"/>
        <v>0</v>
      </c>
      <c r="BL245" s="187">
        <f t="shared" si="725"/>
        <v>0</v>
      </c>
      <c r="BM245" s="187">
        <f t="shared" si="726"/>
        <v>0</v>
      </c>
      <c r="BN245" s="188">
        <f t="shared" si="727"/>
        <v>2</v>
      </c>
      <c r="BO245" s="187">
        <f t="shared" si="728"/>
        <v>0</v>
      </c>
      <c r="BP245" s="187">
        <f t="shared" ref="BP245:BQ245" si="884">IF(G245=1,1,0)</f>
        <v>0</v>
      </c>
      <c r="BQ245" s="187">
        <f t="shared" si="884"/>
        <v>0</v>
      </c>
      <c r="BR245" s="187">
        <f t="shared" ref="BR245:BT245" si="885">IF(K245=1,1,0)</f>
        <v>0</v>
      </c>
      <c r="BS245" s="187">
        <f t="shared" si="885"/>
        <v>0</v>
      </c>
      <c r="BT245" s="187">
        <f t="shared" si="885"/>
        <v>0</v>
      </c>
      <c r="BU245" s="187">
        <f t="shared" ref="BU245:BV245" si="886">IF(P245=1,1,0)</f>
        <v>0</v>
      </c>
      <c r="BV245" s="187">
        <f t="shared" si="886"/>
        <v>0</v>
      </c>
      <c r="BW245" s="187">
        <f t="shared" si="732"/>
        <v>0</v>
      </c>
      <c r="BX245" s="187">
        <f t="shared" si="733"/>
        <v>0</v>
      </c>
      <c r="BY245" s="187">
        <f t="shared" si="734"/>
        <v>2</v>
      </c>
      <c r="BZ245" s="187">
        <f t="shared" si="735"/>
        <v>-4</v>
      </c>
      <c r="CA245" s="167">
        <f t="shared" si="736"/>
        <v>67</v>
      </c>
      <c r="CB245" s="167">
        <f t="shared" si="737"/>
        <v>91</v>
      </c>
      <c r="CC245" s="644">
        <f t="shared" si="738"/>
        <v>23</v>
      </c>
      <c r="CD245" s="644">
        <f t="shared" si="739"/>
        <v>19</v>
      </c>
      <c r="CE245" s="644">
        <f t="shared" si="740"/>
        <v>15</v>
      </c>
      <c r="CF245" s="644">
        <f t="shared" si="741"/>
        <v>15</v>
      </c>
      <c r="CG245" s="644">
        <f t="shared" si="742"/>
        <v>9</v>
      </c>
      <c r="CH245" s="644">
        <f t="shared" si="880"/>
        <v>0</v>
      </c>
      <c r="CI245" s="644">
        <f t="shared" si="744"/>
        <v>7</v>
      </c>
      <c r="CJ245" s="644">
        <f t="shared" si="745"/>
        <v>0</v>
      </c>
      <c r="CK245" s="644">
        <f t="shared" si="746"/>
        <v>0</v>
      </c>
      <c r="CL245" s="644">
        <f t="shared" si="747"/>
        <v>0</v>
      </c>
      <c r="CM245" s="644">
        <f t="shared" si="748"/>
        <v>0</v>
      </c>
      <c r="CN245" s="644">
        <f t="shared" si="749"/>
        <v>3</v>
      </c>
      <c r="CO245" s="644">
        <f t="shared" si="750"/>
        <v>0</v>
      </c>
      <c r="CP245" s="644">
        <f t="shared" si="751"/>
        <v>0</v>
      </c>
      <c r="CQ245" s="644">
        <f t="shared" si="752"/>
        <v>0</v>
      </c>
      <c r="CR245" s="644">
        <f t="shared" si="753"/>
        <v>0</v>
      </c>
      <c r="CS245" s="644">
        <f t="shared" si="754"/>
        <v>0</v>
      </c>
      <c r="CT245" s="644">
        <f t="shared" si="755"/>
        <v>0</v>
      </c>
      <c r="CU245" s="644">
        <f t="shared" si="756"/>
        <v>0</v>
      </c>
      <c r="CV245" s="644">
        <f t="shared" si="757"/>
        <v>0</v>
      </c>
      <c r="CW245" s="644">
        <f t="shared" si="758"/>
        <v>0</v>
      </c>
      <c r="CX245" s="644">
        <f t="shared" si="759"/>
        <v>0</v>
      </c>
      <c r="CY245" s="644">
        <f t="shared" si="760"/>
        <v>0</v>
      </c>
      <c r="CZ245" s="624" t="s">
        <v>743</v>
      </c>
    </row>
    <row r="246" spans="1:104">
      <c r="A246" s="253" t="s">
        <v>1284</v>
      </c>
      <c r="B246" s="641"/>
      <c r="C246" s="641"/>
      <c r="D246" s="155"/>
      <c r="E246" s="644">
        <v>1</v>
      </c>
      <c r="F246" s="644">
        <v>1</v>
      </c>
      <c r="G246" s="644"/>
      <c r="H246" s="644"/>
      <c r="I246" s="644">
        <v>1</v>
      </c>
      <c r="J246" s="644"/>
      <c r="K246" s="644"/>
      <c r="L246" s="644"/>
      <c r="M246" s="644"/>
      <c r="N246" s="644"/>
      <c r="O246" s="644"/>
      <c r="P246" s="644"/>
      <c r="Q246" s="644"/>
      <c r="R246" s="644">
        <v>1</v>
      </c>
      <c r="S246" s="644"/>
      <c r="T246" s="644"/>
      <c r="U246" s="644">
        <v>1</v>
      </c>
      <c r="V246" s="644"/>
      <c r="W246" s="644"/>
      <c r="X246" s="644"/>
      <c r="Y246" s="644"/>
      <c r="Z246" s="644"/>
      <c r="AA246" s="644"/>
      <c r="AB246" s="258">
        <v>1</v>
      </c>
      <c r="AC246" s="644"/>
      <c r="AD246" s="644"/>
      <c r="AE246" s="644"/>
      <c r="AF246" s="644"/>
      <c r="AG246" s="644">
        <v>1</v>
      </c>
      <c r="AH246" s="644">
        <v>1</v>
      </c>
      <c r="AI246" s="644"/>
      <c r="AJ246" s="644">
        <v>1</v>
      </c>
      <c r="AK246" s="644">
        <v>1</v>
      </c>
      <c r="AL246" s="167">
        <v>10</v>
      </c>
      <c r="AM246" s="191" t="str">
        <f t="shared" si="876"/>
        <v>BBWAA.com</v>
      </c>
      <c r="AN246" s="192">
        <v>42012</v>
      </c>
      <c r="AO246" s="187"/>
      <c r="AP246" s="187">
        <f t="shared" si="703"/>
        <v>13</v>
      </c>
      <c r="AQ246" s="187">
        <f t="shared" si="704"/>
        <v>13</v>
      </c>
      <c r="AR246" s="187">
        <f t="shared" si="705"/>
        <v>13</v>
      </c>
      <c r="AS246" s="187">
        <f t="shared" si="706"/>
        <v>13</v>
      </c>
      <c r="AT246" s="187">
        <f t="shared" si="707"/>
        <v>9</v>
      </c>
      <c r="AU246" s="187">
        <f t="shared" si="708"/>
        <v>0</v>
      </c>
      <c r="AV246" s="187">
        <f t="shared" si="709"/>
        <v>0</v>
      </c>
      <c r="AW246" s="187">
        <f t="shared" si="710"/>
        <v>7</v>
      </c>
      <c r="AX246" s="187">
        <f t="shared" si="711"/>
        <v>0</v>
      </c>
      <c r="AY246" s="187">
        <f t="shared" si="712"/>
        <v>0</v>
      </c>
      <c r="AZ246" s="187">
        <f t="shared" si="713"/>
        <v>7</v>
      </c>
      <c r="BA246" s="187">
        <f t="shared" si="714"/>
        <v>7</v>
      </c>
      <c r="BB246" s="187">
        <f t="shared" si="715"/>
        <v>4</v>
      </c>
      <c r="BC246" s="187">
        <f t="shared" si="716"/>
        <v>0</v>
      </c>
      <c r="BD246" s="187">
        <f t="shared" si="717"/>
        <v>0</v>
      </c>
      <c r="BE246" s="187">
        <f t="shared" si="718"/>
        <v>0</v>
      </c>
      <c r="BF246" s="187">
        <f t="shared" si="719"/>
        <v>0</v>
      </c>
      <c r="BG246" s="187">
        <f t="shared" si="720"/>
        <v>0</v>
      </c>
      <c r="BH246" s="187">
        <f t="shared" si="721"/>
        <v>0</v>
      </c>
      <c r="BI246" s="187">
        <f t="shared" si="722"/>
        <v>0</v>
      </c>
      <c r="BJ246" s="187">
        <f t="shared" si="723"/>
        <v>1</v>
      </c>
      <c r="BK246" s="187">
        <f t="shared" si="724"/>
        <v>0</v>
      </c>
      <c r="BL246" s="187">
        <f t="shared" si="725"/>
        <v>0</v>
      </c>
      <c r="BM246" s="187">
        <f t="shared" si="726"/>
        <v>0</v>
      </c>
      <c r="BN246" s="188">
        <f t="shared" si="727"/>
        <v>0</v>
      </c>
      <c r="BO246" s="187">
        <f t="shared" si="728"/>
        <v>0</v>
      </c>
      <c r="BP246" s="187">
        <f t="shared" ref="BP246:BQ246" si="887">IF(G246=1,1,0)</f>
        <v>0</v>
      </c>
      <c r="BQ246" s="187">
        <f t="shared" si="887"/>
        <v>0</v>
      </c>
      <c r="BR246" s="187">
        <f t="shared" ref="BR246:BT246" si="888">IF(K246=1,1,0)</f>
        <v>0</v>
      </c>
      <c r="BS246" s="187">
        <f t="shared" si="888"/>
        <v>0</v>
      </c>
      <c r="BT246" s="187">
        <f t="shared" si="888"/>
        <v>0</v>
      </c>
      <c r="BU246" s="187">
        <f t="shared" ref="BU246:BV246" si="889">IF(P246=1,1,0)</f>
        <v>0</v>
      </c>
      <c r="BV246" s="187">
        <f t="shared" si="889"/>
        <v>0</v>
      </c>
      <c r="BW246" s="187">
        <f t="shared" si="732"/>
        <v>0</v>
      </c>
      <c r="BX246" s="187">
        <f t="shared" si="733"/>
        <v>0</v>
      </c>
      <c r="BY246" s="187">
        <f t="shared" si="734"/>
        <v>0</v>
      </c>
      <c r="BZ246" s="187">
        <f t="shared" si="735"/>
        <v>0</v>
      </c>
      <c r="CA246" s="167">
        <f t="shared" si="736"/>
        <v>87</v>
      </c>
      <c r="CB246" s="167">
        <f t="shared" si="737"/>
        <v>98</v>
      </c>
      <c r="CC246" s="644">
        <f t="shared" si="738"/>
        <v>23</v>
      </c>
      <c r="CD246" s="644">
        <f t="shared" si="739"/>
        <v>19</v>
      </c>
      <c r="CE246" s="644">
        <f t="shared" si="740"/>
        <v>15</v>
      </c>
      <c r="CF246" s="644">
        <f t="shared" si="741"/>
        <v>15</v>
      </c>
      <c r="CG246" s="644">
        <f t="shared" si="742"/>
        <v>9</v>
      </c>
      <c r="CH246" s="644">
        <f t="shared" si="880"/>
        <v>7</v>
      </c>
      <c r="CI246" s="644">
        <f t="shared" si="744"/>
        <v>0</v>
      </c>
      <c r="CJ246" s="644">
        <f t="shared" si="745"/>
        <v>0</v>
      </c>
      <c r="CK246" s="644">
        <f t="shared" si="746"/>
        <v>5</v>
      </c>
      <c r="CL246" s="644">
        <f t="shared" si="747"/>
        <v>5</v>
      </c>
      <c r="CM246" s="644">
        <f t="shared" si="748"/>
        <v>3</v>
      </c>
      <c r="CN246" s="644">
        <f t="shared" si="749"/>
        <v>0</v>
      </c>
      <c r="CO246" s="644">
        <f t="shared" si="750"/>
        <v>3</v>
      </c>
      <c r="CP246" s="644">
        <f t="shared" si="751"/>
        <v>0</v>
      </c>
      <c r="CQ246" s="644">
        <f t="shared" si="752"/>
        <v>0</v>
      </c>
      <c r="CR246" s="644">
        <f t="shared" si="753"/>
        <v>0</v>
      </c>
      <c r="CS246" s="644">
        <f t="shared" si="754"/>
        <v>2</v>
      </c>
      <c r="CT246" s="644">
        <f t="shared" si="755"/>
        <v>0</v>
      </c>
      <c r="CU246" s="644">
        <f t="shared" si="756"/>
        <v>0</v>
      </c>
      <c r="CV246" s="644">
        <f t="shared" si="757"/>
        <v>0</v>
      </c>
      <c r="CW246" s="644">
        <f t="shared" si="758"/>
        <v>0</v>
      </c>
      <c r="CX246" s="644">
        <f t="shared" si="759"/>
        <v>0</v>
      </c>
      <c r="CY246" s="644">
        <f t="shared" si="760"/>
        <v>0</v>
      </c>
      <c r="CZ246" s="624" t="s">
        <v>1285</v>
      </c>
    </row>
    <row r="247" spans="1:104">
      <c r="A247" s="253" t="s">
        <v>1286</v>
      </c>
      <c r="B247" s="641"/>
      <c r="C247" s="641"/>
      <c r="D247" s="155">
        <v>1</v>
      </c>
      <c r="E247" s="644">
        <v>1</v>
      </c>
      <c r="F247" s="644">
        <v>1</v>
      </c>
      <c r="G247" s="644"/>
      <c r="H247" s="644"/>
      <c r="I247" s="644">
        <v>1</v>
      </c>
      <c r="J247" s="644"/>
      <c r="K247" s="644"/>
      <c r="L247" s="644"/>
      <c r="M247" s="644"/>
      <c r="N247" s="644"/>
      <c r="O247" s="644"/>
      <c r="P247" s="644"/>
      <c r="Q247" s="644"/>
      <c r="R247" s="644">
        <v>1</v>
      </c>
      <c r="S247" s="644"/>
      <c r="T247" s="644"/>
      <c r="U247" s="644">
        <v>1</v>
      </c>
      <c r="V247" s="644">
        <v>1</v>
      </c>
      <c r="W247" s="644"/>
      <c r="X247" s="644"/>
      <c r="Y247" s="644"/>
      <c r="Z247" s="644"/>
      <c r="AA247" s="644"/>
      <c r="AB247" s="644">
        <v>1</v>
      </c>
      <c r="AC247" s="644"/>
      <c r="AD247" s="644"/>
      <c r="AE247" s="644"/>
      <c r="AF247" s="644"/>
      <c r="AG247" s="644"/>
      <c r="AH247" s="644"/>
      <c r="AI247" s="644"/>
      <c r="AJ247" s="644"/>
      <c r="AK247" s="644"/>
      <c r="AL247" s="167">
        <v>8</v>
      </c>
      <c r="AM247" s="191" t="str">
        <f t="shared" si="876"/>
        <v>BBWAA.com</v>
      </c>
      <c r="AN247" s="192">
        <v>42012</v>
      </c>
      <c r="AO247" s="187"/>
      <c r="AP247" s="187">
        <f t="shared" si="703"/>
        <v>13</v>
      </c>
      <c r="AQ247" s="187">
        <f t="shared" si="704"/>
        <v>13</v>
      </c>
      <c r="AR247" s="187">
        <f t="shared" si="705"/>
        <v>13</v>
      </c>
      <c r="AS247" s="187">
        <f t="shared" si="706"/>
        <v>13</v>
      </c>
      <c r="AT247" s="187">
        <f t="shared" si="707"/>
        <v>9</v>
      </c>
      <c r="AU247" s="187">
        <f t="shared" si="708"/>
        <v>9</v>
      </c>
      <c r="AV247" s="187">
        <f t="shared" si="709"/>
        <v>0</v>
      </c>
      <c r="AW247" s="187">
        <f t="shared" si="710"/>
        <v>0</v>
      </c>
      <c r="AX247" s="187">
        <f t="shared" si="711"/>
        <v>0</v>
      </c>
      <c r="AY247" s="187">
        <f t="shared" si="712"/>
        <v>0</v>
      </c>
      <c r="AZ247" s="187">
        <f t="shared" si="713"/>
        <v>0</v>
      </c>
      <c r="BA247" s="187">
        <f t="shared" si="714"/>
        <v>7</v>
      </c>
      <c r="BB247" s="187">
        <f t="shared" si="715"/>
        <v>0</v>
      </c>
      <c r="BC247" s="187">
        <f t="shared" si="716"/>
        <v>0</v>
      </c>
      <c r="BD247" s="187">
        <f t="shared" si="717"/>
        <v>0</v>
      </c>
      <c r="BE247" s="187">
        <f t="shared" si="718"/>
        <v>0</v>
      </c>
      <c r="BF247" s="187">
        <f t="shared" si="719"/>
        <v>0</v>
      </c>
      <c r="BG247" s="187">
        <f t="shared" si="720"/>
        <v>0</v>
      </c>
      <c r="BH247" s="187">
        <f t="shared" si="721"/>
        <v>0</v>
      </c>
      <c r="BI247" s="187">
        <f t="shared" si="722"/>
        <v>1</v>
      </c>
      <c r="BJ247" s="187">
        <f t="shared" si="723"/>
        <v>0</v>
      </c>
      <c r="BK247" s="187">
        <f t="shared" si="724"/>
        <v>0</v>
      </c>
      <c r="BL247" s="187">
        <f t="shared" si="725"/>
        <v>0</v>
      </c>
      <c r="BM247" s="187">
        <f t="shared" si="726"/>
        <v>0</v>
      </c>
      <c r="BN247" s="188">
        <f t="shared" si="727"/>
        <v>2</v>
      </c>
      <c r="BO247" s="187">
        <f t="shared" si="728"/>
        <v>0</v>
      </c>
      <c r="BP247" s="187">
        <f t="shared" ref="BP247:BQ247" si="890">IF(G247=1,1,0)</f>
        <v>0</v>
      </c>
      <c r="BQ247" s="187">
        <f t="shared" si="890"/>
        <v>0</v>
      </c>
      <c r="BR247" s="187">
        <f t="shared" ref="BR247:BT247" si="891">IF(K247=1,1,0)</f>
        <v>0</v>
      </c>
      <c r="BS247" s="187">
        <f t="shared" si="891"/>
        <v>0</v>
      </c>
      <c r="BT247" s="187">
        <f t="shared" si="891"/>
        <v>0</v>
      </c>
      <c r="BU247" s="187">
        <f t="shared" ref="BU247:BV247" si="892">IF(P247=1,1,0)</f>
        <v>0</v>
      </c>
      <c r="BV247" s="187">
        <f t="shared" si="892"/>
        <v>0</v>
      </c>
      <c r="BW247" s="187">
        <f t="shared" si="732"/>
        <v>0</v>
      </c>
      <c r="BX247" s="187">
        <f t="shared" si="733"/>
        <v>0</v>
      </c>
      <c r="BY247" s="187">
        <f t="shared" si="734"/>
        <v>2</v>
      </c>
      <c r="BZ247" s="187">
        <f t="shared" si="735"/>
        <v>-4</v>
      </c>
      <c r="CA247" s="167">
        <f t="shared" si="736"/>
        <v>74</v>
      </c>
      <c r="CB247" s="167">
        <f t="shared" si="737"/>
        <v>84</v>
      </c>
      <c r="CC247" s="644">
        <f t="shared" si="738"/>
        <v>23</v>
      </c>
      <c r="CD247" s="644">
        <f t="shared" si="739"/>
        <v>19</v>
      </c>
      <c r="CE247" s="644">
        <f t="shared" si="740"/>
        <v>0</v>
      </c>
      <c r="CF247" s="644">
        <f t="shared" si="741"/>
        <v>15</v>
      </c>
      <c r="CG247" s="644">
        <f t="shared" si="742"/>
        <v>9</v>
      </c>
      <c r="CH247" s="644">
        <f t="shared" si="880"/>
        <v>7</v>
      </c>
      <c r="CI247" s="644">
        <f t="shared" si="744"/>
        <v>0</v>
      </c>
      <c r="CJ247" s="644">
        <f t="shared" si="745"/>
        <v>0</v>
      </c>
      <c r="CK247" s="644">
        <f t="shared" si="746"/>
        <v>5</v>
      </c>
      <c r="CL247" s="644">
        <f t="shared" si="747"/>
        <v>5</v>
      </c>
      <c r="CM247" s="644">
        <f t="shared" si="748"/>
        <v>0</v>
      </c>
      <c r="CN247" s="644">
        <f t="shared" si="749"/>
        <v>0</v>
      </c>
      <c r="CO247" s="644">
        <f t="shared" si="750"/>
        <v>0</v>
      </c>
      <c r="CP247" s="644">
        <f t="shared" si="751"/>
        <v>0</v>
      </c>
      <c r="CQ247" s="644">
        <f t="shared" si="752"/>
        <v>0</v>
      </c>
      <c r="CR247" s="644">
        <f t="shared" si="753"/>
        <v>0</v>
      </c>
      <c r="CS247" s="644">
        <f t="shared" si="754"/>
        <v>0</v>
      </c>
      <c r="CT247" s="644">
        <f t="shared" si="755"/>
        <v>0</v>
      </c>
      <c r="CU247" s="644">
        <f t="shared" si="756"/>
        <v>0</v>
      </c>
      <c r="CV247" s="644">
        <f t="shared" si="757"/>
        <v>1</v>
      </c>
      <c r="CW247" s="644">
        <f t="shared" si="758"/>
        <v>0</v>
      </c>
      <c r="CX247" s="644">
        <f t="shared" si="759"/>
        <v>0</v>
      </c>
      <c r="CY247" s="644">
        <f t="shared" si="760"/>
        <v>0</v>
      </c>
      <c r="CZ247" s="624" t="s">
        <v>743</v>
      </c>
    </row>
    <row r="248" spans="1:104">
      <c r="A248" s="253" t="s">
        <v>1287</v>
      </c>
      <c r="B248" s="641"/>
      <c r="C248" s="641"/>
      <c r="D248" s="155">
        <v>1</v>
      </c>
      <c r="E248" s="644">
        <v>1</v>
      </c>
      <c r="F248" s="644"/>
      <c r="G248" s="644"/>
      <c r="H248" s="644"/>
      <c r="I248" s="644"/>
      <c r="J248" s="644"/>
      <c r="K248" s="644"/>
      <c r="L248" s="644"/>
      <c r="M248" s="644"/>
      <c r="N248" s="644"/>
      <c r="O248" s="644"/>
      <c r="P248" s="644"/>
      <c r="Q248" s="644"/>
      <c r="R248" s="644">
        <v>1</v>
      </c>
      <c r="S248" s="644"/>
      <c r="T248" s="644"/>
      <c r="U248" s="644">
        <v>1</v>
      </c>
      <c r="V248" s="644"/>
      <c r="W248" s="644"/>
      <c r="X248" s="644"/>
      <c r="Y248" s="644"/>
      <c r="Z248" s="644">
        <v>1</v>
      </c>
      <c r="AA248" s="644"/>
      <c r="AB248" s="644">
        <v>1</v>
      </c>
      <c r="AC248" s="644">
        <v>1</v>
      </c>
      <c r="AD248" s="644">
        <v>1</v>
      </c>
      <c r="AE248" s="644"/>
      <c r="AF248" s="644"/>
      <c r="AG248" s="644">
        <v>1</v>
      </c>
      <c r="AH248" s="644">
        <v>1</v>
      </c>
      <c r="AI248" s="644"/>
      <c r="AJ248" s="644"/>
      <c r="AK248" s="644"/>
      <c r="AL248" s="167">
        <v>10</v>
      </c>
      <c r="AM248" s="191" t="s">
        <v>1288</v>
      </c>
      <c r="AN248" s="192">
        <v>42010</v>
      </c>
      <c r="AO248" s="187"/>
      <c r="AP248" s="187">
        <f t="shared" si="703"/>
        <v>0</v>
      </c>
      <c r="AQ248" s="187">
        <f t="shared" si="704"/>
        <v>0</v>
      </c>
      <c r="AR248" s="187">
        <f t="shared" si="705"/>
        <v>13</v>
      </c>
      <c r="AS248" s="187">
        <f t="shared" si="706"/>
        <v>13</v>
      </c>
      <c r="AT248" s="187">
        <f t="shared" si="707"/>
        <v>9</v>
      </c>
      <c r="AU248" s="187">
        <f t="shared" si="708"/>
        <v>9</v>
      </c>
      <c r="AV248" s="187">
        <f t="shared" si="709"/>
        <v>9</v>
      </c>
      <c r="AW248" s="187">
        <f t="shared" si="710"/>
        <v>0</v>
      </c>
      <c r="AX248" s="187">
        <f t="shared" si="711"/>
        <v>7</v>
      </c>
      <c r="AY248" s="187">
        <f t="shared" si="712"/>
        <v>7</v>
      </c>
      <c r="AZ248" s="187">
        <f t="shared" si="713"/>
        <v>7</v>
      </c>
      <c r="BA248" s="187">
        <f t="shared" si="714"/>
        <v>7</v>
      </c>
      <c r="BB248" s="187">
        <f t="shared" si="715"/>
        <v>0</v>
      </c>
      <c r="BC248" s="187">
        <f t="shared" si="716"/>
        <v>0</v>
      </c>
      <c r="BD248" s="187">
        <f t="shared" si="717"/>
        <v>0</v>
      </c>
      <c r="BE248" s="187">
        <f t="shared" si="718"/>
        <v>0</v>
      </c>
      <c r="BF248" s="187">
        <f t="shared" si="719"/>
        <v>0</v>
      </c>
      <c r="BG248" s="187">
        <f t="shared" si="720"/>
        <v>0</v>
      </c>
      <c r="BH248" s="187">
        <f t="shared" si="721"/>
        <v>0</v>
      </c>
      <c r="BI248" s="187">
        <f t="shared" si="722"/>
        <v>0</v>
      </c>
      <c r="BJ248" s="187">
        <f t="shared" si="723"/>
        <v>1</v>
      </c>
      <c r="BK248" s="187">
        <f t="shared" si="724"/>
        <v>0</v>
      </c>
      <c r="BL248" s="187">
        <f t="shared" si="725"/>
        <v>0</v>
      </c>
      <c r="BM248" s="187">
        <f t="shared" si="726"/>
        <v>0</v>
      </c>
      <c r="BN248" s="188">
        <f t="shared" si="727"/>
        <v>0</v>
      </c>
      <c r="BO248" s="187">
        <f t="shared" si="728"/>
        <v>0</v>
      </c>
      <c r="BP248" s="187">
        <f t="shared" ref="BP248:BQ248" si="893">IF(G248=1,1,0)</f>
        <v>0</v>
      </c>
      <c r="BQ248" s="187">
        <f t="shared" si="893"/>
        <v>0</v>
      </c>
      <c r="BR248" s="187">
        <f t="shared" ref="BR248:BT248" si="894">IF(K248=1,1,0)</f>
        <v>0</v>
      </c>
      <c r="BS248" s="187">
        <f t="shared" si="894"/>
        <v>0</v>
      </c>
      <c r="BT248" s="187">
        <f t="shared" si="894"/>
        <v>0</v>
      </c>
      <c r="BU248" s="187">
        <f t="shared" ref="BU248:BV248" si="895">IF(P248=1,1,0)</f>
        <v>0</v>
      </c>
      <c r="BV248" s="187">
        <f t="shared" si="895"/>
        <v>0</v>
      </c>
      <c r="BW248" s="187">
        <f t="shared" si="732"/>
        <v>0</v>
      </c>
      <c r="BX248" s="187">
        <f t="shared" si="733"/>
        <v>0</v>
      </c>
      <c r="BY248" s="187">
        <f t="shared" si="734"/>
        <v>0</v>
      </c>
      <c r="BZ248" s="187">
        <f t="shared" si="735"/>
        <v>0</v>
      </c>
      <c r="CA248" s="167">
        <f t="shared" si="736"/>
        <v>82</v>
      </c>
      <c r="CB248" s="167">
        <f t="shared" si="737"/>
        <v>96</v>
      </c>
      <c r="CC248" s="644">
        <f t="shared" si="738"/>
        <v>23</v>
      </c>
      <c r="CD248" s="644">
        <f t="shared" si="739"/>
        <v>19</v>
      </c>
      <c r="CE248" s="644">
        <f t="shared" si="740"/>
        <v>15</v>
      </c>
      <c r="CF248" s="644">
        <f t="shared" si="741"/>
        <v>15</v>
      </c>
      <c r="CG248" s="644">
        <f t="shared" si="742"/>
        <v>9</v>
      </c>
      <c r="CH248" s="644">
        <f t="shared" si="880"/>
        <v>0</v>
      </c>
      <c r="CI248" s="644">
        <f t="shared" si="744"/>
        <v>7</v>
      </c>
      <c r="CJ248" s="644">
        <f t="shared" si="745"/>
        <v>5</v>
      </c>
      <c r="CK248" s="644">
        <f t="shared" si="746"/>
        <v>0</v>
      </c>
      <c r="CL248" s="644">
        <f t="shared" si="747"/>
        <v>0</v>
      </c>
      <c r="CM248" s="644">
        <f t="shared" si="748"/>
        <v>3</v>
      </c>
      <c r="CN248" s="644">
        <f t="shared" si="749"/>
        <v>0</v>
      </c>
      <c r="CO248" s="644">
        <f t="shared" si="750"/>
        <v>0</v>
      </c>
      <c r="CP248" s="644">
        <f t="shared" si="751"/>
        <v>3</v>
      </c>
      <c r="CQ248" s="644">
        <f t="shared" si="752"/>
        <v>0</v>
      </c>
      <c r="CR248" s="644">
        <f t="shared" si="753"/>
        <v>0</v>
      </c>
      <c r="CS248" s="644">
        <f t="shared" si="754"/>
        <v>0</v>
      </c>
      <c r="CT248" s="644">
        <f t="shared" si="755"/>
        <v>0</v>
      </c>
      <c r="CU248" s="644">
        <f t="shared" si="756"/>
        <v>0</v>
      </c>
      <c r="CV248" s="644">
        <f t="shared" si="757"/>
        <v>0</v>
      </c>
      <c r="CW248" s="644">
        <f t="shared" si="758"/>
        <v>0</v>
      </c>
      <c r="CX248" s="644">
        <f t="shared" si="759"/>
        <v>0</v>
      </c>
      <c r="CY248" s="644">
        <f t="shared" si="760"/>
        <v>0</v>
      </c>
      <c r="CZ248" s="624" t="s">
        <v>754</v>
      </c>
    </row>
    <row r="249" spans="1:104">
      <c r="A249" s="253" t="s">
        <v>663</v>
      </c>
      <c r="B249" s="641"/>
      <c r="C249" s="641"/>
      <c r="D249" s="155"/>
      <c r="E249" s="644">
        <v>1</v>
      </c>
      <c r="F249" s="644">
        <v>1</v>
      </c>
      <c r="G249" s="644"/>
      <c r="H249" s="644"/>
      <c r="I249" s="644">
        <v>1</v>
      </c>
      <c r="J249" s="644"/>
      <c r="K249" s="644"/>
      <c r="L249" s="644"/>
      <c r="M249" s="644"/>
      <c r="N249" s="644"/>
      <c r="O249" s="644"/>
      <c r="P249" s="644"/>
      <c r="Q249" s="644"/>
      <c r="R249" s="644">
        <v>1</v>
      </c>
      <c r="S249" s="644"/>
      <c r="T249" s="644"/>
      <c r="U249" s="644">
        <v>1</v>
      </c>
      <c r="V249" s="644"/>
      <c r="W249" s="644"/>
      <c r="X249" s="644">
        <v>1</v>
      </c>
      <c r="Y249" s="644"/>
      <c r="Z249" s="644">
        <v>1</v>
      </c>
      <c r="AA249" s="644"/>
      <c r="AB249" s="644">
        <v>1</v>
      </c>
      <c r="AC249" s="644"/>
      <c r="AD249" s="644">
        <v>1</v>
      </c>
      <c r="AE249" s="644"/>
      <c r="AF249" s="644"/>
      <c r="AG249" s="644"/>
      <c r="AH249" s="644">
        <v>1</v>
      </c>
      <c r="AI249" s="644"/>
      <c r="AJ249" s="644"/>
      <c r="AK249" s="644"/>
      <c r="AL249" s="167">
        <v>10</v>
      </c>
      <c r="AM249" s="191" t="str">
        <f>HYPERLINK("http://bbwaa.com/15-hof-ballots/", "BBWAA.com")</f>
        <v>BBWAA.com</v>
      </c>
      <c r="AN249" s="192">
        <v>42014</v>
      </c>
      <c r="AO249" s="187"/>
      <c r="AP249" s="187">
        <f t="shared" si="703"/>
        <v>13</v>
      </c>
      <c r="AQ249" s="187">
        <f t="shared" si="704"/>
        <v>13</v>
      </c>
      <c r="AR249" s="187">
        <f t="shared" si="705"/>
        <v>13</v>
      </c>
      <c r="AS249" s="187">
        <f t="shared" si="706"/>
        <v>13</v>
      </c>
      <c r="AT249" s="187">
        <f t="shared" si="707"/>
        <v>9</v>
      </c>
      <c r="AU249" s="187">
        <f t="shared" si="708"/>
        <v>0</v>
      </c>
      <c r="AV249" s="187">
        <f t="shared" si="709"/>
        <v>0</v>
      </c>
      <c r="AW249" s="187">
        <f t="shared" si="710"/>
        <v>0</v>
      </c>
      <c r="AX249" s="187">
        <f t="shared" si="711"/>
        <v>7</v>
      </c>
      <c r="AY249" s="187">
        <f t="shared" si="712"/>
        <v>7</v>
      </c>
      <c r="AZ249" s="187">
        <f t="shared" si="713"/>
        <v>7</v>
      </c>
      <c r="BA249" s="187">
        <f t="shared" si="714"/>
        <v>7</v>
      </c>
      <c r="BB249" s="187">
        <f t="shared" si="715"/>
        <v>0</v>
      </c>
      <c r="BC249" s="187">
        <f t="shared" si="716"/>
        <v>0</v>
      </c>
      <c r="BD249" s="187">
        <f t="shared" si="717"/>
        <v>4</v>
      </c>
      <c r="BE249" s="187">
        <f t="shared" si="718"/>
        <v>0</v>
      </c>
      <c r="BF249" s="187">
        <f t="shared" si="719"/>
        <v>0</v>
      </c>
      <c r="BG249" s="187">
        <f t="shared" si="720"/>
        <v>0</v>
      </c>
      <c r="BH249" s="187">
        <f t="shared" si="721"/>
        <v>0</v>
      </c>
      <c r="BI249" s="187">
        <f t="shared" si="722"/>
        <v>0</v>
      </c>
      <c r="BJ249" s="187">
        <f t="shared" si="723"/>
        <v>0</v>
      </c>
      <c r="BK249" s="187">
        <f t="shared" si="724"/>
        <v>0</v>
      </c>
      <c r="BL249" s="187">
        <f t="shared" si="725"/>
        <v>0</v>
      </c>
      <c r="BM249" s="187">
        <f t="shared" si="726"/>
        <v>0</v>
      </c>
      <c r="BN249" s="188">
        <f t="shared" si="727"/>
        <v>0</v>
      </c>
      <c r="BO249" s="187">
        <f t="shared" si="728"/>
        <v>0</v>
      </c>
      <c r="BP249" s="187">
        <f t="shared" ref="BP249:BQ249" si="896">IF(G249=1,1,0)</f>
        <v>0</v>
      </c>
      <c r="BQ249" s="187">
        <f t="shared" si="896"/>
        <v>0</v>
      </c>
      <c r="BR249" s="187">
        <f t="shared" ref="BR249:BT249" si="897">IF(K249=1,1,0)</f>
        <v>0</v>
      </c>
      <c r="BS249" s="187">
        <f t="shared" si="897"/>
        <v>0</v>
      </c>
      <c r="BT249" s="187">
        <f t="shared" si="897"/>
        <v>0</v>
      </c>
      <c r="BU249" s="187">
        <f t="shared" ref="BU249:BV249" si="898">IF(P249=1,1,0)</f>
        <v>0</v>
      </c>
      <c r="BV249" s="187">
        <f t="shared" si="898"/>
        <v>0</v>
      </c>
      <c r="BW249" s="187">
        <f t="shared" si="732"/>
        <v>0</v>
      </c>
      <c r="BX249" s="187">
        <f t="shared" si="733"/>
        <v>0</v>
      </c>
      <c r="BY249" s="187">
        <f t="shared" si="734"/>
        <v>0</v>
      </c>
      <c r="BZ249" s="187">
        <f t="shared" si="735"/>
        <v>0</v>
      </c>
      <c r="CA249" s="167">
        <f t="shared" si="736"/>
        <v>93</v>
      </c>
      <c r="CB249" s="167">
        <f t="shared" si="737"/>
        <v>98</v>
      </c>
      <c r="CC249" s="644">
        <f t="shared" si="738"/>
        <v>23</v>
      </c>
      <c r="CD249" s="644">
        <f t="shared" si="739"/>
        <v>19</v>
      </c>
      <c r="CE249" s="644">
        <f t="shared" si="740"/>
        <v>15</v>
      </c>
      <c r="CF249" s="644">
        <f t="shared" si="741"/>
        <v>15</v>
      </c>
      <c r="CG249" s="644">
        <f t="shared" si="742"/>
        <v>9</v>
      </c>
      <c r="CH249" s="644">
        <f t="shared" si="880"/>
        <v>7</v>
      </c>
      <c r="CI249" s="644">
        <f t="shared" si="744"/>
        <v>0</v>
      </c>
      <c r="CJ249" s="644">
        <f t="shared" si="745"/>
        <v>5</v>
      </c>
      <c r="CK249" s="644">
        <f t="shared" si="746"/>
        <v>5</v>
      </c>
      <c r="CL249" s="644">
        <f t="shared" si="747"/>
        <v>5</v>
      </c>
      <c r="CM249" s="644">
        <f t="shared" si="748"/>
        <v>0</v>
      </c>
      <c r="CN249" s="644">
        <f t="shared" si="749"/>
        <v>0</v>
      </c>
      <c r="CO249" s="644">
        <f t="shared" si="750"/>
        <v>0</v>
      </c>
      <c r="CP249" s="644">
        <f t="shared" si="751"/>
        <v>3</v>
      </c>
      <c r="CQ249" s="644">
        <f t="shared" si="752"/>
        <v>0</v>
      </c>
      <c r="CR249" s="644">
        <f t="shared" si="753"/>
        <v>0</v>
      </c>
      <c r="CS249" s="644">
        <f t="shared" si="754"/>
        <v>0</v>
      </c>
      <c r="CT249" s="644">
        <f t="shared" si="755"/>
        <v>0</v>
      </c>
      <c r="CU249" s="644">
        <f t="shared" si="756"/>
        <v>1</v>
      </c>
      <c r="CV249" s="644">
        <f t="shared" si="757"/>
        <v>0</v>
      </c>
      <c r="CW249" s="644">
        <f t="shared" si="758"/>
        <v>0</v>
      </c>
      <c r="CX249" s="644">
        <f t="shared" si="759"/>
        <v>0</v>
      </c>
      <c r="CY249" s="644">
        <f t="shared" si="760"/>
        <v>0</v>
      </c>
      <c r="CZ249" s="624" t="s">
        <v>768</v>
      </c>
    </row>
    <row r="250" spans="1:104">
      <c r="A250" s="253" t="s">
        <v>174</v>
      </c>
      <c r="B250" s="641"/>
      <c r="C250" s="641"/>
      <c r="D250" s="155">
        <v>1</v>
      </c>
      <c r="E250" s="644">
        <v>1</v>
      </c>
      <c r="F250" s="644"/>
      <c r="G250" s="644"/>
      <c r="H250" s="644"/>
      <c r="I250" s="644"/>
      <c r="J250" s="644"/>
      <c r="K250" s="644"/>
      <c r="L250" s="644"/>
      <c r="M250" s="644"/>
      <c r="N250" s="644"/>
      <c r="O250" s="644"/>
      <c r="P250" s="644"/>
      <c r="Q250" s="644"/>
      <c r="R250" s="644">
        <v>1</v>
      </c>
      <c r="S250" s="644"/>
      <c r="T250" s="644"/>
      <c r="U250" s="644">
        <v>1</v>
      </c>
      <c r="V250" s="644"/>
      <c r="W250" s="644"/>
      <c r="X250" s="644"/>
      <c r="Y250" s="644"/>
      <c r="Z250" s="644"/>
      <c r="AA250" s="644"/>
      <c r="AB250" s="644">
        <v>1</v>
      </c>
      <c r="AC250" s="644"/>
      <c r="AD250" s="644"/>
      <c r="AE250" s="644"/>
      <c r="AF250" s="644"/>
      <c r="AG250" s="644"/>
      <c r="AH250" s="644">
        <v>1</v>
      </c>
      <c r="AI250" s="644"/>
      <c r="AJ250" s="644"/>
      <c r="AK250" s="644"/>
      <c r="AL250" s="167">
        <v>6</v>
      </c>
      <c r="AM250" s="191" t="s">
        <v>1289</v>
      </c>
      <c r="AN250" s="192">
        <v>42013</v>
      </c>
      <c r="AO250" s="187"/>
      <c r="AP250" s="187">
        <f t="shared" si="703"/>
        <v>0</v>
      </c>
      <c r="AQ250" s="187">
        <f t="shared" si="704"/>
        <v>0</v>
      </c>
      <c r="AR250" s="187">
        <f t="shared" si="705"/>
        <v>13</v>
      </c>
      <c r="AS250" s="187">
        <f t="shared" si="706"/>
        <v>13</v>
      </c>
      <c r="AT250" s="187">
        <f t="shared" si="707"/>
        <v>9</v>
      </c>
      <c r="AU250" s="187">
        <f t="shared" si="708"/>
        <v>9</v>
      </c>
      <c r="AV250" s="187">
        <f t="shared" si="709"/>
        <v>0</v>
      </c>
      <c r="AW250" s="187">
        <f t="shared" si="710"/>
        <v>0</v>
      </c>
      <c r="AX250" s="187">
        <f t="shared" si="711"/>
        <v>0</v>
      </c>
      <c r="AY250" s="187">
        <f t="shared" si="712"/>
        <v>0</v>
      </c>
      <c r="AZ250" s="187">
        <f t="shared" si="713"/>
        <v>7</v>
      </c>
      <c r="BA250" s="187">
        <f t="shared" si="714"/>
        <v>7</v>
      </c>
      <c r="BB250" s="187">
        <f t="shared" si="715"/>
        <v>0</v>
      </c>
      <c r="BC250" s="187">
        <f t="shared" si="716"/>
        <v>0</v>
      </c>
      <c r="BD250" s="187">
        <f t="shared" si="717"/>
        <v>0</v>
      </c>
      <c r="BE250" s="187">
        <f t="shared" si="718"/>
        <v>0</v>
      </c>
      <c r="BF250" s="187">
        <f t="shared" si="719"/>
        <v>0</v>
      </c>
      <c r="BG250" s="187">
        <f t="shared" si="720"/>
        <v>0</v>
      </c>
      <c r="BH250" s="187">
        <f t="shared" si="721"/>
        <v>0</v>
      </c>
      <c r="BI250" s="187">
        <f t="shared" si="722"/>
        <v>0</v>
      </c>
      <c r="BJ250" s="187">
        <f t="shared" si="723"/>
        <v>0</v>
      </c>
      <c r="BK250" s="187">
        <f t="shared" si="724"/>
        <v>0</v>
      </c>
      <c r="BL250" s="187">
        <f t="shared" si="725"/>
        <v>0</v>
      </c>
      <c r="BM250" s="187">
        <f t="shared" si="726"/>
        <v>0</v>
      </c>
      <c r="BN250" s="188">
        <f t="shared" si="727"/>
        <v>4</v>
      </c>
      <c r="BO250" s="187">
        <f t="shared" si="728"/>
        <v>0</v>
      </c>
      <c r="BP250" s="187">
        <f t="shared" ref="BP250:BQ250" si="899">IF(G250=1,1,0)</f>
        <v>0</v>
      </c>
      <c r="BQ250" s="187">
        <f t="shared" si="899"/>
        <v>0</v>
      </c>
      <c r="BR250" s="187">
        <f t="shared" ref="BR250:BT250" si="900">IF(K250=1,1,0)</f>
        <v>0</v>
      </c>
      <c r="BS250" s="187">
        <f t="shared" si="900"/>
        <v>0</v>
      </c>
      <c r="BT250" s="187">
        <f t="shared" si="900"/>
        <v>0</v>
      </c>
      <c r="BU250" s="187">
        <f t="shared" ref="BU250:BV250" si="901">IF(P250=1,1,0)</f>
        <v>0</v>
      </c>
      <c r="BV250" s="187">
        <f t="shared" si="901"/>
        <v>0</v>
      </c>
      <c r="BW250" s="187">
        <f t="shared" si="732"/>
        <v>0</v>
      </c>
      <c r="BX250" s="187">
        <f t="shared" si="733"/>
        <v>0</v>
      </c>
      <c r="BY250" s="187">
        <f t="shared" si="734"/>
        <v>4</v>
      </c>
      <c r="BZ250" s="187">
        <f t="shared" si="735"/>
        <v>-16</v>
      </c>
      <c r="CA250" s="167">
        <f t="shared" si="736"/>
        <v>42</v>
      </c>
      <c r="CB250" s="167">
        <f t="shared" si="737"/>
        <v>88</v>
      </c>
      <c r="CC250" s="644">
        <f t="shared" si="738"/>
        <v>23</v>
      </c>
      <c r="CD250" s="644">
        <f t="shared" si="739"/>
        <v>19</v>
      </c>
      <c r="CE250" s="644">
        <f t="shared" si="740"/>
        <v>15</v>
      </c>
      <c r="CF250" s="644">
        <f t="shared" si="741"/>
        <v>15</v>
      </c>
      <c r="CG250" s="644">
        <f t="shared" si="742"/>
        <v>9</v>
      </c>
      <c r="CH250" s="644">
        <f>IF(D221=1,7,0)</f>
        <v>7</v>
      </c>
      <c r="CI250" s="644">
        <f t="shared" si="744"/>
        <v>0</v>
      </c>
      <c r="CJ250" s="644">
        <f t="shared" si="745"/>
        <v>0</v>
      </c>
      <c r="CK250" s="644">
        <f t="shared" si="746"/>
        <v>0</v>
      </c>
      <c r="CL250" s="644">
        <f t="shared" si="747"/>
        <v>0</v>
      </c>
      <c r="CM250" s="644">
        <f t="shared" si="748"/>
        <v>0</v>
      </c>
      <c r="CN250" s="644">
        <f t="shared" si="749"/>
        <v>0</v>
      </c>
      <c r="CO250" s="644">
        <f t="shared" si="750"/>
        <v>0</v>
      </c>
      <c r="CP250" s="644">
        <f t="shared" si="751"/>
        <v>0</v>
      </c>
      <c r="CQ250" s="644">
        <f t="shared" si="752"/>
        <v>0</v>
      </c>
      <c r="CR250" s="644">
        <f t="shared" si="753"/>
        <v>0</v>
      </c>
      <c r="CS250" s="644">
        <f t="shared" si="754"/>
        <v>0</v>
      </c>
      <c r="CT250" s="644">
        <f t="shared" si="755"/>
        <v>0</v>
      </c>
      <c r="CU250" s="644">
        <f t="shared" si="756"/>
        <v>0</v>
      </c>
      <c r="CV250" s="644">
        <f t="shared" si="757"/>
        <v>0</v>
      </c>
      <c r="CW250" s="644">
        <f t="shared" si="758"/>
        <v>0</v>
      </c>
      <c r="CX250" s="644">
        <f t="shared" si="759"/>
        <v>0</v>
      </c>
      <c r="CY250" s="644">
        <f t="shared" si="760"/>
        <v>0</v>
      </c>
      <c r="CZ250" s="624" t="s">
        <v>740</v>
      </c>
    </row>
    <row r="251" spans="1:104">
      <c r="A251" s="253" t="s">
        <v>1290</v>
      </c>
      <c r="B251" s="641"/>
      <c r="C251" s="641"/>
      <c r="D251" s="155">
        <v>1</v>
      </c>
      <c r="E251" s="644">
        <v>1</v>
      </c>
      <c r="F251" s="644"/>
      <c r="G251" s="644"/>
      <c r="H251" s="644"/>
      <c r="I251" s="644"/>
      <c r="J251" s="644"/>
      <c r="K251" s="644"/>
      <c r="L251" s="644"/>
      <c r="M251" s="644"/>
      <c r="N251" s="644"/>
      <c r="O251" s="644"/>
      <c r="P251" s="644"/>
      <c r="Q251" s="644"/>
      <c r="R251" s="644">
        <v>1</v>
      </c>
      <c r="S251" s="644">
        <v>1</v>
      </c>
      <c r="T251" s="644"/>
      <c r="U251" s="644">
        <v>1</v>
      </c>
      <c r="V251" s="644"/>
      <c r="W251" s="644"/>
      <c r="X251" s="644"/>
      <c r="Y251" s="644"/>
      <c r="Z251" s="644">
        <v>1</v>
      </c>
      <c r="AA251" s="644"/>
      <c r="AB251" s="644">
        <v>1</v>
      </c>
      <c r="AC251" s="644"/>
      <c r="AD251" s="644"/>
      <c r="AE251" s="644"/>
      <c r="AF251" s="644"/>
      <c r="AG251" s="644">
        <v>1</v>
      </c>
      <c r="AH251" s="644">
        <v>1</v>
      </c>
      <c r="AI251" s="644"/>
      <c r="AJ251" s="644"/>
      <c r="AK251" s="644"/>
      <c r="AL251" s="167">
        <v>9</v>
      </c>
      <c r="AM251" s="191" t="str">
        <f>HYPERLINK("http://imgur.com/SA8NTHB", "Via email")</f>
        <v>Via email</v>
      </c>
      <c r="AN251" s="192">
        <v>42014</v>
      </c>
      <c r="AO251" s="187"/>
      <c r="AP251" s="187">
        <f t="shared" si="703"/>
        <v>0</v>
      </c>
      <c r="AQ251" s="187">
        <f t="shared" si="704"/>
        <v>0</v>
      </c>
      <c r="AR251" s="187">
        <f t="shared" si="705"/>
        <v>13</v>
      </c>
      <c r="AS251" s="187">
        <f t="shared" si="706"/>
        <v>13</v>
      </c>
      <c r="AT251" s="187">
        <f t="shared" si="707"/>
        <v>9</v>
      </c>
      <c r="AU251" s="187">
        <f t="shared" si="708"/>
        <v>9</v>
      </c>
      <c r="AV251" s="187">
        <f t="shared" si="709"/>
        <v>0</v>
      </c>
      <c r="AW251" s="187">
        <f t="shared" si="710"/>
        <v>0</v>
      </c>
      <c r="AX251" s="187">
        <f t="shared" si="711"/>
        <v>0</v>
      </c>
      <c r="AY251" s="187">
        <f t="shared" si="712"/>
        <v>7</v>
      </c>
      <c r="AZ251" s="187">
        <f t="shared" si="713"/>
        <v>7</v>
      </c>
      <c r="BA251" s="187">
        <f t="shared" si="714"/>
        <v>7</v>
      </c>
      <c r="BB251" s="187">
        <f t="shared" si="715"/>
        <v>0</v>
      </c>
      <c r="BC251" s="187">
        <f t="shared" si="716"/>
        <v>0</v>
      </c>
      <c r="BD251" s="187">
        <f t="shared" si="717"/>
        <v>0</v>
      </c>
      <c r="BE251" s="187">
        <f t="shared" si="718"/>
        <v>0</v>
      </c>
      <c r="BF251" s="187">
        <f t="shared" si="719"/>
        <v>0</v>
      </c>
      <c r="BG251" s="187">
        <f t="shared" si="720"/>
        <v>0</v>
      </c>
      <c r="BH251" s="187">
        <f t="shared" si="721"/>
        <v>2</v>
      </c>
      <c r="BI251" s="187">
        <f t="shared" si="722"/>
        <v>0</v>
      </c>
      <c r="BJ251" s="187">
        <f t="shared" si="723"/>
        <v>1</v>
      </c>
      <c r="BK251" s="187">
        <f t="shared" si="724"/>
        <v>0</v>
      </c>
      <c r="BL251" s="187">
        <f t="shared" si="725"/>
        <v>0</v>
      </c>
      <c r="BM251" s="187">
        <f t="shared" si="726"/>
        <v>0</v>
      </c>
      <c r="BN251" s="188">
        <f t="shared" si="727"/>
        <v>1</v>
      </c>
      <c r="BO251" s="187">
        <f t="shared" si="728"/>
        <v>0</v>
      </c>
      <c r="BP251" s="187">
        <f t="shared" ref="BP251:BQ251" si="902">IF(G251=1,1,0)</f>
        <v>0</v>
      </c>
      <c r="BQ251" s="187">
        <f t="shared" si="902"/>
        <v>0</v>
      </c>
      <c r="BR251" s="187">
        <f t="shared" ref="BR251:BT251" si="903">IF(K251=1,1,0)</f>
        <v>0</v>
      </c>
      <c r="BS251" s="187">
        <f t="shared" si="903"/>
        <v>0</v>
      </c>
      <c r="BT251" s="187">
        <f t="shared" si="903"/>
        <v>0</v>
      </c>
      <c r="BU251" s="187">
        <f t="shared" ref="BU251:BV251" si="904">IF(P251=1,1,0)</f>
        <v>0</v>
      </c>
      <c r="BV251" s="187">
        <f t="shared" si="904"/>
        <v>0</v>
      </c>
      <c r="BW251" s="187">
        <f t="shared" si="732"/>
        <v>0</v>
      </c>
      <c r="BX251" s="187">
        <f t="shared" si="733"/>
        <v>0</v>
      </c>
      <c r="BY251" s="187">
        <f t="shared" si="734"/>
        <v>1</v>
      </c>
      <c r="BZ251" s="187">
        <f t="shared" si="735"/>
        <v>-1</v>
      </c>
      <c r="CA251" s="167">
        <f t="shared" si="736"/>
        <v>67</v>
      </c>
      <c r="CB251" s="167">
        <f t="shared" si="737"/>
        <v>89</v>
      </c>
      <c r="CC251" s="644">
        <f t="shared" si="738"/>
        <v>23</v>
      </c>
      <c r="CD251" s="644">
        <f t="shared" si="739"/>
        <v>19</v>
      </c>
      <c r="CE251" s="644">
        <f t="shared" si="740"/>
        <v>15</v>
      </c>
      <c r="CF251" s="644">
        <f t="shared" si="741"/>
        <v>15</v>
      </c>
      <c r="CG251" s="644">
        <f t="shared" si="742"/>
        <v>9</v>
      </c>
      <c r="CH251" s="644">
        <f>IF(D222=1,7,0)</f>
        <v>0</v>
      </c>
      <c r="CI251" s="644">
        <f t="shared" si="744"/>
        <v>0</v>
      </c>
      <c r="CJ251" s="644">
        <f t="shared" si="745"/>
        <v>0</v>
      </c>
      <c r="CK251" s="644">
        <f t="shared" si="746"/>
        <v>0</v>
      </c>
      <c r="CL251" s="644">
        <f t="shared" si="747"/>
        <v>0</v>
      </c>
      <c r="CM251" s="644">
        <f t="shared" si="748"/>
        <v>3</v>
      </c>
      <c r="CN251" s="644">
        <f t="shared" si="749"/>
        <v>0</v>
      </c>
      <c r="CO251" s="644">
        <f t="shared" si="750"/>
        <v>0</v>
      </c>
      <c r="CP251" s="644">
        <f t="shared" si="751"/>
        <v>3</v>
      </c>
      <c r="CQ251" s="644">
        <f t="shared" si="752"/>
        <v>2</v>
      </c>
      <c r="CR251" s="644">
        <f t="shared" si="753"/>
        <v>0</v>
      </c>
      <c r="CS251" s="644">
        <f t="shared" si="754"/>
        <v>0</v>
      </c>
      <c r="CT251" s="644">
        <f t="shared" si="755"/>
        <v>0</v>
      </c>
      <c r="CU251" s="644">
        <f t="shared" si="756"/>
        <v>0</v>
      </c>
      <c r="CV251" s="644">
        <f t="shared" si="757"/>
        <v>0</v>
      </c>
      <c r="CW251" s="644">
        <f t="shared" si="758"/>
        <v>0</v>
      </c>
      <c r="CX251" s="644">
        <f t="shared" si="759"/>
        <v>0</v>
      </c>
      <c r="CY251" s="644">
        <f t="shared" si="760"/>
        <v>0</v>
      </c>
      <c r="CZ251" s="624" t="s">
        <v>814</v>
      </c>
    </row>
    <row r="252" spans="1:104">
      <c r="A252" s="253" t="s">
        <v>1291</v>
      </c>
      <c r="B252" s="641"/>
      <c r="C252" s="641"/>
      <c r="D252" s="280"/>
      <c r="E252" s="644">
        <v>1</v>
      </c>
      <c r="F252" s="644">
        <v>1</v>
      </c>
      <c r="G252" s="644"/>
      <c r="H252" s="644"/>
      <c r="I252" s="644">
        <v>1</v>
      </c>
      <c r="J252" s="644"/>
      <c r="K252" s="644"/>
      <c r="L252" s="644"/>
      <c r="M252" s="644"/>
      <c r="N252" s="644"/>
      <c r="O252" s="644"/>
      <c r="P252" s="644"/>
      <c r="Q252" s="644"/>
      <c r="R252" s="644">
        <v>1</v>
      </c>
      <c r="S252" s="644"/>
      <c r="T252" s="644"/>
      <c r="U252" s="644">
        <v>1</v>
      </c>
      <c r="V252" s="644"/>
      <c r="W252" s="644"/>
      <c r="X252" s="644"/>
      <c r="Y252" s="644"/>
      <c r="Z252" s="644"/>
      <c r="AA252" s="644"/>
      <c r="AB252" s="644">
        <v>1</v>
      </c>
      <c r="AC252" s="644">
        <v>1</v>
      </c>
      <c r="AD252" s="644"/>
      <c r="AE252" s="644"/>
      <c r="AF252" s="644"/>
      <c r="AG252" s="644">
        <v>1</v>
      </c>
      <c r="AH252" s="644">
        <v>1</v>
      </c>
      <c r="AI252" s="644"/>
      <c r="AJ252" s="644"/>
      <c r="AK252" s="644"/>
      <c r="AL252" s="167">
        <v>9</v>
      </c>
      <c r="AM252" s="191" t="str">
        <f>HYPERLINK("http://bbwaa.com/15-hof-ballots/", "BBWAA.com")</f>
        <v>BBWAA.com</v>
      </c>
      <c r="AN252" s="192">
        <v>42014</v>
      </c>
      <c r="AO252" s="187"/>
      <c r="AP252" s="187">
        <f t="shared" si="703"/>
        <v>13</v>
      </c>
      <c r="AQ252" s="187">
        <f t="shared" si="704"/>
        <v>13</v>
      </c>
      <c r="AR252" s="187">
        <f t="shared" si="705"/>
        <v>13</v>
      </c>
      <c r="AS252" s="187">
        <f t="shared" si="706"/>
        <v>13</v>
      </c>
      <c r="AT252" s="187">
        <f t="shared" si="707"/>
        <v>9</v>
      </c>
      <c r="AU252" s="187">
        <f t="shared" si="708"/>
        <v>0</v>
      </c>
      <c r="AV252" s="187">
        <f t="shared" si="709"/>
        <v>9</v>
      </c>
      <c r="AW252" s="187">
        <f t="shared" si="710"/>
        <v>0</v>
      </c>
      <c r="AX252" s="187">
        <f t="shared" si="711"/>
        <v>0</v>
      </c>
      <c r="AY252" s="187">
        <f t="shared" si="712"/>
        <v>0</v>
      </c>
      <c r="AZ252" s="187">
        <f t="shared" si="713"/>
        <v>7</v>
      </c>
      <c r="BA252" s="187">
        <f t="shared" si="714"/>
        <v>7</v>
      </c>
      <c r="BB252" s="187">
        <f t="shared" si="715"/>
        <v>0</v>
      </c>
      <c r="BC252" s="187">
        <f t="shared" si="716"/>
        <v>0</v>
      </c>
      <c r="BD252" s="187">
        <f t="shared" si="717"/>
        <v>0</v>
      </c>
      <c r="BE252" s="187">
        <f t="shared" si="718"/>
        <v>0</v>
      </c>
      <c r="BF252" s="187">
        <f t="shared" si="719"/>
        <v>0</v>
      </c>
      <c r="BG252" s="187">
        <f t="shared" si="720"/>
        <v>0</v>
      </c>
      <c r="BH252" s="187">
        <f t="shared" si="721"/>
        <v>0</v>
      </c>
      <c r="BI252" s="187">
        <f t="shared" si="722"/>
        <v>0</v>
      </c>
      <c r="BJ252" s="187">
        <f t="shared" si="723"/>
        <v>1</v>
      </c>
      <c r="BK252" s="187">
        <f t="shared" si="724"/>
        <v>0</v>
      </c>
      <c r="BL252" s="187">
        <f t="shared" si="725"/>
        <v>0</v>
      </c>
      <c r="BM252" s="187">
        <f t="shared" si="726"/>
        <v>0</v>
      </c>
      <c r="BN252" s="188">
        <f t="shared" si="727"/>
        <v>1</v>
      </c>
      <c r="BO252" s="187">
        <f t="shared" si="728"/>
        <v>0</v>
      </c>
      <c r="BP252" s="187">
        <f t="shared" ref="BP252:BQ252" si="905">IF(G252=1,1,0)</f>
        <v>0</v>
      </c>
      <c r="BQ252" s="187">
        <f t="shared" si="905"/>
        <v>0</v>
      </c>
      <c r="BR252" s="187">
        <f t="shared" ref="BR252:BT252" si="906">IF(K252=1,1,0)</f>
        <v>0</v>
      </c>
      <c r="BS252" s="187">
        <f t="shared" si="906"/>
        <v>0</v>
      </c>
      <c r="BT252" s="187">
        <f t="shared" si="906"/>
        <v>0</v>
      </c>
      <c r="BU252" s="187">
        <f t="shared" ref="BU252:BV252" si="907">IF(P252=1,1,0)</f>
        <v>0</v>
      </c>
      <c r="BV252" s="187">
        <f t="shared" si="907"/>
        <v>0</v>
      </c>
      <c r="BW252" s="187">
        <f t="shared" si="732"/>
        <v>0</v>
      </c>
      <c r="BX252" s="187">
        <f t="shared" si="733"/>
        <v>0</v>
      </c>
      <c r="BY252" s="187">
        <f t="shared" si="734"/>
        <v>1</v>
      </c>
      <c r="BZ252" s="187">
        <f t="shared" si="735"/>
        <v>-1</v>
      </c>
      <c r="CA252" s="167">
        <f t="shared" si="736"/>
        <v>84</v>
      </c>
      <c r="CB252" s="167">
        <f t="shared" si="737"/>
        <v>98</v>
      </c>
      <c r="CC252" s="644">
        <f t="shared" si="738"/>
        <v>23</v>
      </c>
      <c r="CD252" s="644">
        <f t="shared" si="739"/>
        <v>19</v>
      </c>
      <c r="CE252" s="644">
        <f t="shared" si="740"/>
        <v>15</v>
      </c>
      <c r="CF252" s="644">
        <f t="shared" si="741"/>
        <v>15</v>
      </c>
      <c r="CG252" s="644">
        <f t="shared" si="742"/>
        <v>9</v>
      </c>
      <c r="CH252" s="644">
        <f>IF(D223=1,7,0)</f>
        <v>0</v>
      </c>
      <c r="CI252" s="644">
        <f t="shared" si="744"/>
        <v>7</v>
      </c>
      <c r="CJ252" s="644">
        <f t="shared" si="745"/>
        <v>0</v>
      </c>
      <c r="CK252" s="644">
        <f t="shared" si="746"/>
        <v>5</v>
      </c>
      <c r="CL252" s="644">
        <f t="shared" si="747"/>
        <v>5</v>
      </c>
      <c r="CM252" s="644">
        <f t="shared" si="748"/>
        <v>3</v>
      </c>
      <c r="CN252" s="644">
        <f t="shared" si="749"/>
        <v>0</v>
      </c>
      <c r="CO252" s="644">
        <f t="shared" si="750"/>
        <v>0</v>
      </c>
      <c r="CP252" s="644">
        <f t="shared" si="751"/>
        <v>0</v>
      </c>
      <c r="CQ252" s="644">
        <f t="shared" si="752"/>
        <v>0</v>
      </c>
      <c r="CR252" s="644">
        <f t="shared" si="753"/>
        <v>0</v>
      </c>
      <c r="CS252" s="644">
        <f t="shared" si="754"/>
        <v>0</v>
      </c>
      <c r="CT252" s="644">
        <f t="shared" si="755"/>
        <v>0</v>
      </c>
      <c r="CU252" s="644">
        <f t="shared" si="756"/>
        <v>0</v>
      </c>
      <c r="CV252" s="644">
        <f t="shared" si="757"/>
        <v>0</v>
      </c>
      <c r="CW252" s="644">
        <f t="shared" si="758"/>
        <v>0</v>
      </c>
      <c r="CX252" s="644">
        <f t="shared" si="759"/>
        <v>0</v>
      </c>
      <c r="CY252" s="644">
        <f t="shared" si="760"/>
        <v>0</v>
      </c>
      <c r="CZ252" s="624" t="s">
        <v>743</v>
      </c>
    </row>
    <row r="253" spans="1:104">
      <c r="A253" s="253" t="s">
        <v>1292</v>
      </c>
      <c r="B253" s="641"/>
      <c r="C253" s="641"/>
      <c r="D253" s="155"/>
      <c r="E253" s="644">
        <v>1</v>
      </c>
      <c r="F253" s="644"/>
      <c r="G253" s="644"/>
      <c r="H253" s="644"/>
      <c r="I253" s="644"/>
      <c r="J253" s="644"/>
      <c r="K253" s="644"/>
      <c r="L253" s="644"/>
      <c r="M253" s="644"/>
      <c r="N253" s="644"/>
      <c r="O253" s="644"/>
      <c r="P253" s="644"/>
      <c r="Q253" s="644"/>
      <c r="R253" s="644">
        <v>1</v>
      </c>
      <c r="S253" s="644"/>
      <c r="T253" s="644"/>
      <c r="U253" s="644">
        <v>1</v>
      </c>
      <c r="V253" s="644"/>
      <c r="W253" s="644"/>
      <c r="X253" s="644"/>
      <c r="Y253" s="644"/>
      <c r="Z253" s="644"/>
      <c r="AA253" s="644"/>
      <c r="AB253" s="644">
        <v>1</v>
      </c>
      <c r="AC253" s="644">
        <v>1</v>
      </c>
      <c r="AD253" s="644">
        <v>1</v>
      </c>
      <c r="AE253" s="644"/>
      <c r="AF253" s="644"/>
      <c r="AG253" s="644"/>
      <c r="AH253" s="644">
        <v>1</v>
      </c>
      <c r="AI253" s="644"/>
      <c r="AJ253" s="644">
        <v>1</v>
      </c>
      <c r="AK253" s="644"/>
      <c r="AL253" s="167">
        <v>8</v>
      </c>
      <c r="AM253" s="191" t="s">
        <v>1293</v>
      </c>
      <c r="AN253" s="192">
        <v>42014</v>
      </c>
      <c r="AO253" s="187"/>
      <c r="AP253" s="187">
        <f t="shared" si="703"/>
        <v>0</v>
      </c>
      <c r="AQ253" s="187">
        <f t="shared" si="704"/>
        <v>0</v>
      </c>
      <c r="AR253" s="187">
        <f t="shared" si="705"/>
        <v>13</v>
      </c>
      <c r="AS253" s="187">
        <f t="shared" si="706"/>
        <v>13</v>
      </c>
      <c r="AT253" s="187">
        <f t="shared" si="707"/>
        <v>9</v>
      </c>
      <c r="AU253" s="187">
        <f t="shared" si="708"/>
        <v>0</v>
      </c>
      <c r="AV253" s="187">
        <f t="shared" si="709"/>
        <v>9</v>
      </c>
      <c r="AW253" s="187">
        <f t="shared" si="710"/>
        <v>7</v>
      </c>
      <c r="AX253" s="187">
        <f t="shared" si="711"/>
        <v>7</v>
      </c>
      <c r="AY253" s="187">
        <f t="shared" si="712"/>
        <v>0</v>
      </c>
      <c r="AZ253" s="187">
        <f t="shared" si="713"/>
        <v>7</v>
      </c>
      <c r="BA253" s="187">
        <f t="shared" si="714"/>
        <v>7</v>
      </c>
      <c r="BB253" s="187">
        <f t="shared" si="715"/>
        <v>0</v>
      </c>
      <c r="BC253" s="187">
        <f t="shared" si="716"/>
        <v>0</v>
      </c>
      <c r="BD253" s="187">
        <f t="shared" si="717"/>
        <v>0</v>
      </c>
      <c r="BE253" s="187">
        <f t="shared" si="718"/>
        <v>0</v>
      </c>
      <c r="BF253" s="187">
        <f t="shared" si="719"/>
        <v>0</v>
      </c>
      <c r="BG253" s="187">
        <f t="shared" si="720"/>
        <v>0</v>
      </c>
      <c r="BH253" s="187">
        <f t="shared" si="721"/>
        <v>0</v>
      </c>
      <c r="BI253" s="187">
        <f t="shared" si="722"/>
        <v>0</v>
      </c>
      <c r="BJ253" s="187">
        <f t="shared" si="723"/>
        <v>0</v>
      </c>
      <c r="BK253" s="187">
        <f t="shared" si="724"/>
        <v>0</v>
      </c>
      <c r="BL253" s="187">
        <f t="shared" si="725"/>
        <v>0</v>
      </c>
      <c r="BM253" s="187">
        <f t="shared" si="726"/>
        <v>0</v>
      </c>
      <c r="BN253" s="188">
        <f t="shared" si="727"/>
        <v>2</v>
      </c>
      <c r="BO253" s="187">
        <f t="shared" si="728"/>
        <v>0</v>
      </c>
      <c r="BP253" s="187">
        <f t="shared" ref="BP253:BQ253" si="908">IF(G253=1,1,0)</f>
        <v>0</v>
      </c>
      <c r="BQ253" s="187">
        <f t="shared" si="908"/>
        <v>0</v>
      </c>
      <c r="BR253" s="187">
        <f t="shared" ref="BR253:BT253" si="909">IF(K253=1,1,0)</f>
        <v>0</v>
      </c>
      <c r="BS253" s="187">
        <f t="shared" si="909"/>
        <v>0</v>
      </c>
      <c r="BT253" s="187">
        <f t="shared" si="909"/>
        <v>0</v>
      </c>
      <c r="BU253" s="187">
        <f t="shared" ref="BU253:BV253" si="910">IF(P253=1,1,0)</f>
        <v>0</v>
      </c>
      <c r="BV253" s="187">
        <f t="shared" si="910"/>
        <v>0</v>
      </c>
      <c r="BW253" s="187">
        <f t="shared" si="732"/>
        <v>0</v>
      </c>
      <c r="BX253" s="187">
        <f t="shared" si="733"/>
        <v>0</v>
      </c>
      <c r="BY253" s="187">
        <f t="shared" si="734"/>
        <v>2</v>
      </c>
      <c r="BZ253" s="187">
        <f t="shared" si="735"/>
        <v>-4</v>
      </c>
      <c r="CA253" s="167">
        <f t="shared" si="736"/>
        <v>68</v>
      </c>
      <c r="CB253" s="167">
        <f t="shared" si="737"/>
        <v>96</v>
      </c>
      <c r="CC253" s="644">
        <f t="shared" si="738"/>
        <v>23</v>
      </c>
      <c r="CD253" s="644">
        <f t="shared" si="739"/>
        <v>19</v>
      </c>
      <c r="CE253" s="644">
        <f t="shared" si="740"/>
        <v>15</v>
      </c>
      <c r="CF253" s="644">
        <f t="shared" si="741"/>
        <v>15</v>
      </c>
      <c r="CG253" s="644">
        <f t="shared" si="742"/>
        <v>9</v>
      </c>
      <c r="CH253" s="644">
        <f>IF(D222=1,7,0)</f>
        <v>0</v>
      </c>
      <c r="CI253" s="644">
        <f t="shared" si="744"/>
        <v>7</v>
      </c>
      <c r="CJ253" s="644">
        <f t="shared" si="745"/>
        <v>5</v>
      </c>
      <c r="CK253" s="644">
        <f t="shared" si="746"/>
        <v>0</v>
      </c>
      <c r="CL253" s="644">
        <f t="shared" si="747"/>
        <v>0</v>
      </c>
      <c r="CM253" s="644">
        <f t="shared" si="748"/>
        <v>0</v>
      </c>
      <c r="CN253" s="644">
        <f t="shared" si="749"/>
        <v>0</v>
      </c>
      <c r="CO253" s="644">
        <f t="shared" si="750"/>
        <v>3</v>
      </c>
      <c r="CP253" s="644">
        <f t="shared" si="751"/>
        <v>0</v>
      </c>
      <c r="CQ253" s="644">
        <f t="shared" si="752"/>
        <v>0</v>
      </c>
      <c r="CR253" s="644">
        <f t="shared" si="753"/>
        <v>0</v>
      </c>
      <c r="CS253" s="644">
        <f t="shared" si="754"/>
        <v>0</v>
      </c>
      <c r="CT253" s="644">
        <f t="shared" si="755"/>
        <v>0</v>
      </c>
      <c r="CU253" s="644">
        <f t="shared" si="756"/>
        <v>0</v>
      </c>
      <c r="CV253" s="644">
        <f t="shared" si="757"/>
        <v>0</v>
      </c>
      <c r="CW253" s="644">
        <f t="shared" si="758"/>
        <v>0</v>
      </c>
      <c r="CX253" s="644">
        <f t="shared" si="759"/>
        <v>0</v>
      </c>
      <c r="CY253" s="644">
        <f t="shared" si="760"/>
        <v>0</v>
      </c>
      <c r="CZ253" s="624" t="s">
        <v>756</v>
      </c>
    </row>
    <row r="254" spans="1:104">
      <c r="A254" s="253" t="s">
        <v>1294</v>
      </c>
      <c r="B254" s="641"/>
      <c r="C254" s="641"/>
      <c r="D254" s="155">
        <v>1</v>
      </c>
      <c r="E254" s="644">
        <v>1</v>
      </c>
      <c r="F254" s="644"/>
      <c r="G254" s="644"/>
      <c r="H254" s="644"/>
      <c r="I254" s="644"/>
      <c r="J254" s="644"/>
      <c r="K254" s="644"/>
      <c r="L254" s="644"/>
      <c r="M254" s="644"/>
      <c r="N254" s="644"/>
      <c r="O254" s="644"/>
      <c r="P254" s="644"/>
      <c r="Q254" s="644"/>
      <c r="R254" s="644">
        <v>1</v>
      </c>
      <c r="S254" s="644"/>
      <c r="T254" s="644"/>
      <c r="U254" s="644">
        <v>1</v>
      </c>
      <c r="V254" s="644">
        <v>1</v>
      </c>
      <c r="W254" s="644"/>
      <c r="X254" s="644"/>
      <c r="Y254" s="644"/>
      <c r="Z254" s="644"/>
      <c r="AA254" s="644"/>
      <c r="AB254" s="644">
        <v>1</v>
      </c>
      <c r="AC254" s="644">
        <v>1</v>
      </c>
      <c r="AD254" s="644">
        <v>1</v>
      </c>
      <c r="AE254" s="644"/>
      <c r="AF254" s="644"/>
      <c r="AG254" s="644"/>
      <c r="AH254" s="644">
        <v>1</v>
      </c>
      <c r="AI254" s="644"/>
      <c r="AJ254" s="644"/>
      <c r="AK254" s="644">
        <v>1</v>
      </c>
      <c r="AL254" s="167">
        <v>10</v>
      </c>
      <c r="AM254" s="191" t="str">
        <f>HYPERLINK("http://bbwaa.com/15-hof-ballots/", "BBWAA.com")</f>
        <v>BBWAA.com</v>
      </c>
      <c r="AN254" s="192">
        <v>42017</v>
      </c>
      <c r="AO254" s="187"/>
      <c r="AP254" s="187">
        <f t="shared" si="703"/>
        <v>0</v>
      </c>
      <c r="AQ254" s="187">
        <f t="shared" si="704"/>
        <v>0</v>
      </c>
      <c r="AR254" s="187">
        <f t="shared" si="705"/>
        <v>13</v>
      </c>
      <c r="AS254" s="187">
        <f t="shared" si="706"/>
        <v>13</v>
      </c>
      <c r="AT254" s="187">
        <f t="shared" si="707"/>
        <v>9</v>
      </c>
      <c r="AU254" s="187">
        <f t="shared" si="708"/>
        <v>9</v>
      </c>
      <c r="AV254" s="187">
        <f t="shared" si="709"/>
        <v>9</v>
      </c>
      <c r="AW254" s="187">
        <f t="shared" si="710"/>
        <v>0</v>
      </c>
      <c r="AX254" s="187">
        <f t="shared" si="711"/>
        <v>7</v>
      </c>
      <c r="AY254" s="187">
        <f t="shared" si="712"/>
        <v>0</v>
      </c>
      <c r="AZ254" s="187">
        <f t="shared" si="713"/>
        <v>7</v>
      </c>
      <c r="BA254" s="187">
        <f t="shared" si="714"/>
        <v>7</v>
      </c>
      <c r="BB254" s="187">
        <f t="shared" si="715"/>
        <v>4</v>
      </c>
      <c r="BC254" s="187">
        <f t="shared" si="716"/>
        <v>0</v>
      </c>
      <c r="BD254" s="187">
        <f t="shared" si="717"/>
        <v>0</v>
      </c>
      <c r="BE254" s="187">
        <f t="shared" si="718"/>
        <v>0</v>
      </c>
      <c r="BF254" s="187">
        <f t="shared" si="719"/>
        <v>0</v>
      </c>
      <c r="BG254" s="187">
        <f t="shared" si="720"/>
        <v>0</v>
      </c>
      <c r="BH254" s="187">
        <f t="shared" si="721"/>
        <v>0</v>
      </c>
      <c r="BI254" s="187">
        <f t="shared" si="722"/>
        <v>1</v>
      </c>
      <c r="BJ254" s="187">
        <f t="shared" si="723"/>
        <v>0</v>
      </c>
      <c r="BK254" s="187">
        <f t="shared" si="724"/>
        <v>0</v>
      </c>
      <c r="BL254" s="187">
        <f t="shared" si="725"/>
        <v>0</v>
      </c>
      <c r="BM254" s="187">
        <f t="shared" si="726"/>
        <v>0</v>
      </c>
      <c r="BN254" s="188">
        <f t="shared" si="727"/>
        <v>0</v>
      </c>
      <c r="BO254" s="187">
        <f t="shared" si="728"/>
        <v>0</v>
      </c>
      <c r="BP254" s="187">
        <f t="shared" ref="BP254:BQ254" si="911">IF(G254=1,1,0)</f>
        <v>0</v>
      </c>
      <c r="BQ254" s="187">
        <f t="shared" si="911"/>
        <v>0</v>
      </c>
      <c r="BR254" s="187">
        <f t="shared" ref="BR254:BT254" si="912">IF(K254=1,1,0)</f>
        <v>0</v>
      </c>
      <c r="BS254" s="187">
        <f t="shared" si="912"/>
        <v>0</v>
      </c>
      <c r="BT254" s="187">
        <f t="shared" si="912"/>
        <v>0</v>
      </c>
      <c r="BU254" s="187">
        <f t="shared" ref="BU254:BV254" si="913">IF(P254=1,1,0)</f>
        <v>0</v>
      </c>
      <c r="BV254" s="187">
        <f t="shared" si="913"/>
        <v>0</v>
      </c>
      <c r="BW254" s="187">
        <f t="shared" si="732"/>
        <v>0</v>
      </c>
      <c r="BX254" s="187">
        <f t="shared" si="733"/>
        <v>0</v>
      </c>
      <c r="BY254" s="187">
        <f t="shared" si="734"/>
        <v>0</v>
      </c>
      <c r="BZ254" s="187">
        <f t="shared" si="735"/>
        <v>0</v>
      </c>
      <c r="CA254" s="167">
        <f t="shared" si="736"/>
        <v>79</v>
      </c>
      <c r="CB254" s="167">
        <f t="shared" si="737"/>
        <v>95</v>
      </c>
      <c r="CC254" s="644">
        <f t="shared" si="738"/>
        <v>23</v>
      </c>
      <c r="CD254" s="644">
        <f t="shared" si="739"/>
        <v>19</v>
      </c>
      <c r="CE254" s="644">
        <f t="shared" si="740"/>
        <v>15</v>
      </c>
      <c r="CF254" s="644">
        <f t="shared" si="741"/>
        <v>15</v>
      </c>
      <c r="CG254" s="644">
        <f t="shared" si="742"/>
        <v>9</v>
      </c>
      <c r="CH254" s="644">
        <f>IF(D223=1,7,0)</f>
        <v>0</v>
      </c>
      <c r="CI254" s="644">
        <f t="shared" si="744"/>
        <v>7</v>
      </c>
      <c r="CJ254" s="644">
        <f t="shared" si="745"/>
        <v>5</v>
      </c>
      <c r="CK254" s="644">
        <f t="shared" si="746"/>
        <v>0</v>
      </c>
      <c r="CL254" s="644">
        <f t="shared" si="747"/>
        <v>0</v>
      </c>
      <c r="CM254" s="644">
        <f t="shared" si="748"/>
        <v>0</v>
      </c>
      <c r="CN254" s="644">
        <f t="shared" si="749"/>
        <v>0</v>
      </c>
      <c r="CO254" s="644">
        <f t="shared" si="750"/>
        <v>0</v>
      </c>
      <c r="CP254" s="644">
        <f t="shared" si="751"/>
        <v>0</v>
      </c>
      <c r="CQ254" s="644">
        <f t="shared" si="752"/>
        <v>0</v>
      </c>
      <c r="CR254" s="644">
        <f t="shared" si="753"/>
        <v>0</v>
      </c>
      <c r="CS254" s="644">
        <f t="shared" si="754"/>
        <v>2</v>
      </c>
      <c r="CT254" s="644">
        <f t="shared" si="755"/>
        <v>0</v>
      </c>
      <c r="CU254" s="644">
        <f t="shared" si="756"/>
        <v>0</v>
      </c>
      <c r="CV254" s="644">
        <f t="shared" si="757"/>
        <v>1</v>
      </c>
      <c r="CW254" s="644">
        <f t="shared" si="758"/>
        <v>0</v>
      </c>
      <c r="CX254" s="644">
        <f t="shared" si="759"/>
        <v>0</v>
      </c>
      <c r="CY254" s="644">
        <f t="shared" si="760"/>
        <v>0</v>
      </c>
      <c r="CZ254" s="624" t="s">
        <v>743</v>
      </c>
    </row>
    <row r="255" spans="1:104">
      <c r="A255" s="253" t="s">
        <v>1295</v>
      </c>
      <c r="B255" s="641"/>
      <c r="C255" s="641"/>
      <c r="D255" s="280"/>
      <c r="E255" s="644"/>
      <c r="F255" s="644">
        <v>1</v>
      </c>
      <c r="G255" s="644"/>
      <c r="H255" s="644"/>
      <c r="I255" s="644">
        <v>1</v>
      </c>
      <c r="J255" s="644"/>
      <c r="K255" s="644"/>
      <c r="L255" s="644"/>
      <c r="M255" s="644"/>
      <c r="N255" s="644"/>
      <c r="O255" s="644"/>
      <c r="P255" s="644"/>
      <c r="Q255" s="644"/>
      <c r="R255" s="644">
        <v>1</v>
      </c>
      <c r="S255" s="644"/>
      <c r="T255" s="644"/>
      <c r="U255" s="644">
        <v>1</v>
      </c>
      <c r="V255" s="644"/>
      <c r="W255" s="644"/>
      <c r="X255" s="644"/>
      <c r="Y255" s="644"/>
      <c r="Z255" s="644"/>
      <c r="AA255" s="644"/>
      <c r="AB255" s="644"/>
      <c r="AC255" s="644"/>
      <c r="AD255" s="644"/>
      <c r="AE255" s="644"/>
      <c r="AF255" s="644"/>
      <c r="AG255" s="644"/>
      <c r="AH255" s="644">
        <v>1</v>
      </c>
      <c r="AI255" s="644"/>
      <c r="AJ255" s="644"/>
      <c r="AK255" s="644"/>
      <c r="AL255" s="167">
        <v>5</v>
      </c>
      <c r="AM255" s="191" t="str">
        <f>HYPERLINK("http://bit.ly/1BccyUk", "Via email")</f>
        <v>Via email</v>
      </c>
      <c r="AN255" s="192">
        <v>42029</v>
      </c>
      <c r="AO255" s="187"/>
      <c r="AP255" s="187">
        <f t="shared" si="703"/>
        <v>13</v>
      </c>
      <c r="AQ255" s="187">
        <f t="shared" si="704"/>
        <v>13</v>
      </c>
      <c r="AR255" s="187">
        <f t="shared" si="705"/>
        <v>13</v>
      </c>
      <c r="AS255" s="187">
        <f t="shared" si="706"/>
        <v>13</v>
      </c>
      <c r="AT255" s="187">
        <f t="shared" si="707"/>
        <v>0</v>
      </c>
      <c r="AU255" s="187">
        <f t="shared" si="708"/>
        <v>0</v>
      </c>
      <c r="AV255" s="187">
        <f t="shared" si="709"/>
        <v>0</v>
      </c>
      <c r="AW255" s="187">
        <f t="shared" si="710"/>
        <v>0</v>
      </c>
      <c r="AX255" s="187">
        <f t="shared" si="711"/>
        <v>0</v>
      </c>
      <c r="AY255" s="187">
        <f t="shared" si="712"/>
        <v>0</v>
      </c>
      <c r="AZ255" s="187">
        <f t="shared" si="713"/>
        <v>7</v>
      </c>
      <c r="BA255" s="187">
        <f t="shared" si="714"/>
        <v>0</v>
      </c>
      <c r="BB255" s="187">
        <f t="shared" si="715"/>
        <v>0</v>
      </c>
      <c r="BC255" s="187">
        <f t="shared" si="716"/>
        <v>0</v>
      </c>
      <c r="BD255" s="187">
        <f t="shared" si="717"/>
        <v>0</v>
      </c>
      <c r="BE255" s="187">
        <f t="shared" si="718"/>
        <v>0</v>
      </c>
      <c r="BF255" s="187">
        <f t="shared" si="719"/>
        <v>0</v>
      </c>
      <c r="BG255" s="187">
        <f t="shared" si="720"/>
        <v>0</v>
      </c>
      <c r="BH255" s="187">
        <f t="shared" si="721"/>
        <v>0</v>
      </c>
      <c r="BI255" s="187">
        <f t="shared" si="722"/>
        <v>0</v>
      </c>
      <c r="BJ255" s="187">
        <f t="shared" si="723"/>
        <v>0</v>
      </c>
      <c r="BK255" s="187">
        <f t="shared" si="724"/>
        <v>0</v>
      </c>
      <c r="BL255" s="187">
        <f t="shared" si="725"/>
        <v>0</v>
      </c>
      <c r="BM255" s="187">
        <f t="shared" si="726"/>
        <v>0</v>
      </c>
      <c r="BN255" s="188">
        <f t="shared" si="727"/>
        <v>5</v>
      </c>
      <c r="BO255" s="187">
        <f t="shared" si="728"/>
        <v>0</v>
      </c>
      <c r="BP255" s="187">
        <f t="shared" ref="BP255:BQ255" si="914">IF(G255=1,1,0)</f>
        <v>0</v>
      </c>
      <c r="BQ255" s="187">
        <f t="shared" si="914"/>
        <v>0</v>
      </c>
      <c r="BR255" s="187">
        <f t="shared" ref="BR255:BT255" si="915">IF(K255=1,1,0)</f>
        <v>0</v>
      </c>
      <c r="BS255" s="187">
        <f t="shared" si="915"/>
        <v>0</v>
      </c>
      <c r="BT255" s="187">
        <f t="shared" si="915"/>
        <v>0</v>
      </c>
      <c r="BU255" s="187">
        <f t="shared" ref="BU255:BV255" si="916">IF(P255=1,1,0)</f>
        <v>0</v>
      </c>
      <c r="BV255" s="187">
        <f t="shared" si="916"/>
        <v>0</v>
      </c>
      <c r="BW255" s="187">
        <f t="shared" si="732"/>
        <v>0</v>
      </c>
      <c r="BX255" s="187">
        <f t="shared" si="733"/>
        <v>0</v>
      </c>
      <c r="BY255" s="187">
        <f t="shared" si="734"/>
        <v>5</v>
      </c>
      <c r="BZ255" s="187">
        <f t="shared" si="735"/>
        <v>-25</v>
      </c>
      <c r="CA255" s="167">
        <f t="shared" si="736"/>
        <v>34</v>
      </c>
      <c r="CB255" s="167">
        <f t="shared" si="737"/>
        <v>67</v>
      </c>
      <c r="CC255" s="644">
        <f t="shared" si="738"/>
        <v>23</v>
      </c>
      <c r="CD255" s="644">
        <f t="shared" si="739"/>
        <v>19</v>
      </c>
      <c r="CE255" s="644">
        <f t="shared" si="740"/>
        <v>15</v>
      </c>
      <c r="CF255" s="644">
        <f t="shared" si="741"/>
        <v>0</v>
      </c>
      <c r="CG255" s="644">
        <f t="shared" si="742"/>
        <v>0</v>
      </c>
      <c r="CH255" s="644">
        <f>IF(D224=1,7,0)</f>
        <v>0</v>
      </c>
      <c r="CI255" s="644">
        <f t="shared" si="744"/>
        <v>0</v>
      </c>
      <c r="CJ255" s="644">
        <f t="shared" si="745"/>
        <v>0</v>
      </c>
      <c r="CK255" s="644">
        <f t="shared" si="746"/>
        <v>5</v>
      </c>
      <c r="CL255" s="644">
        <f t="shared" si="747"/>
        <v>5</v>
      </c>
      <c r="CM255" s="644">
        <f t="shared" si="748"/>
        <v>0</v>
      </c>
      <c r="CN255" s="644">
        <f t="shared" si="749"/>
        <v>0</v>
      </c>
      <c r="CO255" s="644">
        <f t="shared" si="750"/>
        <v>0</v>
      </c>
      <c r="CP255" s="644">
        <f t="shared" si="751"/>
        <v>0</v>
      </c>
      <c r="CQ255" s="644">
        <f t="shared" si="752"/>
        <v>0</v>
      </c>
      <c r="CR255" s="644">
        <f t="shared" si="753"/>
        <v>0</v>
      </c>
      <c r="CS255" s="644">
        <f t="shared" si="754"/>
        <v>0</v>
      </c>
      <c r="CT255" s="644">
        <f t="shared" si="755"/>
        <v>0</v>
      </c>
      <c r="CU255" s="644">
        <f t="shared" si="756"/>
        <v>0</v>
      </c>
      <c r="CV255" s="644">
        <f t="shared" si="757"/>
        <v>0</v>
      </c>
      <c r="CW255" s="644">
        <f t="shared" si="758"/>
        <v>0</v>
      </c>
      <c r="CX255" s="644">
        <f t="shared" si="759"/>
        <v>0</v>
      </c>
      <c r="CY255" s="644">
        <f t="shared" si="760"/>
        <v>0</v>
      </c>
      <c r="CZ255" s="624" t="s">
        <v>1296</v>
      </c>
    </row>
    <row r="256" spans="1:104">
      <c r="A256" s="253" t="s">
        <v>1297</v>
      </c>
      <c r="B256" s="641"/>
      <c r="C256" s="641"/>
      <c r="D256" s="155"/>
      <c r="E256" s="258">
        <v>1</v>
      </c>
      <c r="F256" s="644">
        <v>1</v>
      </c>
      <c r="G256" s="644"/>
      <c r="H256" s="644"/>
      <c r="I256" s="644">
        <v>1</v>
      </c>
      <c r="J256" s="644">
        <v>1</v>
      </c>
      <c r="K256" s="644"/>
      <c r="L256" s="644"/>
      <c r="M256" s="644"/>
      <c r="N256" s="644"/>
      <c r="O256" s="644"/>
      <c r="P256" s="644"/>
      <c r="Q256" s="644"/>
      <c r="R256" s="644">
        <v>1</v>
      </c>
      <c r="S256" s="644">
        <v>1</v>
      </c>
      <c r="T256" s="644"/>
      <c r="U256" s="644">
        <v>1</v>
      </c>
      <c r="V256" s="644"/>
      <c r="W256" s="644"/>
      <c r="X256" s="644"/>
      <c r="Y256" s="644"/>
      <c r="Z256" s="644"/>
      <c r="AA256" s="644"/>
      <c r="AB256" s="644"/>
      <c r="AC256" s="644">
        <v>1</v>
      </c>
      <c r="AD256" s="644"/>
      <c r="AE256" s="644"/>
      <c r="AF256" s="644"/>
      <c r="AG256" s="644"/>
      <c r="AH256" s="644">
        <v>1</v>
      </c>
      <c r="AI256" s="644"/>
      <c r="AJ256" s="644"/>
      <c r="AK256" s="644">
        <v>1</v>
      </c>
      <c r="AL256" s="167">
        <v>10</v>
      </c>
      <c r="AM256" s="191" t="s">
        <v>1298</v>
      </c>
      <c r="AN256" s="192">
        <v>42012</v>
      </c>
      <c r="AO256" s="187"/>
      <c r="AP256" s="187">
        <f t="shared" si="703"/>
        <v>13</v>
      </c>
      <c r="AQ256" s="187">
        <f t="shared" si="704"/>
        <v>13</v>
      </c>
      <c r="AR256" s="187">
        <f t="shared" si="705"/>
        <v>13</v>
      </c>
      <c r="AS256" s="187">
        <f t="shared" si="706"/>
        <v>13</v>
      </c>
      <c r="AT256" s="187">
        <f t="shared" si="707"/>
        <v>0</v>
      </c>
      <c r="AU256" s="187">
        <f t="shared" si="708"/>
        <v>0</v>
      </c>
      <c r="AV256" s="187">
        <f t="shared" si="709"/>
        <v>9</v>
      </c>
      <c r="AW256" s="187">
        <f t="shared" si="710"/>
        <v>0</v>
      </c>
      <c r="AX256" s="187">
        <f t="shared" si="711"/>
        <v>0</v>
      </c>
      <c r="AY256" s="187">
        <f t="shared" si="712"/>
        <v>0</v>
      </c>
      <c r="AZ256" s="187">
        <f t="shared" si="713"/>
        <v>7</v>
      </c>
      <c r="BA256" s="187">
        <f t="shared" si="714"/>
        <v>7</v>
      </c>
      <c r="BB256" s="187">
        <f t="shared" si="715"/>
        <v>4</v>
      </c>
      <c r="BC256" s="187">
        <f t="shared" si="716"/>
        <v>0</v>
      </c>
      <c r="BD256" s="187">
        <f t="shared" si="717"/>
        <v>0</v>
      </c>
      <c r="BE256" s="187">
        <f t="shared" si="718"/>
        <v>0</v>
      </c>
      <c r="BF256" s="187">
        <f t="shared" si="719"/>
        <v>0</v>
      </c>
      <c r="BG256" s="187">
        <f t="shared" si="720"/>
        <v>0</v>
      </c>
      <c r="BH256" s="187">
        <f t="shared" si="721"/>
        <v>2</v>
      </c>
      <c r="BI256" s="187">
        <f t="shared" si="722"/>
        <v>0</v>
      </c>
      <c r="BJ256" s="187">
        <f t="shared" si="723"/>
        <v>0</v>
      </c>
      <c r="BK256" s="187">
        <f t="shared" si="724"/>
        <v>0</v>
      </c>
      <c r="BL256" s="187">
        <f t="shared" si="725"/>
        <v>1</v>
      </c>
      <c r="BM256" s="187">
        <f t="shared" si="726"/>
        <v>0</v>
      </c>
      <c r="BN256" s="188">
        <f t="shared" si="727"/>
        <v>0</v>
      </c>
      <c r="BO256" s="187">
        <f t="shared" si="728"/>
        <v>0</v>
      </c>
      <c r="BP256" s="187">
        <f t="shared" ref="BP256:BQ256" si="917">IF(G256=1,1,0)</f>
        <v>0</v>
      </c>
      <c r="BQ256" s="187">
        <f t="shared" si="917"/>
        <v>0</v>
      </c>
      <c r="BR256" s="187">
        <f t="shared" ref="BR256:BT256" si="918">IF(K256=1,1,0)</f>
        <v>0</v>
      </c>
      <c r="BS256" s="187">
        <f t="shared" si="918"/>
        <v>0</v>
      </c>
      <c r="BT256" s="187">
        <f t="shared" si="918"/>
        <v>0</v>
      </c>
      <c r="BU256" s="187">
        <f t="shared" ref="BU256:BV256" si="919">IF(P256=1,1,0)</f>
        <v>0</v>
      </c>
      <c r="BV256" s="187">
        <f t="shared" si="919"/>
        <v>0</v>
      </c>
      <c r="BW256" s="187">
        <f t="shared" si="732"/>
        <v>0</v>
      </c>
      <c r="BX256" s="187">
        <f t="shared" si="733"/>
        <v>0</v>
      </c>
      <c r="BY256" s="187">
        <f t="shared" si="734"/>
        <v>0</v>
      </c>
      <c r="BZ256" s="187">
        <f t="shared" si="735"/>
        <v>0</v>
      </c>
      <c r="CA256" s="167">
        <f t="shared" si="736"/>
        <v>82</v>
      </c>
      <c r="CB256" s="167">
        <f t="shared" si="737"/>
        <v>91</v>
      </c>
      <c r="CC256" s="644">
        <f t="shared" si="738"/>
        <v>23</v>
      </c>
      <c r="CD256" s="644">
        <f t="shared" si="739"/>
        <v>19</v>
      </c>
      <c r="CE256" s="644">
        <f t="shared" si="740"/>
        <v>15</v>
      </c>
      <c r="CF256" s="644">
        <f t="shared" si="741"/>
        <v>15</v>
      </c>
      <c r="CG256" s="644">
        <f t="shared" si="742"/>
        <v>0</v>
      </c>
      <c r="CH256" s="644">
        <f>IF(D223=1,7,0)</f>
        <v>0</v>
      </c>
      <c r="CI256" s="644">
        <f t="shared" si="744"/>
        <v>7</v>
      </c>
      <c r="CJ256" s="644">
        <f t="shared" si="745"/>
        <v>0</v>
      </c>
      <c r="CK256" s="644">
        <f t="shared" si="746"/>
        <v>5</v>
      </c>
      <c r="CL256" s="644">
        <f t="shared" si="747"/>
        <v>5</v>
      </c>
      <c r="CM256" s="644">
        <f t="shared" si="748"/>
        <v>0</v>
      </c>
      <c r="CN256" s="644">
        <f t="shared" si="749"/>
        <v>0</v>
      </c>
      <c r="CO256" s="644">
        <f t="shared" si="750"/>
        <v>0</v>
      </c>
      <c r="CP256" s="644">
        <f t="shared" si="751"/>
        <v>0</v>
      </c>
      <c r="CQ256" s="644">
        <f t="shared" si="752"/>
        <v>2</v>
      </c>
      <c r="CR256" s="644">
        <f t="shared" si="753"/>
        <v>0</v>
      </c>
      <c r="CS256" s="644">
        <f t="shared" si="754"/>
        <v>2</v>
      </c>
      <c r="CT256" s="644">
        <f t="shared" si="755"/>
        <v>0</v>
      </c>
      <c r="CU256" s="644">
        <f t="shared" si="756"/>
        <v>0</v>
      </c>
      <c r="CV256" s="644">
        <f t="shared" si="757"/>
        <v>0</v>
      </c>
      <c r="CW256" s="644">
        <f t="shared" si="758"/>
        <v>0</v>
      </c>
      <c r="CX256" s="644">
        <f t="shared" si="759"/>
        <v>0</v>
      </c>
      <c r="CY256" s="644">
        <f t="shared" si="760"/>
        <v>1</v>
      </c>
      <c r="CZ256" s="624" t="s">
        <v>809</v>
      </c>
    </row>
    <row r="257" spans="1:104">
      <c r="A257" s="253" t="s">
        <v>560</v>
      </c>
      <c r="B257" s="641"/>
      <c r="C257" s="641"/>
      <c r="D257" s="155">
        <v>1</v>
      </c>
      <c r="E257" s="644">
        <v>1</v>
      </c>
      <c r="F257" s="644"/>
      <c r="G257" s="644"/>
      <c r="H257" s="644"/>
      <c r="I257" s="644"/>
      <c r="J257" s="644"/>
      <c r="K257" s="644"/>
      <c r="L257" s="644"/>
      <c r="M257" s="644"/>
      <c r="N257" s="644"/>
      <c r="O257" s="644"/>
      <c r="P257" s="644"/>
      <c r="Q257" s="644"/>
      <c r="R257" s="644">
        <v>1</v>
      </c>
      <c r="S257" s="644">
        <v>1</v>
      </c>
      <c r="T257" s="644"/>
      <c r="U257" s="644">
        <v>1</v>
      </c>
      <c r="V257" s="644"/>
      <c r="W257" s="644"/>
      <c r="X257" s="644"/>
      <c r="Y257" s="644"/>
      <c r="Z257" s="644">
        <v>1</v>
      </c>
      <c r="AA257" s="644"/>
      <c r="AB257" s="644"/>
      <c r="AC257" s="644">
        <v>1</v>
      </c>
      <c r="AD257" s="644">
        <v>1</v>
      </c>
      <c r="AE257" s="644"/>
      <c r="AF257" s="644"/>
      <c r="AG257" s="644"/>
      <c r="AH257" s="644">
        <v>1</v>
      </c>
      <c r="AI257" s="644"/>
      <c r="AJ257" s="644"/>
      <c r="AK257" s="644">
        <v>1</v>
      </c>
      <c r="AL257" s="167">
        <v>10</v>
      </c>
      <c r="AM257" s="191" t="s">
        <v>1299</v>
      </c>
      <c r="AN257" s="192">
        <v>42010</v>
      </c>
      <c r="AO257" s="187"/>
      <c r="AP257" s="187">
        <f t="shared" si="703"/>
        <v>0</v>
      </c>
      <c r="AQ257" s="187">
        <f t="shared" si="704"/>
        <v>0</v>
      </c>
      <c r="AR257" s="187">
        <f t="shared" si="705"/>
        <v>13</v>
      </c>
      <c r="AS257" s="187">
        <f t="shared" si="706"/>
        <v>13</v>
      </c>
      <c r="AT257" s="187">
        <f t="shared" si="707"/>
        <v>0</v>
      </c>
      <c r="AU257" s="187">
        <f t="shared" si="708"/>
        <v>9</v>
      </c>
      <c r="AV257" s="187">
        <f t="shared" si="709"/>
        <v>9</v>
      </c>
      <c r="AW257" s="187">
        <f t="shared" si="710"/>
        <v>0</v>
      </c>
      <c r="AX257" s="187">
        <f t="shared" si="711"/>
        <v>7</v>
      </c>
      <c r="AY257" s="187">
        <f t="shared" si="712"/>
        <v>7</v>
      </c>
      <c r="AZ257" s="187">
        <f t="shared" si="713"/>
        <v>7</v>
      </c>
      <c r="BA257" s="187">
        <f t="shared" si="714"/>
        <v>7</v>
      </c>
      <c r="BB257" s="187">
        <f t="shared" si="715"/>
        <v>4</v>
      </c>
      <c r="BC257" s="187">
        <f t="shared" si="716"/>
        <v>0</v>
      </c>
      <c r="BD257" s="187">
        <f t="shared" si="717"/>
        <v>0</v>
      </c>
      <c r="BE257" s="187">
        <f t="shared" si="718"/>
        <v>0</v>
      </c>
      <c r="BF257" s="187">
        <f t="shared" si="719"/>
        <v>0</v>
      </c>
      <c r="BG257" s="187">
        <f t="shared" si="720"/>
        <v>0</v>
      </c>
      <c r="BH257" s="187">
        <f t="shared" si="721"/>
        <v>2</v>
      </c>
      <c r="BI257" s="187">
        <f t="shared" si="722"/>
        <v>0</v>
      </c>
      <c r="BJ257" s="187">
        <f t="shared" si="723"/>
        <v>0</v>
      </c>
      <c r="BK257" s="187">
        <f t="shared" si="724"/>
        <v>0</v>
      </c>
      <c r="BL257" s="187">
        <f t="shared" si="725"/>
        <v>0</v>
      </c>
      <c r="BM257" s="187">
        <f t="shared" si="726"/>
        <v>0</v>
      </c>
      <c r="BN257" s="188">
        <f t="shared" si="727"/>
        <v>0</v>
      </c>
      <c r="BO257" s="187">
        <f t="shared" si="728"/>
        <v>0</v>
      </c>
      <c r="BP257" s="187">
        <f t="shared" ref="BP257:BQ257" si="920">IF(G257=1,1,0)</f>
        <v>0</v>
      </c>
      <c r="BQ257" s="187">
        <f t="shared" si="920"/>
        <v>0</v>
      </c>
      <c r="BR257" s="187">
        <f t="shared" ref="BR257:BT257" si="921">IF(K257=1,1,0)</f>
        <v>0</v>
      </c>
      <c r="BS257" s="187">
        <f t="shared" si="921"/>
        <v>0</v>
      </c>
      <c r="BT257" s="187">
        <f t="shared" si="921"/>
        <v>0</v>
      </c>
      <c r="BU257" s="187">
        <f t="shared" ref="BU257:BV257" si="922">IF(P257=1,1,0)</f>
        <v>0</v>
      </c>
      <c r="BV257" s="187">
        <f t="shared" si="922"/>
        <v>0</v>
      </c>
      <c r="BW257" s="187">
        <f t="shared" si="732"/>
        <v>0</v>
      </c>
      <c r="BX257" s="187">
        <f t="shared" si="733"/>
        <v>0</v>
      </c>
      <c r="BY257" s="187">
        <f t="shared" si="734"/>
        <v>0</v>
      </c>
      <c r="BZ257" s="187">
        <f t="shared" si="735"/>
        <v>0</v>
      </c>
      <c r="CA257" s="167">
        <f t="shared" si="736"/>
        <v>78</v>
      </c>
      <c r="CB257" s="167">
        <f t="shared" si="737"/>
        <v>89</v>
      </c>
      <c r="CC257" s="644">
        <f t="shared" si="738"/>
        <v>23</v>
      </c>
      <c r="CD257" s="644">
        <f t="shared" si="739"/>
        <v>19</v>
      </c>
      <c r="CE257" s="644">
        <f t="shared" si="740"/>
        <v>15</v>
      </c>
      <c r="CF257" s="644">
        <f t="shared" si="741"/>
        <v>15</v>
      </c>
      <c r="CG257" s="644">
        <f t="shared" si="742"/>
        <v>0</v>
      </c>
      <c r="CH257" s="644">
        <f>IF(D224=1,7,0)</f>
        <v>0</v>
      </c>
      <c r="CI257" s="644">
        <f t="shared" si="744"/>
        <v>7</v>
      </c>
      <c r="CJ257" s="644">
        <f t="shared" si="745"/>
        <v>5</v>
      </c>
      <c r="CK257" s="644">
        <f t="shared" si="746"/>
        <v>0</v>
      </c>
      <c r="CL257" s="644">
        <f t="shared" si="747"/>
        <v>0</v>
      </c>
      <c r="CM257" s="644">
        <f t="shared" si="748"/>
        <v>0</v>
      </c>
      <c r="CN257" s="644">
        <f t="shared" si="749"/>
        <v>0</v>
      </c>
      <c r="CO257" s="644">
        <f t="shared" si="750"/>
        <v>0</v>
      </c>
      <c r="CP257" s="644">
        <f t="shared" si="751"/>
        <v>3</v>
      </c>
      <c r="CQ257" s="644">
        <f t="shared" si="752"/>
        <v>2</v>
      </c>
      <c r="CR257" s="644">
        <f t="shared" si="753"/>
        <v>0</v>
      </c>
      <c r="CS257" s="644">
        <f t="shared" si="754"/>
        <v>2</v>
      </c>
      <c r="CT257" s="644">
        <f t="shared" si="755"/>
        <v>0</v>
      </c>
      <c r="CU257" s="644">
        <f t="shared" si="756"/>
        <v>0</v>
      </c>
      <c r="CV257" s="644">
        <f t="shared" si="757"/>
        <v>0</v>
      </c>
      <c r="CW257" s="644">
        <f t="shared" si="758"/>
        <v>0</v>
      </c>
      <c r="CX257" s="644">
        <f t="shared" si="759"/>
        <v>0</v>
      </c>
      <c r="CY257" s="644">
        <f t="shared" si="760"/>
        <v>0</v>
      </c>
      <c r="CZ257" s="624" t="s">
        <v>1126</v>
      </c>
    </row>
    <row r="258" spans="1:104">
      <c r="A258" s="253" t="s">
        <v>190</v>
      </c>
      <c r="B258" s="641"/>
      <c r="C258" s="641"/>
      <c r="D258" s="155"/>
      <c r="E258" s="644">
        <v>1</v>
      </c>
      <c r="F258" s="644"/>
      <c r="G258" s="644"/>
      <c r="H258" s="644"/>
      <c r="I258" s="644"/>
      <c r="J258" s="644"/>
      <c r="K258" s="644"/>
      <c r="L258" s="644"/>
      <c r="M258" s="644"/>
      <c r="N258" s="644"/>
      <c r="O258" s="644"/>
      <c r="P258" s="644"/>
      <c r="Q258" s="644"/>
      <c r="R258" s="644">
        <v>1</v>
      </c>
      <c r="S258" s="644"/>
      <c r="T258" s="644"/>
      <c r="U258" s="644">
        <v>1</v>
      </c>
      <c r="V258" s="644"/>
      <c r="W258" s="644"/>
      <c r="X258" s="644"/>
      <c r="Y258" s="644"/>
      <c r="Z258" s="644"/>
      <c r="AA258" s="644"/>
      <c r="AB258" s="644"/>
      <c r="AC258" s="644">
        <v>1</v>
      </c>
      <c r="AD258" s="644"/>
      <c r="AE258" s="644"/>
      <c r="AF258" s="644"/>
      <c r="AG258" s="644"/>
      <c r="AH258" s="644">
        <v>1</v>
      </c>
      <c r="AI258" s="644"/>
      <c r="AJ258" s="644">
        <v>1</v>
      </c>
      <c r="AK258" s="644"/>
      <c r="AL258" s="167">
        <v>6</v>
      </c>
      <c r="AM258" s="191" t="s">
        <v>1300</v>
      </c>
      <c r="AN258" s="192">
        <v>42014</v>
      </c>
      <c r="AO258" s="187"/>
      <c r="AP258" s="187">
        <f t="shared" si="703"/>
        <v>0</v>
      </c>
      <c r="AQ258" s="187">
        <f t="shared" si="704"/>
        <v>0</v>
      </c>
      <c r="AR258" s="187">
        <f t="shared" si="705"/>
        <v>13</v>
      </c>
      <c r="AS258" s="187">
        <f t="shared" si="706"/>
        <v>13</v>
      </c>
      <c r="AT258" s="187">
        <f t="shared" si="707"/>
        <v>0</v>
      </c>
      <c r="AU258" s="187">
        <f t="shared" si="708"/>
        <v>0</v>
      </c>
      <c r="AV258" s="187">
        <f t="shared" si="709"/>
        <v>9</v>
      </c>
      <c r="AW258" s="187">
        <f t="shared" si="710"/>
        <v>7</v>
      </c>
      <c r="AX258" s="187">
        <f t="shared" si="711"/>
        <v>0</v>
      </c>
      <c r="AY258" s="187">
        <f t="shared" si="712"/>
        <v>0</v>
      </c>
      <c r="AZ258" s="187">
        <f t="shared" si="713"/>
        <v>7</v>
      </c>
      <c r="BA258" s="187">
        <f t="shared" si="714"/>
        <v>7</v>
      </c>
      <c r="BB258" s="187">
        <f t="shared" si="715"/>
        <v>0</v>
      </c>
      <c r="BC258" s="187">
        <f t="shared" si="716"/>
        <v>0</v>
      </c>
      <c r="BD258" s="187">
        <f t="shared" si="717"/>
        <v>0</v>
      </c>
      <c r="BE258" s="187">
        <f t="shared" si="718"/>
        <v>0</v>
      </c>
      <c r="BF258" s="187">
        <f t="shared" si="719"/>
        <v>0</v>
      </c>
      <c r="BG258" s="187">
        <f t="shared" si="720"/>
        <v>0</v>
      </c>
      <c r="BH258" s="187">
        <f t="shared" si="721"/>
        <v>0</v>
      </c>
      <c r="BI258" s="187">
        <f t="shared" si="722"/>
        <v>0</v>
      </c>
      <c r="BJ258" s="187">
        <f t="shared" si="723"/>
        <v>0</v>
      </c>
      <c r="BK258" s="187">
        <f t="shared" si="724"/>
        <v>0</v>
      </c>
      <c r="BL258" s="187">
        <f t="shared" si="725"/>
        <v>0</v>
      </c>
      <c r="BM258" s="187">
        <f t="shared" si="726"/>
        <v>0</v>
      </c>
      <c r="BN258" s="188">
        <f t="shared" si="727"/>
        <v>4</v>
      </c>
      <c r="BO258" s="187">
        <f t="shared" si="728"/>
        <v>0</v>
      </c>
      <c r="BP258" s="187">
        <f t="shared" ref="BP258:BQ258" si="923">IF(G258=1,1,0)</f>
        <v>0</v>
      </c>
      <c r="BQ258" s="187">
        <f t="shared" si="923"/>
        <v>0</v>
      </c>
      <c r="BR258" s="187">
        <f t="shared" ref="BR258:BT258" si="924">IF(K258=1,1,0)</f>
        <v>0</v>
      </c>
      <c r="BS258" s="187">
        <f t="shared" si="924"/>
        <v>0</v>
      </c>
      <c r="BT258" s="187">
        <f t="shared" si="924"/>
        <v>0</v>
      </c>
      <c r="BU258" s="187">
        <f t="shared" ref="BU258:BV258" si="925">IF(P258=1,1,0)</f>
        <v>0</v>
      </c>
      <c r="BV258" s="187">
        <f t="shared" si="925"/>
        <v>0</v>
      </c>
      <c r="BW258" s="187">
        <f t="shared" si="732"/>
        <v>0</v>
      </c>
      <c r="BX258" s="187">
        <f t="shared" si="733"/>
        <v>0</v>
      </c>
      <c r="BY258" s="187">
        <f t="shared" si="734"/>
        <v>4</v>
      </c>
      <c r="BZ258" s="187">
        <f t="shared" si="735"/>
        <v>-16</v>
      </c>
      <c r="CA258" s="167">
        <f t="shared" si="736"/>
        <v>40</v>
      </c>
      <c r="CB258" s="167">
        <f t="shared" si="737"/>
        <v>89</v>
      </c>
      <c r="CC258" s="644">
        <f t="shared" si="738"/>
        <v>23</v>
      </c>
      <c r="CD258" s="644">
        <f t="shared" si="739"/>
        <v>19</v>
      </c>
      <c r="CE258" s="644">
        <f t="shared" si="740"/>
        <v>15</v>
      </c>
      <c r="CF258" s="644">
        <f t="shared" si="741"/>
        <v>15</v>
      </c>
      <c r="CG258" s="644">
        <f t="shared" si="742"/>
        <v>0</v>
      </c>
      <c r="CH258" s="644">
        <f>IF(D225=1,7,0)</f>
        <v>7</v>
      </c>
      <c r="CI258" s="644">
        <f t="shared" si="744"/>
        <v>7</v>
      </c>
      <c r="CJ258" s="644">
        <f t="shared" si="745"/>
        <v>0</v>
      </c>
      <c r="CK258" s="644">
        <f t="shared" si="746"/>
        <v>0</v>
      </c>
      <c r="CL258" s="644">
        <f t="shared" si="747"/>
        <v>0</v>
      </c>
      <c r="CM258" s="644">
        <f t="shared" si="748"/>
        <v>0</v>
      </c>
      <c r="CN258" s="644">
        <f t="shared" si="749"/>
        <v>0</v>
      </c>
      <c r="CO258" s="644">
        <f t="shared" si="750"/>
        <v>3</v>
      </c>
      <c r="CP258" s="644">
        <f t="shared" si="751"/>
        <v>0</v>
      </c>
      <c r="CQ258" s="644">
        <f t="shared" si="752"/>
        <v>0</v>
      </c>
      <c r="CR258" s="644">
        <f t="shared" si="753"/>
        <v>0</v>
      </c>
      <c r="CS258" s="644">
        <f t="shared" si="754"/>
        <v>0</v>
      </c>
      <c r="CT258" s="644">
        <f t="shared" si="755"/>
        <v>0</v>
      </c>
      <c r="CU258" s="644">
        <f t="shared" si="756"/>
        <v>0</v>
      </c>
      <c r="CV258" s="644">
        <f t="shared" si="757"/>
        <v>0</v>
      </c>
      <c r="CW258" s="644">
        <f t="shared" si="758"/>
        <v>0</v>
      </c>
      <c r="CX258" s="644">
        <f t="shared" si="759"/>
        <v>0</v>
      </c>
      <c r="CY258" s="644">
        <f t="shared" si="760"/>
        <v>0</v>
      </c>
      <c r="CZ258" s="624" t="s">
        <v>843</v>
      </c>
    </row>
    <row r="259" spans="1:104">
      <c r="A259" s="253" t="s">
        <v>1301</v>
      </c>
      <c r="B259" s="641"/>
      <c r="C259" s="641"/>
      <c r="D259" s="155">
        <v>1</v>
      </c>
      <c r="E259" s="644">
        <v>1</v>
      </c>
      <c r="F259" s="644"/>
      <c r="G259" s="644"/>
      <c r="H259" s="644"/>
      <c r="I259" s="644"/>
      <c r="J259" s="644">
        <v>1</v>
      </c>
      <c r="K259" s="644"/>
      <c r="L259" s="644"/>
      <c r="M259" s="644"/>
      <c r="N259" s="644"/>
      <c r="O259" s="644"/>
      <c r="P259" s="644"/>
      <c r="Q259" s="644"/>
      <c r="R259" s="644">
        <v>1</v>
      </c>
      <c r="S259" s="644"/>
      <c r="T259" s="644"/>
      <c r="U259" s="644">
        <v>1</v>
      </c>
      <c r="V259" s="644"/>
      <c r="W259" s="644"/>
      <c r="X259" s="644"/>
      <c r="Y259" s="644"/>
      <c r="Z259" s="644"/>
      <c r="AA259" s="644"/>
      <c r="AB259" s="644">
        <v>1</v>
      </c>
      <c r="AC259" s="644"/>
      <c r="AD259" s="644"/>
      <c r="AE259" s="644"/>
      <c r="AF259" s="644">
        <v>1</v>
      </c>
      <c r="AG259" s="644">
        <v>1</v>
      </c>
      <c r="AH259" s="644">
        <v>1</v>
      </c>
      <c r="AI259" s="644"/>
      <c r="AJ259" s="644"/>
      <c r="AK259" s="644"/>
      <c r="AL259" s="167">
        <v>9</v>
      </c>
      <c r="AM259" s="191" t="str">
        <f>HYPERLINK("http://bbwaa.com/15-hof-ballots/", "BBWAA.com")</f>
        <v>BBWAA.com</v>
      </c>
      <c r="AN259" s="192">
        <v>42012</v>
      </c>
      <c r="AO259" s="187"/>
      <c r="AP259" s="187">
        <f t="shared" si="703"/>
        <v>0</v>
      </c>
      <c r="AQ259" s="187">
        <f t="shared" si="704"/>
        <v>0</v>
      </c>
      <c r="AR259" s="187">
        <f t="shared" si="705"/>
        <v>13</v>
      </c>
      <c r="AS259" s="187">
        <f t="shared" si="706"/>
        <v>13</v>
      </c>
      <c r="AT259" s="187">
        <f t="shared" si="707"/>
        <v>9</v>
      </c>
      <c r="AU259" s="187">
        <f t="shared" si="708"/>
        <v>9</v>
      </c>
      <c r="AV259" s="187">
        <f t="shared" si="709"/>
        <v>0</v>
      </c>
      <c r="AW259" s="187">
        <f t="shared" si="710"/>
        <v>0</v>
      </c>
      <c r="AX259" s="187">
        <f t="shared" si="711"/>
        <v>0</v>
      </c>
      <c r="AY259" s="187">
        <f t="shared" si="712"/>
        <v>0</v>
      </c>
      <c r="AZ259" s="187">
        <f t="shared" si="713"/>
        <v>7</v>
      </c>
      <c r="BA259" s="187">
        <f t="shared" si="714"/>
        <v>7</v>
      </c>
      <c r="BB259" s="187">
        <f t="shared" si="715"/>
        <v>0</v>
      </c>
      <c r="BC259" s="187">
        <f t="shared" si="716"/>
        <v>0</v>
      </c>
      <c r="BD259" s="187">
        <f t="shared" si="717"/>
        <v>0</v>
      </c>
      <c r="BE259" s="187">
        <f t="shared" si="718"/>
        <v>3</v>
      </c>
      <c r="BF259" s="187">
        <f t="shared" si="719"/>
        <v>0</v>
      </c>
      <c r="BG259" s="187">
        <f t="shared" si="720"/>
        <v>0</v>
      </c>
      <c r="BH259" s="187">
        <f t="shared" si="721"/>
        <v>0</v>
      </c>
      <c r="BI259" s="187">
        <f t="shared" si="722"/>
        <v>0</v>
      </c>
      <c r="BJ259" s="187">
        <f t="shared" si="723"/>
        <v>1</v>
      </c>
      <c r="BK259" s="187">
        <f t="shared" si="724"/>
        <v>0</v>
      </c>
      <c r="BL259" s="187">
        <f t="shared" si="725"/>
        <v>1</v>
      </c>
      <c r="BM259" s="187">
        <f t="shared" si="726"/>
        <v>0</v>
      </c>
      <c r="BN259" s="188">
        <f t="shared" si="727"/>
        <v>1</v>
      </c>
      <c r="BO259" s="187">
        <f t="shared" si="728"/>
        <v>0</v>
      </c>
      <c r="BP259" s="187">
        <f t="shared" ref="BP259:BQ259" si="926">IF(G259=1,1,0)</f>
        <v>0</v>
      </c>
      <c r="BQ259" s="187">
        <f t="shared" si="926"/>
        <v>0</v>
      </c>
      <c r="BR259" s="187">
        <f t="shared" ref="BR259:BT259" si="927">IF(K259=1,1,0)</f>
        <v>0</v>
      </c>
      <c r="BS259" s="187">
        <f t="shared" si="927"/>
        <v>0</v>
      </c>
      <c r="BT259" s="187">
        <f t="shared" si="927"/>
        <v>0</v>
      </c>
      <c r="BU259" s="187">
        <f t="shared" ref="BU259:BV259" si="928">IF(P259=1,1,0)</f>
        <v>0</v>
      </c>
      <c r="BV259" s="187">
        <f t="shared" si="928"/>
        <v>0</v>
      </c>
      <c r="BW259" s="187">
        <f t="shared" si="732"/>
        <v>0</v>
      </c>
      <c r="BX259" s="187">
        <f t="shared" si="733"/>
        <v>0</v>
      </c>
      <c r="BY259" s="187">
        <f t="shared" si="734"/>
        <v>1</v>
      </c>
      <c r="BZ259" s="187">
        <f t="shared" si="735"/>
        <v>-1</v>
      </c>
      <c r="CA259" s="167">
        <f t="shared" si="736"/>
        <v>62</v>
      </c>
      <c r="CB259" s="167">
        <f t="shared" si="737"/>
        <v>93</v>
      </c>
      <c r="CC259" s="644">
        <f t="shared" si="738"/>
        <v>23</v>
      </c>
      <c r="CD259" s="644">
        <f t="shared" si="739"/>
        <v>19</v>
      </c>
      <c r="CE259" s="644">
        <f t="shared" si="740"/>
        <v>15</v>
      </c>
      <c r="CF259" s="644">
        <f t="shared" si="741"/>
        <v>15</v>
      </c>
      <c r="CG259" s="644">
        <f t="shared" si="742"/>
        <v>9</v>
      </c>
      <c r="CH259" s="644">
        <f>IF(D227=1,7,0)</f>
        <v>7</v>
      </c>
      <c r="CI259" s="644">
        <f t="shared" si="744"/>
        <v>0</v>
      </c>
      <c r="CJ259" s="644">
        <f t="shared" si="745"/>
        <v>0</v>
      </c>
      <c r="CK259" s="644">
        <f t="shared" si="746"/>
        <v>0</v>
      </c>
      <c r="CL259" s="644">
        <f t="shared" si="747"/>
        <v>0</v>
      </c>
      <c r="CM259" s="644">
        <f t="shared" si="748"/>
        <v>3</v>
      </c>
      <c r="CN259" s="644">
        <f t="shared" si="749"/>
        <v>0</v>
      </c>
      <c r="CO259" s="644">
        <f t="shared" si="750"/>
        <v>0</v>
      </c>
      <c r="CP259" s="644">
        <f t="shared" si="751"/>
        <v>0</v>
      </c>
      <c r="CQ259" s="644">
        <f t="shared" si="752"/>
        <v>0</v>
      </c>
      <c r="CR259" s="644">
        <f t="shared" si="753"/>
        <v>0</v>
      </c>
      <c r="CS259" s="644">
        <f t="shared" si="754"/>
        <v>0</v>
      </c>
      <c r="CT259" s="644">
        <f t="shared" si="755"/>
        <v>2</v>
      </c>
      <c r="CU259" s="644">
        <f t="shared" si="756"/>
        <v>0</v>
      </c>
      <c r="CV259" s="644">
        <f t="shared" si="757"/>
        <v>0</v>
      </c>
      <c r="CW259" s="644">
        <f t="shared" si="758"/>
        <v>0</v>
      </c>
      <c r="CX259" s="644">
        <f t="shared" si="759"/>
        <v>0</v>
      </c>
      <c r="CY259" s="644">
        <f t="shared" si="760"/>
        <v>1</v>
      </c>
      <c r="CZ259" s="624" t="s">
        <v>743</v>
      </c>
    </row>
    <row r="260" spans="1:104" ht="25.5">
      <c r="A260" s="253" t="s">
        <v>972</v>
      </c>
      <c r="B260" s="641"/>
      <c r="C260" s="641"/>
      <c r="D260" s="155">
        <v>1</v>
      </c>
      <c r="E260" s="644">
        <v>1</v>
      </c>
      <c r="F260" s="644">
        <v>1</v>
      </c>
      <c r="G260" s="644"/>
      <c r="H260" s="644"/>
      <c r="I260" s="644"/>
      <c r="J260" s="644"/>
      <c r="K260" s="644"/>
      <c r="L260" s="644"/>
      <c r="M260" s="644"/>
      <c r="N260" s="644"/>
      <c r="O260" s="644"/>
      <c r="P260" s="644"/>
      <c r="Q260" s="644"/>
      <c r="R260" s="644">
        <v>1</v>
      </c>
      <c r="S260" s="644"/>
      <c r="T260" s="644">
        <v>1</v>
      </c>
      <c r="U260" s="644">
        <v>1</v>
      </c>
      <c r="V260" s="644"/>
      <c r="W260" s="644"/>
      <c r="X260" s="644"/>
      <c r="Y260" s="644"/>
      <c r="Z260" s="644"/>
      <c r="AA260" s="644"/>
      <c r="AB260" s="644">
        <v>1</v>
      </c>
      <c r="AC260" s="644"/>
      <c r="AD260" s="644"/>
      <c r="AE260" s="644"/>
      <c r="AF260" s="644"/>
      <c r="AG260" s="644">
        <v>1</v>
      </c>
      <c r="AH260" s="644">
        <v>1</v>
      </c>
      <c r="AI260" s="644"/>
      <c r="AJ260" s="644">
        <v>1</v>
      </c>
      <c r="AK260" s="644"/>
      <c r="AL260" s="167">
        <v>10</v>
      </c>
      <c r="AM260" s="191" t="s">
        <v>1302</v>
      </c>
      <c r="AN260" s="192">
        <v>42014</v>
      </c>
      <c r="AO260" s="187"/>
      <c r="AP260" s="187">
        <f t="shared" si="703"/>
        <v>13</v>
      </c>
      <c r="AQ260" s="187">
        <f t="shared" si="704"/>
        <v>0</v>
      </c>
      <c r="AR260" s="187">
        <f t="shared" si="705"/>
        <v>13</v>
      </c>
      <c r="AS260" s="187">
        <f t="shared" si="706"/>
        <v>13</v>
      </c>
      <c r="AT260" s="187">
        <f t="shared" si="707"/>
        <v>9</v>
      </c>
      <c r="AU260" s="187">
        <f t="shared" si="708"/>
        <v>9</v>
      </c>
      <c r="AV260" s="187">
        <f t="shared" si="709"/>
        <v>0</v>
      </c>
      <c r="AW260" s="187">
        <f t="shared" si="710"/>
        <v>7</v>
      </c>
      <c r="AX260" s="187">
        <f t="shared" si="711"/>
        <v>0</v>
      </c>
      <c r="AY260" s="187">
        <f t="shared" si="712"/>
        <v>0</v>
      </c>
      <c r="AZ260" s="187">
        <f t="shared" si="713"/>
        <v>7</v>
      </c>
      <c r="BA260" s="187">
        <f t="shared" si="714"/>
        <v>7</v>
      </c>
      <c r="BB260" s="187">
        <f t="shared" si="715"/>
        <v>0</v>
      </c>
      <c r="BC260" s="187">
        <f t="shared" si="716"/>
        <v>4</v>
      </c>
      <c r="BD260" s="187">
        <f t="shared" si="717"/>
        <v>0</v>
      </c>
      <c r="BE260" s="187">
        <f t="shared" si="718"/>
        <v>0</v>
      </c>
      <c r="BF260" s="187">
        <f t="shared" si="719"/>
        <v>0</v>
      </c>
      <c r="BG260" s="187">
        <f t="shared" si="720"/>
        <v>0</v>
      </c>
      <c r="BH260" s="187">
        <f t="shared" si="721"/>
        <v>0</v>
      </c>
      <c r="BI260" s="187">
        <f t="shared" si="722"/>
        <v>0</v>
      </c>
      <c r="BJ260" s="187">
        <f t="shared" si="723"/>
        <v>1</v>
      </c>
      <c r="BK260" s="187">
        <f t="shared" si="724"/>
        <v>0</v>
      </c>
      <c r="BL260" s="187">
        <f t="shared" si="725"/>
        <v>0</v>
      </c>
      <c r="BM260" s="187">
        <f t="shared" si="726"/>
        <v>0</v>
      </c>
      <c r="BN260" s="188">
        <f t="shared" si="727"/>
        <v>0</v>
      </c>
      <c r="BO260" s="187">
        <f t="shared" si="728"/>
        <v>0</v>
      </c>
      <c r="BP260" s="187">
        <f t="shared" ref="BP260:BQ260" si="929">IF(G260=1,1,0)</f>
        <v>0</v>
      </c>
      <c r="BQ260" s="187">
        <f t="shared" si="929"/>
        <v>0</v>
      </c>
      <c r="BR260" s="187">
        <f t="shared" ref="BR260:BT260" si="930">IF(K260=1,1,0)</f>
        <v>0</v>
      </c>
      <c r="BS260" s="187">
        <f t="shared" si="930"/>
        <v>0</v>
      </c>
      <c r="BT260" s="187">
        <f t="shared" si="930"/>
        <v>0</v>
      </c>
      <c r="BU260" s="187">
        <f t="shared" ref="BU260:BV260" si="931">IF(P260=1,1,0)</f>
        <v>0</v>
      </c>
      <c r="BV260" s="187">
        <f t="shared" si="931"/>
        <v>0</v>
      </c>
      <c r="BW260" s="187">
        <f t="shared" si="732"/>
        <v>0</v>
      </c>
      <c r="BX260" s="187">
        <f t="shared" si="733"/>
        <v>0</v>
      </c>
      <c r="BY260" s="187">
        <f t="shared" si="734"/>
        <v>0</v>
      </c>
      <c r="BZ260" s="187">
        <f t="shared" si="735"/>
        <v>0</v>
      </c>
      <c r="CA260" s="167">
        <f t="shared" si="736"/>
        <v>83</v>
      </c>
      <c r="CB260" s="167">
        <f t="shared" si="737"/>
        <v>96</v>
      </c>
      <c r="CC260" s="644">
        <f t="shared" si="738"/>
        <v>23</v>
      </c>
      <c r="CD260" s="644">
        <f t="shared" si="739"/>
        <v>19</v>
      </c>
      <c r="CE260" s="644">
        <f t="shared" si="740"/>
        <v>15</v>
      </c>
      <c r="CF260" s="644">
        <f t="shared" si="741"/>
        <v>15</v>
      </c>
      <c r="CG260" s="644">
        <f t="shared" si="742"/>
        <v>9</v>
      </c>
      <c r="CH260" s="644">
        <f>IF(D228=1,7,0)</f>
        <v>7</v>
      </c>
      <c r="CI260" s="644">
        <f t="shared" si="744"/>
        <v>0</v>
      </c>
      <c r="CJ260" s="644">
        <f t="shared" si="745"/>
        <v>0</v>
      </c>
      <c r="CK260" s="644">
        <f t="shared" si="746"/>
        <v>0</v>
      </c>
      <c r="CL260" s="644">
        <f t="shared" si="747"/>
        <v>5</v>
      </c>
      <c r="CM260" s="644">
        <f t="shared" si="748"/>
        <v>3</v>
      </c>
      <c r="CN260" s="644">
        <f t="shared" si="749"/>
        <v>3</v>
      </c>
      <c r="CO260" s="644">
        <f t="shared" si="750"/>
        <v>3</v>
      </c>
      <c r="CP260" s="644">
        <f t="shared" si="751"/>
        <v>0</v>
      </c>
      <c r="CQ260" s="644">
        <f t="shared" si="752"/>
        <v>0</v>
      </c>
      <c r="CR260" s="644">
        <f t="shared" si="753"/>
        <v>0</v>
      </c>
      <c r="CS260" s="644">
        <f t="shared" si="754"/>
        <v>0</v>
      </c>
      <c r="CT260" s="644">
        <f t="shared" si="755"/>
        <v>0</v>
      </c>
      <c r="CU260" s="644">
        <f t="shared" si="756"/>
        <v>0</v>
      </c>
      <c r="CV260" s="644">
        <f t="shared" si="757"/>
        <v>0</v>
      </c>
      <c r="CW260" s="644">
        <f t="shared" si="758"/>
        <v>0</v>
      </c>
      <c r="CX260" s="644">
        <f t="shared" si="759"/>
        <v>0</v>
      </c>
      <c r="CY260" s="644">
        <f t="shared" si="760"/>
        <v>0</v>
      </c>
      <c r="CZ260" s="624" t="s">
        <v>1285</v>
      </c>
    </row>
    <row r="261" spans="1:104">
      <c r="A261" s="253" t="s">
        <v>973</v>
      </c>
      <c r="B261" s="641"/>
      <c r="C261" s="641"/>
      <c r="D261" s="155">
        <v>1</v>
      </c>
      <c r="E261" s="644">
        <v>1</v>
      </c>
      <c r="F261" s="644">
        <v>1</v>
      </c>
      <c r="G261" s="644"/>
      <c r="H261" s="644"/>
      <c r="I261" s="644">
        <v>1</v>
      </c>
      <c r="J261" s="644"/>
      <c r="K261" s="644"/>
      <c r="L261" s="644"/>
      <c r="M261" s="644"/>
      <c r="N261" s="644"/>
      <c r="O261" s="644"/>
      <c r="P261" s="644"/>
      <c r="Q261" s="644"/>
      <c r="R261" s="644">
        <v>1</v>
      </c>
      <c r="S261" s="644"/>
      <c r="T261" s="644"/>
      <c r="U261" s="644">
        <v>1</v>
      </c>
      <c r="V261" s="644"/>
      <c r="W261" s="644"/>
      <c r="X261" s="644"/>
      <c r="Y261" s="644"/>
      <c r="Z261" s="644"/>
      <c r="AA261" s="644"/>
      <c r="AB261" s="258">
        <v>1</v>
      </c>
      <c r="AC261" s="644">
        <v>1</v>
      </c>
      <c r="AD261" s="644"/>
      <c r="AE261" s="644"/>
      <c r="AF261" s="644"/>
      <c r="AG261" s="644"/>
      <c r="AH261" s="644">
        <v>1</v>
      </c>
      <c r="AI261" s="644"/>
      <c r="AJ261" s="644"/>
      <c r="AK261" s="644">
        <v>1</v>
      </c>
      <c r="AL261" s="167">
        <v>10</v>
      </c>
      <c r="AM261" s="191" t="str">
        <f>HYPERLINK("http://bbwaa.com/15-hof-ballots/", "BBWAA.com")</f>
        <v>BBWAA.com</v>
      </c>
      <c r="AN261" s="192">
        <v>42012</v>
      </c>
      <c r="AO261" s="187"/>
      <c r="AP261" s="187">
        <f t="shared" si="703"/>
        <v>13</v>
      </c>
      <c r="AQ261" s="187">
        <f t="shared" si="704"/>
        <v>13</v>
      </c>
      <c r="AR261" s="187">
        <f t="shared" si="705"/>
        <v>13</v>
      </c>
      <c r="AS261" s="187">
        <f t="shared" si="706"/>
        <v>13</v>
      </c>
      <c r="AT261" s="187">
        <f t="shared" si="707"/>
        <v>9</v>
      </c>
      <c r="AU261" s="187">
        <f t="shared" si="708"/>
        <v>9</v>
      </c>
      <c r="AV261" s="187">
        <f t="shared" si="709"/>
        <v>9</v>
      </c>
      <c r="AW261" s="187">
        <f t="shared" si="710"/>
        <v>0</v>
      </c>
      <c r="AX261" s="187">
        <f t="shared" si="711"/>
        <v>0</v>
      </c>
      <c r="AY261" s="187">
        <f t="shared" si="712"/>
        <v>0</v>
      </c>
      <c r="AZ261" s="187">
        <f t="shared" si="713"/>
        <v>7</v>
      </c>
      <c r="BA261" s="187">
        <f t="shared" si="714"/>
        <v>7</v>
      </c>
      <c r="BB261" s="187">
        <f t="shared" si="715"/>
        <v>4</v>
      </c>
      <c r="BC261" s="187">
        <f t="shared" si="716"/>
        <v>0</v>
      </c>
      <c r="BD261" s="187">
        <f t="shared" si="717"/>
        <v>0</v>
      </c>
      <c r="BE261" s="187">
        <f t="shared" si="718"/>
        <v>0</v>
      </c>
      <c r="BF261" s="187">
        <f t="shared" si="719"/>
        <v>0</v>
      </c>
      <c r="BG261" s="187">
        <f t="shared" si="720"/>
        <v>0</v>
      </c>
      <c r="BH261" s="187">
        <f t="shared" si="721"/>
        <v>0</v>
      </c>
      <c r="BI261" s="187">
        <f t="shared" si="722"/>
        <v>0</v>
      </c>
      <c r="BJ261" s="187">
        <f t="shared" si="723"/>
        <v>0</v>
      </c>
      <c r="BK261" s="187">
        <f t="shared" si="724"/>
        <v>0</v>
      </c>
      <c r="BL261" s="187">
        <f t="shared" si="725"/>
        <v>0</v>
      </c>
      <c r="BM261" s="187">
        <f t="shared" si="726"/>
        <v>0</v>
      </c>
      <c r="BN261" s="188">
        <f t="shared" si="727"/>
        <v>0</v>
      </c>
      <c r="BO261" s="187">
        <f t="shared" si="728"/>
        <v>0</v>
      </c>
      <c r="BP261" s="187">
        <f t="shared" ref="BP261:BQ261" si="932">IF(G261=1,1,0)</f>
        <v>0</v>
      </c>
      <c r="BQ261" s="187">
        <f t="shared" si="932"/>
        <v>0</v>
      </c>
      <c r="BR261" s="187">
        <f t="shared" ref="BR261:BT261" si="933">IF(K261=1,1,0)</f>
        <v>0</v>
      </c>
      <c r="BS261" s="187">
        <f t="shared" si="933"/>
        <v>0</v>
      </c>
      <c r="BT261" s="187">
        <f t="shared" si="933"/>
        <v>0</v>
      </c>
      <c r="BU261" s="187">
        <f t="shared" ref="BU261:BV261" si="934">IF(P261=1,1,0)</f>
        <v>0</v>
      </c>
      <c r="BV261" s="187">
        <f t="shared" si="934"/>
        <v>0</v>
      </c>
      <c r="BW261" s="187">
        <f t="shared" si="732"/>
        <v>0</v>
      </c>
      <c r="BX261" s="187">
        <f t="shared" si="733"/>
        <v>0</v>
      </c>
      <c r="BY261" s="187">
        <f t="shared" si="734"/>
        <v>0</v>
      </c>
      <c r="BZ261" s="187">
        <f t="shared" si="735"/>
        <v>0</v>
      </c>
      <c r="CA261" s="167">
        <f t="shared" si="736"/>
        <v>97</v>
      </c>
      <c r="CB261" s="167">
        <f t="shared" si="737"/>
        <v>100</v>
      </c>
      <c r="CC261" s="644">
        <f t="shared" si="738"/>
        <v>23</v>
      </c>
      <c r="CD261" s="644">
        <f t="shared" si="739"/>
        <v>19</v>
      </c>
      <c r="CE261" s="644">
        <f t="shared" si="740"/>
        <v>15</v>
      </c>
      <c r="CF261" s="644">
        <f t="shared" si="741"/>
        <v>15</v>
      </c>
      <c r="CG261" s="644">
        <f t="shared" si="742"/>
        <v>9</v>
      </c>
      <c r="CH261" s="644">
        <f>IF(D229=1,7,0)</f>
        <v>7</v>
      </c>
      <c r="CI261" s="644">
        <f t="shared" si="744"/>
        <v>7</v>
      </c>
      <c r="CJ261" s="644">
        <f t="shared" si="745"/>
        <v>0</v>
      </c>
      <c r="CK261" s="644">
        <f t="shared" si="746"/>
        <v>5</v>
      </c>
      <c r="CL261" s="644">
        <f t="shared" si="747"/>
        <v>5</v>
      </c>
      <c r="CM261" s="644">
        <f t="shared" si="748"/>
        <v>0</v>
      </c>
      <c r="CN261" s="644">
        <f t="shared" si="749"/>
        <v>0</v>
      </c>
      <c r="CO261" s="644">
        <f t="shared" si="750"/>
        <v>0</v>
      </c>
      <c r="CP261" s="644">
        <f t="shared" si="751"/>
        <v>0</v>
      </c>
      <c r="CQ261" s="644">
        <f t="shared" si="752"/>
        <v>0</v>
      </c>
      <c r="CR261" s="644">
        <f t="shared" si="753"/>
        <v>0</v>
      </c>
      <c r="CS261" s="644">
        <f t="shared" si="754"/>
        <v>2</v>
      </c>
      <c r="CT261" s="644">
        <f t="shared" si="755"/>
        <v>0</v>
      </c>
      <c r="CU261" s="644">
        <f t="shared" si="756"/>
        <v>0</v>
      </c>
      <c r="CV261" s="644">
        <f t="shared" si="757"/>
        <v>0</v>
      </c>
      <c r="CW261" s="644">
        <f t="shared" si="758"/>
        <v>0</v>
      </c>
      <c r="CX261" s="644">
        <f t="shared" si="759"/>
        <v>0</v>
      </c>
      <c r="CY261" s="644">
        <f t="shared" si="760"/>
        <v>0</v>
      </c>
      <c r="CZ261" s="624" t="s">
        <v>809</v>
      </c>
    </row>
    <row r="262" spans="1:104">
      <c r="A262" s="253" t="s">
        <v>1303</v>
      </c>
      <c r="B262" s="641"/>
      <c r="C262" s="641"/>
      <c r="D262" s="155">
        <v>1</v>
      </c>
      <c r="E262" s="644"/>
      <c r="F262" s="644"/>
      <c r="G262" s="644"/>
      <c r="H262" s="644"/>
      <c r="I262" s="644">
        <v>1</v>
      </c>
      <c r="J262" s="644"/>
      <c r="K262" s="644"/>
      <c r="L262" s="644"/>
      <c r="M262" s="644"/>
      <c r="N262" s="644"/>
      <c r="O262" s="644"/>
      <c r="P262" s="644"/>
      <c r="Q262" s="644"/>
      <c r="R262" s="644">
        <v>1</v>
      </c>
      <c r="S262" s="644"/>
      <c r="T262" s="644">
        <v>1</v>
      </c>
      <c r="U262" s="644">
        <v>1</v>
      </c>
      <c r="V262" s="644"/>
      <c r="W262" s="644"/>
      <c r="X262" s="644"/>
      <c r="Y262" s="644"/>
      <c r="Z262" s="644"/>
      <c r="AA262" s="644"/>
      <c r="AB262" s="644">
        <v>1</v>
      </c>
      <c r="AC262" s="258">
        <v>1</v>
      </c>
      <c r="AD262" s="258">
        <v>1</v>
      </c>
      <c r="AE262" s="644"/>
      <c r="AF262" s="644"/>
      <c r="AG262" s="644">
        <v>1</v>
      </c>
      <c r="AH262" s="644">
        <v>1</v>
      </c>
      <c r="AI262" s="644"/>
      <c r="AJ262" s="644"/>
      <c r="AK262" s="644"/>
      <c r="AL262" s="167">
        <v>10</v>
      </c>
      <c r="AM262" s="191" t="s">
        <v>1304</v>
      </c>
      <c r="AN262" s="192">
        <v>42014</v>
      </c>
      <c r="AO262" s="187"/>
      <c r="AP262" s="187">
        <f t="shared" si="703"/>
        <v>0</v>
      </c>
      <c r="AQ262" s="187">
        <f t="shared" si="704"/>
        <v>13</v>
      </c>
      <c r="AR262" s="187">
        <f t="shared" si="705"/>
        <v>13</v>
      </c>
      <c r="AS262" s="187">
        <f t="shared" si="706"/>
        <v>13</v>
      </c>
      <c r="AT262" s="187">
        <f t="shared" si="707"/>
        <v>9</v>
      </c>
      <c r="AU262" s="187">
        <f t="shared" si="708"/>
        <v>9</v>
      </c>
      <c r="AV262" s="187">
        <f t="shared" si="709"/>
        <v>9</v>
      </c>
      <c r="AW262" s="187">
        <f t="shared" si="710"/>
        <v>0</v>
      </c>
      <c r="AX262" s="187">
        <f t="shared" si="711"/>
        <v>7</v>
      </c>
      <c r="AY262" s="187">
        <f t="shared" si="712"/>
        <v>0</v>
      </c>
      <c r="AZ262" s="187">
        <f t="shared" si="713"/>
        <v>7</v>
      </c>
      <c r="BA262" s="187">
        <f t="shared" si="714"/>
        <v>0</v>
      </c>
      <c r="BB262" s="187">
        <f t="shared" si="715"/>
        <v>0</v>
      </c>
      <c r="BC262" s="187">
        <f t="shared" si="716"/>
        <v>4</v>
      </c>
      <c r="BD262" s="187">
        <f t="shared" si="717"/>
        <v>0</v>
      </c>
      <c r="BE262" s="187">
        <f t="shared" si="718"/>
        <v>0</v>
      </c>
      <c r="BF262" s="187">
        <f t="shared" si="719"/>
        <v>0</v>
      </c>
      <c r="BG262" s="187">
        <f t="shared" si="720"/>
        <v>0</v>
      </c>
      <c r="BH262" s="187">
        <f t="shared" si="721"/>
        <v>0</v>
      </c>
      <c r="BI262" s="187">
        <f t="shared" si="722"/>
        <v>0</v>
      </c>
      <c r="BJ262" s="187">
        <f t="shared" si="723"/>
        <v>1</v>
      </c>
      <c r="BK262" s="187">
        <f t="shared" si="724"/>
        <v>0</v>
      </c>
      <c r="BL262" s="187">
        <f t="shared" si="725"/>
        <v>0</v>
      </c>
      <c r="BM262" s="187">
        <f t="shared" si="726"/>
        <v>0</v>
      </c>
      <c r="BN262" s="188">
        <f t="shared" si="727"/>
        <v>0</v>
      </c>
      <c r="BO262" s="187">
        <f t="shared" si="728"/>
        <v>0</v>
      </c>
      <c r="BP262" s="187">
        <f t="shared" ref="BP262:BQ262" si="935">IF(G262=1,1,0)</f>
        <v>0</v>
      </c>
      <c r="BQ262" s="187">
        <f t="shared" si="935"/>
        <v>0</v>
      </c>
      <c r="BR262" s="187">
        <f t="shared" ref="BR262:BT262" si="936">IF(K262=1,1,0)</f>
        <v>0</v>
      </c>
      <c r="BS262" s="187">
        <f t="shared" si="936"/>
        <v>0</v>
      </c>
      <c r="BT262" s="187">
        <f t="shared" si="936"/>
        <v>0</v>
      </c>
      <c r="BU262" s="187">
        <f t="shared" ref="BU262:BV262" si="937">IF(P262=1,1,0)</f>
        <v>0</v>
      </c>
      <c r="BV262" s="187">
        <f t="shared" si="937"/>
        <v>0</v>
      </c>
      <c r="BW262" s="187">
        <f t="shared" si="732"/>
        <v>0</v>
      </c>
      <c r="BX262" s="187">
        <f t="shared" si="733"/>
        <v>0</v>
      </c>
      <c r="BY262" s="187">
        <f t="shared" si="734"/>
        <v>0</v>
      </c>
      <c r="BZ262" s="187">
        <f t="shared" si="735"/>
        <v>0</v>
      </c>
      <c r="CA262" s="167">
        <f t="shared" si="736"/>
        <v>85</v>
      </c>
      <c r="CB262" s="167">
        <f t="shared" si="737"/>
        <v>86</v>
      </c>
      <c r="CC262" s="644">
        <f t="shared" si="738"/>
        <v>23</v>
      </c>
      <c r="CD262" s="644">
        <f t="shared" si="739"/>
        <v>19</v>
      </c>
      <c r="CE262" s="644">
        <f t="shared" si="740"/>
        <v>15</v>
      </c>
      <c r="CF262" s="644">
        <f t="shared" si="741"/>
        <v>0</v>
      </c>
      <c r="CG262" s="644">
        <f t="shared" si="742"/>
        <v>9</v>
      </c>
      <c r="CH262" s="644">
        <f>IF(D230=1,7,0)</f>
        <v>0</v>
      </c>
      <c r="CI262" s="644">
        <f t="shared" si="744"/>
        <v>7</v>
      </c>
      <c r="CJ262" s="644">
        <f t="shared" si="745"/>
        <v>5</v>
      </c>
      <c r="CK262" s="644">
        <f t="shared" si="746"/>
        <v>5</v>
      </c>
      <c r="CL262" s="644">
        <f t="shared" si="747"/>
        <v>0</v>
      </c>
      <c r="CM262" s="644">
        <f t="shared" si="748"/>
        <v>3</v>
      </c>
      <c r="CN262" s="644">
        <f t="shared" si="749"/>
        <v>3</v>
      </c>
      <c r="CO262" s="644">
        <f t="shared" si="750"/>
        <v>0</v>
      </c>
      <c r="CP262" s="644">
        <f t="shared" si="751"/>
        <v>0</v>
      </c>
      <c r="CQ262" s="644">
        <f t="shared" si="752"/>
        <v>0</v>
      </c>
      <c r="CR262" s="644">
        <f t="shared" si="753"/>
        <v>0</v>
      </c>
      <c r="CS262" s="644">
        <f t="shared" si="754"/>
        <v>0</v>
      </c>
      <c r="CT262" s="644">
        <f t="shared" si="755"/>
        <v>0</v>
      </c>
      <c r="CU262" s="644">
        <f t="shared" si="756"/>
        <v>0</v>
      </c>
      <c r="CV262" s="644">
        <f t="shared" si="757"/>
        <v>0</v>
      </c>
      <c r="CW262" s="644">
        <f t="shared" si="758"/>
        <v>0</v>
      </c>
      <c r="CX262" s="644">
        <f t="shared" si="759"/>
        <v>0</v>
      </c>
      <c r="CY262" s="644">
        <f t="shared" si="760"/>
        <v>0</v>
      </c>
      <c r="CZ262" s="624" t="s">
        <v>740</v>
      </c>
    </row>
    <row r="263" spans="1:104">
      <c r="A263" s="253" t="s">
        <v>195</v>
      </c>
      <c r="B263" s="641"/>
      <c r="C263" s="641"/>
      <c r="D263" s="155">
        <v>1</v>
      </c>
      <c r="E263" s="644">
        <v>1</v>
      </c>
      <c r="F263" s="644"/>
      <c r="G263" s="644"/>
      <c r="H263" s="644"/>
      <c r="I263" s="644"/>
      <c r="J263" s="644"/>
      <c r="K263" s="644"/>
      <c r="L263" s="644"/>
      <c r="M263" s="644"/>
      <c r="N263" s="644"/>
      <c r="O263" s="644"/>
      <c r="P263" s="644"/>
      <c r="Q263" s="644"/>
      <c r="R263" s="644">
        <v>1</v>
      </c>
      <c r="S263" s="644"/>
      <c r="T263" s="644">
        <v>1</v>
      </c>
      <c r="U263" s="644">
        <v>1</v>
      </c>
      <c r="V263" s="644"/>
      <c r="W263" s="644">
        <v>1</v>
      </c>
      <c r="X263" s="644"/>
      <c r="Y263" s="644"/>
      <c r="Z263" s="644"/>
      <c r="AA263" s="644"/>
      <c r="AB263" s="644">
        <v>1</v>
      </c>
      <c r="AC263" s="644"/>
      <c r="AD263" s="644"/>
      <c r="AE263" s="644"/>
      <c r="AF263" s="644"/>
      <c r="AG263" s="644">
        <v>1</v>
      </c>
      <c r="AH263" s="644">
        <v>1</v>
      </c>
      <c r="AI263" s="644"/>
      <c r="AJ263" s="644"/>
      <c r="AK263" s="644"/>
      <c r="AL263" s="167">
        <v>9</v>
      </c>
      <c r="AM263" s="191" t="s">
        <v>1305</v>
      </c>
      <c r="AN263" s="192">
        <v>42010</v>
      </c>
      <c r="AO263" s="187"/>
      <c r="AP263" s="187">
        <f t="shared" si="703"/>
        <v>0</v>
      </c>
      <c r="AQ263" s="187">
        <f t="shared" si="704"/>
        <v>0</v>
      </c>
      <c r="AR263" s="187">
        <f t="shared" si="705"/>
        <v>13</v>
      </c>
      <c r="AS263" s="187">
        <f t="shared" si="706"/>
        <v>13</v>
      </c>
      <c r="AT263" s="187">
        <f t="shared" si="707"/>
        <v>9</v>
      </c>
      <c r="AU263" s="187">
        <f t="shared" si="708"/>
        <v>9</v>
      </c>
      <c r="AV263" s="187">
        <f t="shared" si="709"/>
        <v>0</v>
      </c>
      <c r="AW263" s="187">
        <f t="shared" si="710"/>
        <v>0</v>
      </c>
      <c r="AX263" s="187">
        <f t="shared" si="711"/>
        <v>0</v>
      </c>
      <c r="AY263" s="187">
        <f t="shared" si="712"/>
        <v>0</v>
      </c>
      <c r="AZ263" s="187">
        <f t="shared" si="713"/>
        <v>7</v>
      </c>
      <c r="BA263" s="187">
        <f t="shared" si="714"/>
        <v>7</v>
      </c>
      <c r="BB263" s="187">
        <f t="shared" si="715"/>
        <v>0</v>
      </c>
      <c r="BC263" s="187">
        <f t="shared" si="716"/>
        <v>4</v>
      </c>
      <c r="BD263" s="187">
        <f t="shared" si="717"/>
        <v>0</v>
      </c>
      <c r="BE263" s="187">
        <f t="shared" si="718"/>
        <v>0</v>
      </c>
      <c r="BF263" s="187">
        <f t="shared" si="719"/>
        <v>3</v>
      </c>
      <c r="BG263" s="187">
        <f t="shared" si="720"/>
        <v>0</v>
      </c>
      <c r="BH263" s="187">
        <f t="shared" si="721"/>
        <v>0</v>
      </c>
      <c r="BI263" s="187">
        <f t="shared" si="722"/>
        <v>0</v>
      </c>
      <c r="BJ263" s="187">
        <f t="shared" si="723"/>
        <v>1</v>
      </c>
      <c r="BK263" s="187">
        <f t="shared" si="724"/>
        <v>0</v>
      </c>
      <c r="BL263" s="187">
        <f t="shared" si="725"/>
        <v>0</v>
      </c>
      <c r="BM263" s="187">
        <f t="shared" si="726"/>
        <v>0</v>
      </c>
      <c r="BN263" s="188">
        <f t="shared" si="727"/>
        <v>1</v>
      </c>
      <c r="BO263" s="187">
        <f t="shared" si="728"/>
        <v>0</v>
      </c>
      <c r="BP263" s="187">
        <f t="shared" ref="BP263:BQ263" si="938">IF(G263=1,1,0)</f>
        <v>0</v>
      </c>
      <c r="BQ263" s="187">
        <f t="shared" si="938"/>
        <v>0</v>
      </c>
      <c r="BR263" s="187">
        <f t="shared" ref="BR263:BT263" si="939">IF(K263=1,1,0)</f>
        <v>0</v>
      </c>
      <c r="BS263" s="187">
        <f t="shared" si="939"/>
        <v>0</v>
      </c>
      <c r="BT263" s="187">
        <f t="shared" si="939"/>
        <v>0</v>
      </c>
      <c r="BU263" s="187">
        <f t="shared" ref="BU263:BV263" si="940">IF(P263=1,1,0)</f>
        <v>0</v>
      </c>
      <c r="BV263" s="187">
        <f t="shared" si="940"/>
        <v>0</v>
      </c>
      <c r="BW263" s="187">
        <f t="shared" si="732"/>
        <v>0</v>
      </c>
      <c r="BX263" s="187">
        <f t="shared" si="733"/>
        <v>0</v>
      </c>
      <c r="BY263" s="187">
        <f t="shared" si="734"/>
        <v>1</v>
      </c>
      <c r="BZ263" s="187">
        <f t="shared" si="735"/>
        <v>-1</v>
      </c>
      <c r="CA263" s="167">
        <f t="shared" si="736"/>
        <v>65</v>
      </c>
      <c r="CB263" s="167">
        <f t="shared" si="737"/>
        <v>89</v>
      </c>
      <c r="CC263" s="644">
        <f t="shared" si="738"/>
        <v>23</v>
      </c>
      <c r="CD263" s="644">
        <f t="shared" si="739"/>
        <v>19</v>
      </c>
      <c r="CE263" s="644">
        <f t="shared" si="740"/>
        <v>15</v>
      </c>
      <c r="CF263" s="644">
        <f t="shared" si="741"/>
        <v>15</v>
      </c>
      <c r="CG263" s="644">
        <f t="shared" si="742"/>
        <v>9</v>
      </c>
      <c r="CH263" s="644">
        <f t="shared" ref="CH263" si="941">IF(D232=1,7,0)</f>
        <v>0</v>
      </c>
      <c r="CI263" s="644">
        <f t="shared" si="744"/>
        <v>0</v>
      </c>
      <c r="CJ263" s="644">
        <f t="shared" si="745"/>
        <v>0</v>
      </c>
      <c r="CK263" s="644">
        <f t="shared" si="746"/>
        <v>0</v>
      </c>
      <c r="CL263" s="644">
        <f t="shared" si="747"/>
        <v>0</v>
      </c>
      <c r="CM263" s="644">
        <f t="shared" si="748"/>
        <v>3</v>
      </c>
      <c r="CN263" s="644">
        <f t="shared" si="749"/>
        <v>3</v>
      </c>
      <c r="CO263" s="644">
        <f t="shared" si="750"/>
        <v>0</v>
      </c>
      <c r="CP263" s="644">
        <f t="shared" si="751"/>
        <v>0</v>
      </c>
      <c r="CQ263" s="644">
        <f t="shared" si="752"/>
        <v>0</v>
      </c>
      <c r="CR263" s="644">
        <f t="shared" si="753"/>
        <v>2</v>
      </c>
      <c r="CS263" s="644">
        <f t="shared" si="754"/>
        <v>0</v>
      </c>
      <c r="CT263" s="644">
        <f t="shared" si="755"/>
        <v>0</v>
      </c>
      <c r="CU263" s="644">
        <f t="shared" si="756"/>
        <v>0</v>
      </c>
      <c r="CV263" s="644">
        <f t="shared" si="757"/>
        <v>0</v>
      </c>
      <c r="CW263" s="644">
        <f t="shared" si="758"/>
        <v>0</v>
      </c>
      <c r="CX263" s="644">
        <f t="shared" si="759"/>
        <v>0</v>
      </c>
      <c r="CY263" s="644">
        <f t="shared" si="760"/>
        <v>0</v>
      </c>
      <c r="CZ263" s="624" t="s">
        <v>843</v>
      </c>
    </row>
    <row r="264" spans="1:104">
      <c r="A264" s="253" t="s">
        <v>428</v>
      </c>
      <c r="B264" s="641"/>
      <c r="C264" s="641"/>
      <c r="D264" s="155">
        <v>1</v>
      </c>
      <c r="E264" s="644">
        <v>1</v>
      </c>
      <c r="F264" s="644"/>
      <c r="G264" s="644"/>
      <c r="H264" s="644"/>
      <c r="I264" s="644"/>
      <c r="J264" s="644"/>
      <c r="K264" s="644"/>
      <c r="L264" s="644"/>
      <c r="M264" s="644"/>
      <c r="N264" s="644">
        <v>1</v>
      </c>
      <c r="O264" s="644"/>
      <c r="P264" s="644"/>
      <c r="Q264" s="644"/>
      <c r="R264" s="644">
        <v>1</v>
      </c>
      <c r="S264" s="644"/>
      <c r="T264" s="644"/>
      <c r="U264" s="644">
        <v>1</v>
      </c>
      <c r="V264" s="644"/>
      <c r="W264" s="644"/>
      <c r="X264" s="644"/>
      <c r="Y264" s="644"/>
      <c r="Z264" s="644"/>
      <c r="AA264" s="644"/>
      <c r="AB264" s="644">
        <v>1</v>
      </c>
      <c r="AC264" s="644">
        <v>1</v>
      </c>
      <c r="AD264" s="644"/>
      <c r="AE264" s="644"/>
      <c r="AF264" s="644"/>
      <c r="AG264" s="644">
        <v>1</v>
      </c>
      <c r="AH264" s="644">
        <v>1</v>
      </c>
      <c r="AI264" s="644"/>
      <c r="AJ264" s="644"/>
      <c r="AK264" s="644"/>
      <c r="AL264" s="167">
        <v>9</v>
      </c>
      <c r="AM264" s="191" t="str">
        <f>HYPERLINK("http://bbwaa.com/15-hof-ballots/", "BBWAA.com")</f>
        <v>BBWAA.com</v>
      </c>
      <c r="AN264" s="192">
        <v>42016</v>
      </c>
      <c r="AO264" s="187"/>
      <c r="AP264" s="187">
        <f t="shared" si="703"/>
        <v>0</v>
      </c>
      <c r="AQ264" s="187">
        <f t="shared" si="704"/>
        <v>0</v>
      </c>
      <c r="AR264" s="187">
        <f t="shared" si="705"/>
        <v>13</v>
      </c>
      <c r="AS264" s="187">
        <f t="shared" si="706"/>
        <v>13</v>
      </c>
      <c r="AT264" s="187">
        <f t="shared" si="707"/>
        <v>9</v>
      </c>
      <c r="AU264" s="187">
        <f t="shared" si="708"/>
        <v>9</v>
      </c>
      <c r="AV264" s="187">
        <f t="shared" si="709"/>
        <v>9</v>
      </c>
      <c r="AW264" s="187">
        <f t="shared" si="710"/>
        <v>0</v>
      </c>
      <c r="AX264" s="187">
        <f t="shared" si="711"/>
        <v>0</v>
      </c>
      <c r="AY264" s="187">
        <f t="shared" si="712"/>
        <v>0</v>
      </c>
      <c r="AZ264" s="187">
        <f t="shared" si="713"/>
        <v>7</v>
      </c>
      <c r="BA264" s="187">
        <f t="shared" si="714"/>
        <v>7</v>
      </c>
      <c r="BB264" s="187">
        <f t="shared" si="715"/>
        <v>0</v>
      </c>
      <c r="BC264" s="187">
        <f t="shared" si="716"/>
        <v>0</v>
      </c>
      <c r="BD264" s="187">
        <f t="shared" si="717"/>
        <v>0</v>
      </c>
      <c r="BE264" s="187">
        <f t="shared" si="718"/>
        <v>0</v>
      </c>
      <c r="BF264" s="187">
        <f t="shared" si="719"/>
        <v>0</v>
      </c>
      <c r="BG264" s="187">
        <f t="shared" si="720"/>
        <v>0</v>
      </c>
      <c r="BH264" s="187">
        <f t="shared" si="721"/>
        <v>0</v>
      </c>
      <c r="BI264" s="187">
        <f t="shared" si="722"/>
        <v>0</v>
      </c>
      <c r="BJ264" s="187">
        <f t="shared" si="723"/>
        <v>1</v>
      </c>
      <c r="BK264" s="187">
        <f t="shared" si="724"/>
        <v>0</v>
      </c>
      <c r="BL264" s="187">
        <f t="shared" si="725"/>
        <v>0</v>
      </c>
      <c r="BM264" s="187">
        <f t="shared" si="726"/>
        <v>1</v>
      </c>
      <c r="BN264" s="188">
        <f t="shared" si="727"/>
        <v>1</v>
      </c>
      <c r="BO264" s="187">
        <f t="shared" si="728"/>
        <v>0</v>
      </c>
      <c r="BP264" s="187">
        <f t="shared" ref="BP264:BQ264" si="942">IF(G264=1,1,0)</f>
        <v>0</v>
      </c>
      <c r="BQ264" s="187">
        <f t="shared" si="942"/>
        <v>0</v>
      </c>
      <c r="BR264" s="187">
        <f t="shared" ref="BR264:BT264" si="943">IF(K264=1,1,0)</f>
        <v>0</v>
      </c>
      <c r="BS264" s="187">
        <f t="shared" si="943"/>
        <v>0</v>
      </c>
      <c r="BT264" s="187">
        <f t="shared" si="943"/>
        <v>0</v>
      </c>
      <c r="BU264" s="187">
        <f t="shared" ref="BU264:BV264" si="944">IF(P264=1,1,0)</f>
        <v>0</v>
      </c>
      <c r="BV264" s="187">
        <f t="shared" si="944"/>
        <v>0</v>
      </c>
      <c r="BW264" s="187">
        <f t="shared" si="732"/>
        <v>0</v>
      </c>
      <c r="BX264" s="187">
        <f t="shared" si="733"/>
        <v>0</v>
      </c>
      <c r="BY264" s="187">
        <f t="shared" si="734"/>
        <v>1</v>
      </c>
      <c r="BZ264" s="187">
        <f t="shared" si="735"/>
        <v>-1</v>
      </c>
      <c r="CA264" s="167">
        <f t="shared" si="736"/>
        <v>68</v>
      </c>
      <c r="CB264" s="167">
        <f t="shared" si="737"/>
        <v>92</v>
      </c>
      <c r="CC264" s="644">
        <f t="shared" si="738"/>
        <v>23</v>
      </c>
      <c r="CD264" s="644">
        <f t="shared" si="739"/>
        <v>19</v>
      </c>
      <c r="CE264" s="644">
        <f t="shared" si="740"/>
        <v>15</v>
      </c>
      <c r="CF264" s="644">
        <f t="shared" si="741"/>
        <v>15</v>
      </c>
      <c r="CG264" s="644">
        <f t="shared" si="742"/>
        <v>9</v>
      </c>
      <c r="CH264" s="644">
        <f>IF(D232=1,7,0)</f>
        <v>0</v>
      </c>
      <c r="CI264" s="644">
        <f t="shared" si="744"/>
        <v>7</v>
      </c>
      <c r="CJ264" s="644">
        <f t="shared" si="745"/>
        <v>0</v>
      </c>
      <c r="CK264" s="644">
        <f t="shared" si="746"/>
        <v>0</v>
      </c>
      <c r="CL264" s="644">
        <f t="shared" si="747"/>
        <v>0</v>
      </c>
      <c r="CM264" s="644">
        <f t="shared" si="748"/>
        <v>3</v>
      </c>
      <c r="CN264" s="644">
        <f t="shared" si="749"/>
        <v>0</v>
      </c>
      <c r="CO264" s="644">
        <f t="shared" si="750"/>
        <v>0</v>
      </c>
      <c r="CP264" s="644">
        <f t="shared" si="751"/>
        <v>0</v>
      </c>
      <c r="CQ264" s="644">
        <f t="shared" si="752"/>
        <v>0</v>
      </c>
      <c r="CR264" s="644">
        <f t="shared" si="753"/>
        <v>0</v>
      </c>
      <c r="CS264" s="644">
        <f t="shared" si="754"/>
        <v>0</v>
      </c>
      <c r="CT264" s="644">
        <f t="shared" si="755"/>
        <v>0</v>
      </c>
      <c r="CU264" s="644">
        <f t="shared" si="756"/>
        <v>0</v>
      </c>
      <c r="CV264" s="644">
        <f t="shared" si="757"/>
        <v>0</v>
      </c>
      <c r="CW264" s="644">
        <f t="shared" si="758"/>
        <v>0</v>
      </c>
      <c r="CX264" s="644">
        <f t="shared" si="759"/>
        <v>1</v>
      </c>
      <c r="CY264" s="644">
        <f t="shared" si="760"/>
        <v>0</v>
      </c>
      <c r="CZ264" s="624" t="s">
        <v>743</v>
      </c>
    </row>
    <row r="265" spans="1:104">
      <c r="A265" s="279" t="s">
        <v>1306</v>
      </c>
      <c r="B265" s="641"/>
      <c r="C265" s="641"/>
      <c r="D265" s="644">
        <v>1</v>
      </c>
      <c r="E265" s="644">
        <v>1</v>
      </c>
      <c r="F265" s="644"/>
      <c r="G265" s="644"/>
      <c r="H265" s="644"/>
      <c r="I265" s="644"/>
      <c r="J265" s="644"/>
      <c r="K265" s="644"/>
      <c r="L265" s="644"/>
      <c r="M265" s="644"/>
      <c r="N265" s="644"/>
      <c r="O265" s="644"/>
      <c r="P265" s="644"/>
      <c r="Q265" s="644"/>
      <c r="R265" s="644">
        <v>1</v>
      </c>
      <c r="S265" s="644"/>
      <c r="T265" s="644">
        <v>1</v>
      </c>
      <c r="U265" s="644">
        <v>1</v>
      </c>
      <c r="V265" s="644"/>
      <c r="W265" s="644"/>
      <c r="X265" s="644"/>
      <c r="Y265" s="644"/>
      <c r="Z265" s="644"/>
      <c r="AA265" s="644"/>
      <c r="AB265" s="644">
        <v>1</v>
      </c>
      <c r="AC265" s="644">
        <v>1</v>
      </c>
      <c r="AD265" s="644">
        <v>1</v>
      </c>
      <c r="AE265" s="644"/>
      <c r="AF265" s="644"/>
      <c r="AG265" s="644">
        <v>1</v>
      </c>
      <c r="AH265" s="644">
        <v>1</v>
      </c>
      <c r="AI265" s="644"/>
      <c r="AJ265" s="644"/>
      <c r="AK265" s="644"/>
      <c r="AL265" s="167">
        <v>10</v>
      </c>
      <c r="AM265" s="185" t="str">
        <f>HYPERLINK("http://bit.ly/1xMjzxz", "BBWAA.com + Column")</f>
        <v>BBWAA.com + Column</v>
      </c>
      <c r="AN265" s="186">
        <v>42012</v>
      </c>
      <c r="AO265" s="187"/>
      <c r="AP265" s="187">
        <f t="shared" si="703"/>
        <v>0</v>
      </c>
      <c r="AQ265" s="187">
        <f t="shared" si="704"/>
        <v>0</v>
      </c>
      <c r="AR265" s="187">
        <f t="shared" si="705"/>
        <v>13</v>
      </c>
      <c r="AS265" s="187">
        <f t="shared" si="706"/>
        <v>13</v>
      </c>
      <c r="AT265" s="187">
        <f t="shared" si="707"/>
        <v>9</v>
      </c>
      <c r="AU265" s="187">
        <f t="shared" si="708"/>
        <v>9</v>
      </c>
      <c r="AV265" s="187">
        <f t="shared" si="709"/>
        <v>9</v>
      </c>
      <c r="AW265" s="187">
        <f t="shared" si="710"/>
        <v>0</v>
      </c>
      <c r="AX265" s="187">
        <f t="shared" si="711"/>
        <v>7</v>
      </c>
      <c r="AY265" s="187">
        <f t="shared" si="712"/>
        <v>0</v>
      </c>
      <c r="AZ265" s="187">
        <f t="shared" si="713"/>
        <v>7</v>
      </c>
      <c r="BA265" s="187">
        <f t="shared" si="714"/>
        <v>7</v>
      </c>
      <c r="BB265" s="187">
        <f t="shared" si="715"/>
        <v>0</v>
      </c>
      <c r="BC265" s="187">
        <f t="shared" si="716"/>
        <v>4</v>
      </c>
      <c r="BD265" s="187">
        <f t="shared" si="717"/>
        <v>0</v>
      </c>
      <c r="BE265" s="187">
        <f t="shared" si="718"/>
        <v>0</v>
      </c>
      <c r="BF265" s="187">
        <f t="shared" si="719"/>
        <v>0</v>
      </c>
      <c r="BG265" s="187">
        <f t="shared" si="720"/>
        <v>0</v>
      </c>
      <c r="BH265" s="187">
        <f t="shared" si="721"/>
        <v>0</v>
      </c>
      <c r="BI265" s="187">
        <f t="shared" si="722"/>
        <v>0</v>
      </c>
      <c r="BJ265" s="187">
        <f t="shared" si="723"/>
        <v>1</v>
      </c>
      <c r="BK265" s="187">
        <f t="shared" si="724"/>
        <v>0</v>
      </c>
      <c r="BL265" s="187">
        <f t="shared" si="725"/>
        <v>0</v>
      </c>
      <c r="BM265" s="187">
        <f t="shared" si="726"/>
        <v>0</v>
      </c>
      <c r="BN265" s="188">
        <f t="shared" si="727"/>
        <v>0</v>
      </c>
      <c r="BO265" s="187">
        <f t="shared" si="728"/>
        <v>0</v>
      </c>
      <c r="BP265" s="187">
        <f t="shared" ref="BP265:BQ265" si="945">IF(G265=1,1,0)</f>
        <v>0</v>
      </c>
      <c r="BQ265" s="187">
        <f t="shared" si="945"/>
        <v>0</v>
      </c>
      <c r="BR265" s="187">
        <f t="shared" ref="BR265:BT265" si="946">IF(K265=1,1,0)</f>
        <v>0</v>
      </c>
      <c r="BS265" s="187">
        <f t="shared" si="946"/>
        <v>0</v>
      </c>
      <c r="BT265" s="187">
        <f t="shared" si="946"/>
        <v>0</v>
      </c>
      <c r="BU265" s="187">
        <f t="shared" ref="BU265:BV265" si="947">IF(P265=1,1,0)</f>
        <v>0</v>
      </c>
      <c r="BV265" s="187">
        <f t="shared" si="947"/>
        <v>0</v>
      </c>
      <c r="BW265" s="187">
        <f t="shared" si="732"/>
        <v>0</v>
      </c>
      <c r="BX265" s="187">
        <f t="shared" si="733"/>
        <v>0</v>
      </c>
      <c r="BY265" s="187">
        <f t="shared" si="734"/>
        <v>0</v>
      </c>
      <c r="BZ265" s="187">
        <f t="shared" si="735"/>
        <v>0</v>
      </c>
      <c r="CA265" s="167">
        <f t="shared" si="736"/>
        <v>79</v>
      </c>
      <c r="CB265" s="167">
        <f t="shared" si="737"/>
        <v>96</v>
      </c>
      <c r="CC265" s="644">
        <f t="shared" si="738"/>
        <v>23</v>
      </c>
      <c r="CD265" s="644">
        <f t="shared" si="739"/>
        <v>19</v>
      </c>
      <c r="CE265" s="644">
        <f t="shared" si="740"/>
        <v>15</v>
      </c>
      <c r="CF265" s="644">
        <f t="shared" si="741"/>
        <v>15</v>
      </c>
      <c r="CG265" s="644">
        <f t="shared" si="742"/>
        <v>9</v>
      </c>
      <c r="CH265" s="644">
        <f>IF(D234=1,7,0)</f>
        <v>0</v>
      </c>
      <c r="CI265" s="644">
        <f t="shared" si="744"/>
        <v>7</v>
      </c>
      <c r="CJ265" s="644">
        <f t="shared" si="745"/>
        <v>5</v>
      </c>
      <c r="CK265" s="644">
        <f t="shared" si="746"/>
        <v>0</v>
      </c>
      <c r="CL265" s="644">
        <f t="shared" si="747"/>
        <v>0</v>
      </c>
      <c r="CM265" s="644">
        <f t="shared" si="748"/>
        <v>3</v>
      </c>
      <c r="CN265" s="644">
        <f t="shared" si="749"/>
        <v>3</v>
      </c>
      <c r="CO265" s="644">
        <f t="shared" si="750"/>
        <v>0</v>
      </c>
      <c r="CP265" s="644">
        <f t="shared" si="751"/>
        <v>0</v>
      </c>
      <c r="CQ265" s="644">
        <f t="shared" si="752"/>
        <v>0</v>
      </c>
      <c r="CR265" s="644">
        <f t="shared" si="753"/>
        <v>0</v>
      </c>
      <c r="CS265" s="644">
        <f t="shared" si="754"/>
        <v>0</v>
      </c>
      <c r="CT265" s="644">
        <f t="shared" si="755"/>
        <v>0</v>
      </c>
      <c r="CU265" s="644">
        <f t="shared" si="756"/>
        <v>0</v>
      </c>
      <c r="CV265" s="644">
        <f t="shared" si="757"/>
        <v>0</v>
      </c>
      <c r="CW265" s="644">
        <f t="shared" si="758"/>
        <v>0</v>
      </c>
      <c r="CX265" s="644">
        <f t="shared" si="759"/>
        <v>0</v>
      </c>
      <c r="CY265" s="644">
        <f t="shared" si="760"/>
        <v>0</v>
      </c>
      <c r="CZ265" s="624" t="s">
        <v>743</v>
      </c>
    </row>
    <row r="266" spans="1:104">
      <c r="A266" s="253" t="s">
        <v>1307</v>
      </c>
      <c r="B266" s="641"/>
      <c r="C266" s="641"/>
      <c r="D266" s="155">
        <v>1</v>
      </c>
      <c r="E266" s="644">
        <v>1</v>
      </c>
      <c r="F266" s="644"/>
      <c r="G266" s="644"/>
      <c r="H266" s="644"/>
      <c r="I266" s="644"/>
      <c r="J266" s="644"/>
      <c r="K266" s="644"/>
      <c r="L266" s="644"/>
      <c r="M266" s="644"/>
      <c r="N266" s="644"/>
      <c r="O266" s="644"/>
      <c r="P266" s="644"/>
      <c r="Q266" s="644"/>
      <c r="R266" s="644">
        <v>1</v>
      </c>
      <c r="S266" s="644">
        <v>1</v>
      </c>
      <c r="T266" s="644">
        <v>1</v>
      </c>
      <c r="U266" s="644">
        <v>1</v>
      </c>
      <c r="V266" s="644"/>
      <c r="W266" s="644">
        <v>1</v>
      </c>
      <c r="X266" s="644"/>
      <c r="Y266" s="644"/>
      <c r="Z266" s="644">
        <v>1</v>
      </c>
      <c r="AA266" s="644"/>
      <c r="AB266" s="644">
        <v>1</v>
      </c>
      <c r="AC266" s="644"/>
      <c r="AD266" s="644"/>
      <c r="AE266" s="644"/>
      <c r="AF266" s="644"/>
      <c r="AG266" s="644"/>
      <c r="AH266" s="644">
        <v>1</v>
      </c>
      <c r="AI266" s="644"/>
      <c r="AJ266" s="644"/>
      <c r="AK266" s="644"/>
      <c r="AL266" s="167">
        <v>10</v>
      </c>
      <c r="AM266" s="191" t="str">
        <f t="shared" ref="AM266:AM268" si="948">HYPERLINK("http://bbwaa.com/15-hof-ballots/", "BBWAA.com")</f>
        <v>BBWAA.com</v>
      </c>
      <c r="AN266" s="192">
        <v>42012</v>
      </c>
      <c r="AO266" s="187"/>
      <c r="AP266" s="187">
        <f t="shared" si="703"/>
        <v>0</v>
      </c>
      <c r="AQ266" s="187">
        <f t="shared" si="704"/>
        <v>0</v>
      </c>
      <c r="AR266" s="187">
        <f t="shared" si="705"/>
        <v>13</v>
      </c>
      <c r="AS266" s="187">
        <f t="shared" si="706"/>
        <v>13</v>
      </c>
      <c r="AT266" s="187">
        <f t="shared" si="707"/>
        <v>9</v>
      </c>
      <c r="AU266" s="187">
        <f t="shared" si="708"/>
        <v>9</v>
      </c>
      <c r="AV266" s="187">
        <f t="shared" si="709"/>
        <v>0</v>
      </c>
      <c r="AW266" s="187">
        <f t="shared" si="710"/>
        <v>0</v>
      </c>
      <c r="AX266" s="187">
        <f t="shared" si="711"/>
        <v>0</v>
      </c>
      <c r="AY266" s="187">
        <f t="shared" si="712"/>
        <v>7</v>
      </c>
      <c r="AZ266" s="187">
        <f t="shared" si="713"/>
        <v>7</v>
      </c>
      <c r="BA266" s="187">
        <f t="shared" si="714"/>
        <v>7</v>
      </c>
      <c r="BB266" s="187">
        <f t="shared" si="715"/>
        <v>0</v>
      </c>
      <c r="BC266" s="187">
        <f t="shared" si="716"/>
        <v>4</v>
      </c>
      <c r="BD266" s="187">
        <f t="shared" si="717"/>
        <v>0</v>
      </c>
      <c r="BE266" s="187">
        <f t="shared" si="718"/>
        <v>0</v>
      </c>
      <c r="BF266" s="187">
        <f t="shared" si="719"/>
        <v>3</v>
      </c>
      <c r="BG266" s="187">
        <f t="shared" si="720"/>
        <v>0</v>
      </c>
      <c r="BH266" s="187">
        <f t="shared" si="721"/>
        <v>2</v>
      </c>
      <c r="BI266" s="187">
        <f t="shared" si="722"/>
        <v>0</v>
      </c>
      <c r="BJ266" s="187">
        <f t="shared" si="723"/>
        <v>0</v>
      </c>
      <c r="BK266" s="187">
        <f t="shared" si="724"/>
        <v>0</v>
      </c>
      <c r="BL266" s="187">
        <f t="shared" si="725"/>
        <v>0</v>
      </c>
      <c r="BM266" s="187">
        <f t="shared" si="726"/>
        <v>0</v>
      </c>
      <c r="BN266" s="188">
        <f t="shared" si="727"/>
        <v>0</v>
      </c>
      <c r="BO266" s="187">
        <f t="shared" si="728"/>
        <v>0</v>
      </c>
      <c r="BP266" s="187">
        <f t="shared" ref="BP266:BQ266" si="949">IF(G266=1,1,0)</f>
        <v>0</v>
      </c>
      <c r="BQ266" s="187">
        <f t="shared" si="949"/>
        <v>0</v>
      </c>
      <c r="BR266" s="187">
        <f t="shared" ref="BR266:BT266" si="950">IF(K266=1,1,0)</f>
        <v>0</v>
      </c>
      <c r="BS266" s="187">
        <f t="shared" si="950"/>
        <v>0</v>
      </c>
      <c r="BT266" s="187">
        <f t="shared" si="950"/>
        <v>0</v>
      </c>
      <c r="BU266" s="187">
        <f t="shared" ref="BU266:BV266" si="951">IF(P266=1,1,0)</f>
        <v>0</v>
      </c>
      <c r="BV266" s="187">
        <f t="shared" si="951"/>
        <v>0</v>
      </c>
      <c r="BW266" s="187">
        <f t="shared" si="732"/>
        <v>0</v>
      </c>
      <c r="BX266" s="187">
        <f t="shared" si="733"/>
        <v>0</v>
      </c>
      <c r="BY266" s="187">
        <f t="shared" si="734"/>
        <v>0</v>
      </c>
      <c r="BZ266" s="187">
        <f t="shared" si="735"/>
        <v>0</v>
      </c>
      <c r="CA266" s="167">
        <f t="shared" si="736"/>
        <v>74</v>
      </c>
      <c r="CB266" s="167">
        <f t="shared" si="737"/>
        <v>89</v>
      </c>
      <c r="CC266" s="644">
        <f t="shared" si="738"/>
        <v>23</v>
      </c>
      <c r="CD266" s="644">
        <f t="shared" si="739"/>
        <v>19</v>
      </c>
      <c r="CE266" s="644">
        <f t="shared" si="740"/>
        <v>15</v>
      </c>
      <c r="CF266" s="644">
        <f t="shared" si="741"/>
        <v>15</v>
      </c>
      <c r="CG266" s="644">
        <f t="shared" si="742"/>
        <v>9</v>
      </c>
      <c r="CH266" s="644">
        <f>IF(D239=1,7,0)</f>
        <v>0</v>
      </c>
      <c r="CI266" s="644">
        <f t="shared" si="744"/>
        <v>0</v>
      </c>
      <c r="CJ266" s="644">
        <f t="shared" si="745"/>
        <v>0</v>
      </c>
      <c r="CK266" s="644">
        <f t="shared" si="746"/>
        <v>0</v>
      </c>
      <c r="CL266" s="644">
        <f t="shared" si="747"/>
        <v>0</v>
      </c>
      <c r="CM266" s="644">
        <f t="shared" si="748"/>
        <v>0</v>
      </c>
      <c r="CN266" s="644">
        <f t="shared" si="749"/>
        <v>3</v>
      </c>
      <c r="CO266" s="644">
        <f t="shared" si="750"/>
        <v>0</v>
      </c>
      <c r="CP266" s="644">
        <f t="shared" si="751"/>
        <v>3</v>
      </c>
      <c r="CQ266" s="644">
        <f t="shared" si="752"/>
        <v>2</v>
      </c>
      <c r="CR266" s="644">
        <f t="shared" si="753"/>
        <v>2</v>
      </c>
      <c r="CS266" s="644">
        <f t="shared" si="754"/>
        <v>0</v>
      </c>
      <c r="CT266" s="644">
        <f t="shared" si="755"/>
        <v>0</v>
      </c>
      <c r="CU266" s="644">
        <f t="shared" si="756"/>
        <v>0</v>
      </c>
      <c r="CV266" s="644">
        <f t="shared" si="757"/>
        <v>0</v>
      </c>
      <c r="CW266" s="644">
        <f t="shared" si="758"/>
        <v>0</v>
      </c>
      <c r="CX266" s="644">
        <f t="shared" si="759"/>
        <v>0</v>
      </c>
      <c r="CY266" s="644">
        <f t="shared" si="760"/>
        <v>0</v>
      </c>
      <c r="CZ266" s="624" t="s">
        <v>1308</v>
      </c>
    </row>
    <row r="267" spans="1:104">
      <c r="A267" s="253" t="s">
        <v>1309</v>
      </c>
      <c r="B267" s="641"/>
      <c r="C267" s="641"/>
      <c r="D267" s="155"/>
      <c r="E267" s="644"/>
      <c r="F267" s="644"/>
      <c r="G267" s="644"/>
      <c r="H267" s="644"/>
      <c r="I267" s="644"/>
      <c r="J267" s="644"/>
      <c r="K267" s="644"/>
      <c r="L267" s="644"/>
      <c r="M267" s="644"/>
      <c r="N267" s="644"/>
      <c r="O267" s="644"/>
      <c r="P267" s="644"/>
      <c r="Q267" s="644"/>
      <c r="R267" s="644">
        <v>1</v>
      </c>
      <c r="S267" s="644"/>
      <c r="T267" s="644"/>
      <c r="U267" s="644">
        <v>1</v>
      </c>
      <c r="V267" s="644"/>
      <c r="W267" s="644"/>
      <c r="X267" s="644"/>
      <c r="Y267" s="644"/>
      <c r="Z267" s="644"/>
      <c r="AA267" s="644"/>
      <c r="AB267" s="644">
        <v>1</v>
      </c>
      <c r="AC267" s="644"/>
      <c r="AD267" s="644"/>
      <c r="AE267" s="644"/>
      <c r="AF267" s="644"/>
      <c r="AG267" s="644"/>
      <c r="AH267" s="644">
        <v>1</v>
      </c>
      <c r="AI267" s="644"/>
      <c r="AJ267" s="644"/>
      <c r="AK267" s="644"/>
      <c r="AL267" s="167">
        <v>4</v>
      </c>
      <c r="AM267" s="191" t="str">
        <f t="shared" si="948"/>
        <v>BBWAA.com</v>
      </c>
      <c r="AN267" s="192">
        <v>41654</v>
      </c>
      <c r="AO267" s="187"/>
      <c r="AP267" s="187">
        <f t="shared" si="703"/>
        <v>0</v>
      </c>
      <c r="AQ267" s="187">
        <f t="shared" si="704"/>
        <v>0</v>
      </c>
      <c r="AR267" s="187">
        <f t="shared" si="705"/>
        <v>13</v>
      </c>
      <c r="AS267" s="187">
        <f t="shared" si="706"/>
        <v>13</v>
      </c>
      <c r="AT267" s="187">
        <f t="shared" si="707"/>
        <v>9</v>
      </c>
      <c r="AU267" s="187">
        <f t="shared" si="708"/>
        <v>0</v>
      </c>
      <c r="AV267" s="187">
        <f t="shared" si="709"/>
        <v>0</v>
      </c>
      <c r="AW267" s="187">
        <f t="shared" si="710"/>
        <v>0</v>
      </c>
      <c r="AX267" s="187">
        <f t="shared" si="711"/>
        <v>0</v>
      </c>
      <c r="AY267" s="187">
        <f t="shared" si="712"/>
        <v>0</v>
      </c>
      <c r="AZ267" s="187">
        <f t="shared" si="713"/>
        <v>7</v>
      </c>
      <c r="BA267" s="187">
        <f t="shared" si="714"/>
        <v>0</v>
      </c>
      <c r="BB267" s="187">
        <f t="shared" si="715"/>
        <v>0</v>
      </c>
      <c r="BC267" s="187">
        <f t="shared" si="716"/>
        <v>0</v>
      </c>
      <c r="BD267" s="187">
        <f t="shared" si="717"/>
        <v>0</v>
      </c>
      <c r="BE267" s="187">
        <f t="shared" si="718"/>
        <v>0</v>
      </c>
      <c r="BF267" s="187">
        <f t="shared" si="719"/>
        <v>0</v>
      </c>
      <c r="BG267" s="187">
        <f t="shared" si="720"/>
        <v>0</v>
      </c>
      <c r="BH267" s="187">
        <f t="shared" si="721"/>
        <v>0</v>
      </c>
      <c r="BI267" s="187">
        <f t="shared" si="722"/>
        <v>0</v>
      </c>
      <c r="BJ267" s="187">
        <f t="shared" si="723"/>
        <v>0</v>
      </c>
      <c r="BK267" s="187">
        <f t="shared" si="724"/>
        <v>0</v>
      </c>
      <c r="BL267" s="187">
        <f t="shared" si="725"/>
        <v>0</v>
      </c>
      <c r="BM267" s="187">
        <f t="shared" si="726"/>
        <v>0</v>
      </c>
      <c r="BN267" s="188">
        <f t="shared" si="727"/>
        <v>6</v>
      </c>
      <c r="BO267" s="187">
        <f t="shared" si="728"/>
        <v>0</v>
      </c>
      <c r="BP267" s="187">
        <f t="shared" ref="BP267:BQ267" si="952">IF(G267=1,1,0)</f>
        <v>0</v>
      </c>
      <c r="BQ267" s="187">
        <f t="shared" si="952"/>
        <v>0</v>
      </c>
      <c r="BR267" s="187">
        <f t="shared" ref="BR267:BT267" si="953">IF(K267=1,1,0)</f>
        <v>0</v>
      </c>
      <c r="BS267" s="187">
        <f t="shared" si="953"/>
        <v>0</v>
      </c>
      <c r="BT267" s="187">
        <f t="shared" si="953"/>
        <v>0</v>
      </c>
      <c r="BU267" s="187">
        <f t="shared" ref="BU267:BV267" si="954">IF(P267=1,1,0)</f>
        <v>0</v>
      </c>
      <c r="BV267" s="187">
        <f t="shared" si="954"/>
        <v>0</v>
      </c>
      <c r="BW267" s="187">
        <f t="shared" si="732"/>
        <v>0</v>
      </c>
      <c r="BX267" s="187">
        <f t="shared" si="733"/>
        <v>0</v>
      </c>
      <c r="BY267" s="187">
        <f t="shared" si="734"/>
        <v>6</v>
      </c>
      <c r="BZ267" s="187">
        <f t="shared" si="735"/>
        <v>-36</v>
      </c>
      <c r="CA267" s="167">
        <f t="shared" si="736"/>
        <v>6</v>
      </c>
      <c r="CB267" s="167">
        <f t="shared" si="737"/>
        <v>73</v>
      </c>
      <c r="CC267" s="644">
        <f t="shared" si="738"/>
        <v>23</v>
      </c>
      <c r="CD267" s="644">
        <f t="shared" si="739"/>
        <v>19</v>
      </c>
      <c r="CE267" s="644">
        <f t="shared" si="740"/>
        <v>15</v>
      </c>
      <c r="CF267" s="644">
        <f t="shared" si="741"/>
        <v>0</v>
      </c>
      <c r="CG267" s="644">
        <f t="shared" si="742"/>
        <v>9</v>
      </c>
      <c r="CH267" s="644">
        <f>IF(D243=1,7,0)</f>
        <v>7</v>
      </c>
      <c r="CI267" s="644">
        <f t="shared" si="744"/>
        <v>0</v>
      </c>
      <c r="CJ267" s="644">
        <f t="shared" si="745"/>
        <v>0</v>
      </c>
      <c r="CK267" s="644">
        <f t="shared" si="746"/>
        <v>0</v>
      </c>
      <c r="CL267" s="644">
        <f t="shared" si="747"/>
        <v>0</v>
      </c>
      <c r="CM267" s="644">
        <f t="shared" si="748"/>
        <v>0</v>
      </c>
      <c r="CN267" s="644">
        <f t="shared" si="749"/>
        <v>0</v>
      </c>
      <c r="CO267" s="644">
        <f t="shared" si="750"/>
        <v>0</v>
      </c>
      <c r="CP267" s="644">
        <f t="shared" si="751"/>
        <v>0</v>
      </c>
      <c r="CQ267" s="644">
        <f t="shared" si="752"/>
        <v>0</v>
      </c>
      <c r="CR267" s="644">
        <f t="shared" si="753"/>
        <v>0</v>
      </c>
      <c r="CS267" s="644">
        <f t="shared" si="754"/>
        <v>0</v>
      </c>
      <c r="CT267" s="644">
        <f t="shared" si="755"/>
        <v>0</v>
      </c>
      <c r="CU267" s="644">
        <f t="shared" si="756"/>
        <v>0</v>
      </c>
      <c r="CV267" s="644">
        <f t="shared" si="757"/>
        <v>0</v>
      </c>
      <c r="CW267" s="644">
        <f t="shared" si="758"/>
        <v>0</v>
      </c>
      <c r="CX267" s="644">
        <f t="shared" si="759"/>
        <v>0</v>
      </c>
      <c r="CY267" s="644">
        <f t="shared" si="760"/>
        <v>0</v>
      </c>
      <c r="CZ267" s="624" t="s">
        <v>749</v>
      </c>
    </row>
    <row r="268" spans="1:104">
      <c r="A268" s="253" t="s">
        <v>1310</v>
      </c>
      <c r="B268" s="641"/>
      <c r="C268" s="641"/>
      <c r="D268" s="155">
        <v>1</v>
      </c>
      <c r="E268" s="644">
        <v>1</v>
      </c>
      <c r="F268" s="644"/>
      <c r="G268" s="644"/>
      <c r="H268" s="644"/>
      <c r="I268" s="644"/>
      <c r="J268" s="644"/>
      <c r="K268" s="644"/>
      <c r="L268" s="644"/>
      <c r="M268" s="644"/>
      <c r="N268" s="644"/>
      <c r="O268" s="644"/>
      <c r="P268" s="644"/>
      <c r="Q268" s="644"/>
      <c r="R268" s="644">
        <v>1</v>
      </c>
      <c r="S268" s="644">
        <v>1</v>
      </c>
      <c r="T268" s="644"/>
      <c r="U268" s="644">
        <v>1</v>
      </c>
      <c r="V268" s="644"/>
      <c r="W268" s="644"/>
      <c r="X268" s="644"/>
      <c r="Y268" s="644"/>
      <c r="Z268" s="644"/>
      <c r="AA268" s="644"/>
      <c r="AB268" s="644">
        <v>1</v>
      </c>
      <c r="AC268" s="644">
        <v>1</v>
      </c>
      <c r="AD268" s="644"/>
      <c r="AE268" s="644"/>
      <c r="AF268" s="644"/>
      <c r="AG268" s="644">
        <v>1</v>
      </c>
      <c r="AH268" s="644">
        <v>1</v>
      </c>
      <c r="AI268" s="644"/>
      <c r="AJ268" s="644">
        <v>1</v>
      </c>
      <c r="AK268" s="644"/>
      <c r="AL268" s="167">
        <v>10</v>
      </c>
      <c r="AM268" s="191" t="str">
        <f t="shared" si="948"/>
        <v>BBWAA.com</v>
      </c>
      <c r="AN268" s="192">
        <v>42012</v>
      </c>
      <c r="AO268" s="187"/>
      <c r="AP268" s="187">
        <f t="shared" si="703"/>
        <v>0</v>
      </c>
      <c r="AQ268" s="187">
        <f t="shared" si="704"/>
        <v>0</v>
      </c>
      <c r="AR268" s="187">
        <f t="shared" si="705"/>
        <v>13</v>
      </c>
      <c r="AS268" s="187">
        <f t="shared" si="706"/>
        <v>13</v>
      </c>
      <c r="AT268" s="187">
        <f t="shared" si="707"/>
        <v>9</v>
      </c>
      <c r="AU268" s="187">
        <f t="shared" si="708"/>
        <v>9</v>
      </c>
      <c r="AV268" s="187">
        <f t="shared" si="709"/>
        <v>9</v>
      </c>
      <c r="AW268" s="187">
        <f t="shared" si="710"/>
        <v>7</v>
      </c>
      <c r="AX268" s="187">
        <f t="shared" si="711"/>
        <v>0</v>
      </c>
      <c r="AY268" s="187">
        <f t="shared" si="712"/>
        <v>0</v>
      </c>
      <c r="AZ268" s="187">
        <f t="shared" si="713"/>
        <v>7</v>
      </c>
      <c r="BA268" s="187">
        <f t="shared" si="714"/>
        <v>7</v>
      </c>
      <c r="BB268" s="187">
        <f t="shared" si="715"/>
        <v>0</v>
      </c>
      <c r="BC268" s="187">
        <f t="shared" si="716"/>
        <v>0</v>
      </c>
      <c r="BD268" s="187">
        <f t="shared" si="717"/>
        <v>0</v>
      </c>
      <c r="BE268" s="187">
        <f t="shared" si="718"/>
        <v>0</v>
      </c>
      <c r="BF268" s="187">
        <f t="shared" si="719"/>
        <v>0</v>
      </c>
      <c r="BG268" s="187">
        <f t="shared" si="720"/>
        <v>0</v>
      </c>
      <c r="BH268" s="187">
        <f t="shared" si="721"/>
        <v>2</v>
      </c>
      <c r="BI268" s="187">
        <f t="shared" si="722"/>
        <v>0</v>
      </c>
      <c r="BJ268" s="187">
        <f t="shared" si="723"/>
        <v>1</v>
      </c>
      <c r="BK268" s="187">
        <f t="shared" si="724"/>
        <v>0</v>
      </c>
      <c r="BL268" s="187">
        <f t="shared" si="725"/>
        <v>0</v>
      </c>
      <c r="BM268" s="187">
        <f t="shared" si="726"/>
        <v>0</v>
      </c>
      <c r="BN268" s="188">
        <f t="shared" si="727"/>
        <v>0</v>
      </c>
      <c r="BO268" s="187">
        <f t="shared" si="728"/>
        <v>0</v>
      </c>
      <c r="BP268" s="187">
        <f t="shared" ref="BP268:BQ268" si="955">IF(G268=1,1,0)</f>
        <v>0</v>
      </c>
      <c r="BQ268" s="187">
        <f t="shared" si="955"/>
        <v>0</v>
      </c>
      <c r="BR268" s="187">
        <f t="shared" ref="BR268:BT268" si="956">IF(K268=1,1,0)</f>
        <v>0</v>
      </c>
      <c r="BS268" s="187">
        <f t="shared" si="956"/>
        <v>0</v>
      </c>
      <c r="BT268" s="187">
        <f t="shared" si="956"/>
        <v>0</v>
      </c>
      <c r="BU268" s="187">
        <f t="shared" ref="BU268:BV268" si="957">IF(P268=1,1,0)</f>
        <v>0</v>
      </c>
      <c r="BV268" s="187">
        <f t="shared" si="957"/>
        <v>0</v>
      </c>
      <c r="BW268" s="187">
        <f t="shared" si="732"/>
        <v>0</v>
      </c>
      <c r="BX268" s="187">
        <f t="shared" si="733"/>
        <v>0</v>
      </c>
      <c r="BY268" s="187">
        <f t="shared" si="734"/>
        <v>0</v>
      </c>
      <c r="BZ268" s="187">
        <f t="shared" si="735"/>
        <v>0</v>
      </c>
      <c r="CA268" s="167">
        <f t="shared" si="736"/>
        <v>77</v>
      </c>
      <c r="CB268" s="167">
        <f t="shared" si="737"/>
        <v>98</v>
      </c>
      <c r="CC268" s="644">
        <f t="shared" si="738"/>
        <v>23</v>
      </c>
      <c r="CD268" s="644">
        <f t="shared" si="739"/>
        <v>19</v>
      </c>
      <c r="CE268" s="644">
        <f t="shared" si="740"/>
        <v>15</v>
      </c>
      <c r="CF268" s="644">
        <f t="shared" si="741"/>
        <v>15</v>
      </c>
      <c r="CG268" s="644">
        <f t="shared" si="742"/>
        <v>9</v>
      </c>
      <c r="CH268" s="644">
        <f t="shared" ref="CH268:CH273" si="958">IF(D243=1,7,0)</f>
        <v>7</v>
      </c>
      <c r="CI268" s="644">
        <f t="shared" si="744"/>
        <v>7</v>
      </c>
      <c r="CJ268" s="644">
        <f t="shared" si="745"/>
        <v>0</v>
      </c>
      <c r="CK268" s="644">
        <f t="shared" si="746"/>
        <v>0</v>
      </c>
      <c r="CL268" s="644">
        <f t="shared" si="747"/>
        <v>0</v>
      </c>
      <c r="CM268" s="644">
        <f t="shared" si="748"/>
        <v>3</v>
      </c>
      <c r="CN268" s="644">
        <f t="shared" si="749"/>
        <v>0</v>
      </c>
      <c r="CO268" s="644">
        <f t="shared" si="750"/>
        <v>3</v>
      </c>
      <c r="CP268" s="644">
        <f t="shared" si="751"/>
        <v>0</v>
      </c>
      <c r="CQ268" s="644">
        <f t="shared" si="752"/>
        <v>2</v>
      </c>
      <c r="CR268" s="644">
        <f t="shared" si="753"/>
        <v>0</v>
      </c>
      <c r="CS268" s="644">
        <f t="shared" si="754"/>
        <v>0</v>
      </c>
      <c r="CT268" s="644">
        <f t="shared" si="755"/>
        <v>0</v>
      </c>
      <c r="CU268" s="644">
        <f t="shared" si="756"/>
        <v>0</v>
      </c>
      <c r="CV268" s="644">
        <f t="shared" si="757"/>
        <v>0</v>
      </c>
      <c r="CW268" s="644">
        <f t="shared" si="758"/>
        <v>0</v>
      </c>
      <c r="CX268" s="644">
        <f t="shared" si="759"/>
        <v>0</v>
      </c>
      <c r="CY268" s="644">
        <f t="shared" si="760"/>
        <v>0</v>
      </c>
      <c r="CZ268" s="624" t="s">
        <v>750</v>
      </c>
    </row>
    <row r="269" spans="1:104">
      <c r="A269" s="253" t="s">
        <v>212</v>
      </c>
      <c r="B269" s="641"/>
      <c r="C269" s="641"/>
      <c r="D269" s="155"/>
      <c r="E269" s="644">
        <v>1</v>
      </c>
      <c r="F269" s="644"/>
      <c r="G269" s="644"/>
      <c r="H269" s="644"/>
      <c r="I269" s="644"/>
      <c r="J269" s="644"/>
      <c r="K269" s="644"/>
      <c r="L269" s="644"/>
      <c r="M269" s="644"/>
      <c r="N269" s="644"/>
      <c r="O269" s="644"/>
      <c r="P269" s="644"/>
      <c r="Q269" s="644"/>
      <c r="R269" s="644">
        <v>1</v>
      </c>
      <c r="S269" s="644"/>
      <c r="T269" s="644">
        <v>1</v>
      </c>
      <c r="U269" s="644">
        <v>1</v>
      </c>
      <c r="V269" s="644"/>
      <c r="W269" s="644"/>
      <c r="X269" s="644"/>
      <c r="Y269" s="644"/>
      <c r="Z269" s="644"/>
      <c r="AA269" s="644"/>
      <c r="AB269" s="644">
        <v>1</v>
      </c>
      <c r="AC269" s="644">
        <v>1</v>
      </c>
      <c r="AD269" s="644">
        <v>1</v>
      </c>
      <c r="AE269" s="644"/>
      <c r="AF269" s="644"/>
      <c r="AG269" s="644">
        <v>1</v>
      </c>
      <c r="AH269" s="644">
        <v>1</v>
      </c>
      <c r="AI269" s="644"/>
      <c r="AJ269" s="644">
        <v>1</v>
      </c>
      <c r="AK269" s="644"/>
      <c r="AL269" s="167">
        <v>10</v>
      </c>
      <c r="AM269" s="641" t="s">
        <v>1311</v>
      </c>
      <c r="AN269" s="192">
        <v>42012</v>
      </c>
      <c r="AO269" s="187"/>
      <c r="AP269" s="187">
        <f t="shared" si="703"/>
        <v>0</v>
      </c>
      <c r="AQ269" s="187">
        <f t="shared" si="704"/>
        <v>0</v>
      </c>
      <c r="AR269" s="187">
        <f t="shared" si="705"/>
        <v>13</v>
      </c>
      <c r="AS269" s="187">
        <f t="shared" si="706"/>
        <v>13</v>
      </c>
      <c r="AT269" s="187">
        <f t="shared" si="707"/>
        <v>9</v>
      </c>
      <c r="AU269" s="187">
        <f t="shared" si="708"/>
        <v>0</v>
      </c>
      <c r="AV269" s="187">
        <f t="shared" si="709"/>
        <v>9</v>
      </c>
      <c r="AW269" s="187">
        <f t="shared" si="710"/>
        <v>7</v>
      </c>
      <c r="AX269" s="187">
        <f t="shared" si="711"/>
        <v>7</v>
      </c>
      <c r="AY269" s="187">
        <f t="shared" si="712"/>
        <v>0</v>
      </c>
      <c r="AZ269" s="187">
        <f t="shared" si="713"/>
        <v>7</v>
      </c>
      <c r="BA269" s="187">
        <f t="shared" si="714"/>
        <v>7</v>
      </c>
      <c r="BB269" s="187">
        <f t="shared" si="715"/>
        <v>0</v>
      </c>
      <c r="BC269" s="187">
        <f t="shared" si="716"/>
        <v>4</v>
      </c>
      <c r="BD269" s="187">
        <f t="shared" si="717"/>
        <v>0</v>
      </c>
      <c r="BE269" s="187">
        <f t="shared" si="718"/>
        <v>0</v>
      </c>
      <c r="BF269" s="187">
        <f t="shared" si="719"/>
        <v>0</v>
      </c>
      <c r="BG269" s="187">
        <f t="shared" si="720"/>
        <v>0</v>
      </c>
      <c r="BH269" s="187">
        <f t="shared" si="721"/>
        <v>0</v>
      </c>
      <c r="BI269" s="187">
        <f t="shared" si="722"/>
        <v>0</v>
      </c>
      <c r="BJ269" s="187">
        <f t="shared" si="723"/>
        <v>1</v>
      </c>
      <c r="BK269" s="187">
        <f t="shared" si="724"/>
        <v>0</v>
      </c>
      <c r="BL269" s="187">
        <f t="shared" si="725"/>
        <v>0</v>
      </c>
      <c r="BM269" s="187">
        <f t="shared" si="726"/>
        <v>0</v>
      </c>
      <c r="BN269" s="188">
        <f t="shared" si="727"/>
        <v>0</v>
      </c>
      <c r="BO269" s="187">
        <f t="shared" si="728"/>
        <v>0</v>
      </c>
      <c r="BP269" s="187">
        <f t="shared" ref="BP269:BQ269" si="959">IF(G269=1,1,0)</f>
        <v>0</v>
      </c>
      <c r="BQ269" s="187">
        <f t="shared" si="959"/>
        <v>0</v>
      </c>
      <c r="BR269" s="187">
        <f t="shared" ref="BR269:BT269" si="960">IF(K269=1,1,0)</f>
        <v>0</v>
      </c>
      <c r="BS269" s="187">
        <f t="shared" si="960"/>
        <v>0</v>
      </c>
      <c r="BT269" s="187">
        <f t="shared" si="960"/>
        <v>0</v>
      </c>
      <c r="BU269" s="187">
        <f t="shared" ref="BU269:BV269" si="961">IF(P269=1,1,0)</f>
        <v>0</v>
      </c>
      <c r="BV269" s="187">
        <f t="shared" si="961"/>
        <v>0</v>
      </c>
      <c r="BW269" s="187">
        <f t="shared" si="732"/>
        <v>0</v>
      </c>
      <c r="BX269" s="187">
        <f t="shared" si="733"/>
        <v>0</v>
      </c>
      <c r="BY269" s="187">
        <f t="shared" si="734"/>
        <v>0</v>
      </c>
      <c r="BZ269" s="187">
        <f t="shared" si="735"/>
        <v>0</v>
      </c>
      <c r="CA269" s="167">
        <f t="shared" si="736"/>
        <v>77</v>
      </c>
      <c r="CB269" s="167">
        <f t="shared" si="737"/>
        <v>100</v>
      </c>
      <c r="CC269" s="644">
        <f t="shared" si="738"/>
        <v>23</v>
      </c>
      <c r="CD269" s="644">
        <f t="shared" si="739"/>
        <v>19</v>
      </c>
      <c r="CE269" s="644">
        <f t="shared" si="740"/>
        <v>15</v>
      </c>
      <c r="CF269" s="644">
        <f t="shared" si="741"/>
        <v>15</v>
      </c>
      <c r="CG269" s="644">
        <f t="shared" si="742"/>
        <v>9</v>
      </c>
      <c r="CH269" s="644">
        <f t="shared" si="958"/>
        <v>7</v>
      </c>
      <c r="CI269" s="644">
        <f t="shared" si="744"/>
        <v>7</v>
      </c>
      <c r="CJ269" s="644">
        <f t="shared" si="745"/>
        <v>5</v>
      </c>
      <c r="CK269" s="644">
        <f t="shared" si="746"/>
        <v>0</v>
      </c>
      <c r="CL269" s="644">
        <f t="shared" si="747"/>
        <v>0</v>
      </c>
      <c r="CM269" s="644">
        <f t="shared" si="748"/>
        <v>3</v>
      </c>
      <c r="CN269" s="644">
        <f t="shared" si="749"/>
        <v>3</v>
      </c>
      <c r="CO269" s="644">
        <f t="shared" si="750"/>
        <v>3</v>
      </c>
      <c r="CP269" s="644">
        <f t="shared" si="751"/>
        <v>0</v>
      </c>
      <c r="CQ269" s="644">
        <f t="shared" si="752"/>
        <v>0</v>
      </c>
      <c r="CR269" s="644">
        <f t="shared" si="753"/>
        <v>0</v>
      </c>
      <c r="CS269" s="644">
        <f t="shared" si="754"/>
        <v>0</v>
      </c>
      <c r="CT269" s="644">
        <f t="shared" si="755"/>
        <v>0</v>
      </c>
      <c r="CU269" s="644">
        <f t="shared" si="756"/>
        <v>0</v>
      </c>
      <c r="CV269" s="644">
        <f t="shared" si="757"/>
        <v>0</v>
      </c>
      <c r="CW269" s="644">
        <f t="shared" si="758"/>
        <v>0</v>
      </c>
      <c r="CX269" s="644">
        <f t="shared" si="759"/>
        <v>0</v>
      </c>
      <c r="CY269" s="644">
        <f t="shared" si="760"/>
        <v>0</v>
      </c>
      <c r="CZ269" s="624" t="s">
        <v>1106</v>
      </c>
    </row>
    <row r="270" spans="1:104">
      <c r="A270" s="253" t="s">
        <v>431</v>
      </c>
      <c r="B270" s="641"/>
      <c r="C270" s="641"/>
      <c r="D270" s="155"/>
      <c r="E270" s="644"/>
      <c r="F270" s="644"/>
      <c r="G270" s="644"/>
      <c r="H270" s="644"/>
      <c r="I270" s="644"/>
      <c r="J270" s="644"/>
      <c r="K270" s="644"/>
      <c r="L270" s="644"/>
      <c r="M270" s="644"/>
      <c r="N270" s="644"/>
      <c r="O270" s="644"/>
      <c r="P270" s="644"/>
      <c r="Q270" s="644"/>
      <c r="R270" s="644">
        <v>1</v>
      </c>
      <c r="S270" s="644"/>
      <c r="T270" s="644">
        <v>1</v>
      </c>
      <c r="U270" s="644">
        <v>1</v>
      </c>
      <c r="V270" s="644"/>
      <c r="W270" s="644"/>
      <c r="X270" s="644"/>
      <c r="Y270" s="644"/>
      <c r="Z270" s="258">
        <v>1</v>
      </c>
      <c r="AA270" s="644"/>
      <c r="AB270" s="644"/>
      <c r="AC270" s="258">
        <v>1</v>
      </c>
      <c r="AD270" s="258">
        <v>1</v>
      </c>
      <c r="AE270" s="644"/>
      <c r="AF270" s="644"/>
      <c r="AG270" s="644"/>
      <c r="AH270" s="644">
        <v>1</v>
      </c>
      <c r="AI270" s="644"/>
      <c r="AJ270" s="644">
        <v>1</v>
      </c>
      <c r="AK270" s="644"/>
      <c r="AL270" s="167">
        <v>8</v>
      </c>
      <c r="AM270" s="191" t="str">
        <f>HYPERLINK("http://bbwaa.com/15-hof-ballots/", "BBWAA.com")</f>
        <v>BBWAA.com</v>
      </c>
      <c r="AN270" s="192">
        <v>42012</v>
      </c>
      <c r="AO270" s="187"/>
      <c r="AP270" s="187">
        <f t="shared" si="703"/>
        <v>0</v>
      </c>
      <c r="AQ270" s="187">
        <f t="shared" si="704"/>
        <v>0</v>
      </c>
      <c r="AR270" s="187">
        <f t="shared" si="705"/>
        <v>13</v>
      </c>
      <c r="AS270" s="187">
        <f t="shared" si="706"/>
        <v>13</v>
      </c>
      <c r="AT270" s="187">
        <f t="shared" si="707"/>
        <v>0</v>
      </c>
      <c r="AU270" s="187">
        <f t="shared" si="708"/>
        <v>0</v>
      </c>
      <c r="AV270" s="187">
        <f t="shared" si="709"/>
        <v>9</v>
      </c>
      <c r="AW270" s="187">
        <f t="shared" si="710"/>
        <v>7</v>
      </c>
      <c r="AX270" s="187">
        <f t="shared" si="711"/>
        <v>7</v>
      </c>
      <c r="AY270" s="187">
        <f t="shared" si="712"/>
        <v>7</v>
      </c>
      <c r="AZ270" s="187">
        <f t="shared" si="713"/>
        <v>7</v>
      </c>
      <c r="BA270" s="187">
        <f t="shared" si="714"/>
        <v>0</v>
      </c>
      <c r="BB270" s="187">
        <f t="shared" si="715"/>
        <v>0</v>
      </c>
      <c r="BC270" s="187">
        <f t="shared" si="716"/>
        <v>4</v>
      </c>
      <c r="BD270" s="187">
        <f t="shared" si="717"/>
        <v>0</v>
      </c>
      <c r="BE270" s="187">
        <f t="shared" si="718"/>
        <v>0</v>
      </c>
      <c r="BF270" s="187">
        <f t="shared" si="719"/>
        <v>0</v>
      </c>
      <c r="BG270" s="187">
        <f t="shared" si="720"/>
        <v>0</v>
      </c>
      <c r="BH270" s="187">
        <f t="shared" si="721"/>
        <v>0</v>
      </c>
      <c r="BI270" s="187">
        <f t="shared" si="722"/>
        <v>0</v>
      </c>
      <c r="BJ270" s="187">
        <f t="shared" si="723"/>
        <v>0</v>
      </c>
      <c r="BK270" s="187">
        <f t="shared" si="724"/>
        <v>0</v>
      </c>
      <c r="BL270" s="187">
        <f t="shared" si="725"/>
        <v>0</v>
      </c>
      <c r="BM270" s="187">
        <f t="shared" si="726"/>
        <v>0</v>
      </c>
      <c r="BN270" s="188">
        <f t="shared" si="727"/>
        <v>2</v>
      </c>
      <c r="BO270" s="187">
        <f t="shared" si="728"/>
        <v>0</v>
      </c>
      <c r="BP270" s="187">
        <f t="shared" ref="BP270:BQ270" si="962">IF(G270=1,1,0)</f>
        <v>0</v>
      </c>
      <c r="BQ270" s="187">
        <f t="shared" si="962"/>
        <v>0</v>
      </c>
      <c r="BR270" s="187">
        <f t="shared" ref="BR270:BT270" si="963">IF(K270=1,1,0)</f>
        <v>0</v>
      </c>
      <c r="BS270" s="187">
        <f t="shared" si="963"/>
        <v>0</v>
      </c>
      <c r="BT270" s="187">
        <f t="shared" si="963"/>
        <v>0</v>
      </c>
      <c r="BU270" s="187">
        <f t="shared" ref="BU270:BV270" si="964">IF(P270=1,1,0)</f>
        <v>0</v>
      </c>
      <c r="BV270" s="187">
        <f t="shared" si="964"/>
        <v>0</v>
      </c>
      <c r="BW270" s="187">
        <f t="shared" si="732"/>
        <v>0</v>
      </c>
      <c r="BX270" s="187">
        <f t="shared" si="733"/>
        <v>0</v>
      </c>
      <c r="BY270" s="187">
        <f t="shared" si="734"/>
        <v>2</v>
      </c>
      <c r="BZ270" s="187">
        <f t="shared" si="735"/>
        <v>-4</v>
      </c>
      <c r="CA270" s="167">
        <f t="shared" si="736"/>
        <v>63</v>
      </c>
      <c r="CB270" s="167">
        <f t="shared" si="737"/>
        <v>82</v>
      </c>
      <c r="CC270" s="644">
        <f t="shared" si="738"/>
        <v>23</v>
      </c>
      <c r="CD270" s="644">
        <f t="shared" si="739"/>
        <v>19</v>
      </c>
      <c r="CE270" s="644">
        <f t="shared" si="740"/>
        <v>15</v>
      </c>
      <c r="CF270" s="644">
        <f t="shared" si="741"/>
        <v>0</v>
      </c>
      <c r="CG270" s="644">
        <f t="shared" si="742"/>
        <v>0</v>
      </c>
      <c r="CH270" s="644">
        <f t="shared" si="958"/>
        <v>7</v>
      </c>
      <c r="CI270" s="644">
        <f t="shared" si="744"/>
        <v>7</v>
      </c>
      <c r="CJ270" s="644">
        <f t="shared" si="745"/>
        <v>5</v>
      </c>
      <c r="CK270" s="644">
        <f t="shared" si="746"/>
        <v>0</v>
      </c>
      <c r="CL270" s="644">
        <f t="shared" si="747"/>
        <v>0</v>
      </c>
      <c r="CM270" s="644">
        <f t="shared" si="748"/>
        <v>0</v>
      </c>
      <c r="CN270" s="644">
        <f t="shared" si="749"/>
        <v>3</v>
      </c>
      <c r="CO270" s="644">
        <f t="shared" si="750"/>
        <v>3</v>
      </c>
      <c r="CP270" s="644">
        <f t="shared" si="751"/>
        <v>3</v>
      </c>
      <c r="CQ270" s="644">
        <f t="shared" si="752"/>
        <v>0</v>
      </c>
      <c r="CR270" s="644">
        <f t="shared" si="753"/>
        <v>0</v>
      </c>
      <c r="CS270" s="644">
        <f t="shared" si="754"/>
        <v>0</v>
      </c>
      <c r="CT270" s="644">
        <f t="shared" si="755"/>
        <v>0</v>
      </c>
      <c r="CU270" s="644">
        <f t="shared" si="756"/>
        <v>0</v>
      </c>
      <c r="CV270" s="644">
        <f t="shared" si="757"/>
        <v>0</v>
      </c>
      <c r="CW270" s="644">
        <f t="shared" si="758"/>
        <v>0</v>
      </c>
      <c r="CX270" s="644">
        <f t="shared" si="759"/>
        <v>0</v>
      </c>
      <c r="CY270" s="644">
        <f t="shared" si="760"/>
        <v>0</v>
      </c>
      <c r="CZ270" s="624" t="s">
        <v>1152</v>
      </c>
    </row>
    <row r="271" spans="1:104">
      <c r="A271" s="253" t="s">
        <v>1312</v>
      </c>
      <c r="B271" s="641"/>
      <c r="C271" s="641"/>
      <c r="D271" s="155">
        <v>1</v>
      </c>
      <c r="E271" s="644">
        <v>1</v>
      </c>
      <c r="F271" s="644"/>
      <c r="G271" s="644"/>
      <c r="H271" s="644"/>
      <c r="I271" s="644"/>
      <c r="J271" s="644"/>
      <c r="K271" s="644"/>
      <c r="L271" s="644"/>
      <c r="M271" s="644"/>
      <c r="N271" s="644"/>
      <c r="O271" s="644"/>
      <c r="P271" s="644"/>
      <c r="Q271" s="644"/>
      <c r="R271" s="644">
        <v>1</v>
      </c>
      <c r="S271" s="644"/>
      <c r="T271" s="644">
        <v>1</v>
      </c>
      <c r="U271" s="644">
        <v>1</v>
      </c>
      <c r="V271" s="644"/>
      <c r="W271" s="644"/>
      <c r="X271" s="644"/>
      <c r="Y271" s="644"/>
      <c r="Z271" s="644">
        <v>1</v>
      </c>
      <c r="AA271" s="644"/>
      <c r="AB271" s="644">
        <v>1</v>
      </c>
      <c r="AC271" s="644">
        <v>1</v>
      </c>
      <c r="AD271" s="644"/>
      <c r="AE271" s="644"/>
      <c r="AF271" s="644"/>
      <c r="AG271" s="644"/>
      <c r="AH271" s="644">
        <v>1</v>
      </c>
      <c r="AI271" s="644"/>
      <c r="AJ271" s="644">
        <v>1</v>
      </c>
      <c r="AK271" s="644"/>
      <c r="AL271" s="167">
        <v>10</v>
      </c>
      <c r="AM271" s="191" t="s">
        <v>1313</v>
      </c>
      <c r="AN271" s="192">
        <v>42010</v>
      </c>
      <c r="AO271" s="187"/>
      <c r="AP271" s="187">
        <f t="shared" si="703"/>
        <v>0</v>
      </c>
      <c r="AQ271" s="187">
        <f t="shared" si="704"/>
        <v>0</v>
      </c>
      <c r="AR271" s="187">
        <f t="shared" si="705"/>
        <v>13</v>
      </c>
      <c r="AS271" s="187">
        <f t="shared" si="706"/>
        <v>13</v>
      </c>
      <c r="AT271" s="187">
        <f t="shared" si="707"/>
        <v>9</v>
      </c>
      <c r="AU271" s="187">
        <f t="shared" si="708"/>
        <v>9</v>
      </c>
      <c r="AV271" s="187">
        <f t="shared" si="709"/>
        <v>9</v>
      </c>
      <c r="AW271" s="187">
        <f t="shared" si="710"/>
        <v>7</v>
      </c>
      <c r="AX271" s="187">
        <f t="shared" si="711"/>
        <v>0</v>
      </c>
      <c r="AY271" s="187">
        <f t="shared" si="712"/>
        <v>7</v>
      </c>
      <c r="AZ271" s="187">
        <f t="shared" si="713"/>
        <v>7</v>
      </c>
      <c r="BA271" s="187">
        <f t="shared" si="714"/>
        <v>7</v>
      </c>
      <c r="BB271" s="187">
        <f t="shared" si="715"/>
        <v>0</v>
      </c>
      <c r="BC271" s="187">
        <f t="shared" si="716"/>
        <v>4</v>
      </c>
      <c r="BD271" s="187">
        <f t="shared" si="717"/>
        <v>0</v>
      </c>
      <c r="BE271" s="187">
        <f t="shared" si="718"/>
        <v>0</v>
      </c>
      <c r="BF271" s="187">
        <f t="shared" si="719"/>
        <v>0</v>
      </c>
      <c r="BG271" s="187">
        <f t="shared" si="720"/>
        <v>0</v>
      </c>
      <c r="BH271" s="187">
        <f t="shared" si="721"/>
        <v>0</v>
      </c>
      <c r="BI271" s="187">
        <f t="shared" si="722"/>
        <v>0</v>
      </c>
      <c r="BJ271" s="187">
        <f t="shared" si="723"/>
        <v>0</v>
      </c>
      <c r="BK271" s="187">
        <f t="shared" si="724"/>
        <v>0</v>
      </c>
      <c r="BL271" s="187">
        <f t="shared" si="725"/>
        <v>0</v>
      </c>
      <c r="BM271" s="187">
        <f t="shared" si="726"/>
        <v>0</v>
      </c>
      <c r="BN271" s="188">
        <f t="shared" si="727"/>
        <v>0</v>
      </c>
      <c r="BO271" s="187">
        <f t="shared" si="728"/>
        <v>0</v>
      </c>
      <c r="BP271" s="187">
        <f t="shared" ref="BP271:BQ271" si="965">IF(G271=1,1,0)</f>
        <v>0</v>
      </c>
      <c r="BQ271" s="187">
        <f t="shared" si="965"/>
        <v>0</v>
      </c>
      <c r="BR271" s="187">
        <f t="shared" ref="BR271:BT271" si="966">IF(K271=1,1,0)</f>
        <v>0</v>
      </c>
      <c r="BS271" s="187">
        <f t="shared" si="966"/>
        <v>0</v>
      </c>
      <c r="BT271" s="187">
        <f t="shared" si="966"/>
        <v>0</v>
      </c>
      <c r="BU271" s="187">
        <f t="shared" ref="BU271:BV271" si="967">IF(P271=1,1,0)</f>
        <v>0</v>
      </c>
      <c r="BV271" s="187">
        <f t="shared" si="967"/>
        <v>0</v>
      </c>
      <c r="BW271" s="187">
        <f t="shared" si="732"/>
        <v>0</v>
      </c>
      <c r="BX271" s="187">
        <f t="shared" si="733"/>
        <v>0</v>
      </c>
      <c r="BY271" s="187">
        <f t="shared" si="734"/>
        <v>0</v>
      </c>
      <c r="BZ271" s="187">
        <f t="shared" si="735"/>
        <v>0</v>
      </c>
      <c r="CA271" s="167">
        <f t="shared" si="736"/>
        <v>85</v>
      </c>
      <c r="CB271" s="167">
        <f t="shared" si="737"/>
        <v>94</v>
      </c>
      <c r="CC271" s="644">
        <f t="shared" si="738"/>
        <v>23</v>
      </c>
      <c r="CD271" s="644">
        <f t="shared" si="739"/>
        <v>19</v>
      </c>
      <c r="CE271" s="644">
        <f t="shared" si="740"/>
        <v>15</v>
      </c>
      <c r="CF271" s="644">
        <f t="shared" si="741"/>
        <v>15</v>
      </c>
      <c r="CG271" s="644">
        <f t="shared" si="742"/>
        <v>9</v>
      </c>
      <c r="CH271" s="644">
        <f t="shared" si="958"/>
        <v>0</v>
      </c>
      <c r="CI271" s="644">
        <f t="shared" si="744"/>
        <v>7</v>
      </c>
      <c r="CJ271" s="644">
        <f t="shared" si="745"/>
        <v>0</v>
      </c>
      <c r="CK271" s="644">
        <f t="shared" si="746"/>
        <v>0</v>
      </c>
      <c r="CL271" s="644">
        <f t="shared" si="747"/>
        <v>0</v>
      </c>
      <c r="CM271" s="644">
        <f t="shared" si="748"/>
        <v>0</v>
      </c>
      <c r="CN271" s="644">
        <f t="shared" si="749"/>
        <v>3</v>
      </c>
      <c r="CO271" s="644">
        <f t="shared" si="750"/>
        <v>3</v>
      </c>
      <c r="CP271" s="644">
        <f t="shared" si="751"/>
        <v>3</v>
      </c>
      <c r="CQ271" s="644">
        <f t="shared" si="752"/>
        <v>0</v>
      </c>
      <c r="CR271" s="644">
        <f t="shared" si="753"/>
        <v>0</v>
      </c>
      <c r="CS271" s="644">
        <f t="shared" si="754"/>
        <v>0</v>
      </c>
      <c r="CT271" s="644">
        <f t="shared" si="755"/>
        <v>0</v>
      </c>
      <c r="CU271" s="644">
        <f t="shared" si="756"/>
        <v>0</v>
      </c>
      <c r="CV271" s="644">
        <f t="shared" si="757"/>
        <v>0</v>
      </c>
      <c r="CW271" s="644">
        <f t="shared" si="758"/>
        <v>0</v>
      </c>
      <c r="CX271" s="644">
        <f t="shared" si="759"/>
        <v>0</v>
      </c>
      <c r="CY271" s="644">
        <f t="shared" si="760"/>
        <v>0</v>
      </c>
      <c r="CZ271" s="624" t="s">
        <v>1191</v>
      </c>
    </row>
    <row r="272" spans="1:104">
      <c r="A272" s="277" t="s">
        <v>668</v>
      </c>
      <c r="B272" s="641"/>
      <c r="C272" s="641"/>
      <c r="D272" s="281"/>
      <c r="E272" s="256">
        <v>1</v>
      </c>
      <c r="F272" s="256">
        <v>1</v>
      </c>
      <c r="G272" s="644"/>
      <c r="H272" s="644"/>
      <c r="I272" s="256">
        <v>1</v>
      </c>
      <c r="J272" s="644"/>
      <c r="K272" s="644"/>
      <c r="L272" s="644"/>
      <c r="M272" s="644"/>
      <c r="N272" s="644"/>
      <c r="O272" s="644"/>
      <c r="P272" s="644"/>
      <c r="Q272" s="644"/>
      <c r="R272" s="644">
        <v>1</v>
      </c>
      <c r="S272" s="644"/>
      <c r="T272" s="644"/>
      <c r="U272" s="644">
        <v>1</v>
      </c>
      <c r="V272" s="644"/>
      <c r="W272" s="644"/>
      <c r="X272" s="644"/>
      <c r="Y272" s="644"/>
      <c r="Z272" s="256">
        <v>1</v>
      </c>
      <c r="AA272" s="644"/>
      <c r="AB272" s="256">
        <v>1</v>
      </c>
      <c r="AC272" s="256">
        <v>1</v>
      </c>
      <c r="AD272" s="255"/>
      <c r="AE272" s="644"/>
      <c r="AF272" s="644"/>
      <c r="AG272" s="644"/>
      <c r="AH272" s="644"/>
      <c r="AI272" s="644">
        <v>1</v>
      </c>
      <c r="AJ272" s="644">
        <v>1</v>
      </c>
      <c r="AK272" s="644"/>
      <c r="AL272" s="167">
        <v>10</v>
      </c>
      <c r="AM272" s="191" t="str">
        <f t="shared" ref="AM272:AM280" si="968">HYPERLINK("http://bbwaa.com/15-hof-ballots/", "BBWAA.com")</f>
        <v>BBWAA.com</v>
      </c>
      <c r="AN272" s="192">
        <v>42012</v>
      </c>
      <c r="AO272" s="187"/>
      <c r="AP272" s="187">
        <f t="shared" si="703"/>
        <v>13</v>
      </c>
      <c r="AQ272" s="187">
        <f t="shared" si="704"/>
        <v>13</v>
      </c>
      <c r="AR272" s="187">
        <f t="shared" si="705"/>
        <v>13</v>
      </c>
      <c r="AS272" s="187">
        <f t="shared" si="706"/>
        <v>13</v>
      </c>
      <c r="AT272" s="187">
        <f t="shared" si="707"/>
        <v>9</v>
      </c>
      <c r="AU272" s="187">
        <f t="shared" si="708"/>
        <v>0</v>
      </c>
      <c r="AV272" s="187">
        <f t="shared" si="709"/>
        <v>9</v>
      </c>
      <c r="AW272" s="187">
        <f t="shared" si="710"/>
        <v>7</v>
      </c>
      <c r="AX272" s="187">
        <f t="shared" si="711"/>
        <v>0</v>
      </c>
      <c r="AY272" s="187">
        <f t="shared" si="712"/>
        <v>7</v>
      </c>
      <c r="AZ272" s="187">
        <f t="shared" si="713"/>
        <v>0</v>
      </c>
      <c r="BA272" s="187">
        <f t="shared" si="714"/>
        <v>7</v>
      </c>
      <c r="BB272" s="187">
        <f t="shared" si="715"/>
        <v>0</v>
      </c>
      <c r="BC272" s="187">
        <f t="shared" si="716"/>
        <v>0</v>
      </c>
      <c r="BD272" s="187">
        <f t="shared" si="717"/>
        <v>0</v>
      </c>
      <c r="BE272" s="187">
        <f t="shared" si="718"/>
        <v>0</v>
      </c>
      <c r="BF272" s="187">
        <f t="shared" si="719"/>
        <v>0</v>
      </c>
      <c r="BG272" s="187">
        <f t="shared" si="720"/>
        <v>2</v>
      </c>
      <c r="BH272" s="187">
        <f t="shared" si="721"/>
        <v>0</v>
      </c>
      <c r="BI272" s="187">
        <f t="shared" si="722"/>
        <v>0</v>
      </c>
      <c r="BJ272" s="187">
        <f t="shared" si="723"/>
        <v>0</v>
      </c>
      <c r="BK272" s="187">
        <f t="shared" si="724"/>
        <v>0</v>
      </c>
      <c r="BL272" s="187">
        <f t="shared" si="725"/>
        <v>0</v>
      </c>
      <c r="BM272" s="187">
        <f t="shared" si="726"/>
        <v>0</v>
      </c>
      <c r="BN272" s="188">
        <f t="shared" si="727"/>
        <v>0</v>
      </c>
      <c r="BO272" s="187">
        <f t="shared" si="728"/>
        <v>0</v>
      </c>
      <c r="BP272" s="187">
        <f t="shared" ref="BP272:BQ272" si="969">IF(G272=1,1,0)</f>
        <v>0</v>
      </c>
      <c r="BQ272" s="187">
        <f t="shared" si="969"/>
        <v>0</v>
      </c>
      <c r="BR272" s="187">
        <f t="shared" ref="BR272:BT272" si="970">IF(K272=1,1,0)</f>
        <v>0</v>
      </c>
      <c r="BS272" s="187">
        <f t="shared" si="970"/>
        <v>0</v>
      </c>
      <c r="BT272" s="187">
        <f t="shared" si="970"/>
        <v>0</v>
      </c>
      <c r="BU272" s="187">
        <f t="shared" ref="BU272:BV272" si="971">IF(P272=1,1,0)</f>
        <v>0</v>
      </c>
      <c r="BV272" s="187">
        <f t="shared" si="971"/>
        <v>0</v>
      </c>
      <c r="BW272" s="187">
        <f t="shared" si="732"/>
        <v>0</v>
      </c>
      <c r="BX272" s="187">
        <f t="shared" si="733"/>
        <v>0</v>
      </c>
      <c r="BY272" s="187">
        <f t="shared" si="734"/>
        <v>0</v>
      </c>
      <c r="BZ272" s="187">
        <f t="shared" si="735"/>
        <v>0</v>
      </c>
      <c r="CA272" s="167">
        <f t="shared" si="736"/>
        <v>93</v>
      </c>
      <c r="CB272" s="167">
        <f t="shared" si="737"/>
        <v>90</v>
      </c>
      <c r="CC272" s="644">
        <f t="shared" si="738"/>
        <v>23</v>
      </c>
      <c r="CD272" s="644">
        <f t="shared" si="739"/>
        <v>19</v>
      </c>
      <c r="CE272" s="644">
        <f t="shared" si="740"/>
        <v>0</v>
      </c>
      <c r="CF272" s="644">
        <f t="shared" si="741"/>
        <v>15</v>
      </c>
      <c r="CG272" s="644">
        <f t="shared" si="742"/>
        <v>9</v>
      </c>
      <c r="CH272" s="644">
        <f t="shared" si="958"/>
        <v>7</v>
      </c>
      <c r="CI272" s="644">
        <f t="shared" si="744"/>
        <v>7</v>
      </c>
      <c r="CJ272" s="644">
        <f t="shared" si="745"/>
        <v>0</v>
      </c>
      <c r="CK272" s="644">
        <f t="shared" si="746"/>
        <v>5</v>
      </c>
      <c r="CL272" s="644">
        <f t="shared" si="747"/>
        <v>5</v>
      </c>
      <c r="CM272" s="644">
        <f t="shared" si="748"/>
        <v>0</v>
      </c>
      <c r="CN272" s="644">
        <f t="shared" si="749"/>
        <v>0</v>
      </c>
      <c r="CO272" s="644">
        <f t="shared" si="750"/>
        <v>3</v>
      </c>
      <c r="CP272" s="644">
        <f t="shared" si="751"/>
        <v>3</v>
      </c>
      <c r="CQ272" s="644">
        <f t="shared" si="752"/>
        <v>0</v>
      </c>
      <c r="CR272" s="644">
        <f t="shared" si="753"/>
        <v>0</v>
      </c>
      <c r="CS272" s="644">
        <f t="shared" si="754"/>
        <v>0</v>
      </c>
      <c r="CT272" s="644">
        <f t="shared" si="755"/>
        <v>0</v>
      </c>
      <c r="CU272" s="644">
        <f t="shared" si="756"/>
        <v>0</v>
      </c>
      <c r="CV272" s="644">
        <f t="shared" si="757"/>
        <v>0</v>
      </c>
      <c r="CW272" s="644">
        <f t="shared" si="758"/>
        <v>1</v>
      </c>
      <c r="CX272" s="644">
        <f t="shared" si="759"/>
        <v>0</v>
      </c>
      <c r="CY272" s="644">
        <f t="shared" si="760"/>
        <v>0</v>
      </c>
      <c r="CZ272" s="624" t="s">
        <v>768</v>
      </c>
    </row>
    <row r="273" spans="1:104">
      <c r="A273" s="253" t="s">
        <v>1314</v>
      </c>
      <c r="B273" s="641"/>
      <c r="C273" s="641"/>
      <c r="D273" s="155">
        <v>1</v>
      </c>
      <c r="E273" s="644">
        <v>1</v>
      </c>
      <c r="F273" s="644"/>
      <c r="G273" s="644"/>
      <c r="H273" s="644"/>
      <c r="I273" s="644"/>
      <c r="J273" s="644"/>
      <c r="K273" s="644"/>
      <c r="L273" s="644"/>
      <c r="M273" s="644"/>
      <c r="N273" s="644"/>
      <c r="O273" s="644"/>
      <c r="P273" s="644"/>
      <c r="Q273" s="644"/>
      <c r="R273" s="644">
        <v>1</v>
      </c>
      <c r="S273" s="644"/>
      <c r="T273" s="644"/>
      <c r="U273" s="644">
        <v>1</v>
      </c>
      <c r="V273" s="644"/>
      <c r="W273" s="644"/>
      <c r="X273" s="644"/>
      <c r="Y273" s="644"/>
      <c r="Z273" s="644"/>
      <c r="AA273" s="644"/>
      <c r="AB273" s="644"/>
      <c r="AC273" s="644"/>
      <c r="AD273" s="644">
        <v>1</v>
      </c>
      <c r="AE273" s="644"/>
      <c r="AF273" s="644"/>
      <c r="AG273" s="644">
        <v>1</v>
      </c>
      <c r="AH273" s="644">
        <v>1</v>
      </c>
      <c r="AI273" s="644"/>
      <c r="AJ273" s="644"/>
      <c r="AK273" s="644"/>
      <c r="AL273" s="167">
        <v>7</v>
      </c>
      <c r="AM273" s="191" t="str">
        <f t="shared" si="968"/>
        <v>BBWAA.com</v>
      </c>
      <c r="AN273" s="192">
        <v>42014</v>
      </c>
      <c r="AO273" s="187"/>
      <c r="AP273" s="187">
        <f t="shared" si="703"/>
        <v>0</v>
      </c>
      <c r="AQ273" s="187">
        <f t="shared" si="704"/>
        <v>0</v>
      </c>
      <c r="AR273" s="187">
        <f t="shared" si="705"/>
        <v>13</v>
      </c>
      <c r="AS273" s="187">
        <f t="shared" si="706"/>
        <v>13</v>
      </c>
      <c r="AT273" s="187">
        <f t="shared" si="707"/>
        <v>0</v>
      </c>
      <c r="AU273" s="187">
        <f t="shared" si="708"/>
        <v>9</v>
      </c>
      <c r="AV273" s="187">
        <f t="shared" si="709"/>
        <v>0</v>
      </c>
      <c r="AW273" s="187">
        <f t="shared" si="710"/>
        <v>0</v>
      </c>
      <c r="AX273" s="187">
        <f t="shared" si="711"/>
        <v>7</v>
      </c>
      <c r="AY273" s="187">
        <f t="shared" si="712"/>
        <v>0</v>
      </c>
      <c r="AZ273" s="187">
        <f t="shared" si="713"/>
        <v>7</v>
      </c>
      <c r="BA273" s="187">
        <f t="shared" si="714"/>
        <v>7</v>
      </c>
      <c r="BB273" s="187">
        <f t="shared" si="715"/>
        <v>0</v>
      </c>
      <c r="BC273" s="187">
        <f t="shared" si="716"/>
        <v>0</v>
      </c>
      <c r="BD273" s="187">
        <f t="shared" si="717"/>
        <v>0</v>
      </c>
      <c r="BE273" s="187">
        <f t="shared" si="718"/>
        <v>0</v>
      </c>
      <c r="BF273" s="187">
        <f t="shared" si="719"/>
        <v>0</v>
      </c>
      <c r="BG273" s="187">
        <f t="shared" si="720"/>
        <v>0</v>
      </c>
      <c r="BH273" s="187">
        <f t="shared" si="721"/>
        <v>0</v>
      </c>
      <c r="BI273" s="187">
        <f t="shared" si="722"/>
        <v>0</v>
      </c>
      <c r="BJ273" s="187">
        <f t="shared" si="723"/>
        <v>1</v>
      </c>
      <c r="BK273" s="187">
        <f t="shared" si="724"/>
        <v>0</v>
      </c>
      <c r="BL273" s="187">
        <f t="shared" si="725"/>
        <v>0</v>
      </c>
      <c r="BM273" s="187">
        <f t="shared" si="726"/>
        <v>0</v>
      </c>
      <c r="BN273" s="188">
        <f t="shared" si="727"/>
        <v>3</v>
      </c>
      <c r="BO273" s="187">
        <f t="shared" si="728"/>
        <v>0</v>
      </c>
      <c r="BP273" s="187">
        <f t="shared" ref="BP273:BQ273" si="972">IF(G273=1,1,0)</f>
        <v>0</v>
      </c>
      <c r="BQ273" s="187">
        <f t="shared" si="972"/>
        <v>0</v>
      </c>
      <c r="BR273" s="187">
        <f t="shared" ref="BR273:BT273" si="973">IF(K273=1,1,0)</f>
        <v>0</v>
      </c>
      <c r="BS273" s="187">
        <f t="shared" si="973"/>
        <v>0</v>
      </c>
      <c r="BT273" s="187">
        <f t="shared" si="973"/>
        <v>0</v>
      </c>
      <c r="BU273" s="187">
        <f t="shared" ref="BU273:BV273" si="974">IF(P273=1,1,0)</f>
        <v>0</v>
      </c>
      <c r="BV273" s="187">
        <f t="shared" si="974"/>
        <v>0</v>
      </c>
      <c r="BW273" s="187">
        <f t="shared" si="732"/>
        <v>0</v>
      </c>
      <c r="BX273" s="187">
        <f t="shared" si="733"/>
        <v>0</v>
      </c>
      <c r="BY273" s="187">
        <f t="shared" si="734"/>
        <v>3</v>
      </c>
      <c r="BZ273" s="187">
        <f t="shared" si="735"/>
        <v>-9</v>
      </c>
      <c r="CA273" s="167">
        <f t="shared" si="736"/>
        <v>48</v>
      </c>
      <c r="CB273" s="167">
        <f t="shared" si="737"/>
        <v>87</v>
      </c>
      <c r="CC273" s="644">
        <f t="shared" si="738"/>
        <v>23</v>
      </c>
      <c r="CD273" s="644">
        <f t="shared" si="739"/>
        <v>19</v>
      </c>
      <c r="CE273" s="644">
        <f t="shared" si="740"/>
        <v>15</v>
      </c>
      <c r="CF273" s="644">
        <f t="shared" si="741"/>
        <v>15</v>
      </c>
      <c r="CG273" s="644">
        <f t="shared" si="742"/>
        <v>0</v>
      </c>
      <c r="CH273" s="644">
        <f t="shared" si="958"/>
        <v>7</v>
      </c>
      <c r="CI273" s="644">
        <f t="shared" si="744"/>
        <v>0</v>
      </c>
      <c r="CJ273" s="644">
        <f t="shared" si="745"/>
        <v>5</v>
      </c>
      <c r="CK273" s="644">
        <f t="shared" si="746"/>
        <v>0</v>
      </c>
      <c r="CL273" s="644">
        <f t="shared" si="747"/>
        <v>0</v>
      </c>
      <c r="CM273" s="644">
        <f t="shared" si="748"/>
        <v>3</v>
      </c>
      <c r="CN273" s="644">
        <f t="shared" si="749"/>
        <v>0</v>
      </c>
      <c r="CO273" s="644">
        <f t="shared" si="750"/>
        <v>0</v>
      </c>
      <c r="CP273" s="644">
        <f t="shared" si="751"/>
        <v>0</v>
      </c>
      <c r="CQ273" s="644">
        <f t="shared" si="752"/>
        <v>0</v>
      </c>
      <c r="CR273" s="644">
        <f t="shared" si="753"/>
        <v>0</v>
      </c>
      <c r="CS273" s="644">
        <f t="shared" si="754"/>
        <v>0</v>
      </c>
      <c r="CT273" s="644">
        <f t="shared" si="755"/>
        <v>0</v>
      </c>
      <c r="CU273" s="644">
        <f t="shared" si="756"/>
        <v>0</v>
      </c>
      <c r="CV273" s="644">
        <f t="shared" si="757"/>
        <v>0</v>
      </c>
      <c r="CW273" s="644">
        <f t="shared" si="758"/>
        <v>0</v>
      </c>
      <c r="CX273" s="644">
        <f t="shared" si="759"/>
        <v>0</v>
      </c>
      <c r="CY273" s="644">
        <f t="shared" si="760"/>
        <v>0</v>
      </c>
      <c r="CZ273" s="624" t="s">
        <v>743</v>
      </c>
    </row>
    <row r="274" spans="1:104">
      <c r="A274" s="253" t="s">
        <v>436</v>
      </c>
      <c r="B274" s="641"/>
      <c r="C274" s="641"/>
      <c r="D274" s="155"/>
      <c r="E274" s="644">
        <v>1</v>
      </c>
      <c r="F274" s="644"/>
      <c r="G274" s="644"/>
      <c r="H274" s="644"/>
      <c r="I274" s="644"/>
      <c r="J274" s="644"/>
      <c r="K274" s="644"/>
      <c r="L274" s="644"/>
      <c r="M274" s="644"/>
      <c r="N274" s="644"/>
      <c r="O274" s="644"/>
      <c r="P274" s="644"/>
      <c r="Q274" s="644"/>
      <c r="R274" s="644">
        <v>1</v>
      </c>
      <c r="S274" s="644"/>
      <c r="T274" s="644"/>
      <c r="U274" s="644">
        <v>1</v>
      </c>
      <c r="V274" s="644"/>
      <c r="W274" s="644"/>
      <c r="X274" s="644"/>
      <c r="Y274" s="644"/>
      <c r="Z274" s="644"/>
      <c r="AA274" s="644"/>
      <c r="AB274" s="644"/>
      <c r="AC274" s="644"/>
      <c r="AD274" s="644"/>
      <c r="AE274" s="644"/>
      <c r="AF274" s="644"/>
      <c r="AG274" s="644"/>
      <c r="AH274" s="644">
        <v>1</v>
      </c>
      <c r="AI274" s="644"/>
      <c r="AJ274" s="644"/>
      <c r="AK274" s="644"/>
      <c r="AL274" s="167">
        <v>4</v>
      </c>
      <c r="AM274" s="191" t="str">
        <f t="shared" si="968"/>
        <v>BBWAA.com</v>
      </c>
      <c r="AN274" s="192">
        <v>42012</v>
      </c>
      <c r="AO274" s="187"/>
      <c r="AP274" s="187">
        <f t="shared" si="703"/>
        <v>0</v>
      </c>
      <c r="AQ274" s="187">
        <f t="shared" si="704"/>
        <v>0</v>
      </c>
      <c r="AR274" s="187">
        <f t="shared" si="705"/>
        <v>13</v>
      </c>
      <c r="AS274" s="187">
        <f t="shared" si="706"/>
        <v>13</v>
      </c>
      <c r="AT274" s="187">
        <f t="shared" si="707"/>
        <v>0</v>
      </c>
      <c r="AU274" s="187">
        <f t="shared" si="708"/>
        <v>0</v>
      </c>
      <c r="AV274" s="187">
        <f t="shared" si="709"/>
        <v>0</v>
      </c>
      <c r="AW274" s="187">
        <f t="shared" si="710"/>
        <v>0</v>
      </c>
      <c r="AX274" s="187">
        <f t="shared" si="711"/>
        <v>0</v>
      </c>
      <c r="AY274" s="187">
        <f t="shared" si="712"/>
        <v>0</v>
      </c>
      <c r="AZ274" s="187">
        <f t="shared" si="713"/>
        <v>7</v>
      </c>
      <c r="BA274" s="187">
        <f t="shared" si="714"/>
        <v>7</v>
      </c>
      <c r="BB274" s="187">
        <f t="shared" si="715"/>
        <v>0</v>
      </c>
      <c r="BC274" s="187">
        <f t="shared" si="716"/>
        <v>0</v>
      </c>
      <c r="BD274" s="187">
        <f t="shared" si="717"/>
        <v>0</v>
      </c>
      <c r="BE274" s="187">
        <f t="shared" si="718"/>
        <v>0</v>
      </c>
      <c r="BF274" s="187">
        <f t="shared" si="719"/>
        <v>0</v>
      </c>
      <c r="BG274" s="187">
        <f t="shared" si="720"/>
        <v>0</v>
      </c>
      <c r="BH274" s="187">
        <f t="shared" si="721"/>
        <v>0</v>
      </c>
      <c r="BI274" s="187">
        <f t="shared" si="722"/>
        <v>0</v>
      </c>
      <c r="BJ274" s="187">
        <f t="shared" si="723"/>
        <v>0</v>
      </c>
      <c r="BK274" s="187">
        <f t="shared" si="724"/>
        <v>0</v>
      </c>
      <c r="BL274" s="187">
        <f t="shared" si="725"/>
        <v>0</v>
      </c>
      <c r="BM274" s="187">
        <f t="shared" si="726"/>
        <v>0</v>
      </c>
      <c r="BN274" s="188">
        <f t="shared" si="727"/>
        <v>6</v>
      </c>
      <c r="BO274" s="187">
        <f t="shared" si="728"/>
        <v>0</v>
      </c>
      <c r="BP274" s="187">
        <f t="shared" ref="BP274:BQ274" si="975">IF(G274=1,1,0)</f>
        <v>0</v>
      </c>
      <c r="BQ274" s="187">
        <f t="shared" si="975"/>
        <v>0</v>
      </c>
      <c r="BR274" s="187">
        <f t="shared" ref="BR274:BT274" si="976">IF(K274=1,1,0)</f>
        <v>0</v>
      </c>
      <c r="BS274" s="187">
        <f t="shared" si="976"/>
        <v>0</v>
      </c>
      <c r="BT274" s="187">
        <f t="shared" si="976"/>
        <v>0</v>
      </c>
      <c r="BU274" s="187">
        <f t="shared" ref="BU274:BV274" si="977">IF(P274=1,1,0)</f>
        <v>0</v>
      </c>
      <c r="BV274" s="187">
        <f t="shared" si="977"/>
        <v>0</v>
      </c>
      <c r="BW274" s="187">
        <f t="shared" si="732"/>
        <v>0</v>
      </c>
      <c r="BX274" s="187">
        <f t="shared" si="733"/>
        <v>0</v>
      </c>
      <c r="BY274" s="187">
        <f t="shared" si="734"/>
        <v>6</v>
      </c>
      <c r="BZ274" s="187">
        <f t="shared" si="735"/>
        <v>-36</v>
      </c>
      <c r="CA274" s="167">
        <f t="shared" si="736"/>
        <v>4</v>
      </c>
      <c r="CB274" s="167">
        <f t="shared" si="737"/>
        <v>79</v>
      </c>
      <c r="CC274" s="644">
        <f t="shared" si="738"/>
        <v>23</v>
      </c>
      <c r="CD274" s="644">
        <f t="shared" si="739"/>
        <v>19</v>
      </c>
      <c r="CE274" s="644">
        <f t="shared" si="740"/>
        <v>15</v>
      </c>
      <c r="CF274" s="644">
        <f t="shared" si="741"/>
        <v>15</v>
      </c>
      <c r="CG274" s="644">
        <f t="shared" si="742"/>
        <v>0</v>
      </c>
      <c r="CH274" s="644">
        <f t="shared" ref="CH274:CH275" si="978">IF(D248=1,7,0)</f>
        <v>7</v>
      </c>
      <c r="CI274" s="644">
        <f t="shared" si="744"/>
        <v>0</v>
      </c>
      <c r="CJ274" s="644">
        <f t="shared" si="745"/>
        <v>0</v>
      </c>
      <c r="CK274" s="644">
        <f t="shared" si="746"/>
        <v>0</v>
      </c>
      <c r="CL274" s="644">
        <f t="shared" si="747"/>
        <v>0</v>
      </c>
      <c r="CM274" s="644">
        <f t="shared" si="748"/>
        <v>0</v>
      </c>
      <c r="CN274" s="644">
        <f t="shared" si="749"/>
        <v>0</v>
      </c>
      <c r="CO274" s="644">
        <f t="shared" si="750"/>
        <v>0</v>
      </c>
      <c r="CP274" s="644">
        <f t="shared" si="751"/>
        <v>0</v>
      </c>
      <c r="CQ274" s="644">
        <f t="shared" si="752"/>
        <v>0</v>
      </c>
      <c r="CR274" s="644">
        <f t="shared" si="753"/>
        <v>0</v>
      </c>
      <c r="CS274" s="644">
        <f t="shared" si="754"/>
        <v>0</v>
      </c>
      <c r="CT274" s="644">
        <f t="shared" si="755"/>
        <v>0</v>
      </c>
      <c r="CU274" s="644">
        <f t="shared" si="756"/>
        <v>0</v>
      </c>
      <c r="CV274" s="644">
        <f t="shared" si="757"/>
        <v>0</v>
      </c>
      <c r="CW274" s="644">
        <f t="shared" si="758"/>
        <v>0</v>
      </c>
      <c r="CX274" s="644">
        <f t="shared" si="759"/>
        <v>0</v>
      </c>
      <c r="CY274" s="644">
        <f t="shared" si="760"/>
        <v>0</v>
      </c>
      <c r="CZ274" s="624" t="s">
        <v>768</v>
      </c>
    </row>
    <row r="275" spans="1:104">
      <c r="A275" s="253" t="s">
        <v>1315</v>
      </c>
      <c r="B275" s="641"/>
      <c r="C275" s="641"/>
      <c r="D275" s="155"/>
      <c r="E275" s="644">
        <v>1</v>
      </c>
      <c r="F275" s="644"/>
      <c r="G275" s="644"/>
      <c r="H275" s="644"/>
      <c r="I275" s="644"/>
      <c r="J275" s="644"/>
      <c r="K275" s="644"/>
      <c r="L275" s="644"/>
      <c r="M275" s="644"/>
      <c r="N275" s="644"/>
      <c r="O275" s="644"/>
      <c r="P275" s="644"/>
      <c r="Q275" s="644"/>
      <c r="R275" s="644">
        <v>1</v>
      </c>
      <c r="S275" s="644"/>
      <c r="T275" s="644"/>
      <c r="U275" s="644">
        <v>1</v>
      </c>
      <c r="V275" s="644">
        <v>1</v>
      </c>
      <c r="W275" s="644"/>
      <c r="X275" s="644"/>
      <c r="Y275" s="644"/>
      <c r="Z275" s="644"/>
      <c r="AA275" s="644"/>
      <c r="AB275" s="644">
        <v>1</v>
      </c>
      <c r="AC275" s="644"/>
      <c r="AD275" s="644"/>
      <c r="AE275" s="644"/>
      <c r="AF275" s="644"/>
      <c r="AG275" s="644">
        <v>1</v>
      </c>
      <c r="AH275" s="644">
        <v>1</v>
      </c>
      <c r="AI275" s="644"/>
      <c r="AJ275" s="644"/>
      <c r="AK275" s="644"/>
      <c r="AL275" s="167">
        <v>7</v>
      </c>
      <c r="AM275" s="191" t="str">
        <f t="shared" si="968"/>
        <v>BBWAA.com</v>
      </c>
      <c r="AN275" s="192">
        <v>42015</v>
      </c>
      <c r="AO275" s="187"/>
      <c r="AP275" s="187">
        <f t="shared" si="703"/>
        <v>0</v>
      </c>
      <c r="AQ275" s="187">
        <f t="shared" si="704"/>
        <v>0</v>
      </c>
      <c r="AR275" s="187">
        <f t="shared" si="705"/>
        <v>13</v>
      </c>
      <c r="AS275" s="187">
        <f t="shared" si="706"/>
        <v>13</v>
      </c>
      <c r="AT275" s="187">
        <f t="shared" si="707"/>
        <v>9</v>
      </c>
      <c r="AU275" s="187">
        <f t="shared" si="708"/>
        <v>0</v>
      </c>
      <c r="AV275" s="187">
        <f t="shared" si="709"/>
        <v>0</v>
      </c>
      <c r="AW275" s="187">
        <f t="shared" si="710"/>
        <v>0</v>
      </c>
      <c r="AX275" s="187">
        <f t="shared" si="711"/>
        <v>0</v>
      </c>
      <c r="AY275" s="187">
        <f t="shared" si="712"/>
        <v>0</v>
      </c>
      <c r="AZ275" s="187">
        <f t="shared" si="713"/>
        <v>7</v>
      </c>
      <c r="BA275" s="187">
        <f t="shared" si="714"/>
        <v>7</v>
      </c>
      <c r="BB275" s="187">
        <f t="shared" si="715"/>
        <v>0</v>
      </c>
      <c r="BC275" s="187">
        <f t="shared" si="716"/>
        <v>0</v>
      </c>
      <c r="BD275" s="187">
        <f t="shared" si="717"/>
        <v>0</v>
      </c>
      <c r="BE275" s="187">
        <f t="shared" si="718"/>
        <v>0</v>
      </c>
      <c r="BF275" s="187">
        <f t="shared" si="719"/>
        <v>0</v>
      </c>
      <c r="BG275" s="187">
        <f t="shared" si="720"/>
        <v>0</v>
      </c>
      <c r="BH275" s="187">
        <f t="shared" si="721"/>
        <v>0</v>
      </c>
      <c r="BI275" s="187">
        <f t="shared" si="722"/>
        <v>1</v>
      </c>
      <c r="BJ275" s="187">
        <f t="shared" si="723"/>
        <v>1</v>
      </c>
      <c r="BK275" s="187">
        <f t="shared" si="724"/>
        <v>0</v>
      </c>
      <c r="BL275" s="187">
        <f t="shared" si="725"/>
        <v>0</v>
      </c>
      <c r="BM275" s="187">
        <f t="shared" si="726"/>
        <v>0</v>
      </c>
      <c r="BN275" s="188">
        <f t="shared" si="727"/>
        <v>3</v>
      </c>
      <c r="BO275" s="187">
        <f t="shared" si="728"/>
        <v>0</v>
      </c>
      <c r="BP275" s="187">
        <f t="shared" ref="BP275:BQ275" si="979">IF(G275=1,1,0)</f>
        <v>0</v>
      </c>
      <c r="BQ275" s="187">
        <f t="shared" si="979"/>
        <v>0</v>
      </c>
      <c r="BR275" s="187">
        <f t="shared" ref="BR275:BT275" si="980">IF(K275=1,1,0)</f>
        <v>0</v>
      </c>
      <c r="BS275" s="187">
        <f t="shared" si="980"/>
        <v>0</v>
      </c>
      <c r="BT275" s="187">
        <f t="shared" si="980"/>
        <v>0</v>
      </c>
      <c r="BU275" s="187">
        <f t="shared" ref="BU275:BV275" si="981">IF(P275=1,1,0)</f>
        <v>0</v>
      </c>
      <c r="BV275" s="187">
        <f t="shared" si="981"/>
        <v>0</v>
      </c>
      <c r="BW275" s="187">
        <f t="shared" si="732"/>
        <v>0</v>
      </c>
      <c r="BX275" s="187">
        <f t="shared" si="733"/>
        <v>0</v>
      </c>
      <c r="BY275" s="187">
        <f t="shared" si="734"/>
        <v>3</v>
      </c>
      <c r="BZ275" s="187">
        <f t="shared" si="735"/>
        <v>-9</v>
      </c>
      <c r="CA275" s="167">
        <f t="shared" si="736"/>
        <v>42</v>
      </c>
      <c r="CB275" s="167">
        <f t="shared" si="737"/>
        <v>85</v>
      </c>
      <c r="CC275" s="644">
        <f t="shared" si="738"/>
        <v>23</v>
      </c>
      <c r="CD275" s="644">
        <f t="shared" si="739"/>
        <v>19</v>
      </c>
      <c r="CE275" s="644">
        <f t="shared" si="740"/>
        <v>15</v>
      </c>
      <c r="CF275" s="644">
        <f t="shared" si="741"/>
        <v>15</v>
      </c>
      <c r="CG275" s="644">
        <f t="shared" si="742"/>
        <v>9</v>
      </c>
      <c r="CH275" s="644">
        <f t="shared" si="978"/>
        <v>0</v>
      </c>
      <c r="CI275" s="644">
        <f t="shared" si="744"/>
        <v>0</v>
      </c>
      <c r="CJ275" s="644">
        <f t="shared" si="745"/>
        <v>0</v>
      </c>
      <c r="CK275" s="644">
        <f t="shared" si="746"/>
        <v>0</v>
      </c>
      <c r="CL275" s="644">
        <f t="shared" si="747"/>
        <v>0</v>
      </c>
      <c r="CM275" s="644">
        <f t="shared" si="748"/>
        <v>3</v>
      </c>
      <c r="CN275" s="644">
        <f t="shared" si="749"/>
        <v>0</v>
      </c>
      <c r="CO275" s="644">
        <f t="shared" si="750"/>
        <v>0</v>
      </c>
      <c r="CP275" s="644">
        <f t="shared" si="751"/>
        <v>0</v>
      </c>
      <c r="CQ275" s="644">
        <f t="shared" si="752"/>
        <v>0</v>
      </c>
      <c r="CR275" s="644">
        <f t="shared" si="753"/>
        <v>0</v>
      </c>
      <c r="CS275" s="644">
        <f t="shared" si="754"/>
        <v>0</v>
      </c>
      <c r="CT275" s="644">
        <f t="shared" si="755"/>
        <v>0</v>
      </c>
      <c r="CU275" s="644">
        <f t="shared" si="756"/>
        <v>0</v>
      </c>
      <c r="CV275" s="644">
        <f t="shared" si="757"/>
        <v>1</v>
      </c>
      <c r="CW275" s="644">
        <f t="shared" si="758"/>
        <v>0</v>
      </c>
      <c r="CX275" s="644">
        <f t="shared" si="759"/>
        <v>0</v>
      </c>
      <c r="CY275" s="644">
        <f t="shared" si="760"/>
        <v>0</v>
      </c>
      <c r="CZ275" s="624" t="s">
        <v>1296</v>
      </c>
    </row>
    <row r="276" spans="1:104">
      <c r="A276" s="253" t="s">
        <v>1316</v>
      </c>
      <c r="B276" s="641"/>
      <c r="C276" s="641"/>
      <c r="D276" s="155">
        <v>1</v>
      </c>
      <c r="E276" s="644">
        <v>1</v>
      </c>
      <c r="F276" s="644"/>
      <c r="G276" s="644"/>
      <c r="H276" s="644"/>
      <c r="I276" s="644"/>
      <c r="J276" s="644"/>
      <c r="K276" s="644"/>
      <c r="L276" s="644"/>
      <c r="M276" s="644"/>
      <c r="N276" s="644"/>
      <c r="O276" s="644"/>
      <c r="P276" s="644"/>
      <c r="Q276" s="644"/>
      <c r="R276" s="644">
        <v>1</v>
      </c>
      <c r="S276" s="644"/>
      <c r="T276" s="644"/>
      <c r="U276" s="644">
        <v>1</v>
      </c>
      <c r="V276" s="644"/>
      <c r="W276" s="644"/>
      <c r="X276" s="644">
        <v>1</v>
      </c>
      <c r="Y276" s="644"/>
      <c r="Z276" s="644">
        <v>1</v>
      </c>
      <c r="AA276" s="644"/>
      <c r="AB276" s="644"/>
      <c r="AC276" s="644">
        <v>1</v>
      </c>
      <c r="AD276" s="644"/>
      <c r="AE276" s="644"/>
      <c r="AF276" s="644"/>
      <c r="AG276" s="644"/>
      <c r="AH276" s="644">
        <v>1</v>
      </c>
      <c r="AI276" s="644"/>
      <c r="AJ276" s="644"/>
      <c r="AK276" s="644"/>
      <c r="AL276" s="167">
        <v>8</v>
      </c>
      <c r="AM276" s="191" t="str">
        <f t="shared" si="968"/>
        <v>BBWAA.com</v>
      </c>
      <c r="AN276" s="192">
        <v>42014</v>
      </c>
      <c r="AO276" s="187"/>
      <c r="AP276" s="187">
        <f t="shared" si="703"/>
        <v>0</v>
      </c>
      <c r="AQ276" s="187">
        <f t="shared" si="704"/>
        <v>0</v>
      </c>
      <c r="AR276" s="187">
        <f t="shared" si="705"/>
        <v>13</v>
      </c>
      <c r="AS276" s="187">
        <f t="shared" si="706"/>
        <v>13</v>
      </c>
      <c r="AT276" s="187">
        <f t="shared" si="707"/>
        <v>0</v>
      </c>
      <c r="AU276" s="187">
        <f t="shared" si="708"/>
        <v>9</v>
      </c>
      <c r="AV276" s="187">
        <f t="shared" si="709"/>
        <v>9</v>
      </c>
      <c r="AW276" s="187">
        <f t="shared" si="710"/>
        <v>0</v>
      </c>
      <c r="AX276" s="187">
        <f t="shared" si="711"/>
        <v>0</v>
      </c>
      <c r="AY276" s="187">
        <f t="shared" si="712"/>
        <v>7</v>
      </c>
      <c r="AZ276" s="187">
        <f t="shared" si="713"/>
        <v>7</v>
      </c>
      <c r="BA276" s="187">
        <f t="shared" si="714"/>
        <v>7</v>
      </c>
      <c r="BB276" s="187">
        <f t="shared" si="715"/>
        <v>0</v>
      </c>
      <c r="BC276" s="187">
        <f t="shared" si="716"/>
        <v>0</v>
      </c>
      <c r="BD276" s="187">
        <f t="shared" si="717"/>
        <v>4</v>
      </c>
      <c r="BE276" s="187">
        <f t="shared" si="718"/>
        <v>0</v>
      </c>
      <c r="BF276" s="187">
        <f t="shared" si="719"/>
        <v>0</v>
      </c>
      <c r="BG276" s="187">
        <f t="shared" si="720"/>
        <v>0</v>
      </c>
      <c r="BH276" s="187">
        <f t="shared" si="721"/>
        <v>0</v>
      </c>
      <c r="BI276" s="187">
        <f t="shared" si="722"/>
        <v>0</v>
      </c>
      <c r="BJ276" s="187">
        <f t="shared" si="723"/>
        <v>0</v>
      </c>
      <c r="BK276" s="187">
        <f t="shared" si="724"/>
        <v>0</v>
      </c>
      <c r="BL276" s="187">
        <f t="shared" si="725"/>
        <v>0</v>
      </c>
      <c r="BM276" s="187">
        <f t="shared" si="726"/>
        <v>0</v>
      </c>
      <c r="BN276" s="188">
        <f t="shared" si="727"/>
        <v>2</v>
      </c>
      <c r="BO276" s="187">
        <f t="shared" si="728"/>
        <v>0</v>
      </c>
      <c r="BP276" s="187">
        <f t="shared" ref="BP276:BQ276" si="982">IF(G276=1,1,0)</f>
        <v>0</v>
      </c>
      <c r="BQ276" s="187">
        <f t="shared" si="982"/>
        <v>0</v>
      </c>
      <c r="BR276" s="187">
        <f t="shared" ref="BR276:BT276" si="983">IF(K276=1,1,0)</f>
        <v>0</v>
      </c>
      <c r="BS276" s="187">
        <f t="shared" si="983"/>
        <v>0</v>
      </c>
      <c r="BT276" s="187">
        <f t="shared" si="983"/>
        <v>0</v>
      </c>
      <c r="BU276" s="187">
        <f t="shared" ref="BU276:BV276" si="984">IF(P276=1,1,0)</f>
        <v>0</v>
      </c>
      <c r="BV276" s="187">
        <f t="shared" si="984"/>
        <v>0</v>
      </c>
      <c r="BW276" s="187">
        <f t="shared" si="732"/>
        <v>0</v>
      </c>
      <c r="BX276" s="187">
        <f t="shared" si="733"/>
        <v>0</v>
      </c>
      <c r="BY276" s="187">
        <f t="shared" si="734"/>
        <v>2</v>
      </c>
      <c r="BZ276" s="187">
        <f t="shared" si="735"/>
        <v>-4</v>
      </c>
      <c r="CA276" s="167">
        <f t="shared" si="736"/>
        <v>65</v>
      </c>
      <c r="CB276" s="167">
        <f t="shared" si="737"/>
        <v>83</v>
      </c>
      <c r="CC276" s="644">
        <f t="shared" si="738"/>
        <v>23</v>
      </c>
      <c r="CD276" s="644">
        <f t="shared" si="739"/>
        <v>19</v>
      </c>
      <c r="CE276" s="644">
        <f t="shared" si="740"/>
        <v>15</v>
      </c>
      <c r="CF276" s="644">
        <f t="shared" si="741"/>
        <v>15</v>
      </c>
      <c r="CG276" s="644">
        <f t="shared" si="742"/>
        <v>0</v>
      </c>
      <c r="CH276" s="644">
        <f t="shared" ref="CH276:CH277" si="985">IF(D249=1,7,0)</f>
        <v>0</v>
      </c>
      <c r="CI276" s="644">
        <f t="shared" si="744"/>
        <v>7</v>
      </c>
      <c r="CJ276" s="644">
        <f t="shared" si="745"/>
        <v>0</v>
      </c>
      <c r="CK276" s="644">
        <f t="shared" si="746"/>
        <v>0</v>
      </c>
      <c r="CL276" s="644">
        <f t="shared" si="747"/>
        <v>0</v>
      </c>
      <c r="CM276" s="644">
        <f t="shared" si="748"/>
        <v>0</v>
      </c>
      <c r="CN276" s="644">
        <f t="shared" si="749"/>
        <v>0</v>
      </c>
      <c r="CO276" s="644">
        <f t="shared" si="750"/>
        <v>0</v>
      </c>
      <c r="CP276" s="644">
        <f t="shared" si="751"/>
        <v>3</v>
      </c>
      <c r="CQ276" s="644">
        <f t="shared" si="752"/>
        <v>0</v>
      </c>
      <c r="CR276" s="644">
        <f t="shared" si="753"/>
        <v>0</v>
      </c>
      <c r="CS276" s="644">
        <f t="shared" si="754"/>
        <v>0</v>
      </c>
      <c r="CT276" s="644">
        <f t="shared" si="755"/>
        <v>0</v>
      </c>
      <c r="CU276" s="644">
        <f t="shared" si="756"/>
        <v>1</v>
      </c>
      <c r="CV276" s="644">
        <f t="shared" si="757"/>
        <v>0</v>
      </c>
      <c r="CW276" s="644">
        <f t="shared" si="758"/>
        <v>0</v>
      </c>
      <c r="CX276" s="644">
        <f t="shared" si="759"/>
        <v>0</v>
      </c>
      <c r="CY276" s="644">
        <f t="shared" si="760"/>
        <v>0</v>
      </c>
      <c r="CZ276" s="624" t="s">
        <v>1308</v>
      </c>
    </row>
    <row r="277" spans="1:104">
      <c r="A277" s="253" t="s">
        <v>1317</v>
      </c>
      <c r="B277" s="641"/>
      <c r="C277" s="641"/>
      <c r="D277" s="155">
        <v>1</v>
      </c>
      <c r="E277" s="644"/>
      <c r="F277" s="644"/>
      <c r="G277" s="644"/>
      <c r="H277" s="644"/>
      <c r="I277" s="644"/>
      <c r="J277" s="644"/>
      <c r="K277" s="644"/>
      <c r="L277" s="644"/>
      <c r="M277" s="644"/>
      <c r="N277" s="644"/>
      <c r="O277" s="644"/>
      <c r="P277" s="644"/>
      <c r="Q277" s="644"/>
      <c r="R277" s="644">
        <v>1</v>
      </c>
      <c r="S277" s="644"/>
      <c r="T277" s="644"/>
      <c r="U277" s="644">
        <v>1</v>
      </c>
      <c r="V277" s="644"/>
      <c r="W277" s="644"/>
      <c r="X277" s="644"/>
      <c r="Y277" s="644"/>
      <c r="Z277" s="644"/>
      <c r="AA277" s="644"/>
      <c r="AB277" s="644">
        <v>1</v>
      </c>
      <c r="AC277" s="644"/>
      <c r="AD277" s="644">
        <v>1</v>
      </c>
      <c r="AE277" s="644"/>
      <c r="AF277" s="644"/>
      <c r="AG277" s="644"/>
      <c r="AH277" s="644">
        <v>1</v>
      </c>
      <c r="AI277" s="644"/>
      <c r="AJ277" s="644"/>
      <c r="AK277" s="644"/>
      <c r="AL277" s="167">
        <v>6</v>
      </c>
      <c r="AM277" s="191" t="str">
        <f t="shared" si="968"/>
        <v>BBWAA.com</v>
      </c>
      <c r="AN277" s="192">
        <v>42012</v>
      </c>
      <c r="AO277" s="187"/>
      <c r="AP277" s="187">
        <f t="shared" si="703"/>
        <v>0</v>
      </c>
      <c r="AQ277" s="187">
        <f t="shared" si="704"/>
        <v>0</v>
      </c>
      <c r="AR277" s="187">
        <f t="shared" si="705"/>
        <v>13</v>
      </c>
      <c r="AS277" s="187">
        <f t="shared" si="706"/>
        <v>13</v>
      </c>
      <c r="AT277" s="187">
        <f t="shared" si="707"/>
        <v>9</v>
      </c>
      <c r="AU277" s="187">
        <f t="shared" si="708"/>
        <v>9</v>
      </c>
      <c r="AV277" s="187">
        <f t="shared" si="709"/>
        <v>0</v>
      </c>
      <c r="AW277" s="187">
        <f t="shared" si="710"/>
        <v>0</v>
      </c>
      <c r="AX277" s="187">
        <f t="shared" si="711"/>
        <v>7</v>
      </c>
      <c r="AY277" s="187">
        <f t="shared" si="712"/>
        <v>0</v>
      </c>
      <c r="AZ277" s="187">
        <f t="shared" si="713"/>
        <v>7</v>
      </c>
      <c r="BA277" s="187">
        <f t="shared" si="714"/>
        <v>0</v>
      </c>
      <c r="BB277" s="187">
        <f t="shared" si="715"/>
        <v>0</v>
      </c>
      <c r="BC277" s="187">
        <f t="shared" si="716"/>
        <v>0</v>
      </c>
      <c r="BD277" s="187">
        <f t="shared" si="717"/>
        <v>0</v>
      </c>
      <c r="BE277" s="187">
        <f t="shared" si="718"/>
        <v>0</v>
      </c>
      <c r="BF277" s="187">
        <f t="shared" si="719"/>
        <v>0</v>
      </c>
      <c r="BG277" s="187">
        <f t="shared" si="720"/>
        <v>0</v>
      </c>
      <c r="BH277" s="187">
        <f t="shared" si="721"/>
        <v>0</v>
      </c>
      <c r="BI277" s="187">
        <f t="shared" si="722"/>
        <v>0</v>
      </c>
      <c r="BJ277" s="187">
        <f t="shared" si="723"/>
        <v>0</v>
      </c>
      <c r="BK277" s="187">
        <f t="shared" si="724"/>
        <v>0</v>
      </c>
      <c r="BL277" s="187">
        <f t="shared" si="725"/>
        <v>0</v>
      </c>
      <c r="BM277" s="187">
        <f t="shared" si="726"/>
        <v>0</v>
      </c>
      <c r="BN277" s="188">
        <f t="shared" si="727"/>
        <v>4</v>
      </c>
      <c r="BO277" s="187">
        <f t="shared" si="728"/>
        <v>0</v>
      </c>
      <c r="BP277" s="187">
        <f t="shared" ref="BP277:BQ277" si="986">IF(G277=1,1,0)</f>
        <v>0</v>
      </c>
      <c r="BQ277" s="187">
        <f t="shared" si="986"/>
        <v>0</v>
      </c>
      <c r="BR277" s="187">
        <f t="shared" ref="BR277:BT277" si="987">IF(K277=1,1,0)</f>
        <v>0</v>
      </c>
      <c r="BS277" s="187">
        <f t="shared" si="987"/>
        <v>0</v>
      </c>
      <c r="BT277" s="187">
        <f t="shared" si="987"/>
        <v>0</v>
      </c>
      <c r="BU277" s="187">
        <f t="shared" ref="BU277:BV277" si="988">IF(P277=1,1,0)</f>
        <v>0</v>
      </c>
      <c r="BV277" s="187">
        <f t="shared" si="988"/>
        <v>0</v>
      </c>
      <c r="BW277" s="187">
        <f t="shared" si="732"/>
        <v>0</v>
      </c>
      <c r="BX277" s="187">
        <f t="shared" si="733"/>
        <v>0</v>
      </c>
      <c r="BY277" s="187">
        <f t="shared" si="734"/>
        <v>4</v>
      </c>
      <c r="BZ277" s="187">
        <f t="shared" si="735"/>
        <v>-16</v>
      </c>
      <c r="CA277" s="167">
        <f t="shared" si="736"/>
        <v>42</v>
      </c>
      <c r="CB277" s="167">
        <f t="shared" si="737"/>
        <v>78</v>
      </c>
      <c r="CC277" s="644">
        <f t="shared" si="738"/>
        <v>23</v>
      </c>
      <c r="CD277" s="644">
        <f t="shared" si="739"/>
        <v>19</v>
      </c>
      <c r="CE277" s="644">
        <f t="shared" si="740"/>
        <v>15</v>
      </c>
      <c r="CF277" s="644">
        <f t="shared" si="741"/>
        <v>0</v>
      </c>
      <c r="CG277" s="644">
        <f t="shared" si="742"/>
        <v>9</v>
      </c>
      <c r="CH277" s="644">
        <f t="shared" si="985"/>
        <v>7</v>
      </c>
      <c r="CI277" s="644">
        <f t="shared" si="744"/>
        <v>0</v>
      </c>
      <c r="CJ277" s="644">
        <f t="shared" si="745"/>
        <v>5</v>
      </c>
      <c r="CK277" s="644">
        <f t="shared" si="746"/>
        <v>0</v>
      </c>
      <c r="CL277" s="644">
        <f t="shared" si="747"/>
        <v>0</v>
      </c>
      <c r="CM277" s="644">
        <f t="shared" si="748"/>
        <v>0</v>
      </c>
      <c r="CN277" s="644">
        <f t="shared" si="749"/>
        <v>0</v>
      </c>
      <c r="CO277" s="644">
        <f t="shared" si="750"/>
        <v>0</v>
      </c>
      <c r="CP277" s="644">
        <f t="shared" si="751"/>
        <v>0</v>
      </c>
      <c r="CQ277" s="644">
        <f t="shared" si="752"/>
        <v>0</v>
      </c>
      <c r="CR277" s="644">
        <f t="shared" si="753"/>
        <v>0</v>
      </c>
      <c r="CS277" s="644">
        <f t="shared" si="754"/>
        <v>0</v>
      </c>
      <c r="CT277" s="644">
        <f t="shared" si="755"/>
        <v>0</v>
      </c>
      <c r="CU277" s="644">
        <f t="shared" si="756"/>
        <v>0</v>
      </c>
      <c r="CV277" s="644">
        <f t="shared" si="757"/>
        <v>0</v>
      </c>
      <c r="CW277" s="644">
        <f t="shared" si="758"/>
        <v>0</v>
      </c>
      <c r="CX277" s="644">
        <f t="shared" si="759"/>
        <v>0</v>
      </c>
      <c r="CY277" s="644">
        <f t="shared" si="760"/>
        <v>0</v>
      </c>
      <c r="CZ277" s="624" t="s">
        <v>743</v>
      </c>
    </row>
    <row r="278" spans="1:104">
      <c r="A278" s="253" t="s">
        <v>437</v>
      </c>
      <c r="B278" s="641"/>
      <c r="C278" s="641"/>
      <c r="D278" s="155">
        <v>1</v>
      </c>
      <c r="E278" s="644">
        <v>1</v>
      </c>
      <c r="F278" s="644">
        <v>1</v>
      </c>
      <c r="G278" s="644"/>
      <c r="H278" s="644"/>
      <c r="I278" s="644">
        <v>1</v>
      </c>
      <c r="J278" s="644"/>
      <c r="K278" s="644"/>
      <c r="L278" s="644"/>
      <c r="M278" s="644"/>
      <c r="N278" s="644"/>
      <c r="O278" s="644"/>
      <c r="P278" s="644"/>
      <c r="Q278" s="644"/>
      <c r="R278" s="644">
        <v>1</v>
      </c>
      <c r="S278" s="644"/>
      <c r="T278" s="644"/>
      <c r="U278" s="644">
        <v>1</v>
      </c>
      <c r="V278" s="644"/>
      <c r="W278" s="644"/>
      <c r="X278" s="644"/>
      <c r="Y278" s="644"/>
      <c r="Z278" s="644"/>
      <c r="AA278" s="644"/>
      <c r="AB278" s="644">
        <v>1</v>
      </c>
      <c r="AC278" s="644"/>
      <c r="AD278" s="258">
        <v>1</v>
      </c>
      <c r="AE278" s="644"/>
      <c r="AF278" s="644">
        <v>1</v>
      </c>
      <c r="AG278" s="644"/>
      <c r="AH278" s="644">
        <v>1</v>
      </c>
      <c r="AI278" s="644"/>
      <c r="AJ278" s="644"/>
      <c r="AK278" s="644"/>
      <c r="AL278" s="167">
        <v>10</v>
      </c>
      <c r="AM278" s="191" t="str">
        <f t="shared" si="968"/>
        <v>BBWAA.com</v>
      </c>
      <c r="AN278" s="192">
        <v>42012</v>
      </c>
      <c r="AO278" s="187"/>
      <c r="AP278" s="187">
        <f t="shared" si="703"/>
        <v>13</v>
      </c>
      <c r="AQ278" s="187">
        <f t="shared" si="704"/>
        <v>13</v>
      </c>
      <c r="AR278" s="187">
        <f t="shared" si="705"/>
        <v>13</v>
      </c>
      <c r="AS278" s="187">
        <f t="shared" si="706"/>
        <v>13</v>
      </c>
      <c r="AT278" s="187">
        <f t="shared" si="707"/>
        <v>9</v>
      </c>
      <c r="AU278" s="187">
        <f t="shared" si="708"/>
        <v>9</v>
      </c>
      <c r="AV278" s="187">
        <f t="shared" si="709"/>
        <v>0</v>
      </c>
      <c r="AW278" s="187">
        <f t="shared" si="710"/>
        <v>0</v>
      </c>
      <c r="AX278" s="187">
        <f t="shared" si="711"/>
        <v>7</v>
      </c>
      <c r="AY278" s="187">
        <f t="shared" si="712"/>
        <v>0</v>
      </c>
      <c r="AZ278" s="187">
        <f t="shared" si="713"/>
        <v>7</v>
      </c>
      <c r="BA278" s="187">
        <f t="shared" si="714"/>
        <v>7</v>
      </c>
      <c r="BB278" s="187">
        <f t="shared" si="715"/>
        <v>0</v>
      </c>
      <c r="BC278" s="187">
        <f t="shared" si="716"/>
        <v>0</v>
      </c>
      <c r="BD278" s="187">
        <f t="shared" si="717"/>
        <v>0</v>
      </c>
      <c r="BE278" s="187">
        <f t="shared" si="718"/>
        <v>3</v>
      </c>
      <c r="BF278" s="187">
        <f t="shared" si="719"/>
        <v>0</v>
      </c>
      <c r="BG278" s="187">
        <f t="shared" si="720"/>
        <v>0</v>
      </c>
      <c r="BH278" s="187">
        <f t="shared" si="721"/>
        <v>0</v>
      </c>
      <c r="BI278" s="187">
        <f t="shared" si="722"/>
        <v>0</v>
      </c>
      <c r="BJ278" s="187">
        <f t="shared" si="723"/>
        <v>0</v>
      </c>
      <c r="BK278" s="187">
        <f t="shared" si="724"/>
        <v>0</v>
      </c>
      <c r="BL278" s="187">
        <f t="shared" si="725"/>
        <v>0</v>
      </c>
      <c r="BM278" s="187">
        <f t="shared" si="726"/>
        <v>0</v>
      </c>
      <c r="BN278" s="188">
        <f t="shared" si="727"/>
        <v>0</v>
      </c>
      <c r="BO278" s="187">
        <f t="shared" si="728"/>
        <v>0</v>
      </c>
      <c r="BP278" s="187">
        <f t="shared" ref="BP278:BQ278" si="989">IF(G278=1,1,0)</f>
        <v>0</v>
      </c>
      <c r="BQ278" s="187">
        <f t="shared" si="989"/>
        <v>0</v>
      </c>
      <c r="BR278" s="187">
        <f t="shared" ref="BR278:BT278" si="990">IF(K278=1,1,0)</f>
        <v>0</v>
      </c>
      <c r="BS278" s="187">
        <f t="shared" si="990"/>
        <v>0</v>
      </c>
      <c r="BT278" s="187">
        <f t="shared" si="990"/>
        <v>0</v>
      </c>
      <c r="BU278" s="187">
        <f t="shared" ref="BU278:BV278" si="991">IF(P278=1,1,0)</f>
        <v>0</v>
      </c>
      <c r="BV278" s="187">
        <f t="shared" si="991"/>
        <v>0</v>
      </c>
      <c r="BW278" s="187">
        <f t="shared" si="732"/>
        <v>0</v>
      </c>
      <c r="BX278" s="187">
        <f t="shared" si="733"/>
        <v>0</v>
      </c>
      <c r="BY278" s="187">
        <f t="shared" si="734"/>
        <v>0</v>
      </c>
      <c r="BZ278" s="187">
        <f t="shared" si="735"/>
        <v>0</v>
      </c>
      <c r="CA278" s="167">
        <f t="shared" si="736"/>
        <v>94</v>
      </c>
      <c r="CB278" s="167">
        <f t="shared" si="737"/>
        <v>96</v>
      </c>
      <c r="CC278" s="644">
        <f t="shared" si="738"/>
        <v>23</v>
      </c>
      <c r="CD278" s="644">
        <f t="shared" si="739"/>
        <v>19</v>
      </c>
      <c r="CE278" s="644">
        <f t="shared" si="740"/>
        <v>15</v>
      </c>
      <c r="CF278" s="644">
        <f t="shared" si="741"/>
        <v>15</v>
      </c>
      <c r="CG278" s="644">
        <f t="shared" si="742"/>
        <v>9</v>
      </c>
      <c r="CH278" s="644">
        <f>IF(D253=1,7,0)</f>
        <v>0</v>
      </c>
      <c r="CI278" s="644">
        <f t="shared" si="744"/>
        <v>0</v>
      </c>
      <c r="CJ278" s="644">
        <f t="shared" si="745"/>
        <v>5</v>
      </c>
      <c r="CK278" s="644">
        <f t="shared" si="746"/>
        <v>5</v>
      </c>
      <c r="CL278" s="644">
        <f t="shared" si="747"/>
        <v>5</v>
      </c>
      <c r="CM278" s="644">
        <f t="shared" si="748"/>
        <v>0</v>
      </c>
      <c r="CN278" s="644">
        <f t="shared" si="749"/>
        <v>0</v>
      </c>
      <c r="CO278" s="644">
        <f t="shared" si="750"/>
        <v>0</v>
      </c>
      <c r="CP278" s="644">
        <f t="shared" si="751"/>
        <v>0</v>
      </c>
      <c r="CQ278" s="644">
        <f t="shared" si="752"/>
        <v>0</v>
      </c>
      <c r="CR278" s="644">
        <f t="shared" si="753"/>
        <v>0</v>
      </c>
      <c r="CS278" s="644">
        <f t="shared" si="754"/>
        <v>0</v>
      </c>
      <c r="CT278" s="644">
        <f t="shared" si="755"/>
        <v>2</v>
      </c>
      <c r="CU278" s="644">
        <f t="shared" si="756"/>
        <v>0</v>
      </c>
      <c r="CV278" s="644">
        <f t="shared" si="757"/>
        <v>0</v>
      </c>
      <c r="CW278" s="644">
        <f t="shared" si="758"/>
        <v>0</v>
      </c>
      <c r="CX278" s="644">
        <f t="shared" si="759"/>
        <v>0</v>
      </c>
      <c r="CY278" s="644">
        <f t="shared" si="760"/>
        <v>0</v>
      </c>
      <c r="CZ278" s="624" t="s">
        <v>1285</v>
      </c>
    </row>
    <row r="279" spans="1:104">
      <c r="A279" s="253" t="s">
        <v>438</v>
      </c>
      <c r="B279" s="641"/>
      <c r="C279" s="641"/>
      <c r="D279" s="155">
        <v>1</v>
      </c>
      <c r="E279" s="644">
        <v>1</v>
      </c>
      <c r="F279" s="644"/>
      <c r="G279" s="644"/>
      <c r="H279" s="644"/>
      <c r="I279" s="644"/>
      <c r="J279" s="644"/>
      <c r="K279" s="644"/>
      <c r="L279" s="644"/>
      <c r="M279" s="644"/>
      <c r="N279" s="644"/>
      <c r="O279" s="644"/>
      <c r="P279" s="644"/>
      <c r="Q279" s="644"/>
      <c r="R279" s="644">
        <v>1</v>
      </c>
      <c r="S279" s="644"/>
      <c r="T279" s="644"/>
      <c r="U279" s="644">
        <v>1</v>
      </c>
      <c r="V279" s="644"/>
      <c r="W279" s="644"/>
      <c r="X279" s="644">
        <v>1</v>
      </c>
      <c r="Y279" s="644"/>
      <c r="Z279" s="644"/>
      <c r="AA279" s="644"/>
      <c r="AB279" s="644">
        <v>1</v>
      </c>
      <c r="AC279" s="644"/>
      <c r="AD279" s="644">
        <v>1</v>
      </c>
      <c r="AE279" s="644"/>
      <c r="AF279" s="644"/>
      <c r="AG279" s="644">
        <v>1</v>
      </c>
      <c r="AH279" s="644">
        <v>1</v>
      </c>
      <c r="AI279" s="644">
        <v>1</v>
      </c>
      <c r="AJ279" s="644"/>
      <c r="AK279" s="644"/>
      <c r="AL279" s="167">
        <v>10</v>
      </c>
      <c r="AM279" s="191" t="str">
        <f t="shared" si="968"/>
        <v>BBWAA.com</v>
      </c>
      <c r="AN279" s="192">
        <v>42014</v>
      </c>
      <c r="AO279" s="187"/>
      <c r="AP279" s="187">
        <f t="shared" si="703"/>
        <v>0</v>
      </c>
      <c r="AQ279" s="187">
        <f t="shared" si="704"/>
        <v>0</v>
      </c>
      <c r="AR279" s="187">
        <f t="shared" si="705"/>
        <v>13</v>
      </c>
      <c r="AS279" s="187">
        <f t="shared" si="706"/>
        <v>13</v>
      </c>
      <c r="AT279" s="187">
        <f t="shared" si="707"/>
        <v>9</v>
      </c>
      <c r="AU279" s="187">
        <f t="shared" si="708"/>
        <v>9</v>
      </c>
      <c r="AV279" s="187">
        <f t="shared" si="709"/>
        <v>0</v>
      </c>
      <c r="AW279" s="187">
        <f t="shared" si="710"/>
        <v>0</v>
      </c>
      <c r="AX279" s="187">
        <f t="shared" si="711"/>
        <v>7</v>
      </c>
      <c r="AY279" s="187">
        <f t="shared" si="712"/>
        <v>0</v>
      </c>
      <c r="AZ279" s="187">
        <f t="shared" si="713"/>
        <v>7</v>
      </c>
      <c r="BA279" s="187">
        <f t="shared" si="714"/>
        <v>7</v>
      </c>
      <c r="BB279" s="187">
        <f t="shared" si="715"/>
        <v>0</v>
      </c>
      <c r="BC279" s="187">
        <f t="shared" si="716"/>
        <v>0</v>
      </c>
      <c r="BD279" s="187">
        <f t="shared" si="717"/>
        <v>4</v>
      </c>
      <c r="BE279" s="187">
        <f t="shared" si="718"/>
        <v>0</v>
      </c>
      <c r="BF279" s="187">
        <f t="shared" si="719"/>
        <v>0</v>
      </c>
      <c r="BG279" s="187">
        <f t="shared" si="720"/>
        <v>2</v>
      </c>
      <c r="BH279" s="187">
        <f t="shared" si="721"/>
        <v>0</v>
      </c>
      <c r="BI279" s="187">
        <f t="shared" si="722"/>
        <v>0</v>
      </c>
      <c r="BJ279" s="187">
        <f t="shared" si="723"/>
        <v>1</v>
      </c>
      <c r="BK279" s="187">
        <f t="shared" si="724"/>
        <v>0</v>
      </c>
      <c r="BL279" s="187">
        <f t="shared" si="725"/>
        <v>0</v>
      </c>
      <c r="BM279" s="187">
        <f t="shared" si="726"/>
        <v>0</v>
      </c>
      <c r="BN279" s="188">
        <f t="shared" si="727"/>
        <v>0</v>
      </c>
      <c r="BO279" s="187">
        <f t="shared" si="728"/>
        <v>0</v>
      </c>
      <c r="BP279" s="187">
        <f t="shared" ref="BP279:BQ279" si="992">IF(G279=1,1,0)</f>
        <v>0</v>
      </c>
      <c r="BQ279" s="187">
        <f t="shared" si="992"/>
        <v>0</v>
      </c>
      <c r="BR279" s="187">
        <f t="shared" ref="BR279:BT279" si="993">IF(K279=1,1,0)</f>
        <v>0</v>
      </c>
      <c r="BS279" s="187">
        <f t="shared" si="993"/>
        <v>0</v>
      </c>
      <c r="BT279" s="187">
        <f t="shared" si="993"/>
        <v>0</v>
      </c>
      <c r="BU279" s="187">
        <f t="shared" ref="BU279:BV279" si="994">IF(P279=1,1,0)</f>
        <v>0</v>
      </c>
      <c r="BV279" s="187">
        <f t="shared" si="994"/>
        <v>0</v>
      </c>
      <c r="BW279" s="187">
        <f t="shared" si="732"/>
        <v>0</v>
      </c>
      <c r="BX279" s="187">
        <f t="shared" si="733"/>
        <v>0</v>
      </c>
      <c r="BY279" s="187">
        <f t="shared" si="734"/>
        <v>0</v>
      </c>
      <c r="BZ279" s="187">
        <f t="shared" si="735"/>
        <v>0</v>
      </c>
      <c r="CA279" s="167">
        <f t="shared" si="736"/>
        <v>72</v>
      </c>
      <c r="CB279" s="167">
        <f t="shared" si="737"/>
        <v>90</v>
      </c>
      <c r="CC279" s="644">
        <f t="shared" si="738"/>
        <v>23</v>
      </c>
      <c r="CD279" s="644">
        <f t="shared" si="739"/>
        <v>19</v>
      </c>
      <c r="CE279" s="644">
        <f t="shared" si="740"/>
        <v>15</v>
      </c>
      <c r="CF279" s="644">
        <f t="shared" si="741"/>
        <v>15</v>
      </c>
      <c r="CG279" s="644">
        <f t="shared" si="742"/>
        <v>9</v>
      </c>
      <c r="CH279" s="644">
        <f>IF(D256=1,7,0)</f>
        <v>0</v>
      </c>
      <c r="CI279" s="644">
        <f t="shared" si="744"/>
        <v>0</v>
      </c>
      <c r="CJ279" s="644">
        <f t="shared" si="745"/>
        <v>5</v>
      </c>
      <c r="CK279" s="644">
        <f t="shared" si="746"/>
        <v>0</v>
      </c>
      <c r="CL279" s="644">
        <f t="shared" si="747"/>
        <v>0</v>
      </c>
      <c r="CM279" s="644">
        <f t="shared" si="748"/>
        <v>3</v>
      </c>
      <c r="CN279" s="644">
        <f t="shared" si="749"/>
        <v>0</v>
      </c>
      <c r="CO279" s="644">
        <f t="shared" si="750"/>
        <v>0</v>
      </c>
      <c r="CP279" s="644">
        <f t="shared" si="751"/>
        <v>0</v>
      </c>
      <c r="CQ279" s="644">
        <f t="shared" si="752"/>
        <v>0</v>
      </c>
      <c r="CR279" s="644">
        <f t="shared" si="753"/>
        <v>0</v>
      </c>
      <c r="CS279" s="644">
        <f t="shared" si="754"/>
        <v>0</v>
      </c>
      <c r="CT279" s="644">
        <f t="shared" si="755"/>
        <v>0</v>
      </c>
      <c r="CU279" s="644">
        <f t="shared" si="756"/>
        <v>1</v>
      </c>
      <c r="CV279" s="644">
        <f t="shared" si="757"/>
        <v>0</v>
      </c>
      <c r="CW279" s="644">
        <f t="shared" si="758"/>
        <v>1</v>
      </c>
      <c r="CX279" s="644">
        <f t="shared" si="759"/>
        <v>0</v>
      </c>
      <c r="CY279" s="644">
        <f t="shared" si="760"/>
        <v>0</v>
      </c>
      <c r="CZ279" s="624" t="s">
        <v>743</v>
      </c>
    </row>
    <row r="280" spans="1:104">
      <c r="A280" s="253" t="s">
        <v>1318</v>
      </c>
      <c r="B280" s="641"/>
      <c r="C280" s="641"/>
      <c r="D280" s="155"/>
      <c r="E280" s="644">
        <v>1</v>
      </c>
      <c r="F280" s="644">
        <v>1</v>
      </c>
      <c r="G280" s="644"/>
      <c r="H280" s="644"/>
      <c r="I280" s="644">
        <v>1</v>
      </c>
      <c r="J280" s="644"/>
      <c r="K280" s="644"/>
      <c r="L280" s="644"/>
      <c r="M280" s="644"/>
      <c r="N280" s="644"/>
      <c r="O280" s="644"/>
      <c r="P280" s="644"/>
      <c r="Q280" s="644"/>
      <c r="R280" s="644">
        <v>1</v>
      </c>
      <c r="S280" s="644"/>
      <c r="T280" s="644"/>
      <c r="U280" s="644">
        <v>1</v>
      </c>
      <c r="V280" s="644"/>
      <c r="W280" s="644"/>
      <c r="X280" s="644">
        <v>1</v>
      </c>
      <c r="Y280" s="644"/>
      <c r="Z280" s="644">
        <v>1</v>
      </c>
      <c r="AA280" s="644"/>
      <c r="AB280" s="644">
        <v>1</v>
      </c>
      <c r="AC280" s="644"/>
      <c r="AD280" s="250"/>
      <c r="AE280" s="644"/>
      <c r="AF280" s="644">
        <v>1</v>
      </c>
      <c r="AG280" s="644"/>
      <c r="AH280" s="644">
        <v>1</v>
      </c>
      <c r="AI280" s="644"/>
      <c r="AJ280" s="644"/>
      <c r="AK280" s="644"/>
      <c r="AL280" s="167">
        <v>10</v>
      </c>
      <c r="AM280" s="191" t="str">
        <f t="shared" si="968"/>
        <v>BBWAA.com</v>
      </c>
      <c r="AN280" s="192">
        <v>42012</v>
      </c>
      <c r="AO280" s="187"/>
      <c r="AP280" s="187">
        <f t="shared" si="703"/>
        <v>13</v>
      </c>
      <c r="AQ280" s="187">
        <f t="shared" si="704"/>
        <v>13</v>
      </c>
      <c r="AR280" s="187">
        <f t="shared" si="705"/>
        <v>13</v>
      </c>
      <c r="AS280" s="187">
        <f t="shared" si="706"/>
        <v>13</v>
      </c>
      <c r="AT280" s="187">
        <f t="shared" si="707"/>
        <v>9</v>
      </c>
      <c r="AU280" s="187">
        <f t="shared" si="708"/>
        <v>0</v>
      </c>
      <c r="AV280" s="187">
        <f t="shared" si="709"/>
        <v>0</v>
      </c>
      <c r="AW280" s="187">
        <f t="shared" si="710"/>
        <v>0</v>
      </c>
      <c r="AX280" s="187">
        <f t="shared" si="711"/>
        <v>0</v>
      </c>
      <c r="AY280" s="187">
        <f t="shared" si="712"/>
        <v>7</v>
      </c>
      <c r="AZ280" s="187">
        <f t="shared" si="713"/>
        <v>7</v>
      </c>
      <c r="BA280" s="187">
        <f t="shared" si="714"/>
        <v>7</v>
      </c>
      <c r="BB280" s="187">
        <f t="shared" si="715"/>
        <v>0</v>
      </c>
      <c r="BC280" s="187">
        <f t="shared" si="716"/>
        <v>0</v>
      </c>
      <c r="BD280" s="187">
        <f t="shared" si="717"/>
        <v>4</v>
      </c>
      <c r="BE280" s="187">
        <f t="shared" si="718"/>
        <v>3</v>
      </c>
      <c r="BF280" s="187">
        <f t="shared" si="719"/>
        <v>0</v>
      </c>
      <c r="BG280" s="187">
        <f t="shared" si="720"/>
        <v>0</v>
      </c>
      <c r="BH280" s="187">
        <f t="shared" si="721"/>
        <v>0</v>
      </c>
      <c r="BI280" s="187">
        <f t="shared" si="722"/>
        <v>0</v>
      </c>
      <c r="BJ280" s="187">
        <f t="shared" si="723"/>
        <v>0</v>
      </c>
      <c r="BK280" s="187">
        <f t="shared" si="724"/>
        <v>0</v>
      </c>
      <c r="BL280" s="187">
        <f t="shared" si="725"/>
        <v>0</v>
      </c>
      <c r="BM280" s="187">
        <f t="shared" si="726"/>
        <v>0</v>
      </c>
      <c r="BN280" s="188">
        <f t="shared" si="727"/>
        <v>0</v>
      </c>
      <c r="BO280" s="187">
        <f t="shared" si="728"/>
        <v>0</v>
      </c>
      <c r="BP280" s="187">
        <f t="shared" ref="BP280:BQ280" si="995">IF(G280=1,1,0)</f>
        <v>0</v>
      </c>
      <c r="BQ280" s="187">
        <f t="shared" si="995"/>
        <v>0</v>
      </c>
      <c r="BR280" s="187">
        <f t="shared" ref="BR280:BT280" si="996">IF(K280=1,1,0)</f>
        <v>0</v>
      </c>
      <c r="BS280" s="187">
        <f t="shared" si="996"/>
        <v>0</v>
      </c>
      <c r="BT280" s="187">
        <f t="shared" si="996"/>
        <v>0</v>
      </c>
      <c r="BU280" s="187">
        <f t="shared" ref="BU280:BV280" si="997">IF(P280=1,1,0)</f>
        <v>0</v>
      </c>
      <c r="BV280" s="187">
        <f t="shared" si="997"/>
        <v>0</v>
      </c>
      <c r="BW280" s="187">
        <f t="shared" si="732"/>
        <v>0</v>
      </c>
      <c r="BX280" s="187">
        <f t="shared" si="733"/>
        <v>0</v>
      </c>
      <c r="BY280" s="187">
        <f t="shared" si="734"/>
        <v>0</v>
      </c>
      <c r="BZ280" s="187">
        <f t="shared" si="735"/>
        <v>0</v>
      </c>
      <c r="CA280" s="167">
        <f t="shared" si="736"/>
        <v>89</v>
      </c>
      <c r="CB280" s="167">
        <f t="shared" si="737"/>
        <v>94</v>
      </c>
      <c r="CC280" s="644">
        <f t="shared" si="738"/>
        <v>23</v>
      </c>
      <c r="CD280" s="644">
        <f t="shared" si="739"/>
        <v>19</v>
      </c>
      <c r="CE280" s="644">
        <f t="shared" si="740"/>
        <v>15</v>
      </c>
      <c r="CF280" s="644">
        <f t="shared" si="741"/>
        <v>15</v>
      </c>
      <c r="CG280" s="644">
        <f t="shared" si="742"/>
        <v>9</v>
      </c>
      <c r="CH280" s="644">
        <f t="shared" ref="CH280:CH281" si="998">IF(D256=1,7,0)</f>
        <v>0</v>
      </c>
      <c r="CI280" s="644">
        <f t="shared" si="744"/>
        <v>0</v>
      </c>
      <c r="CJ280" s="644">
        <f t="shared" si="745"/>
        <v>0</v>
      </c>
      <c r="CK280" s="644">
        <f t="shared" si="746"/>
        <v>5</v>
      </c>
      <c r="CL280" s="644">
        <f t="shared" si="747"/>
        <v>5</v>
      </c>
      <c r="CM280" s="644">
        <f t="shared" si="748"/>
        <v>0</v>
      </c>
      <c r="CN280" s="644">
        <f t="shared" si="749"/>
        <v>0</v>
      </c>
      <c r="CO280" s="644">
        <f t="shared" si="750"/>
        <v>0</v>
      </c>
      <c r="CP280" s="644">
        <f t="shared" si="751"/>
        <v>3</v>
      </c>
      <c r="CQ280" s="644">
        <f t="shared" si="752"/>
        <v>0</v>
      </c>
      <c r="CR280" s="644">
        <f t="shared" si="753"/>
        <v>0</v>
      </c>
      <c r="CS280" s="644">
        <f t="shared" si="754"/>
        <v>0</v>
      </c>
      <c r="CT280" s="644">
        <f t="shared" si="755"/>
        <v>2</v>
      </c>
      <c r="CU280" s="644">
        <f t="shared" si="756"/>
        <v>1</v>
      </c>
      <c r="CV280" s="644">
        <f t="shared" si="757"/>
        <v>0</v>
      </c>
      <c r="CW280" s="644">
        <f t="shared" si="758"/>
        <v>0</v>
      </c>
      <c r="CX280" s="644">
        <f t="shared" si="759"/>
        <v>0</v>
      </c>
      <c r="CY280" s="644">
        <f t="shared" si="760"/>
        <v>0</v>
      </c>
      <c r="CZ280" s="624" t="s">
        <v>743</v>
      </c>
    </row>
    <row r="281" spans="1:104">
      <c r="A281" s="253" t="s">
        <v>1319</v>
      </c>
      <c r="B281" s="641"/>
      <c r="C281" s="641"/>
      <c r="D281" s="155"/>
      <c r="E281" s="644"/>
      <c r="F281" s="644"/>
      <c r="G281" s="644"/>
      <c r="H281" s="644"/>
      <c r="I281" s="644"/>
      <c r="J281" s="644"/>
      <c r="K281" s="644"/>
      <c r="L281" s="644"/>
      <c r="M281" s="644"/>
      <c r="N281" s="644"/>
      <c r="O281" s="644"/>
      <c r="P281" s="644"/>
      <c r="Q281" s="644"/>
      <c r="R281" s="644">
        <v>1</v>
      </c>
      <c r="S281" s="644"/>
      <c r="T281" s="644"/>
      <c r="U281" s="644">
        <v>1</v>
      </c>
      <c r="V281" s="644"/>
      <c r="W281" s="644">
        <v>1</v>
      </c>
      <c r="X281" s="644"/>
      <c r="Y281" s="644"/>
      <c r="Z281" s="644"/>
      <c r="AA281" s="644"/>
      <c r="AB281" s="644"/>
      <c r="AC281" s="644"/>
      <c r="AD281" s="644">
        <v>1</v>
      </c>
      <c r="AE281" s="644"/>
      <c r="AF281" s="644"/>
      <c r="AG281" s="644"/>
      <c r="AH281" s="644">
        <v>1</v>
      </c>
      <c r="AI281" s="644"/>
      <c r="AJ281" s="644">
        <v>1</v>
      </c>
      <c r="AK281" s="644"/>
      <c r="AL281" s="167">
        <v>6</v>
      </c>
      <c r="AM281" s="641" t="s">
        <v>1137</v>
      </c>
      <c r="AN281" s="192">
        <v>42028</v>
      </c>
      <c r="AO281" s="187"/>
      <c r="AP281" s="187">
        <f t="shared" si="703"/>
        <v>0</v>
      </c>
      <c r="AQ281" s="187">
        <f t="shared" si="704"/>
        <v>0</v>
      </c>
      <c r="AR281" s="187">
        <f t="shared" si="705"/>
        <v>13</v>
      </c>
      <c r="AS281" s="187">
        <f t="shared" si="706"/>
        <v>13</v>
      </c>
      <c r="AT281" s="187">
        <f t="shared" si="707"/>
        <v>0</v>
      </c>
      <c r="AU281" s="187">
        <f t="shared" si="708"/>
        <v>0</v>
      </c>
      <c r="AV281" s="187">
        <f t="shared" si="709"/>
        <v>0</v>
      </c>
      <c r="AW281" s="187">
        <f t="shared" si="710"/>
        <v>7</v>
      </c>
      <c r="AX281" s="187">
        <f t="shared" si="711"/>
        <v>7</v>
      </c>
      <c r="AY281" s="187">
        <f t="shared" si="712"/>
        <v>0</v>
      </c>
      <c r="AZ281" s="187">
        <f t="shared" si="713"/>
        <v>7</v>
      </c>
      <c r="BA281" s="187">
        <f t="shared" si="714"/>
        <v>0</v>
      </c>
      <c r="BB281" s="187">
        <f t="shared" si="715"/>
        <v>0</v>
      </c>
      <c r="BC281" s="187">
        <f t="shared" si="716"/>
        <v>0</v>
      </c>
      <c r="BD281" s="187">
        <f t="shared" si="717"/>
        <v>0</v>
      </c>
      <c r="BE281" s="187">
        <f t="shared" si="718"/>
        <v>0</v>
      </c>
      <c r="BF281" s="187">
        <f t="shared" si="719"/>
        <v>3</v>
      </c>
      <c r="BG281" s="187">
        <f t="shared" si="720"/>
        <v>0</v>
      </c>
      <c r="BH281" s="187">
        <f t="shared" si="721"/>
        <v>0</v>
      </c>
      <c r="BI281" s="187">
        <f t="shared" si="722"/>
        <v>0</v>
      </c>
      <c r="BJ281" s="187">
        <f t="shared" si="723"/>
        <v>0</v>
      </c>
      <c r="BK281" s="187">
        <f t="shared" si="724"/>
        <v>0</v>
      </c>
      <c r="BL281" s="187">
        <f t="shared" si="725"/>
        <v>0</v>
      </c>
      <c r="BM281" s="187">
        <f t="shared" si="726"/>
        <v>0</v>
      </c>
      <c r="BN281" s="188">
        <f t="shared" si="727"/>
        <v>4</v>
      </c>
      <c r="BO281" s="187">
        <f t="shared" si="728"/>
        <v>0</v>
      </c>
      <c r="BP281" s="187">
        <f t="shared" ref="BP281:BQ281" si="999">IF(G281=1,1,0)</f>
        <v>0</v>
      </c>
      <c r="BQ281" s="187">
        <f t="shared" si="999"/>
        <v>0</v>
      </c>
      <c r="BR281" s="187">
        <f t="shared" ref="BR281:BT281" si="1000">IF(K281=1,1,0)</f>
        <v>0</v>
      </c>
      <c r="BS281" s="187">
        <f t="shared" si="1000"/>
        <v>0</v>
      </c>
      <c r="BT281" s="187">
        <f t="shared" si="1000"/>
        <v>0</v>
      </c>
      <c r="BU281" s="187">
        <f t="shared" ref="BU281:BV281" si="1001">IF(P281=1,1,0)</f>
        <v>0</v>
      </c>
      <c r="BV281" s="187">
        <f t="shared" si="1001"/>
        <v>0</v>
      </c>
      <c r="BW281" s="187">
        <f t="shared" si="732"/>
        <v>0</v>
      </c>
      <c r="BX281" s="187">
        <f t="shared" si="733"/>
        <v>0</v>
      </c>
      <c r="BY281" s="187">
        <f t="shared" si="734"/>
        <v>4</v>
      </c>
      <c r="BZ281" s="187">
        <f t="shared" si="735"/>
        <v>-16</v>
      </c>
      <c r="CA281" s="167">
        <f t="shared" si="736"/>
        <v>34</v>
      </c>
      <c r="CB281" s="167">
        <f t="shared" si="737"/>
        <v>74</v>
      </c>
      <c r="CC281" s="644">
        <f t="shared" si="738"/>
        <v>23</v>
      </c>
      <c r="CD281" s="644">
        <f t="shared" si="739"/>
        <v>19</v>
      </c>
      <c r="CE281" s="644">
        <f t="shared" si="740"/>
        <v>15</v>
      </c>
      <c r="CF281" s="644">
        <f t="shared" si="741"/>
        <v>0</v>
      </c>
      <c r="CG281" s="644">
        <f t="shared" si="742"/>
        <v>0</v>
      </c>
      <c r="CH281" s="644">
        <f t="shared" si="998"/>
        <v>7</v>
      </c>
      <c r="CI281" s="644">
        <f t="shared" si="744"/>
        <v>0</v>
      </c>
      <c r="CJ281" s="644">
        <f t="shared" si="745"/>
        <v>5</v>
      </c>
      <c r="CK281" s="644">
        <f t="shared" si="746"/>
        <v>0</v>
      </c>
      <c r="CL281" s="644">
        <f t="shared" si="747"/>
        <v>0</v>
      </c>
      <c r="CM281" s="644">
        <f t="shared" si="748"/>
        <v>0</v>
      </c>
      <c r="CN281" s="644">
        <f t="shared" si="749"/>
        <v>0</v>
      </c>
      <c r="CO281" s="644">
        <f t="shared" si="750"/>
        <v>3</v>
      </c>
      <c r="CP281" s="644">
        <f t="shared" si="751"/>
        <v>0</v>
      </c>
      <c r="CQ281" s="644">
        <f t="shared" si="752"/>
        <v>0</v>
      </c>
      <c r="CR281" s="644">
        <f t="shared" si="753"/>
        <v>2</v>
      </c>
      <c r="CS281" s="644">
        <f t="shared" si="754"/>
        <v>0</v>
      </c>
      <c r="CT281" s="644">
        <f t="shared" si="755"/>
        <v>0</v>
      </c>
      <c r="CU281" s="644">
        <f t="shared" si="756"/>
        <v>0</v>
      </c>
      <c r="CV281" s="644">
        <f t="shared" si="757"/>
        <v>0</v>
      </c>
      <c r="CW281" s="644">
        <f t="shared" si="758"/>
        <v>0</v>
      </c>
      <c r="CX281" s="644">
        <f t="shared" si="759"/>
        <v>0</v>
      </c>
      <c r="CY281" s="644">
        <f t="shared" si="760"/>
        <v>0</v>
      </c>
      <c r="CZ281" s="624" t="s">
        <v>743</v>
      </c>
    </row>
    <row r="282" spans="1:104">
      <c r="A282" s="253" t="s">
        <v>1320</v>
      </c>
      <c r="B282" s="641"/>
      <c r="C282" s="641"/>
      <c r="D282" s="155"/>
      <c r="E282" s="644"/>
      <c r="F282" s="644"/>
      <c r="G282" s="644"/>
      <c r="H282" s="644"/>
      <c r="I282" s="644"/>
      <c r="J282" s="644"/>
      <c r="K282" s="644"/>
      <c r="L282" s="644"/>
      <c r="M282" s="644"/>
      <c r="N282" s="644">
        <v>1</v>
      </c>
      <c r="O282" s="644"/>
      <c r="P282" s="644">
        <v>1</v>
      </c>
      <c r="Q282" s="644"/>
      <c r="R282" s="644">
        <v>1</v>
      </c>
      <c r="S282" s="644"/>
      <c r="T282" s="644">
        <v>1</v>
      </c>
      <c r="U282" s="644">
        <v>1</v>
      </c>
      <c r="V282" s="644">
        <v>1</v>
      </c>
      <c r="W282" s="644"/>
      <c r="X282" s="644"/>
      <c r="Y282" s="644"/>
      <c r="Z282" s="644"/>
      <c r="AA282" s="644"/>
      <c r="AB282" s="644"/>
      <c r="AC282" s="644"/>
      <c r="AD282" s="644"/>
      <c r="AE282" s="644"/>
      <c r="AF282" s="644">
        <v>1</v>
      </c>
      <c r="AG282" s="644">
        <v>1</v>
      </c>
      <c r="AH282" s="644">
        <v>1</v>
      </c>
      <c r="AI282" s="644"/>
      <c r="AJ282" s="644">
        <v>1</v>
      </c>
      <c r="AK282" s="644"/>
      <c r="AL282" s="167">
        <v>10</v>
      </c>
      <c r="AM282" s="191" t="str">
        <f>HYPERLINK("http://bbwaa.com/15-hof-ballots/", "BBWAA.com")</f>
        <v>BBWAA.com</v>
      </c>
      <c r="AN282" s="192">
        <v>42014</v>
      </c>
      <c r="AO282" s="187"/>
      <c r="AP282" s="187">
        <f t="shared" si="703"/>
        <v>0</v>
      </c>
      <c r="AQ282" s="187">
        <f t="shared" si="704"/>
        <v>0</v>
      </c>
      <c r="AR282" s="187">
        <f t="shared" si="705"/>
        <v>13</v>
      </c>
      <c r="AS282" s="187">
        <f t="shared" si="706"/>
        <v>13</v>
      </c>
      <c r="AT282" s="187">
        <f t="shared" si="707"/>
        <v>0</v>
      </c>
      <c r="AU282" s="187">
        <f t="shared" si="708"/>
        <v>0</v>
      </c>
      <c r="AV282" s="187">
        <f t="shared" si="709"/>
        <v>0</v>
      </c>
      <c r="AW282" s="187">
        <f t="shared" si="710"/>
        <v>7</v>
      </c>
      <c r="AX282" s="187">
        <f t="shared" si="711"/>
        <v>0</v>
      </c>
      <c r="AY282" s="187">
        <f t="shared" si="712"/>
        <v>0</v>
      </c>
      <c r="AZ282" s="187">
        <f t="shared" si="713"/>
        <v>7</v>
      </c>
      <c r="BA282" s="187">
        <f t="shared" si="714"/>
        <v>0</v>
      </c>
      <c r="BB282" s="187">
        <f t="shared" si="715"/>
        <v>0</v>
      </c>
      <c r="BC282" s="187">
        <f t="shared" si="716"/>
        <v>4</v>
      </c>
      <c r="BD282" s="187">
        <f t="shared" si="717"/>
        <v>0</v>
      </c>
      <c r="BE282" s="187">
        <f t="shared" si="718"/>
        <v>3</v>
      </c>
      <c r="BF282" s="187">
        <f t="shared" si="719"/>
        <v>0</v>
      </c>
      <c r="BG282" s="187">
        <f t="shared" si="720"/>
        <v>0</v>
      </c>
      <c r="BH282" s="187">
        <f t="shared" si="721"/>
        <v>0</v>
      </c>
      <c r="BI282" s="187">
        <f t="shared" si="722"/>
        <v>1</v>
      </c>
      <c r="BJ282" s="187">
        <f t="shared" si="723"/>
        <v>1</v>
      </c>
      <c r="BK282" s="187">
        <f t="shared" si="724"/>
        <v>0</v>
      </c>
      <c r="BL282" s="187">
        <f t="shared" si="725"/>
        <v>0</v>
      </c>
      <c r="BM282" s="187">
        <f t="shared" si="726"/>
        <v>1</v>
      </c>
      <c r="BN282" s="188">
        <f t="shared" si="727"/>
        <v>0</v>
      </c>
      <c r="BO282" s="187">
        <f t="shared" si="728"/>
        <v>0</v>
      </c>
      <c r="BP282" s="187">
        <f t="shared" ref="BP282:BQ282" si="1002">IF(G282=1,1,0)</f>
        <v>0</v>
      </c>
      <c r="BQ282" s="187">
        <f t="shared" si="1002"/>
        <v>0</v>
      </c>
      <c r="BR282" s="187">
        <f t="shared" ref="BR282:BT282" si="1003">IF(K282=1,1,0)</f>
        <v>0</v>
      </c>
      <c r="BS282" s="187">
        <f t="shared" si="1003"/>
        <v>0</v>
      </c>
      <c r="BT282" s="187">
        <f t="shared" si="1003"/>
        <v>0</v>
      </c>
      <c r="BU282" s="187">
        <f t="shared" ref="BU282:BV282" si="1004">IF(P282=1,1,0)</f>
        <v>1</v>
      </c>
      <c r="BV282" s="187">
        <f t="shared" si="1004"/>
        <v>0</v>
      </c>
      <c r="BW282" s="187">
        <f t="shared" si="732"/>
        <v>0</v>
      </c>
      <c r="BX282" s="187">
        <f t="shared" si="733"/>
        <v>0</v>
      </c>
      <c r="BY282" s="187">
        <f t="shared" si="734"/>
        <v>1</v>
      </c>
      <c r="BZ282" s="187">
        <f t="shared" si="735"/>
        <v>-1</v>
      </c>
      <c r="CA282" s="167">
        <f t="shared" si="736"/>
        <v>49</v>
      </c>
      <c r="CB282" s="167">
        <f t="shared" si="737"/>
        <v>75</v>
      </c>
      <c r="CC282" s="644">
        <f t="shared" si="738"/>
        <v>23</v>
      </c>
      <c r="CD282" s="644">
        <f t="shared" si="739"/>
        <v>19</v>
      </c>
      <c r="CE282" s="644">
        <f t="shared" si="740"/>
        <v>15</v>
      </c>
      <c r="CF282" s="644">
        <f t="shared" si="741"/>
        <v>0</v>
      </c>
      <c r="CG282" s="644">
        <f t="shared" si="742"/>
        <v>0</v>
      </c>
      <c r="CH282" s="644">
        <f>IF(D257=1,7,0)</f>
        <v>7</v>
      </c>
      <c r="CI282" s="644">
        <f t="shared" si="744"/>
        <v>0</v>
      </c>
      <c r="CJ282" s="644">
        <f t="shared" si="745"/>
        <v>0</v>
      </c>
      <c r="CK282" s="644">
        <f t="shared" si="746"/>
        <v>0</v>
      </c>
      <c r="CL282" s="644">
        <f t="shared" si="747"/>
        <v>0</v>
      </c>
      <c r="CM282" s="644">
        <f t="shared" si="748"/>
        <v>3</v>
      </c>
      <c r="CN282" s="644">
        <f t="shared" si="749"/>
        <v>3</v>
      </c>
      <c r="CO282" s="644">
        <f t="shared" si="750"/>
        <v>3</v>
      </c>
      <c r="CP282" s="644">
        <f t="shared" si="751"/>
        <v>0</v>
      </c>
      <c r="CQ282" s="644">
        <f t="shared" si="752"/>
        <v>0</v>
      </c>
      <c r="CR282" s="644">
        <f t="shared" si="753"/>
        <v>0</v>
      </c>
      <c r="CS282" s="644">
        <f t="shared" si="754"/>
        <v>0</v>
      </c>
      <c r="CT282" s="644">
        <f t="shared" si="755"/>
        <v>2</v>
      </c>
      <c r="CU282" s="644">
        <f t="shared" si="756"/>
        <v>0</v>
      </c>
      <c r="CV282" s="644">
        <f t="shared" si="757"/>
        <v>1</v>
      </c>
      <c r="CW282" s="644">
        <f t="shared" si="758"/>
        <v>0</v>
      </c>
      <c r="CX282" s="644">
        <f t="shared" si="759"/>
        <v>1</v>
      </c>
      <c r="CY282" s="644">
        <f t="shared" si="760"/>
        <v>0</v>
      </c>
      <c r="CZ282" s="624" t="s">
        <v>743</v>
      </c>
    </row>
    <row r="283" spans="1:104">
      <c r="A283" s="253" t="s">
        <v>243</v>
      </c>
      <c r="B283" s="641"/>
      <c r="C283" s="641"/>
      <c r="D283" s="155"/>
      <c r="E283" s="644"/>
      <c r="F283" s="644">
        <v>1</v>
      </c>
      <c r="G283" s="644"/>
      <c r="H283" s="644"/>
      <c r="I283" s="644">
        <v>1</v>
      </c>
      <c r="J283" s="644"/>
      <c r="K283" s="644"/>
      <c r="L283" s="644"/>
      <c r="M283" s="644"/>
      <c r="N283" s="644"/>
      <c r="O283" s="644"/>
      <c r="P283" s="644"/>
      <c r="Q283" s="644"/>
      <c r="R283" s="644">
        <v>1</v>
      </c>
      <c r="S283" s="644"/>
      <c r="T283" s="644"/>
      <c r="U283" s="644">
        <v>1</v>
      </c>
      <c r="V283" s="644">
        <v>1</v>
      </c>
      <c r="W283" s="644"/>
      <c r="X283" s="644">
        <v>1</v>
      </c>
      <c r="Y283" s="644"/>
      <c r="Z283" s="644"/>
      <c r="AA283" s="644"/>
      <c r="AB283" s="644">
        <v>1</v>
      </c>
      <c r="AC283" s="644"/>
      <c r="AD283" s="644">
        <v>1</v>
      </c>
      <c r="AE283" s="644"/>
      <c r="AF283" s="644"/>
      <c r="AG283" s="644"/>
      <c r="AH283" s="644">
        <v>1</v>
      </c>
      <c r="AI283" s="644">
        <v>1</v>
      </c>
      <c r="AJ283" s="644"/>
      <c r="AK283" s="644"/>
      <c r="AL283" s="167">
        <v>10</v>
      </c>
      <c r="AM283" s="191" t="s">
        <v>1321</v>
      </c>
      <c r="AN283" s="192">
        <v>42010</v>
      </c>
      <c r="AO283" s="187"/>
      <c r="AP283" s="187">
        <f t="shared" si="703"/>
        <v>13</v>
      </c>
      <c r="AQ283" s="187">
        <f t="shared" si="704"/>
        <v>13</v>
      </c>
      <c r="AR283" s="187">
        <f t="shared" si="705"/>
        <v>13</v>
      </c>
      <c r="AS283" s="187">
        <f t="shared" si="706"/>
        <v>13</v>
      </c>
      <c r="AT283" s="187">
        <f t="shared" si="707"/>
        <v>9</v>
      </c>
      <c r="AU283" s="187">
        <f t="shared" si="708"/>
        <v>0</v>
      </c>
      <c r="AV283" s="187">
        <f t="shared" si="709"/>
        <v>0</v>
      </c>
      <c r="AW283" s="187">
        <f t="shared" si="710"/>
        <v>0</v>
      </c>
      <c r="AX283" s="187">
        <f t="shared" si="711"/>
        <v>7</v>
      </c>
      <c r="AY283" s="187">
        <f t="shared" si="712"/>
        <v>0</v>
      </c>
      <c r="AZ283" s="187">
        <f t="shared" si="713"/>
        <v>7</v>
      </c>
      <c r="BA283" s="187">
        <f t="shared" si="714"/>
        <v>0</v>
      </c>
      <c r="BB283" s="187">
        <f t="shared" si="715"/>
        <v>0</v>
      </c>
      <c r="BC283" s="187">
        <f t="shared" si="716"/>
        <v>0</v>
      </c>
      <c r="BD283" s="187">
        <f t="shared" si="717"/>
        <v>4</v>
      </c>
      <c r="BE283" s="187">
        <f t="shared" si="718"/>
        <v>0</v>
      </c>
      <c r="BF283" s="187">
        <f t="shared" si="719"/>
        <v>0</v>
      </c>
      <c r="BG283" s="187">
        <f t="shared" si="720"/>
        <v>2</v>
      </c>
      <c r="BH283" s="187">
        <f t="shared" si="721"/>
        <v>0</v>
      </c>
      <c r="BI283" s="187">
        <f t="shared" si="722"/>
        <v>1</v>
      </c>
      <c r="BJ283" s="187">
        <f t="shared" si="723"/>
        <v>0</v>
      </c>
      <c r="BK283" s="187">
        <f t="shared" si="724"/>
        <v>0</v>
      </c>
      <c r="BL283" s="187">
        <f t="shared" si="725"/>
        <v>0</v>
      </c>
      <c r="BM283" s="187">
        <f t="shared" si="726"/>
        <v>0</v>
      </c>
      <c r="BN283" s="188">
        <f t="shared" si="727"/>
        <v>0</v>
      </c>
      <c r="BO283" s="187">
        <f t="shared" si="728"/>
        <v>0</v>
      </c>
      <c r="BP283" s="187">
        <f t="shared" ref="BP283:BQ283" si="1005">IF(G283=1,1,0)</f>
        <v>0</v>
      </c>
      <c r="BQ283" s="187">
        <f t="shared" si="1005"/>
        <v>0</v>
      </c>
      <c r="BR283" s="187">
        <f t="shared" ref="BR283:BT283" si="1006">IF(K283=1,1,0)</f>
        <v>0</v>
      </c>
      <c r="BS283" s="187">
        <f t="shared" si="1006"/>
        <v>0</v>
      </c>
      <c r="BT283" s="187">
        <f t="shared" si="1006"/>
        <v>0</v>
      </c>
      <c r="BU283" s="187">
        <f t="shared" ref="BU283:BV283" si="1007">IF(P283=1,1,0)</f>
        <v>0</v>
      </c>
      <c r="BV283" s="187">
        <f t="shared" si="1007"/>
        <v>0</v>
      </c>
      <c r="BW283" s="187">
        <f t="shared" si="732"/>
        <v>0</v>
      </c>
      <c r="BX283" s="187">
        <f t="shared" si="733"/>
        <v>0</v>
      </c>
      <c r="BY283" s="187">
        <f t="shared" si="734"/>
        <v>0</v>
      </c>
      <c r="BZ283" s="187">
        <f t="shared" si="735"/>
        <v>0</v>
      </c>
      <c r="CA283" s="167">
        <f t="shared" si="736"/>
        <v>82</v>
      </c>
      <c r="CB283" s="167">
        <f t="shared" si="737"/>
        <v>88</v>
      </c>
      <c r="CC283" s="644">
        <f t="shared" si="738"/>
        <v>23</v>
      </c>
      <c r="CD283" s="644">
        <f t="shared" si="739"/>
        <v>19</v>
      </c>
      <c r="CE283" s="644">
        <f t="shared" si="740"/>
        <v>15</v>
      </c>
      <c r="CF283" s="644">
        <f t="shared" si="741"/>
        <v>0</v>
      </c>
      <c r="CG283" s="644">
        <f t="shared" si="742"/>
        <v>9</v>
      </c>
      <c r="CH283" s="644">
        <f t="shared" ref="CH283:CH284" si="1008">IF(D257=1,7,0)</f>
        <v>7</v>
      </c>
      <c r="CI283" s="644">
        <f t="shared" si="744"/>
        <v>0</v>
      </c>
      <c r="CJ283" s="644">
        <f t="shared" si="745"/>
        <v>5</v>
      </c>
      <c r="CK283" s="644">
        <f t="shared" si="746"/>
        <v>5</v>
      </c>
      <c r="CL283" s="644">
        <f t="shared" si="747"/>
        <v>5</v>
      </c>
      <c r="CM283" s="644">
        <f t="shared" si="748"/>
        <v>0</v>
      </c>
      <c r="CN283" s="644">
        <f t="shared" si="749"/>
        <v>0</v>
      </c>
      <c r="CO283" s="644">
        <f t="shared" si="750"/>
        <v>0</v>
      </c>
      <c r="CP283" s="644">
        <f t="shared" si="751"/>
        <v>0</v>
      </c>
      <c r="CQ283" s="644">
        <f t="shared" si="752"/>
        <v>0</v>
      </c>
      <c r="CR283" s="644">
        <f t="shared" si="753"/>
        <v>0</v>
      </c>
      <c r="CS283" s="644">
        <f t="shared" si="754"/>
        <v>0</v>
      </c>
      <c r="CT283" s="644">
        <f t="shared" si="755"/>
        <v>0</v>
      </c>
      <c r="CU283" s="644">
        <f t="shared" si="756"/>
        <v>1</v>
      </c>
      <c r="CV283" s="644">
        <f t="shared" si="757"/>
        <v>1</v>
      </c>
      <c r="CW283" s="644">
        <f t="shared" si="758"/>
        <v>1</v>
      </c>
      <c r="CX283" s="644">
        <f t="shared" si="759"/>
        <v>0</v>
      </c>
      <c r="CY283" s="644">
        <f t="shared" si="760"/>
        <v>0</v>
      </c>
      <c r="CZ283" s="624" t="s">
        <v>752</v>
      </c>
    </row>
    <row r="284" spans="1:104">
      <c r="A284" s="253" t="s">
        <v>1322</v>
      </c>
      <c r="B284" s="641"/>
      <c r="C284" s="641"/>
      <c r="D284" s="155">
        <v>1</v>
      </c>
      <c r="E284" s="644">
        <v>1</v>
      </c>
      <c r="F284" s="644"/>
      <c r="G284" s="644"/>
      <c r="H284" s="644"/>
      <c r="I284" s="644"/>
      <c r="J284" s="644"/>
      <c r="K284" s="644"/>
      <c r="L284" s="644"/>
      <c r="M284" s="644"/>
      <c r="N284" s="644"/>
      <c r="O284" s="644"/>
      <c r="P284" s="644"/>
      <c r="Q284" s="644"/>
      <c r="R284" s="644">
        <v>1</v>
      </c>
      <c r="S284" s="644">
        <v>1</v>
      </c>
      <c r="T284" s="644"/>
      <c r="U284" s="644">
        <v>1</v>
      </c>
      <c r="V284" s="644"/>
      <c r="W284" s="644"/>
      <c r="X284" s="644"/>
      <c r="Y284" s="644"/>
      <c r="Z284" s="644">
        <v>1</v>
      </c>
      <c r="AA284" s="644"/>
      <c r="AB284" s="644">
        <v>1</v>
      </c>
      <c r="AC284" s="644">
        <v>1</v>
      </c>
      <c r="AD284" s="644"/>
      <c r="AE284" s="644"/>
      <c r="AF284" s="644"/>
      <c r="AG284" s="644">
        <v>1</v>
      </c>
      <c r="AH284" s="644">
        <v>1</v>
      </c>
      <c r="AI284" s="644"/>
      <c r="AJ284" s="644"/>
      <c r="AK284" s="644"/>
      <c r="AL284" s="167">
        <v>10</v>
      </c>
      <c r="AM284" s="191" t="s">
        <v>1323</v>
      </c>
      <c r="AN284" s="192">
        <v>42017</v>
      </c>
      <c r="AO284" s="187"/>
      <c r="AP284" s="187">
        <f t="shared" si="703"/>
        <v>0</v>
      </c>
      <c r="AQ284" s="187">
        <f t="shared" si="704"/>
        <v>0</v>
      </c>
      <c r="AR284" s="187">
        <f t="shared" si="705"/>
        <v>13</v>
      </c>
      <c r="AS284" s="187">
        <f t="shared" si="706"/>
        <v>13</v>
      </c>
      <c r="AT284" s="187">
        <f t="shared" si="707"/>
        <v>9</v>
      </c>
      <c r="AU284" s="187">
        <f t="shared" si="708"/>
        <v>9</v>
      </c>
      <c r="AV284" s="187">
        <f t="shared" si="709"/>
        <v>9</v>
      </c>
      <c r="AW284" s="187">
        <f t="shared" si="710"/>
        <v>0</v>
      </c>
      <c r="AX284" s="187">
        <f t="shared" si="711"/>
        <v>0</v>
      </c>
      <c r="AY284" s="187">
        <f t="shared" si="712"/>
        <v>7</v>
      </c>
      <c r="AZ284" s="187">
        <f t="shared" si="713"/>
        <v>7</v>
      </c>
      <c r="BA284" s="187">
        <f t="shared" si="714"/>
        <v>7</v>
      </c>
      <c r="BB284" s="187">
        <f t="shared" si="715"/>
        <v>0</v>
      </c>
      <c r="BC284" s="187">
        <f t="shared" si="716"/>
        <v>0</v>
      </c>
      <c r="BD284" s="187">
        <f t="shared" si="717"/>
        <v>0</v>
      </c>
      <c r="BE284" s="187">
        <f t="shared" si="718"/>
        <v>0</v>
      </c>
      <c r="BF284" s="187">
        <f t="shared" si="719"/>
        <v>0</v>
      </c>
      <c r="BG284" s="187">
        <f t="shared" si="720"/>
        <v>0</v>
      </c>
      <c r="BH284" s="187">
        <f t="shared" si="721"/>
        <v>2</v>
      </c>
      <c r="BI284" s="187">
        <f t="shared" si="722"/>
        <v>0</v>
      </c>
      <c r="BJ284" s="187">
        <f t="shared" si="723"/>
        <v>1</v>
      </c>
      <c r="BK284" s="187">
        <f t="shared" si="724"/>
        <v>0</v>
      </c>
      <c r="BL284" s="187">
        <f t="shared" si="725"/>
        <v>0</v>
      </c>
      <c r="BM284" s="187">
        <f t="shared" si="726"/>
        <v>0</v>
      </c>
      <c r="BN284" s="188">
        <f t="shared" si="727"/>
        <v>0</v>
      </c>
      <c r="BO284" s="187">
        <f t="shared" si="728"/>
        <v>0</v>
      </c>
      <c r="BP284" s="187">
        <f t="shared" ref="BP284:BQ284" si="1009">IF(G284=1,1,0)</f>
        <v>0</v>
      </c>
      <c r="BQ284" s="187">
        <f t="shared" si="1009"/>
        <v>0</v>
      </c>
      <c r="BR284" s="187">
        <f t="shared" ref="BR284:BT284" si="1010">IF(K284=1,1,0)</f>
        <v>0</v>
      </c>
      <c r="BS284" s="187">
        <f t="shared" si="1010"/>
        <v>0</v>
      </c>
      <c r="BT284" s="187">
        <f t="shared" si="1010"/>
        <v>0</v>
      </c>
      <c r="BU284" s="187">
        <f t="shared" ref="BU284:BV284" si="1011">IF(P284=1,1,0)</f>
        <v>0</v>
      </c>
      <c r="BV284" s="187">
        <f t="shared" si="1011"/>
        <v>0</v>
      </c>
      <c r="BW284" s="187">
        <f t="shared" si="732"/>
        <v>0</v>
      </c>
      <c r="BX284" s="187">
        <f t="shared" si="733"/>
        <v>0</v>
      </c>
      <c r="BY284" s="187">
        <f t="shared" si="734"/>
        <v>0</v>
      </c>
      <c r="BZ284" s="187">
        <f t="shared" si="735"/>
        <v>0</v>
      </c>
      <c r="CA284" s="167">
        <f t="shared" si="736"/>
        <v>77</v>
      </c>
      <c r="CB284" s="167">
        <f t="shared" si="737"/>
        <v>94</v>
      </c>
      <c r="CC284" s="644">
        <f t="shared" si="738"/>
        <v>23</v>
      </c>
      <c r="CD284" s="644">
        <f t="shared" si="739"/>
        <v>19</v>
      </c>
      <c r="CE284" s="644">
        <f t="shared" si="740"/>
        <v>15</v>
      </c>
      <c r="CF284" s="644">
        <f t="shared" si="741"/>
        <v>15</v>
      </c>
      <c r="CG284" s="644">
        <f t="shared" si="742"/>
        <v>9</v>
      </c>
      <c r="CH284" s="644">
        <f t="shared" si="1008"/>
        <v>0</v>
      </c>
      <c r="CI284" s="644">
        <f t="shared" si="744"/>
        <v>7</v>
      </c>
      <c r="CJ284" s="644">
        <f t="shared" si="745"/>
        <v>0</v>
      </c>
      <c r="CK284" s="644">
        <f t="shared" si="746"/>
        <v>0</v>
      </c>
      <c r="CL284" s="644">
        <f t="shared" si="747"/>
        <v>0</v>
      </c>
      <c r="CM284" s="644">
        <f t="shared" si="748"/>
        <v>3</v>
      </c>
      <c r="CN284" s="644">
        <f t="shared" si="749"/>
        <v>0</v>
      </c>
      <c r="CO284" s="644">
        <f t="shared" si="750"/>
        <v>0</v>
      </c>
      <c r="CP284" s="644">
        <f t="shared" si="751"/>
        <v>3</v>
      </c>
      <c r="CQ284" s="644">
        <f t="shared" si="752"/>
        <v>2</v>
      </c>
      <c r="CR284" s="644">
        <f t="shared" si="753"/>
        <v>0</v>
      </c>
      <c r="CS284" s="644">
        <f t="shared" si="754"/>
        <v>0</v>
      </c>
      <c r="CT284" s="644">
        <f t="shared" si="755"/>
        <v>0</v>
      </c>
      <c r="CU284" s="644">
        <f t="shared" si="756"/>
        <v>0</v>
      </c>
      <c r="CV284" s="644">
        <f t="shared" si="757"/>
        <v>0</v>
      </c>
      <c r="CW284" s="644">
        <f t="shared" si="758"/>
        <v>0</v>
      </c>
      <c r="CX284" s="644">
        <f t="shared" si="759"/>
        <v>0</v>
      </c>
      <c r="CY284" s="644">
        <f t="shared" si="760"/>
        <v>0</v>
      </c>
      <c r="CZ284" s="624" t="s">
        <v>754</v>
      </c>
    </row>
    <row r="285" spans="1:104">
      <c r="A285" s="253" t="s">
        <v>245</v>
      </c>
      <c r="B285" s="641"/>
      <c r="C285" s="641"/>
      <c r="D285" s="276">
        <v>1</v>
      </c>
      <c r="E285" s="644">
        <v>1</v>
      </c>
      <c r="F285" s="644">
        <v>1</v>
      </c>
      <c r="G285" s="644"/>
      <c r="H285" s="644"/>
      <c r="I285" s="644">
        <v>1</v>
      </c>
      <c r="J285" s="644"/>
      <c r="K285" s="644"/>
      <c r="L285" s="644"/>
      <c r="M285" s="644"/>
      <c r="N285" s="644"/>
      <c r="O285" s="644"/>
      <c r="P285" s="644"/>
      <c r="Q285" s="644"/>
      <c r="R285" s="644">
        <v>1</v>
      </c>
      <c r="S285" s="644"/>
      <c r="T285" s="644"/>
      <c r="U285" s="644">
        <v>1</v>
      </c>
      <c r="V285" s="644"/>
      <c r="W285" s="644">
        <v>1</v>
      </c>
      <c r="X285" s="644"/>
      <c r="Y285" s="644"/>
      <c r="Z285" s="644"/>
      <c r="AA285" s="644"/>
      <c r="AB285" s="644">
        <v>1</v>
      </c>
      <c r="AC285" s="250"/>
      <c r="AD285" s="644"/>
      <c r="AE285" s="644"/>
      <c r="AF285" s="644">
        <v>1</v>
      </c>
      <c r="AG285" s="644"/>
      <c r="AH285" s="644">
        <v>1</v>
      </c>
      <c r="AI285" s="644"/>
      <c r="AJ285" s="644"/>
      <c r="AK285" s="644"/>
      <c r="AL285" s="167">
        <v>10</v>
      </c>
      <c r="AM285" s="191" t="s">
        <v>1300</v>
      </c>
      <c r="AN285" s="192">
        <v>42014</v>
      </c>
      <c r="AO285" s="187"/>
      <c r="AP285" s="187">
        <f t="shared" si="703"/>
        <v>13</v>
      </c>
      <c r="AQ285" s="187">
        <f t="shared" si="704"/>
        <v>13</v>
      </c>
      <c r="AR285" s="187">
        <f t="shared" si="705"/>
        <v>13</v>
      </c>
      <c r="AS285" s="187">
        <f t="shared" si="706"/>
        <v>13</v>
      </c>
      <c r="AT285" s="187">
        <f t="shared" si="707"/>
        <v>9</v>
      </c>
      <c r="AU285" s="187">
        <f t="shared" si="708"/>
        <v>9</v>
      </c>
      <c r="AV285" s="187">
        <f t="shared" si="709"/>
        <v>0</v>
      </c>
      <c r="AW285" s="187">
        <f t="shared" si="710"/>
        <v>0</v>
      </c>
      <c r="AX285" s="187">
        <f t="shared" si="711"/>
        <v>0</v>
      </c>
      <c r="AY285" s="187">
        <f t="shared" si="712"/>
        <v>0</v>
      </c>
      <c r="AZ285" s="187">
        <f t="shared" si="713"/>
        <v>7</v>
      </c>
      <c r="BA285" s="187">
        <f t="shared" si="714"/>
        <v>7</v>
      </c>
      <c r="BB285" s="187">
        <f t="shared" si="715"/>
        <v>0</v>
      </c>
      <c r="BC285" s="187">
        <f t="shared" si="716"/>
        <v>0</v>
      </c>
      <c r="BD285" s="187">
        <f t="shared" si="717"/>
        <v>0</v>
      </c>
      <c r="BE285" s="187">
        <f t="shared" si="718"/>
        <v>3</v>
      </c>
      <c r="BF285" s="187">
        <f t="shared" si="719"/>
        <v>3</v>
      </c>
      <c r="BG285" s="187">
        <f t="shared" si="720"/>
        <v>0</v>
      </c>
      <c r="BH285" s="187">
        <f t="shared" si="721"/>
        <v>0</v>
      </c>
      <c r="BI285" s="187">
        <f t="shared" si="722"/>
        <v>0</v>
      </c>
      <c r="BJ285" s="187">
        <f t="shared" si="723"/>
        <v>0</v>
      </c>
      <c r="BK285" s="187">
        <f t="shared" si="724"/>
        <v>0</v>
      </c>
      <c r="BL285" s="187">
        <f t="shared" si="725"/>
        <v>0</v>
      </c>
      <c r="BM285" s="187">
        <f t="shared" si="726"/>
        <v>0</v>
      </c>
      <c r="BN285" s="188">
        <f t="shared" si="727"/>
        <v>0</v>
      </c>
      <c r="BO285" s="187">
        <f t="shared" si="728"/>
        <v>0</v>
      </c>
      <c r="BP285" s="187">
        <f t="shared" ref="BP285:BQ285" si="1012">IF(G285=1,1,0)</f>
        <v>0</v>
      </c>
      <c r="BQ285" s="187">
        <f t="shared" si="1012"/>
        <v>0</v>
      </c>
      <c r="BR285" s="187">
        <f t="shared" ref="BR285:BT285" si="1013">IF(K285=1,1,0)</f>
        <v>0</v>
      </c>
      <c r="BS285" s="187">
        <f t="shared" si="1013"/>
        <v>0</v>
      </c>
      <c r="BT285" s="187">
        <f t="shared" si="1013"/>
        <v>0</v>
      </c>
      <c r="BU285" s="187">
        <f t="shared" ref="BU285:BV285" si="1014">IF(P285=1,1,0)</f>
        <v>0</v>
      </c>
      <c r="BV285" s="187">
        <f t="shared" si="1014"/>
        <v>0</v>
      </c>
      <c r="BW285" s="187">
        <f t="shared" si="732"/>
        <v>0</v>
      </c>
      <c r="BX285" s="187">
        <f t="shared" si="733"/>
        <v>0</v>
      </c>
      <c r="BY285" s="187">
        <f t="shared" si="734"/>
        <v>0</v>
      </c>
      <c r="BZ285" s="187">
        <f t="shared" si="735"/>
        <v>0</v>
      </c>
      <c r="CA285" s="167">
        <f t="shared" si="736"/>
        <v>90</v>
      </c>
      <c r="CB285" s="167">
        <f t="shared" si="737"/>
        <v>93</v>
      </c>
      <c r="CC285" s="644">
        <f t="shared" si="738"/>
        <v>23</v>
      </c>
      <c r="CD285" s="644">
        <f t="shared" si="739"/>
        <v>19</v>
      </c>
      <c r="CE285" s="644">
        <f t="shared" si="740"/>
        <v>15</v>
      </c>
      <c r="CF285" s="644">
        <f t="shared" si="741"/>
        <v>15</v>
      </c>
      <c r="CG285" s="644">
        <f t="shared" si="742"/>
        <v>9</v>
      </c>
      <c r="CH285" s="644">
        <f t="shared" ref="CH285:CH286" si="1015">IF(D258=1,7,0)</f>
        <v>0</v>
      </c>
      <c r="CI285" s="644">
        <f t="shared" si="744"/>
        <v>0</v>
      </c>
      <c r="CJ285" s="644">
        <f t="shared" si="745"/>
        <v>0</v>
      </c>
      <c r="CK285" s="644">
        <f t="shared" si="746"/>
        <v>5</v>
      </c>
      <c r="CL285" s="644">
        <f t="shared" si="747"/>
        <v>5</v>
      </c>
      <c r="CM285" s="644">
        <f t="shared" si="748"/>
        <v>0</v>
      </c>
      <c r="CN285" s="644">
        <f t="shared" si="749"/>
        <v>0</v>
      </c>
      <c r="CO285" s="644">
        <f t="shared" si="750"/>
        <v>0</v>
      </c>
      <c r="CP285" s="644">
        <f t="shared" si="751"/>
        <v>0</v>
      </c>
      <c r="CQ285" s="644">
        <f t="shared" si="752"/>
        <v>0</v>
      </c>
      <c r="CR285" s="644">
        <f t="shared" si="753"/>
        <v>2</v>
      </c>
      <c r="CS285" s="644">
        <f t="shared" si="754"/>
        <v>0</v>
      </c>
      <c r="CT285" s="644">
        <f t="shared" si="755"/>
        <v>2</v>
      </c>
      <c r="CU285" s="644">
        <f t="shared" si="756"/>
        <v>0</v>
      </c>
      <c r="CV285" s="644">
        <f t="shared" si="757"/>
        <v>0</v>
      </c>
      <c r="CW285" s="644">
        <f t="shared" si="758"/>
        <v>0</v>
      </c>
      <c r="CX285" s="644">
        <f t="shared" si="759"/>
        <v>0</v>
      </c>
      <c r="CY285" s="644">
        <f t="shared" si="760"/>
        <v>0</v>
      </c>
      <c r="CZ285" s="624" t="s">
        <v>843</v>
      </c>
    </row>
    <row r="286" spans="1:104">
      <c r="A286" s="253" t="s">
        <v>249</v>
      </c>
      <c r="B286" s="641"/>
      <c r="C286" s="641"/>
      <c r="D286" s="155">
        <v>1</v>
      </c>
      <c r="E286" s="644">
        <v>1</v>
      </c>
      <c r="F286" s="644"/>
      <c r="G286" s="644"/>
      <c r="H286" s="644"/>
      <c r="I286" s="644"/>
      <c r="J286" s="644"/>
      <c r="K286" s="644"/>
      <c r="L286" s="644"/>
      <c r="M286" s="644"/>
      <c r="N286" s="644"/>
      <c r="O286" s="644"/>
      <c r="P286" s="644"/>
      <c r="Q286" s="644"/>
      <c r="R286" s="644">
        <v>1</v>
      </c>
      <c r="S286" s="644"/>
      <c r="T286" s="644">
        <v>1</v>
      </c>
      <c r="U286" s="644">
        <v>1</v>
      </c>
      <c r="V286" s="644"/>
      <c r="W286" s="644">
        <v>1</v>
      </c>
      <c r="X286" s="644"/>
      <c r="Y286" s="644"/>
      <c r="Z286" s="644"/>
      <c r="AA286" s="644"/>
      <c r="AB286" s="644">
        <v>1</v>
      </c>
      <c r="AC286" s="644"/>
      <c r="AD286" s="644"/>
      <c r="AE286" s="644"/>
      <c r="AF286" s="644">
        <v>1</v>
      </c>
      <c r="AG286" s="644">
        <v>1</v>
      </c>
      <c r="AH286" s="644">
        <v>1</v>
      </c>
      <c r="AI286" s="644"/>
      <c r="AJ286" s="644"/>
      <c r="AK286" s="644"/>
      <c r="AL286" s="167">
        <v>10</v>
      </c>
      <c r="AM286" s="191" t="s">
        <v>1324</v>
      </c>
      <c r="AN286" s="192">
        <v>42024</v>
      </c>
      <c r="AO286" s="187"/>
      <c r="AP286" s="187">
        <f t="shared" si="703"/>
        <v>0</v>
      </c>
      <c r="AQ286" s="187">
        <f t="shared" si="704"/>
        <v>0</v>
      </c>
      <c r="AR286" s="187">
        <f t="shared" si="705"/>
        <v>13</v>
      </c>
      <c r="AS286" s="187">
        <f t="shared" si="706"/>
        <v>13</v>
      </c>
      <c r="AT286" s="187">
        <f t="shared" si="707"/>
        <v>9</v>
      </c>
      <c r="AU286" s="187">
        <f t="shared" si="708"/>
        <v>9</v>
      </c>
      <c r="AV286" s="187">
        <f t="shared" si="709"/>
        <v>0</v>
      </c>
      <c r="AW286" s="187">
        <f t="shared" si="710"/>
        <v>0</v>
      </c>
      <c r="AX286" s="187">
        <f t="shared" si="711"/>
        <v>0</v>
      </c>
      <c r="AY286" s="187">
        <f t="shared" si="712"/>
        <v>0</v>
      </c>
      <c r="AZ286" s="187">
        <f t="shared" si="713"/>
        <v>7</v>
      </c>
      <c r="BA286" s="187">
        <f t="shared" si="714"/>
        <v>7</v>
      </c>
      <c r="BB286" s="187">
        <f t="shared" si="715"/>
        <v>0</v>
      </c>
      <c r="BC286" s="187">
        <f t="shared" si="716"/>
        <v>4</v>
      </c>
      <c r="BD286" s="187">
        <f t="shared" si="717"/>
        <v>0</v>
      </c>
      <c r="BE286" s="187">
        <f t="shared" si="718"/>
        <v>3</v>
      </c>
      <c r="BF286" s="187">
        <f t="shared" si="719"/>
        <v>3</v>
      </c>
      <c r="BG286" s="187">
        <f t="shared" si="720"/>
        <v>0</v>
      </c>
      <c r="BH286" s="187">
        <f t="shared" si="721"/>
        <v>0</v>
      </c>
      <c r="BI286" s="187">
        <f t="shared" si="722"/>
        <v>0</v>
      </c>
      <c r="BJ286" s="187">
        <f t="shared" si="723"/>
        <v>1</v>
      </c>
      <c r="BK286" s="187">
        <f t="shared" si="724"/>
        <v>0</v>
      </c>
      <c r="BL286" s="187">
        <f t="shared" si="725"/>
        <v>0</v>
      </c>
      <c r="BM286" s="187">
        <f t="shared" si="726"/>
        <v>0</v>
      </c>
      <c r="BN286" s="188">
        <f t="shared" si="727"/>
        <v>0</v>
      </c>
      <c r="BO286" s="187">
        <f t="shared" si="728"/>
        <v>0</v>
      </c>
      <c r="BP286" s="187">
        <f t="shared" ref="BP286:BQ286" si="1016">IF(G286=1,1,0)</f>
        <v>0</v>
      </c>
      <c r="BQ286" s="187">
        <f t="shared" si="1016"/>
        <v>0</v>
      </c>
      <c r="BR286" s="187">
        <f t="shared" ref="BR286:BT286" si="1017">IF(K286=1,1,0)</f>
        <v>0</v>
      </c>
      <c r="BS286" s="187">
        <f t="shared" si="1017"/>
        <v>0</v>
      </c>
      <c r="BT286" s="187">
        <f t="shared" si="1017"/>
        <v>0</v>
      </c>
      <c r="BU286" s="187">
        <f t="shared" ref="BU286:BV286" si="1018">IF(P286=1,1,0)</f>
        <v>0</v>
      </c>
      <c r="BV286" s="187">
        <f t="shared" si="1018"/>
        <v>0</v>
      </c>
      <c r="BW286" s="187">
        <f t="shared" si="732"/>
        <v>0</v>
      </c>
      <c r="BX286" s="187">
        <f t="shared" si="733"/>
        <v>0</v>
      </c>
      <c r="BY286" s="187">
        <f t="shared" si="734"/>
        <v>0</v>
      </c>
      <c r="BZ286" s="187">
        <f t="shared" si="735"/>
        <v>0</v>
      </c>
      <c r="CA286" s="167">
        <f t="shared" si="736"/>
        <v>69</v>
      </c>
      <c r="CB286" s="167">
        <f t="shared" si="737"/>
        <v>94</v>
      </c>
      <c r="CC286" s="644">
        <f t="shared" si="738"/>
        <v>23</v>
      </c>
      <c r="CD286" s="644">
        <f t="shared" si="739"/>
        <v>19</v>
      </c>
      <c r="CE286" s="644">
        <f t="shared" si="740"/>
        <v>15</v>
      </c>
      <c r="CF286" s="644">
        <f t="shared" si="741"/>
        <v>15</v>
      </c>
      <c r="CG286" s="644">
        <f t="shared" si="742"/>
        <v>9</v>
      </c>
      <c r="CH286" s="644">
        <f t="shared" si="1015"/>
        <v>7</v>
      </c>
      <c r="CI286" s="644">
        <f t="shared" si="744"/>
        <v>0</v>
      </c>
      <c r="CJ286" s="644">
        <f t="shared" si="745"/>
        <v>0</v>
      </c>
      <c r="CK286" s="644">
        <f t="shared" si="746"/>
        <v>0</v>
      </c>
      <c r="CL286" s="644">
        <f t="shared" si="747"/>
        <v>0</v>
      </c>
      <c r="CM286" s="644">
        <f t="shared" si="748"/>
        <v>3</v>
      </c>
      <c r="CN286" s="644">
        <f t="shared" si="749"/>
        <v>3</v>
      </c>
      <c r="CO286" s="644">
        <f t="shared" si="750"/>
        <v>0</v>
      </c>
      <c r="CP286" s="644">
        <f t="shared" si="751"/>
        <v>0</v>
      </c>
      <c r="CQ286" s="644">
        <f t="shared" si="752"/>
        <v>0</v>
      </c>
      <c r="CR286" s="644">
        <f t="shared" si="753"/>
        <v>2</v>
      </c>
      <c r="CS286" s="644">
        <f t="shared" si="754"/>
        <v>0</v>
      </c>
      <c r="CT286" s="644">
        <f t="shared" si="755"/>
        <v>2</v>
      </c>
      <c r="CU286" s="644">
        <f t="shared" si="756"/>
        <v>0</v>
      </c>
      <c r="CV286" s="644">
        <f t="shared" si="757"/>
        <v>0</v>
      </c>
      <c r="CW286" s="644">
        <f t="shared" si="758"/>
        <v>0</v>
      </c>
      <c r="CX286" s="644">
        <f t="shared" si="759"/>
        <v>0</v>
      </c>
      <c r="CY286" s="644">
        <f t="shared" si="760"/>
        <v>0</v>
      </c>
      <c r="CZ286" s="624" t="s">
        <v>1296</v>
      </c>
    </row>
    <row r="287" spans="1:104">
      <c r="A287" s="279" t="s">
        <v>591</v>
      </c>
      <c r="B287" s="187"/>
      <c r="C287" s="187"/>
      <c r="D287" s="644"/>
      <c r="E287" s="644"/>
      <c r="F287" s="644"/>
      <c r="G287" s="644"/>
      <c r="H287" s="644"/>
      <c r="I287" s="644"/>
      <c r="J287" s="644"/>
      <c r="K287" s="644"/>
      <c r="L287" s="644"/>
      <c r="M287" s="644"/>
      <c r="N287" s="644"/>
      <c r="O287" s="644"/>
      <c r="P287" s="644"/>
      <c r="Q287" s="644"/>
      <c r="R287" s="644">
        <v>1</v>
      </c>
      <c r="S287" s="644">
        <v>1</v>
      </c>
      <c r="T287" s="644"/>
      <c r="U287" s="644">
        <v>1</v>
      </c>
      <c r="V287" s="644">
        <v>1</v>
      </c>
      <c r="W287" s="644"/>
      <c r="X287" s="644"/>
      <c r="Y287" s="644"/>
      <c r="Z287" s="644">
        <v>1</v>
      </c>
      <c r="AA287" s="644"/>
      <c r="AB287" s="644"/>
      <c r="AC287" s="644">
        <v>1</v>
      </c>
      <c r="AD287" s="644">
        <v>1</v>
      </c>
      <c r="AE287" s="644"/>
      <c r="AF287" s="644">
        <v>1</v>
      </c>
      <c r="AG287" s="644"/>
      <c r="AH287" s="644">
        <v>1</v>
      </c>
      <c r="AI287" s="644"/>
      <c r="AJ287" s="644">
        <v>1</v>
      </c>
      <c r="AK287" s="644"/>
      <c r="AL287" s="167">
        <v>10</v>
      </c>
      <c r="AM287" s="185" t="str">
        <f>HYPERLINK("http://on.fb.me/1ySggql", "Via Email +Facebook")</f>
        <v>Via Email +Facebook</v>
      </c>
      <c r="AN287" s="186">
        <v>42014</v>
      </c>
      <c r="AO287" s="187"/>
      <c r="AP287" s="187">
        <f t="shared" si="703"/>
        <v>0</v>
      </c>
      <c r="AQ287" s="187">
        <f t="shared" si="704"/>
        <v>0</v>
      </c>
      <c r="AR287" s="187">
        <f t="shared" si="705"/>
        <v>13</v>
      </c>
      <c r="AS287" s="187">
        <f t="shared" si="706"/>
        <v>13</v>
      </c>
      <c r="AT287" s="187">
        <f t="shared" si="707"/>
        <v>0</v>
      </c>
      <c r="AU287" s="187">
        <f t="shared" si="708"/>
        <v>0</v>
      </c>
      <c r="AV287" s="187">
        <f t="shared" si="709"/>
        <v>9</v>
      </c>
      <c r="AW287" s="187">
        <f t="shared" si="710"/>
        <v>7</v>
      </c>
      <c r="AX287" s="187">
        <f t="shared" si="711"/>
        <v>7</v>
      </c>
      <c r="AY287" s="187">
        <f t="shared" si="712"/>
        <v>7</v>
      </c>
      <c r="AZ287" s="187">
        <f t="shared" si="713"/>
        <v>7</v>
      </c>
      <c r="BA287" s="187">
        <f t="shared" si="714"/>
        <v>0</v>
      </c>
      <c r="BB287" s="187">
        <f t="shared" si="715"/>
        <v>0</v>
      </c>
      <c r="BC287" s="187">
        <f t="shared" si="716"/>
        <v>0</v>
      </c>
      <c r="BD287" s="187">
        <f t="shared" si="717"/>
        <v>0</v>
      </c>
      <c r="BE287" s="187">
        <f t="shared" si="718"/>
        <v>3</v>
      </c>
      <c r="BF287" s="187">
        <f t="shared" si="719"/>
        <v>0</v>
      </c>
      <c r="BG287" s="187">
        <f t="shared" si="720"/>
        <v>0</v>
      </c>
      <c r="BH287" s="187">
        <f t="shared" si="721"/>
        <v>2</v>
      </c>
      <c r="BI287" s="187">
        <f t="shared" si="722"/>
        <v>1</v>
      </c>
      <c r="BJ287" s="187">
        <f t="shared" si="723"/>
        <v>0</v>
      </c>
      <c r="BK287" s="187">
        <f t="shared" si="724"/>
        <v>0</v>
      </c>
      <c r="BL287" s="187">
        <f t="shared" si="725"/>
        <v>0</v>
      </c>
      <c r="BM287" s="187">
        <f t="shared" si="726"/>
        <v>0</v>
      </c>
      <c r="BN287" s="188">
        <f t="shared" si="727"/>
        <v>0</v>
      </c>
      <c r="BO287" s="187">
        <f t="shared" si="728"/>
        <v>0</v>
      </c>
      <c r="BP287" s="187">
        <f t="shared" ref="BP287:BQ287" si="1019">IF(G287=1,1,0)</f>
        <v>0</v>
      </c>
      <c r="BQ287" s="187">
        <f t="shared" si="1019"/>
        <v>0</v>
      </c>
      <c r="BR287" s="187">
        <f t="shared" ref="BR287:BT287" si="1020">IF(K287=1,1,0)</f>
        <v>0</v>
      </c>
      <c r="BS287" s="187">
        <f t="shared" si="1020"/>
        <v>0</v>
      </c>
      <c r="BT287" s="187">
        <f t="shared" si="1020"/>
        <v>0</v>
      </c>
      <c r="BU287" s="187">
        <f t="shared" ref="BU287:BV287" si="1021">IF(P287=1,1,0)</f>
        <v>0</v>
      </c>
      <c r="BV287" s="187">
        <f t="shared" si="1021"/>
        <v>0</v>
      </c>
      <c r="BW287" s="187">
        <f t="shared" si="732"/>
        <v>0</v>
      </c>
      <c r="BX287" s="187">
        <f t="shared" si="733"/>
        <v>0</v>
      </c>
      <c r="BY287" s="187">
        <f t="shared" si="734"/>
        <v>0</v>
      </c>
      <c r="BZ287" s="187">
        <f t="shared" si="735"/>
        <v>0</v>
      </c>
      <c r="CA287" s="167">
        <f t="shared" si="736"/>
        <v>69</v>
      </c>
      <c r="CB287" s="167">
        <f t="shared" si="737"/>
        <v>82</v>
      </c>
      <c r="CC287" s="644">
        <f t="shared" si="738"/>
        <v>23</v>
      </c>
      <c r="CD287" s="644">
        <f t="shared" si="739"/>
        <v>19</v>
      </c>
      <c r="CE287" s="644">
        <f t="shared" si="740"/>
        <v>15</v>
      </c>
      <c r="CF287" s="644">
        <f t="shared" si="741"/>
        <v>0</v>
      </c>
      <c r="CG287" s="644">
        <f t="shared" si="742"/>
        <v>0</v>
      </c>
      <c r="CH287" s="644">
        <f>IF(D259=1,7,0)</f>
        <v>7</v>
      </c>
      <c r="CI287" s="644">
        <f t="shared" si="744"/>
        <v>7</v>
      </c>
      <c r="CJ287" s="644">
        <f t="shared" si="745"/>
        <v>5</v>
      </c>
      <c r="CK287" s="644">
        <f t="shared" si="746"/>
        <v>0</v>
      </c>
      <c r="CL287" s="644">
        <f t="shared" si="747"/>
        <v>0</v>
      </c>
      <c r="CM287" s="644">
        <f t="shared" si="748"/>
        <v>0</v>
      </c>
      <c r="CN287" s="644">
        <f t="shared" si="749"/>
        <v>0</v>
      </c>
      <c r="CO287" s="644">
        <f t="shared" si="750"/>
        <v>3</v>
      </c>
      <c r="CP287" s="644">
        <f t="shared" si="751"/>
        <v>3</v>
      </c>
      <c r="CQ287" s="644">
        <f t="shared" si="752"/>
        <v>2</v>
      </c>
      <c r="CR287" s="644">
        <f t="shared" si="753"/>
        <v>0</v>
      </c>
      <c r="CS287" s="644">
        <f t="shared" si="754"/>
        <v>0</v>
      </c>
      <c r="CT287" s="644">
        <f t="shared" si="755"/>
        <v>2</v>
      </c>
      <c r="CU287" s="644">
        <f t="shared" si="756"/>
        <v>0</v>
      </c>
      <c r="CV287" s="644">
        <f t="shared" si="757"/>
        <v>1</v>
      </c>
      <c r="CW287" s="644">
        <f t="shared" si="758"/>
        <v>0</v>
      </c>
      <c r="CX287" s="644">
        <f t="shared" si="759"/>
        <v>0</v>
      </c>
      <c r="CY287" s="644">
        <f t="shared" si="760"/>
        <v>0</v>
      </c>
      <c r="CZ287" s="624" t="s">
        <v>805</v>
      </c>
    </row>
    <row r="288" spans="1:104">
      <c r="A288" s="253" t="s">
        <v>1325</v>
      </c>
      <c r="B288" s="641"/>
      <c r="C288" s="641"/>
      <c r="D288" s="155"/>
      <c r="E288" s="644">
        <v>1</v>
      </c>
      <c r="F288" s="644">
        <v>1</v>
      </c>
      <c r="G288" s="644"/>
      <c r="H288" s="644"/>
      <c r="I288" s="644">
        <v>1</v>
      </c>
      <c r="J288" s="644"/>
      <c r="K288" s="644"/>
      <c r="L288" s="644"/>
      <c r="M288" s="644"/>
      <c r="N288" s="644">
        <v>1</v>
      </c>
      <c r="O288" s="644"/>
      <c r="P288" s="644"/>
      <c r="Q288" s="644"/>
      <c r="R288" s="644">
        <v>1</v>
      </c>
      <c r="S288" s="644"/>
      <c r="T288" s="644"/>
      <c r="U288" s="644">
        <v>1</v>
      </c>
      <c r="V288" s="644"/>
      <c r="W288" s="644"/>
      <c r="X288" s="644"/>
      <c r="Y288" s="644"/>
      <c r="Z288" s="644"/>
      <c r="AA288" s="644"/>
      <c r="AB288" s="644">
        <v>1</v>
      </c>
      <c r="AC288" s="644">
        <v>1</v>
      </c>
      <c r="AD288" s="644"/>
      <c r="AE288" s="644"/>
      <c r="AF288" s="644"/>
      <c r="AG288" s="644">
        <v>1</v>
      </c>
      <c r="AH288" s="644">
        <v>1</v>
      </c>
      <c r="AI288" s="644"/>
      <c r="AJ288" s="644"/>
      <c r="AK288" s="644"/>
      <c r="AL288" s="167">
        <v>10</v>
      </c>
      <c r="AM288" s="191" t="str">
        <f>HYPERLINK("http://bbwaa.com/15-hof-ballots/", "BBWAA.com")</f>
        <v>BBWAA.com</v>
      </c>
      <c r="AN288" s="192">
        <v>42014</v>
      </c>
      <c r="AO288" s="187"/>
      <c r="AP288" s="187">
        <f t="shared" si="703"/>
        <v>13</v>
      </c>
      <c r="AQ288" s="187">
        <f t="shared" si="704"/>
        <v>13</v>
      </c>
      <c r="AR288" s="187">
        <f t="shared" si="705"/>
        <v>13</v>
      </c>
      <c r="AS288" s="187">
        <f t="shared" si="706"/>
        <v>13</v>
      </c>
      <c r="AT288" s="187">
        <f t="shared" si="707"/>
        <v>9</v>
      </c>
      <c r="AU288" s="187">
        <f t="shared" si="708"/>
        <v>0</v>
      </c>
      <c r="AV288" s="187">
        <f t="shared" si="709"/>
        <v>9</v>
      </c>
      <c r="AW288" s="187">
        <f t="shared" si="710"/>
        <v>0</v>
      </c>
      <c r="AX288" s="187">
        <f t="shared" si="711"/>
        <v>0</v>
      </c>
      <c r="AY288" s="187">
        <f t="shared" si="712"/>
        <v>0</v>
      </c>
      <c r="AZ288" s="187">
        <f t="shared" si="713"/>
        <v>7</v>
      </c>
      <c r="BA288" s="187">
        <f t="shared" si="714"/>
        <v>7</v>
      </c>
      <c r="BB288" s="187">
        <f t="shared" si="715"/>
        <v>0</v>
      </c>
      <c r="BC288" s="187">
        <f t="shared" si="716"/>
        <v>0</v>
      </c>
      <c r="BD288" s="187">
        <f t="shared" si="717"/>
        <v>0</v>
      </c>
      <c r="BE288" s="187">
        <f t="shared" si="718"/>
        <v>0</v>
      </c>
      <c r="BF288" s="187">
        <f t="shared" si="719"/>
        <v>0</v>
      </c>
      <c r="BG288" s="187">
        <f t="shared" si="720"/>
        <v>0</v>
      </c>
      <c r="BH288" s="187">
        <f t="shared" si="721"/>
        <v>0</v>
      </c>
      <c r="BI288" s="187">
        <f t="shared" si="722"/>
        <v>0</v>
      </c>
      <c r="BJ288" s="187">
        <f t="shared" si="723"/>
        <v>1</v>
      </c>
      <c r="BK288" s="187">
        <f t="shared" si="724"/>
        <v>0</v>
      </c>
      <c r="BL288" s="187">
        <f t="shared" si="725"/>
        <v>0</v>
      </c>
      <c r="BM288" s="187">
        <f t="shared" si="726"/>
        <v>1</v>
      </c>
      <c r="BN288" s="188">
        <f t="shared" si="727"/>
        <v>0</v>
      </c>
      <c r="BO288" s="187">
        <f t="shared" si="728"/>
        <v>0</v>
      </c>
      <c r="BP288" s="187">
        <f t="shared" ref="BP288:BQ288" si="1022">IF(G288=1,1,0)</f>
        <v>0</v>
      </c>
      <c r="BQ288" s="187">
        <f t="shared" si="1022"/>
        <v>0</v>
      </c>
      <c r="BR288" s="187">
        <f t="shared" ref="BR288:BT288" si="1023">IF(K288=1,1,0)</f>
        <v>0</v>
      </c>
      <c r="BS288" s="187">
        <f t="shared" si="1023"/>
        <v>0</v>
      </c>
      <c r="BT288" s="187">
        <f t="shared" si="1023"/>
        <v>0</v>
      </c>
      <c r="BU288" s="187">
        <f t="shared" ref="BU288:BV288" si="1024">IF(P288=1,1,0)</f>
        <v>0</v>
      </c>
      <c r="BV288" s="187">
        <f t="shared" si="1024"/>
        <v>0</v>
      </c>
      <c r="BW288" s="187">
        <f t="shared" si="732"/>
        <v>0</v>
      </c>
      <c r="BX288" s="187">
        <f t="shared" si="733"/>
        <v>0</v>
      </c>
      <c r="BY288" s="187">
        <f t="shared" si="734"/>
        <v>0</v>
      </c>
      <c r="BZ288" s="187">
        <f t="shared" si="735"/>
        <v>0</v>
      </c>
      <c r="CA288" s="167">
        <f t="shared" si="736"/>
        <v>86</v>
      </c>
      <c r="CB288" s="167">
        <f t="shared" si="737"/>
        <v>98</v>
      </c>
      <c r="CC288" s="644">
        <f t="shared" si="738"/>
        <v>23</v>
      </c>
      <c r="CD288" s="644">
        <f t="shared" si="739"/>
        <v>19</v>
      </c>
      <c r="CE288" s="644">
        <f t="shared" si="740"/>
        <v>15</v>
      </c>
      <c r="CF288" s="644">
        <f t="shared" si="741"/>
        <v>15</v>
      </c>
      <c r="CG288" s="644">
        <f t="shared" si="742"/>
        <v>9</v>
      </c>
      <c r="CH288" s="644">
        <f t="shared" ref="CH288:CH290" si="1025">IF(D258=1,7,0)</f>
        <v>0</v>
      </c>
      <c r="CI288" s="644">
        <f t="shared" si="744"/>
        <v>7</v>
      </c>
      <c r="CJ288" s="644">
        <f t="shared" si="745"/>
        <v>0</v>
      </c>
      <c r="CK288" s="644">
        <f t="shared" si="746"/>
        <v>5</v>
      </c>
      <c r="CL288" s="644">
        <f t="shared" si="747"/>
        <v>5</v>
      </c>
      <c r="CM288" s="644">
        <f t="shared" si="748"/>
        <v>3</v>
      </c>
      <c r="CN288" s="644">
        <f t="shared" si="749"/>
        <v>0</v>
      </c>
      <c r="CO288" s="644">
        <f t="shared" si="750"/>
        <v>0</v>
      </c>
      <c r="CP288" s="644">
        <f t="shared" si="751"/>
        <v>0</v>
      </c>
      <c r="CQ288" s="644">
        <f t="shared" si="752"/>
        <v>0</v>
      </c>
      <c r="CR288" s="644">
        <f t="shared" si="753"/>
        <v>0</v>
      </c>
      <c r="CS288" s="644">
        <f t="shared" si="754"/>
        <v>0</v>
      </c>
      <c r="CT288" s="644">
        <f t="shared" si="755"/>
        <v>0</v>
      </c>
      <c r="CU288" s="644">
        <f t="shared" si="756"/>
        <v>0</v>
      </c>
      <c r="CV288" s="644">
        <f t="shared" si="757"/>
        <v>0</v>
      </c>
      <c r="CW288" s="644">
        <f t="shared" si="758"/>
        <v>0</v>
      </c>
      <c r="CX288" s="644">
        <f t="shared" si="759"/>
        <v>1</v>
      </c>
      <c r="CY288" s="644">
        <f t="shared" si="760"/>
        <v>0</v>
      </c>
      <c r="CZ288" s="624" t="s">
        <v>743</v>
      </c>
    </row>
    <row r="289" spans="1:104">
      <c r="A289" s="253" t="s">
        <v>252</v>
      </c>
      <c r="B289" s="641"/>
      <c r="C289" s="641"/>
      <c r="D289" s="155"/>
      <c r="E289" s="258">
        <v>1</v>
      </c>
      <c r="F289" s="644"/>
      <c r="G289" s="644"/>
      <c r="H289" s="644"/>
      <c r="I289" s="644"/>
      <c r="J289" s="644"/>
      <c r="K289" s="644"/>
      <c r="L289" s="644"/>
      <c r="M289" s="644"/>
      <c r="N289" s="644"/>
      <c r="O289" s="644"/>
      <c r="P289" s="644"/>
      <c r="Q289" s="644"/>
      <c r="R289" s="644">
        <v>1</v>
      </c>
      <c r="S289" s="644"/>
      <c r="T289" s="644"/>
      <c r="U289" s="644">
        <v>1</v>
      </c>
      <c r="V289" s="644"/>
      <c r="W289" s="644"/>
      <c r="X289" s="644"/>
      <c r="Y289" s="644"/>
      <c r="Z289" s="644"/>
      <c r="AA289" s="644"/>
      <c r="AB289" s="644"/>
      <c r="AC289" s="644">
        <v>1</v>
      </c>
      <c r="AD289" s="644"/>
      <c r="AE289" s="644"/>
      <c r="AF289" s="644"/>
      <c r="AG289" s="644">
        <v>1</v>
      </c>
      <c r="AH289" s="644">
        <v>1</v>
      </c>
      <c r="AI289" s="644"/>
      <c r="AJ289" s="644"/>
      <c r="AK289" s="644"/>
      <c r="AL289" s="167">
        <v>6</v>
      </c>
      <c r="AM289" s="191" t="s">
        <v>1321</v>
      </c>
      <c r="AN289" s="192">
        <v>42010</v>
      </c>
      <c r="AO289" s="187"/>
      <c r="AP289" s="187">
        <f t="shared" si="703"/>
        <v>0</v>
      </c>
      <c r="AQ289" s="187">
        <f t="shared" si="704"/>
        <v>0</v>
      </c>
      <c r="AR289" s="187">
        <f t="shared" si="705"/>
        <v>13</v>
      </c>
      <c r="AS289" s="187">
        <f t="shared" si="706"/>
        <v>13</v>
      </c>
      <c r="AT289" s="187">
        <f t="shared" si="707"/>
        <v>0</v>
      </c>
      <c r="AU289" s="187">
        <f t="shared" si="708"/>
        <v>0</v>
      </c>
      <c r="AV289" s="187">
        <f t="shared" si="709"/>
        <v>9</v>
      </c>
      <c r="AW289" s="187">
        <f t="shared" si="710"/>
        <v>0</v>
      </c>
      <c r="AX289" s="187">
        <f t="shared" si="711"/>
        <v>0</v>
      </c>
      <c r="AY289" s="187">
        <f t="shared" si="712"/>
        <v>0</v>
      </c>
      <c r="AZ289" s="187">
        <f t="shared" si="713"/>
        <v>7</v>
      </c>
      <c r="BA289" s="187">
        <f t="shared" si="714"/>
        <v>7</v>
      </c>
      <c r="BB289" s="187">
        <f t="shared" si="715"/>
        <v>0</v>
      </c>
      <c r="BC289" s="187">
        <f t="shared" si="716"/>
        <v>0</v>
      </c>
      <c r="BD289" s="187">
        <f t="shared" si="717"/>
        <v>0</v>
      </c>
      <c r="BE289" s="187">
        <f t="shared" si="718"/>
        <v>0</v>
      </c>
      <c r="BF289" s="187">
        <f t="shared" si="719"/>
        <v>0</v>
      </c>
      <c r="BG289" s="187">
        <f t="shared" si="720"/>
        <v>0</v>
      </c>
      <c r="BH289" s="187">
        <f t="shared" si="721"/>
        <v>0</v>
      </c>
      <c r="BI289" s="187">
        <f t="shared" si="722"/>
        <v>0</v>
      </c>
      <c r="BJ289" s="187">
        <f t="shared" si="723"/>
        <v>1</v>
      </c>
      <c r="BK289" s="187">
        <f t="shared" si="724"/>
        <v>0</v>
      </c>
      <c r="BL289" s="187">
        <f t="shared" si="725"/>
        <v>0</v>
      </c>
      <c r="BM289" s="187">
        <f t="shared" si="726"/>
        <v>0</v>
      </c>
      <c r="BN289" s="188">
        <f t="shared" si="727"/>
        <v>4</v>
      </c>
      <c r="BO289" s="187">
        <f t="shared" si="728"/>
        <v>0</v>
      </c>
      <c r="BP289" s="187">
        <f t="shared" ref="BP289:BQ289" si="1026">IF(G289=1,1,0)</f>
        <v>0</v>
      </c>
      <c r="BQ289" s="187">
        <f t="shared" si="1026"/>
        <v>0</v>
      </c>
      <c r="BR289" s="187">
        <f t="shared" ref="BR289:BT289" si="1027">IF(K289=1,1,0)</f>
        <v>0</v>
      </c>
      <c r="BS289" s="187">
        <f t="shared" si="1027"/>
        <v>0</v>
      </c>
      <c r="BT289" s="187">
        <f t="shared" si="1027"/>
        <v>0</v>
      </c>
      <c r="BU289" s="187">
        <f t="shared" ref="BU289:BV289" si="1028">IF(P289=1,1,0)</f>
        <v>0</v>
      </c>
      <c r="BV289" s="187">
        <f t="shared" si="1028"/>
        <v>0</v>
      </c>
      <c r="BW289" s="187">
        <f t="shared" si="732"/>
        <v>0</v>
      </c>
      <c r="BX289" s="187">
        <f t="shared" si="733"/>
        <v>0</v>
      </c>
      <c r="BY289" s="187">
        <f t="shared" si="734"/>
        <v>4</v>
      </c>
      <c r="BZ289" s="187">
        <f t="shared" si="735"/>
        <v>-16</v>
      </c>
      <c r="CA289" s="167">
        <f t="shared" si="736"/>
        <v>34</v>
      </c>
      <c r="CB289" s="167">
        <f t="shared" si="737"/>
        <v>89</v>
      </c>
      <c r="CC289" s="644">
        <f t="shared" si="738"/>
        <v>23</v>
      </c>
      <c r="CD289" s="644">
        <f t="shared" si="739"/>
        <v>19</v>
      </c>
      <c r="CE289" s="644">
        <f t="shared" si="740"/>
        <v>15</v>
      </c>
      <c r="CF289" s="644">
        <f t="shared" si="741"/>
        <v>15</v>
      </c>
      <c r="CG289" s="644">
        <f t="shared" si="742"/>
        <v>0</v>
      </c>
      <c r="CH289" s="644">
        <f t="shared" si="1025"/>
        <v>7</v>
      </c>
      <c r="CI289" s="644">
        <f t="shared" si="744"/>
        <v>7</v>
      </c>
      <c r="CJ289" s="644">
        <f t="shared" si="745"/>
        <v>0</v>
      </c>
      <c r="CK289" s="644">
        <f t="shared" si="746"/>
        <v>0</v>
      </c>
      <c r="CL289" s="644">
        <f t="shared" si="747"/>
        <v>0</v>
      </c>
      <c r="CM289" s="644">
        <f t="shared" si="748"/>
        <v>3</v>
      </c>
      <c r="CN289" s="644">
        <f t="shared" si="749"/>
        <v>0</v>
      </c>
      <c r="CO289" s="644">
        <f t="shared" si="750"/>
        <v>0</v>
      </c>
      <c r="CP289" s="644">
        <f t="shared" si="751"/>
        <v>0</v>
      </c>
      <c r="CQ289" s="644">
        <f t="shared" si="752"/>
        <v>0</v>
      </c>
      <c r="CR289" s="644">
        <f t="shared" si="753"/>
        <v>0</v>
      </c>
      <c r="CS289" s="644">
        <f t="shared" si="754"/>
        <v>0</v>
      </c>
      <c r="CT289" s="644">
        <f t="shared" si="755"/>
        <v>0</v>
      </c>
      <c r="CU289" s="644">
        <f t="shared" si="756"/>
        <v>0</v>
      </c>
      <c r="CV289" s="644">
        <f t="shared" si="757"/>
        <v>0</v>
      </c>
      <c r="CW289" s="644">
        <f t="shared" si="758"/>
        <v>0</v>
      </c>
      <c r="CX289" s="644">
        <f t="shared" si="759"/>
        <v>0</v>
      </c>
      <c r="CY289" s="644">
        <f t="shared" si="760"/>
        <v>0</v>
      </c>
      <c r="CZ289" s="624" t="s">
        <v>752</v>
      </c>
    </row>
    <row r="290" spans="1:104">
      <c r="A290" s="253" t="s">
        <v>1326</v>
      </c>
      <c r="B290" s="641"/>
      <c r="C290" s="641"/>
      <c r="D290" s="155"/>
      <c r="E290" s="644">
        <v>1</v>
      </c>
      <c r="F290" s="644">
        <v>1</v>
      </c>
      <c r="G290" s="644"/>
      <c r="H290" s="644"/>
      <c r="I290" s="644">
        <v>1</v>
      </c>
      <c r="J290" s="644"/>
      <c r="K290" s="644"/>
      <c r="L290" s="644"/>
      <c r="M290" s="644"/>
      <c r="N290" s="644"/>
      <c r="O290" s="644"/>
      <c r="P290" s="644"/>
      <c r="Q290" s="644"/>
      <c r="R290" s="644">
        <v>1</v>
      </c>
      <c r="S290" s="644"/>
      <c r="T290" s="644"/>
      <c r="U290" s="644">
        <v>1</v>
      </c>
      <c r="V290" s="644"/>
      <c r="W290" s="644"/>
      <c r="X290" s="644"/>
      <c r="Y290" s="644"/>
      <c r="Z290" s="644"/>
      <c r="AA290" s="644"/>
      <c r="AB290" s="644">
        <v>1</v>
      </c>
      <c r="AC290" s="644"/>
      <c r="AD290" s="644"/>
      <c r="AE290" s="644"/>
      <c r="AF290" s="644"/>
      <c r="AG290" s="644"/>
      <c r="AH290" s="644">
        <v>1</v>
      </c>
      <c r="AI290" s="644"/>
      <c r="AJ290" s="644"/>
      <c r="AK290" s="644"/>
      <c r="AL290" s="167">
        <v>7</v>
      </c>
      <c r="AM290" s="191" t="str">
        <f>HYPERLINK("http://bbwaa.com/15-hof-ballots/", "BBWAA.com")</f>
        <v>BBWAA.com</v>
      </c>
      <c r="AN290" s="192">
        <v>42015</v>
      </c>
      <c r="AO290" s="187"/>
      <c r="AP290" s="187">
        <f t="shared" si="703"/>
        <v>13</v>
      </c>
      <c r="AQ290" s="187">
        <f t="shared" si="704"/>
        <v>13</v>
      </c>
      <c r="AR290" s="187">
        <f t="shared" si="705"/>
        <v>13</v>
      </c>
      <c r="AS290" s="187">
        <f t="shared" si="706"/>
        <v>13</v>
      </c>
      <c r="AT290" s="187">
        <f t="shared" si="707"/>
        <v>9</v>
      </c>
      <c r="AU290" s="187">
        <f t="shared" si="708"/>
        <v>0</v>
      </c>
      <c r="AV290" s="187">
        <f t="shared" si="709"/>
        <v>0</v>
      </c>
      <c r="AW290" s="187">
        <f t="shared" si="710"/>
        <v>0</v>
      </c>
      <c r="AX290" s="187">
        <f t="shared" si="711"/>
        <v>0</v>
      </c>
      <c r="AY290" s="187">
        <f t="shared" si="712"/>
        <v>0</v>
      </c>
      <c r="AZ290" s="187">
        <f t="shared" si="713"/>
        <v>7</v>
      </c>
      <c r="BA290" s="187">
        <f t="shared" si="714"/>
        <v>7</v>
      </c>
      <c r="BB290" s="187">
        <f t="shared" si="715"/>
        <v>0</v>
      </c>
      <c r="BC290" s="187">
        <f t="shared" si="716"/>
        <v>0</v>
      </c>
      <c r="BD290" s="187">
        <f t="shared" si="717"/>
        <v>0</v>
      </c>
      <c r="BE290" s="187">
        <f t="shared" si="718"/>
        <v>0</v>
      </c>
      <c r="BF290" s="187">
        <f t="shared" si="719"/>
        <v>0</v>
      </c>
      <c r="BG290" s="187">
        <f t="shared" si="720"/>
        <v>0</v>
      </c>
      <c r="BH290" s="187">
        <f t="shared" si="721"/>
        <v>0</v>
      </c>
      <c r="BI290" s="187">
        <f t="shared" si="722"/>
        <v>0</v>
      </c>
      <c r="BJ290" s="187">
        <f t="shared" si="723"/>
        <v>0</v>
      </c>
      <c r="BK290" s="187">
        <f t="shared" si="724"/>
        <v>0</v>
      </c>
      <c r="BL290" s="187">
        <f t="shared" si="725"/>
        <v>0</v>
      </c>
      <c r="BM290" s="187">
        <f t="shared" si="726"/>
        <v>0</v>
      </c>
      <c r="BN290" s="188">
        <f t="shared" si="727"/>
        <v>3</v>
      </c>
      <c r="BO290" s="187">
        <f t="shared" si="728"/>
        <v>0</v>
      </c>
      <c r="BP290" s="187">
        <f t="shared" ref="BP290:BQ290" si="1029">IF(G290=1,1,0)</f>
        <v>0</v>
      </c>
      <c r="BQ290" s="187">
        <f t="shared" si="1029"/>
        <v>0</v>
      </c>
      <c r="BR290" s="187">
        <f t="shared" ref="BR290:BT290" si="1030">IF(K290=1,1,0)</f>
        <v>0</v>
      </c>
      <c r="BS290" s="187">
        <f t="shared" si="1030"/>
        <v>0</v>
      </c>
      <c r="BT290" s="187">
        <f t="shared" si="1030"/>
        <v>0</v>
      </c>
      <c r="BU290" s="187">
        <f t="shared" ref="BU290:BV290" si="1031">IF(P290=1,1,0)</f>
        <v>0</v>
      </c>
      <c r="BV290" s="187">
        <f t="shared" si="1031"/>
        <v>0</v>
      </c>
      <c r="BW290" s="187">
        <f t="shared" si="732"/>
        <v>0</v>
      </c>
      <c r="BX290" s="187">
        <f t="shared" si="733"/>
        <v>0</v>
      </c>
      <c r="BY290" s="187">
        <f t="shared" si="734"/>
        <v>3</v>
      </c>
      <c r="BZ290" s="187">
        <f t="shared" si="735"/>
        <v>-9</v>
      </c>
      <c r="CA290" s="167">
        <f t="shared" si="736"/>
        <v>66</v>
      </c>
      <c r="CB290" s="167">
        <f t="shared" si="737"/>
        <v>98</v>
      </c>
      <c r="CC290" s="644">
        <f t="shared" si="738"/>
        <v>23</v>
      </c>
      <c r="CD290" s="644">
        <f t="shared" si="739"/>
        <v>19</v>
      </c>
      <c r="CE290" s="644">
        <f t="shared" si="740"/>
        <v>15</v>
      </c>
      <c r="CF290" s="644">
        <f t="shared" si="741"/>
        <v>15</v>
      </c>
      <c r="CG290" s="644">
        <f t="shared" si="742"/>
        <v>9</v>
      </c>
      <c r="CH290" s="644">
        <f t="shared" si="1025"/>
        <v>7</v>
      </c>
      <c r="CI290" s="644">
        <f t="shared" si="744"/>
        <v>0</v>
      </c>
      <c r="CJ290" s="644">
        <f t="shared" si="745"/>
        <v>0</v>
      </c>
      <c r="CK290" s="644">
        <f t="shared" si="746"/>
        <v>5</v>
      </c>
      <c r="CL290" s="644">
        <f t="shared" si="747"/>
        <v>5</v>
      </c>
      <c r="CM290" s="644">
        <f t="shared" si="748"/>
        <v>0</v>
      </c>
      <c r="CN290" s="644">
        <f t="shared" si="749"/>
        <v>0</v>
      </c>
      <c r="CO290" s="644">
        <f t="shared" si="750"/>
        <v>0</v>
      </c>
      <c r="CP290" s="644">
        <f t="shared" si="751"/>
        <v>0</v>
      </c>
      <c r="CQ290" s="644">
        <f t="shared" si="752"/>
        <v>0</v>
      </c>
      <c r="CR290" s="644">
        <f t="shared" si="753"/>
        <v>0</v>
      </c>
      <c r="CS290" s="644">
        <f t="shared" si="754"/>
        <v>0</v>
      </c>
      <c r="CT290" s="644">
        <f t="shared" si="755"/>
        <v>0</v>
      </c>
      <c r="CU290" s="644">
        <f t="shared" si="756"/>
        <v>0</v>
      </c>
      <c r="CV290" s="644">
        <f t="shared" si="757"/>
        <v>0</v>
      </c>
      <c r="CW290" s="644">
        <f t="shared" si="758"/>
        <v>0</v>
      </c>
      <c r="CX290" s="644">
        <f t="shared" si="759"/>
        <v>0</v>
      </c>
      <c r="CY290" s="644">
        <f t="shared" si="760"/>
        <v>0</v>
      </c>
      <c r="CZ290" s="624" t="s">
        <v>743</v>
      </c>
    </row>
    <row r="291" spans="1:104">
      <c r="A291" s="253" t="s">
        <v>1327</v>
      </c>
      <c r="B291" s="641"/>
      <c r="C291" s="641"/>
      <c r="D291" s="155"/>
      <c r="E291" s="644">
        <v>1</v>
      </c>
      <c r="F291" s="644"/>
      <c r="G291" s="644"/>
      <c r="H291" s="644"/>
      <c r="I291" s="644"/>
      <c r="J291" s="644"/>
      <c r="K291" s="644"/>
      <c r="L291" s="644"/>
      <c r="M291" s="644"/>
      <c r="N291" s="644"/>
      <c r="O291" s="644"/>
      <c r="P291" s="644"/>
      <c r="Q291" s="644"/>
      <c r="R291" s="644">
        <v>1</v>
      </c>
      <c r="S291" s="644"/>
      <c r="T291" s="644"/>
      <c r="U291" s="644">
        <v>1</v>
      </c>
      <c r="V291" s="644">
        <v>1</v>
      </c>
      <c r="W291" s="644">
        <v>1</v>
      </c>
      <c r="X291" s="644"/>
      <c r="Y291" s="644"/>
      <c r="Z291" s="644"/>
      <c r="AA291" s="644"/>
      <c r="AB291" s="644"/>
      <c r="AC291" s="644">
        <v>1</v>
      </c>
      <c r="AD291" s="644">
        <v>1</v>
      </c>
      <c r="AE291" s="644"/>
      <c r="AF291" s="644"/>
      <c r="AG291" s="644">
        <v>1</v>
      </c>
      <c r="AH291" s="644">
        <v>1</v>
      </c>
      <c r="AI291" s="644"/>
      <c r="AJ291" s="644">
        <v>1</v>
      </c>
      <c r="AK291" s="644"/>
      <c r="AL291" s="167">
        <v>10</v>
      </c>
      <c r="AM291" s="641" t="s">
        <v>1137</v>
      </c>
      <c r="AN291" s="192">
        <v>42014</v>
      </c>
      <c r="AO291" s="187"/>
      <c r="AP291" s="187">
        <f t="shared" si="703"/>
        <v>0</v>
      </c>
      <c r="AQ291" s="187">
        <f t="shared" si="704"/>
        <v>0</v>
      </c>
      <c r="AR291" s="187">
        <f t="shared" si="705"/>
        <v>13</v>
      </c>
      <c r="AS291" s="187">
        <f t="shared" si="706"/>
        <v>13</v>
      </c>
      <c r="AT291" s="187">
        <f t="shared" si="707"/>
        <v>0</v>
      </c>
      <c r="AU291" s="187">
        <f t="shared" si="708"/>
        <v>0</v>
      </c>
      <c r="AV291" s="187">
        <f t="shared" si="709"/>
        <v>9</v>
      </c>
      <c r="AW291" s="187">
        <f t="shared" si="710"/>
        <v>7</v>
      </c>
      <c r="AX291" s="187">
        <f t="shared" si="711"/>
        <v>7</v>
      </c>
      <c r="AY291" s="187">
        <f t="shared" si="712"/>
        <v>0</v>
      </c>
      <c r="AZ291" s="187">
        <f t="shared" si="713"/>
        <v>7</v>
      </c>
      <c r="BA291" s="187">
        <f t="shared" si="714"/>
        <v>7</v>
      </c>
      <c r="BB291" s="187">
        <f t="shared" si="715"/>
        <v>0</v>
      </c>
      <c r="BC291" s="187">
        <f t="shared" si="716"/>
        <v>0</v>
      </c>
      <c r="BD291" s="187">
        <f t="shared" si="717"/>
        <v>0</v>
      </c>
      <c r="BE291" s="187">
        <f t="shared" si="718"/>
        <v>0</v>
      </c>
      <c r="BF291" s="187">
        <f t="shared" si="719"/>
        <v>3</v>
      </c>
      <c r="BG291" s="187">
        <f t="shared" si="720"/>
        <v>0</v>
      </c>
      <c r="BH291" s="187">
        <f t="shared" si="721"/>
        <v>0</v>
      </c>
      <c r="BI291" s="187">
        <f t="shared" si="722"/>
        <v>1</v>
      </c>
      <c r="BJ291" s="187">
        <f t="shared" si="723"/>
        <v>1</v>
      </c>
      <c r="BK291" s="187">
        <f t="shared" si="724"/>
        <v>0</v>
      </c>
      <c r="BL291" s="187">
        <f t="shared" si="725"/>
        <v>0</v>
      </c>
      <c r="BM291" s="187">
        <f t="shared" si="726"/>
        <v>0</v>
      </c>
      <c r="BN291" s="188">
        <f t="shared" si="727"/>
        <v>0</v>
      </c>
      <c r="BO291" s="187">
        <f t="shared" si="728"/>
        <v>0</v>
      </c>
      <c r="BP291" s="187">
        <f t="shared" ref="BP291:BQ291" si="1032">IF(G291=1,1,0)</f>
        <v>0</v>
      </c>
      <c r="BQ291" s="187">
        <f t="shared" si="1032"/>
        <v>0</v>
      </c>
      <c r="BR291" s="187">
        <f t="shared" ref="BR291:BT291" si="1033">IF(K291=1,1,0)</f>
        <v>0</v>
      </c>
      <c r="BS291" s="187">
        <f t="shared" si="1033"/>
        <v>0</v>
      </c>
      <c r="BT291" s="187">
        <f t="shared" si="1033"/>
        <v>0</v>
      </c>
      <c r="BU291" s="187">
        <f t="shared" ref="BU291:BV291" si="1034">IF(P291=1,1,0)</f>
        <v>0</v>
      </c>
      <c r="BV291" s="187">
        <f t="shared" si="1034"/>
        <v>0</v>
      </c>
      <c r="BW291" s="187">
        <f t="shared" si="732"/>
        <v>0</v>
      </c>
      <c r="BX291" s="187">
        <f t="shared" si="733"/>
        <v>0</v>
      </c>
      <c r="BY291" s="187">
        <f t="shared" si="734"/>
        <v>0</v>
      </c>
      <c r="BZ291" s="187">
        <f t="shared" si="735"/>
        <v>0</v>
      </c>
      <c r="CA291" s="167">
        <f t="shared" si="736"/>
        <v>68</v>
      </c>
      <c r="CB291" s="167">
        <f t="shared" si="737"/>
        <v>94</v>
      </c>
      <c r="CC291" s="644">
        <f t="shared" si="738"/>
        <v>23</v>
      </c>
      <c r="CD291" s="644">
        <f t="shared" si="739"/>
        <v>19</v>
      </c>
      <c r="CE291" s="644">
        <f t="shared" si="740"/>
        <v>15</v>
      </c>
      <c r="CF291" s="644">
        <f t="shared" si="741"/>
        <v>15</v>
      </c>
      <c r="CG291" s="644">
        <f t="shared" si="742"/>
        <v>0</v>
      </c>
      <c r="CH291" s="644">
        <f>IF(D260=1,7,0)</f>
        <v>7</v>
      </c>
      <c r="CI291" s="644">
        <f t="shared" si="744"/>
        <v>7</v>
      </c>
      <c r="CJ291" s="644">
        <f t="shared" si="745"/>
        <v>5</v>
      </c>
      <c r="CK291" s="644">
        <f t="shared" si="746"/>
        <v>0</v>
      </c>
      <c r="CL291" s="644">
        <f t="shared" si="747"/>
        <v>0</v>
      </c>
      <c r="CM291" s="644">
        <f t="shared" si="748"/>
        <v>3</v>
      </c>
      <c r="CN291" s="644">
        <f t="shared" si="749"/>
        <v>0</v>
      </c>
      <c r="CO291" s="644">
        <f t="shared" si="750"/>
        <v>3</v>
      </c>
      <c r="CP291" s="644">
        <f t="shared" si="751"/>
        <v>0</v>
      </c>
      <c r="CQ291" s="644">
        <f t="shared" si="752"/>
        <v>0</v>
      </c>
      <c r="CR291" s="644">
        <f t="shared" si="753"/>
        <v>2</v>
      </c>
      <c r="CS291" s="644">
        <f t="shared" si="754"/>
        <v>0</v>
      </c>
      <c r="CT291" s="644">
        <f t="shared" si="755"/>
        <v>0</v>
      </c>
      <c r="CU291" s="644">
        <f t="shared" si="756"/>
        <v>0</v>
      </c>
      <c r="CV291" s="644">
        <f t="shared" si="757"/>
        <v>1</v>
      </c>
      <c r="CW291" s="644">
        <f t="shared" si="758"/>
        <v>0</v>
      </c>
      <c r="CX291" s="644">
        <f t="shared" si="759"/>
        <v>0</v>
      </c>
      <c r="CY291" s="644">
        <f t="shared" si="760"/>
        <v>0</v>
      </c>
      <c r="CZ291" s="624" t="s">
        <v>983</v>
      </c>
    </row>
    <row r="292" spans="1:104">
      <c r="A292" s="253" t="s">
        <v>444</v>
      </c>
      <c r="B292" s="641"/>
      <c r="C292" s="641"/>
      <c r="D292" s="276">
        <v>1</v>
      </c>
      <c r="E292" s="644">
        <v>1</v>
      </c>
      <c r="F292" s="644"/>
      <c r="G292" s="644"/>
      <c r="H292" s="644"/>
      <c r="I292" s="644"/>
      <c r="J292" s="644"/>
      <c r="K292" s="644"/>
      <c r="L292" s="644"/>
      <c r="M292" s="644"/>
      <c r="N292" s="644"/>
      <c r="O292" s="644"/>
      <c r="P292" s="644"/>
      <c r="Q292" s="644"/>
      <c r="R292" s="644">
        <v>1</v>
      </c>
      <c r="S292" s="644"/>
      <c r="T292" s="644"/>
      <c r="U292" s="644">
        <v>1</v>
      </c>
      <c r="V292" s="644">
        <v>1</v>
      </c>
      <c r="W292" s="644"/>
      <c r="X292" s="644">
        <v>1</v>
      </c>
      <c r="Y292" s="644"/>
      <c r="Z292" s="644"/>
      <c r="AA292" s="644"/>
      <c r="AB292" s="644">
        <v>1</v>
      </c>
      <c r="AC292" s="644"/>
      <c r="AD292" s="258">
        <v>1</v>
      </c>
      <c r="AE292" s="644"/>
      <c r="AF292" s="644"/>
      <c r="AG292" s="644"/>
      <c r="AH292" s="644">
        <v>1</v>
      </c>
      <c r="AI292" s="644"/>
      <c r="AJ292" s="644">
        <v>1</v>
      </c>
      <c r="AK292" s="644"/>
      <c r="AL292" s="167">
        <v>10</v>
      </c>
      <c r="AM292" s="191" t="str">
        <f t="shared" ref="AM292:AM293" si="1035">HYPERLINK("http://bbwaa.com/15-hof-ballots/", "BBWAA.com")</f>
        <v>BBWAA.com</v>
      </c>
      <c r="AN292" s="192">
        <v>42012</v>
      </c>
      <c r="AO292" s="187"/>
      <c r="AP292" s="187">
        <f t="shared" si="703"/>
        <v>0</v>
      </c>
      <c r="AQ292" s="187">
        <f t="shared" si="704"/>
        <v>0</v>
      </c>
      <c r="AR292" s="187">
        <f t="shared" si="705"/>
        <v>13</v>
      </c>
      <c r="AS292" s="187">
        <f t="shared" si="706"/>
        <v>13</v>
      </c>
      <c r="AT292" s="187">
        <f t="shared" si="707"/>
        <v>9</v>
      </c>
      <c r="AU292" s="187">
        <f t="shared" si="708"/>
        <v>9</v>
      </c>
      <c r="AV292" s="187">
        <f t="shared" si="709"/>
        <v>0</v>
      </c>
      <c r="AW292" s="187">
        <f t="shared" si="710"/>
        <v>7</v>
      </c>
      <c r="AX292" s="187">
        <f t="shared" si="711"/>
        <v>7</v>
      </c>
      <c r="AY292" s="187">
        <f t="shared" si="712"/>
        <v>0</v>
      </c>
      <c r="AZ292" s="187">
        <f t="shared" si="713"/>
        <v>7</v>
      </c>
      <c r="BA292" s="187">
        <f t="shared" si="714"/>
        <v>7</v>
      </c>
      <c r="BB292" s="187">
        <f t="shared" si="715"/>
        <v>0</v>
      </c>
      <c r="BC292" s="187">
        <f t="shared" si="716"/>
        <v>0</v>
      </c>
      <c r="BD292" s="187">
        <f t="shared" si="717"/>
        <v>4</v>
      </c>
      <c r="BE292" s="187">
        <f t="shared" si="718"/>
        <v>0</v>
      </c>
      <c r="BF292" s="187">
        <f t="shared" si="719"/>
        <v>0</v>
      </c>
      <c r="BG292" s="187">
        <f t="shared" si="720"/>
        <v>0</v>
      </c>
      <c r="BH292" s="187">
        <f t="shared" si="721"/>
        <v>0</v>
      </c>
      <c r="BI292" s="187">
        <f t="shared" si="722"/>
        <v>1</v>
      </c>
      <c r="BJ292" s="187">
        <f t="shared" si="723"/>
        <v>0</v>
      </c>
      <c r="BK292" s="187">
        <f t="shared" si="724"/>
        <v>0</v>
      </c>
      <c r="BL292" s="187">
        <f t="shared" si="725"/>
        <v>0</v>
      </c>
      <c r="BM292" s="187">
        <f t="shared" si="726"/>
        <v>0</v>
      </c>
      <c r="BN292" s="188">
        <f t="shared" si="727"/>
        <v>0</v>
      </c>
      <c r="BO292" s="187">
        <f t="shared" si="728"/>
        <v>0</v>
      </c>
      <c r="BP292" s="187">
        <f t="shared" ref="BP292:BQ292" si="1036">IF(G292=1,1,0)</f>
        <v>0</v>
      </c>
      <c r="BQ292" s="187">
        <f t="shared" si="1036"/>
        <v>0</v>
      </c>
      <c r="BR292" s="187">
        <f t="shared" ref="BR292:BT292" si="1037">IF(K292=1,1,0)</f>
        <v>0</v>
      </c>
      <c r="BS292" s="187">
        <f t="shared" si="1037"/>
        <v>0</v>
      </c>
      <c r="BT292" s="187">
        <f t="shared" si="1037"/>
        <v>0</v>
      </c>
      <c r="BU292" s="187">
        <f t="shared" ref="BU292:BV292" si="1038">IF(P292=1,1,0)</f>
        <v>0</v>
      </c>
      <c r="BV292" s="187">
        <f t="shared" si="1038"/>
        <v>0</v>
      </c>
      <c r="BW292" s="187">
        <f t="shared" si="732"/>
        <v>0</v>
      </c>
      <c r="BX292" s="187">
        <f t="shared" si="733"/>
        <v>0</v>
      </c>
      <c r="BY292" s="187">
        <f t="shared" si="734"/>
        <v>0</v>
      </c>
      <c r="BZ292" s="187">
        <f t="shared" si="735"/>
        <v>0</v>
      </c>
      <c r="CA292" s="167">
        <f t="shared" si="736"/>
        <v>77</v>
      </c>
      <c r="CB292" s="167">
        <f t="shared" si="737"/>
        <v>96</v>
      </c>
      <c r="CC292" s="644">
        <f t="shared" si="738"/>
        <v>23</v>
      </c>
      <c r="CD292" s="644">
        <f t="shared" si="739"/>
        <v>19</v>
      </c>
      <c r="CE292" s="644">
        <f t="shared" si="740"/>
        <v>15</v>
      </c>
      <c r="CF292" s="644">
        <f t="shared" si="741"/>
        <v>15</v>
      </c>
      <c r="CG292" s="644">
        <f t="shared" si="742"/>
        <v>9</v>
      </c>
      <c r="CH292" s="644">
        <f t="shared" ref="CH292:CH295" si="1039">IF(D260=1,7,0)</f>
        <v>7</v>
      </c>
      <c r="CI292" s="644">
        <f t="shared" si="744"/>
        <v>0</v>
      </c>
      <c r="CJ292" s="644">
        <f t="shared" si="745"/>
        <v>5</v>
      </c>
      <c r="CK292" s="644">
        <f t="shared" si="746"/>
        <v>0</v>
      </c>
      <c r="CL292" s="644">
        <f t="shared" si="747"/>
        <v>0</v>
      </c>
      <c r="CM292" s="644">
        <f t="shared" si="748"/>
        <v>0</v>
      </c>
      <c r="CN292" s="644">
        <f t="shared" si="749"/>
        <v>0</v>
      </c>
      <c r="CO292" s="644">
        <f t="shared" si="750"/>
        <v>3</v>
      </c>
      <c r="CP292" s="644">
        <f t="shared" si="751"/>
        <v>0</v>
      </c>
      <c r="CQ292" s="644">
        <f t="shared" si="752"/>
        <v>0</v>
      </c>
      <c r="CR292" s="644">
        <f t="shared" si="753"/>
        <v>0</v>
      </c>
      <c r="CS292" s="644">
        <f t="shared" si="754"/>
        <v>0</v>
      </c>
      <c r="CT292" s="644">
        <f t="shared" si="755"/>
        <v>0</v>
      </c>
      <c r="CU292" s="644">
        <f t="shared" si="756"/>
        <v>1</v>
      </c>
      <c r="CV292" s="644">
        <f t="shared" si="757"/>
        <v>1</v>
      </c>
      <c r="CW292" s="644">
        <f t="shared" si="758"/>
        <v>0</v>
      </c>
      <c r="CX292" s="644">
        <f t="shared" si="759"/>
        <v>0</v>
      </c>
      <c r="CY292" s="644">
        <f t="shared" si="760"/>
        <v>0</v>
      </c>
      <c r="CZ292" s="624" t="s">
        <v>789</v>
      </c>
    </row>
    <row r="293" spans="1:104">
      <c r="A293" s="253" t="s">
        <v>1328</v>
      </c>
      <c r="B293" s="641"/>
      <c r="C293" s="641"/>
      <c r="D293" s="155"/>
      <c r="E293" s="644"/>
      <c r="F293" s="644">
        <v>1</v>
      </c>
      <c r="G293" s="644"/>
      <c r="H293" s="644"/>
      <c r="I293" s="644">
        <v>1</v>
      </c>
      <c r="J293" s="644"/>
      <c r="K293" s="644"/>
      <c r="L293" s="644"/>
      <c r="M293" s="644"/>
      <c r="N293" s="644"/>
      <c r="O293" s="644"/>
      <c r="P293" s="644"/>
      <c r="Q293" s="644"/>
      <c r="R293" s="644">
        <v>1</v>
      </c>
      <c r="S293" s="644"/>
      <c r="T293" s="644"/>
      <c r="U293" s="644">
        <v>1</v>
      </c>
      <c r="V293" s="644"/>
      <c r="W293" s="644"/>
      <c r="X293" s="644">
        <v>1</v>
      </c>
      <c r="Y293" s="644"/>
      <c r="Z293" s="644"/>
      <c r="AA293" s="644"/>
      <c r="AB293" s="644">
        <v>1</v>
      </c>
      <c r="AC293" s="258">
        <v>1</v>
      </c>
      <c r="AD293" s="644">
        <v>1</v>
      </c>
      <c r="AE293" s="644"/>
      <c r="AF293" s="644"/>
      <c r="AG293" s="644"/>
      <c r="AH293" s="644">
        <v>1</v>
      </c>
      <c r="AI293" s="644"/>
      <c r="AJ293" s="644">
        <v>1</v>
      </c>
      <c r="AK293" s="644"/>
      <c r="AL293" s="167">
        <v>10</v>
      </c>
      <c r="AM293" s="191" t="str">
        <f t="shared" si="1035"/>
        <v>BBWAA.com</v>
      </c>
      <c r="AN293" s="192">
        <v>42012</v>
      </c>
      <c r="AO293" s="187"/>
      <c r="AP293" s="187">
        <f t="shared" si="703"/>
        <v>13</v>
      </c>
      <c r="AQ293" s="187">
        <f t="shared" si="704"/>
        <v>13</v>
      </c>
      <c r="AR293" s="187">
        <f t="shared" si="705"/>
        <v>13</v>
      </c>
      <c r="AS293" s="187">
        <f t="shared" si="706"/>
        <v>13</v>
      </c>
      <c r="AT293" s="187">
        <f t="shared" si="707"/>
        <v>9</v>
      </c>
      <c r="AU293" s="187">
        <f t="shared" si="708"/>
        <v>0</v>
      </c>
      <c r="AV293" s="187">
        <f t="shared" si="709"/>
        <v>9</v>
      </c>
      <c r="AW293" s="187">
        <f t="shared" si="710"/>
        <v>7</v>
      </c>
      <c r="AX293" s="187">
        <f t="shared" si="711"/>
        <v>7</v>
      </c>
      <c r="AY293" s="187">
        <f t="shared" si="712"/>
        <v>0</v>
      </c>
      <c r="AZ293" s="187">
        <f t="shared" si="713"/>
        <v>7</v>
      </c>
      <c r="BA293" s="187">
        <f t="shared" si="714"/>
        <v>0</v>
      </c>
      <c r="BB293" s="187">
        <f t="shared" si="715"/>
        <v>0</v>
      </c>
      <c r="BC293" s="187">
        <f t="shared" si="716"/>
        <v>0</v>
      </c>
      <c r="BD293" s="187">
        <f t="shared" si="717"/>
        <v>4</v>
      </c>
      <c r="BE293" s="187">
        <f t="shared" si="718"/>
        <v>0</v>
      </c>
      <c r="BF293" s="187">
        <f t="shared" si="719"/>
        <v>0</v>
      </c>
      <c r="BG293" s="187">
        <f t="shared" si="720"/>
        <v>0</v>
      </c>
      <c r="BH293" s="187">
        <f t="shared" si="721"/>
        <v>0</v>
      </c>
      <c r="BI293" s="187">
        <f t="shared" si="722"/>
        <v>0</v>
      </c>
      <c r="BJ293" s="187">
        <f t="shared" si="723"/>
        <v>0</v>
      </c>
      <c r="BK293" s="187">
        <f t="shared" si="724"/>
        <v>0</v>
      </c>
      <c r="BL293" s="187">
        <f t="shared" si="725"/>
        <v>0</v>
      </c>
      <c r="BM293" s="187">
        <f t="shared" si="726"/>
        <v>0</v>
      </c>
      <c r="BN293" s="188">
        <f t="shared" si="727"/>
        <v>0</v>
      </c>
      <c r="BO293" s="187">
        <f t="shared" si="728"/>
        <v>0</v>
      </c>
      <c r="BP293" s="187">
        <f t="shared" ref="BP293:BQ293" si="1040">IF(G293=1,1,0)</f>
        <v>0</v>
      </c>
      <c r="BQ293" s="187">
        <f t="shared" si="1040"/>
        <v>0</v>
      </c>
      <c r="BR293" s="187">
        <f t="shared" ref="BR293:BT293" si="1041">IF(K293=1,1,0)</f>
        <v>0</v>
      </c>
      <c r="BS293" s="187">
        <f t="shared" si="1041"/>
        <v>0</v>
      </c>
      <c r="BT293" s="187">
        <f t="shared" si="1041"/>
        <v>0</v>
      </c>
      <c r="BU293" s="187">
        <f t="shared" ref="BU293:BV293" si="1042">IF(P293=1,1,0)</f>
        <v>0</v>
      </c>
      <c r="BV293" s="187">
        <f t="shared" si="1042"/>
        <v>0</v>
      </c>
      <c r="BW293" s="187">
        <f t="shared" si="732"/>
        <v>0</v>
      </c>
      <c r="BX293" s="187">
        <f t="shared" si="733"/>
        <v>0</v>
      </c>
      <c r="BY293" s="187">
        <f t="shared" si="734"/>
        <v>0</v>
      </c>
      <c r="BZ293" s="187">
        <f t="shared" si="735"/>
        <v>0</v>
      </c>
      <c r="CA293" s="167">
        <f t="shared" si="736"/>
        <v>95</v>
      </c>
      <c r="CB293" s="167">
        <f t="shared" si="737"/>
        <v>90</v>
      </c>
      <c r="CC293" s="644">
        <f t="shared" si="738"/>
        <v>23</v>
      </c>
      <c r="CD293" s="644">
        <f t="shared" si="739"/>
        <v>19</v>
      </c>
      <c r="CE293" s="644">
        <f t="shared" si="740"/>
        <v>15</v>
      </c>
      <c r="CF293" s="644">
        <f t="shared" si="741"/>
        <v>0</v>
      </c>
      <c r="CG293" s="644">
        <f t="shared" si="742"/>
        <v>9</v>
      </c>
      <c r="CH293" s="644">
        <f t="shared" si="1039"/>
        <v>7</v>
      </c>
      <c r="CI293" s="644">
        <f t="shared" si="744"/>
        <v>7</v>
      </c>
      <c r="CJ293" s="644">
        <f t="shared" si="745"/>
        <v>5</v>
      </c>
      <c r="CK293" s="644">
        <f t="shared" si="746"/>
        <v>5</v>
      </c>
      <c r="CL293" s="644">
        <f t="shared" si="747"/>
        <v>5</v>
      </c>
      <c r="CM293" s="644">
        <f t="shared" si="748"/>
        <v>0</v>
      </c>
      <c r="CN293" s="644">
        <f t="shared" si="749"/>
        <v>0</v>
      </c>
      <c r="CO293" s="644">
        <f t="shared" si="750"/>
        <v>3</v>
      </c>
      <c r="CP293" s="644">
        <f t="shared" si="751"/>
        <v>0</v>
      </c>
      <c r="CQ293" s="644">
        <f t="shared" si="752"/>
        <v>0</v>
      </c>
      <c r="CR293" s="644">
        <f t="shared" si="753"/>
        <v>0</v>
      </c>
      <c r="CS293" s="644">
        <f t="shared" si="754"/>
        <v>0</v>
      </c>
      <c r="CT293" s="644">
        <f t="shared" si="755"/>
        <v>0</v>
      </c>
      <c r="CU293" s="644">
        <f t="shared" si="756"/>
        <v>1</v>
      </c>
      <c r="CV293" s="644">
        <f t="shared" si="757"/>
        <v>0</v>
      </c>
      <c r="CW293" s="644">
        <f t="shared" si="758"/>
        <v>0</v>
      </c>
      <c r="CX293" s="644">
        <f t="shared" si="759"/>
        <v>0</v>
      </c>
      <c r="CY293" s="644">
        <f t="shared" si="760"/>
        <v>0</v>
      </c>
      <c r="CZ293" s="624" t="s">
        <v>1329</v>
      </c>
    </row>
    <row r="294" spans="1:104">
      <c r="A294" s="253" t="s">
        <v>257</v>
      </c>
      <c r="B294" s="641"/>
      <c r="C294" s="641"/>
      <c r="D294" s="155">
        <v>1</v>
      </c>
      <c r="E294" s="644">
        <v>1</v>
      </c>
      <c r="F294" s="644"/>
      <c r="G294" s="644"/>
      <c r="H294" s="644"/>
      <c r="I294" s="644"/>
      <c r="J294" s="644"/>
      <c r="K294" s="644"/>
      <c r="L294" s="644"/>
      <c r="M294" s="644"/>
      <c r="N294" s="644"/>
      <c r="O294" s="644"/>
      <c r="P294" s="644"/>
      <c r="Q294" s="644"/>
      <c r="R294" s="644">
        <v>1</v>
      </c>
      <c r="S294" s="644">
        <v>1</v>
      </c>
      <c r="T294" s="644"/>
      <c r="U294" s="644">
        <v>1</v>
      </c>
      <c r="V294" s="644"/>
      <c r="W294" s="644"/>
      <c r="X294" s="644"/>
      <c r="Y294" s="644"/>
      <c r="Z294" s="644"/>
      <c r="AA294" s="644"/>
      <c r="AB294" s="644"/>
      <c r="AC294" s="644"/>
      <c r="AD294" s="644"/>
      <c r="AE294" s="644"/>
      <c r="AF294" s="644"/>
      <c r="AG294" s="644"/>
      <c r="AH294" s="644"/>
      <c r="AI294" s="644"/>
      <c r="AJ294" s="644"/>
      <c r="AK294" s="644"/>
      <c r="AL294" s="167">
        <v>5</v>
      </c>
      <c r="AM294" s="191" t="s">
        <v>1321</v>
      </c>
      <c r="AN294" s="192">
        <v>42010</v>
      </c>
      <c r="AO294" s="187"/>
      <c r="AP294" s="187">
        <f t="shared" si="703"/>
        <v>0</v>
      </c>
      <c r="AQ294" s="187">
        <f t="shared" si="704"/>
        <v>0</v>
      </c>
      <c r="AR294" s="187">
        <f t="shared" si="705"/>
        <v>13</v>
      </c>
      <c r="AS294" s="187">
        <f t="shared" si="706"/>
        <v>13</v>
      </c>
      <c r="AT294" s="187">
        <f t="shared" si="707"/>
        <v>0</v>
      </c>
      <c r="AU294" s="187">
        <f t="shared" si="708"/>
        <v>9</v>
      </c>
      <c r="AV294" s="187">
        <f t="shared" si="709"/>
        <v>0</v>
      </c>
      <c r="AW294" s="187">
        <f t="shared" si="710"/>
        <v>0</v>
      </c>
      <c r="AX294" s="187">
        <f t="shared" si="711"/>
        <v>0</v>
      </c>
      <c r="AY294" s="187">
        <f t="shared" si="712"/>
        <v>0</v>
      </c>
      <c r="AZ294" s="187">
        <f t="shared" si="713"/>
        <v>0</v>
      </c>
      <c r="BA294" s="187">
        <f t="shared" si="714"/>
        <v>7</v>
      </c>
      <c r="BB294" s="187">
        <f t="shared" si="715"/>
        <v>0</v>
      </c>
      <c r="BC294" s="187">
        <f t="shared" si="716"/>
        <v>0</v>
      </c>
      <c r="BD294" s="187">
        <f t="shared" si="717"/>
        <v>0</v>
      </c>
      <c r="BE294" s="187">
        <f t="shared" si="718"/>
        <v>0</v>
      </c>
      <c r="BF294" s="187">
        <f t="shared" si="719"/>
        <v>0</v>
      </c>
      <c r="BG294" s="187">
        <f t="shared" si="720"/>
        <v>0</v>
      </c>
      <c r="BH294" s="187">
        <f t="shared" si="721"/>
        <v>2</v>
      </c>
      <c r="BI294" s="187">
        <f t="shared" si="722"/>
        <v>0</v>
      </c>
      <c r="BJ294" s="187">
        <f t="shared" si="723"/>
        <v>0</v>
      </c>
      <c r="BK294" s="187">
        <f t="shared" si="724"/>
        <v>0</v>
      </c>
      <c r="BL294" s="187">
        <f t="shared" si="725"/>
        <v>0</v>
      </c>
      <c r="BM294" s="187">
        <f t="shared" si="726"/>
        <v>0</v>
      </c>
      <c r="BN294" s="188">
        <f t="shared" si="727"/>
        <v>5</v>
      </c>
      <c r="BO294" s="187">
        <f t="shared" si="728"/>
        <v>0</v>
      </c>
      <c r="BP294" s="187">
        <f t="shared" ref="BP294:BQ294" si="1043">IF(G294=1,1,0)</f>
        <v>0</v>
      </c>
      <c r="BQ294" s="187">
        <f t="shared" si="1043"/>
        <v>0</v>
      </c>
      <c r="BR294" s="187">
        <f t="shared" ref="BR294:BT294" si="1044">IF(K294=1,1,0)</f>
        <v>0</v>
      </c>
      <c r="BS294" s="187">
        <f t="shared" si="1044"/>
        <v>0</v>
      </c>
      <c r="BT294" s="187">
        <f t="shared" si="1044"/>
        <v>0</v>
      </c>
      <c r="BU294" s="187">
        <f t="shared" ref="BU294:BV294" si="1045">IF(P294=1,1,0)</f>
        <v>0</v>
      </c>
      <c r="BV294" s="187">
        <f t="shared" si="1045"/>
        <v>0</v>
      </c>
      <c r="BW294" s="187">
        <f t="shared" si="732"/>
        <v>0</v>
      </c>
      <c r="BX294" s="187">
        <f t="shared" si="733"/>
        <v>0</v>
      </c>
      <c r="BY294" s="187">
        <f t="shared" si="734"/>
        <v>5</v>
      </c>
      <c r="BZ294" s="187">
        <f t="shared" si="735"/>
        <v>-25</v>
      </c>
      <c r="CA294" s="167">
        <f t="shared" si="736"/>
        <v>19</v>
      </c>
      <c r="CB294" s="167">
        <f t="shared" si="737"/>
        <v>66</v>
      </c>
      <c r="CC294" s="644">
        <f t="shared" si="738"/>
        <v>23</v>
      </c>
      <c r="CD294" s="644">
        <f t="shared" si="739"/>
        <v>19</v>
      </c>
      <c r="CE294" s="644">
        <f t="shared" si="740"/>
        <v>0</v>
      </c>
      <c r="CF294" s="644">
        <f t="shared" si="741"/>
        <v>15</v>
      </c>
      <c r="CG294" s="644">
        <f t="shared" si="742"/>
        <v>0</v>
      </c>
      <c r="CH294" s="644">
        <f t="shared" si="1039"/>
        <v>7</v>
      </c>
      <c r="CI294" s="644">
        <f t="shared" si="744"/>
        <v>0</v>
      </c>
      <c r="CJ294" s="644">
        <f t="shared" si="745"/>
        <v>0</v>
      </c>
      <c r="CK294" s="644">
        <f t="shared" si="746"/>
        <v>0</v>
      </c>
      <c r="CL294" s="644">
        <f t="shared" si="747"/>
        <v>0</v>
      </c>
      <c r="CM294" s="644">
        <f t="shared" si="748"/>
        <v>0</v>
      </c>
      <c r="CN294" s="644">
        <f t="shared" si="749"/>
        <v>0</v>
      </c>
      <c r="CO294" s="644">
        <f t="shared" si="750"/>
        <v>0</v>
      </c>
      <c r="CP294" s="644">
        <f t="shared" si="751"/>
        <v>0</v>
      </c>
      <c r="CQ294" s="644">
        <f t="shared" si="752"/>
        <v>2</v>
      </c>
      <c r="CR294" s="644">
        <f t="shared" si="753"/>
        <v>0</v>
      </c>
      <c r="CS294" s="644">
        <f t="shared" si="754"/>
        <v>0</v>
      </c>
      <c r="CT294" s="644">
        <f t="shared" si="755"/>
        <v>0</v>
      </c>
      <c r="CU294" s="644">
        <f t="shared" si="756"/>
        <v>0</v>
      </c>
      <c r="CV294" s="644">
        <f t="shared" si="757"/>
        <v>0</v>
      </c>
      <c r="CW294" s="644">
        <f t="shared" si="758"/>
        <v>0</v>
      </c>
      <c r="CX294" s="644">
        <f t="shared" si="759"/>
        <v>0</v>
      </c>
      <c r="CY294" s="644">
        <f t="shared" si="760"/>
        <v>0</v>
      </c>
      <c r="CZ294" s="624" t="s">
        <v>752</v>
      </c>
    </row>
    <row r="295" spans="1:104">
      <c r="A295" s="253" t="s">
        <v>673</v>
      </c>
      <c r="B295" s="641"/>
      <c r="C295" s="641"/>
      <c r="D295" s="155">
        <v>1</v>
      </c>
      <c r="E295" s="644">
        <v>1</v>
      </c>
      <c r="F295" s="644"/>
      <c r="G295" s="644"/>
      <c r="H295" s="644"/>
      <c r="I295" s="644"/>
      <c r="J295" s="644"/>
      <c r="K295" s="644"/>
      <c r="L295" s="644"/>
      <c r="M295" s="644"/>
      <c r="N295" s="644"/>
      <c r="O295" s="644"/>
      <c r="P295" s="644"/>
      <c r="Q295" s="644"/>
      <c r="R295" s="644">
        <v>1</v>
      </c>
      <c r="S295" s="644">
        <v>1</v>
      </c>
      <c r="T295" s="644">
        <v>1</v>
      </c>
      <c r="U295" s="644">
        <v>1</v>
      </c>
      <c r="V295" s="644"/>
      <c r="W295" s="644">
        <v>1</v>
      </c>
      <c r="X295" s="644"/>
      <c r="Y295" s="644"/>
      <c r="Z295" s="250"/>
      <c r="AA295" s="644"/>
      <c r="AB295" s="250"/>
      <c r="AC295" s="644">
        <v>1</v>
      </c>
      <c r="AD295" s="644"/>
      <c r="AE295" s="644"/>
      <c r="AF295" s="644"/>
      <c r="AG295" s="644"/>
      <c r="AH295" s="644">
        <v>1</v>
      </c>
      <c r="AI295" s="644"/>
      <c r="AJ295" s="644">
        <v>1</v>
      </c>
      <c r="AK295" s="644"/>
      <c r="AL295" s="167">
        <v>10</v>
      </c>
      <c r="AM295" s="191" t="str">
        <f t="shared" ref="AM295:AM296" si="1046">HYPERLINK("http://bbwaa.com/15-hof-ballots/", "BBWAA.com")</f>
        <v>BBWAA.com</v>
      </c>
      <c r="AN295" s="192">
        <v>42012</v>
      </c>
      <c r="AO295" s="187"/>
      <c r="AP295" s="187">
        <f t="shared" si="703"/>
        <v>0</v>
      </c>
      <c r="AQ295" s="187">
        <f t="shared" si="704"/>
        <v>0</v>
      </c>
      <c r="AR295" s="187">
        <f t="shared" si="705"/>
        <v>13</v>
      </c>
      <c r="AS295" s="187">
        <f t="shared" si="706"/>
        <v>13</v>
      </c>
      <c r="AT295" s="187">
        <f t="shared" si="707"/>
        <v>0</v>
      </c>
      <c r="AU295" s="187">
        <f t="shared" si="708"/>
        <v>9</v>
      </c>
      <c r="AV295" s="187">
        <f t="shared" si="709"/>
        <v>9</v>
      </c>
      <c r="AW295" s="187">
        <f t="shared" si="710"/>
        <v>7</v>
      </c>
      <c r="AX295" s="187">
        <f t="shared" si="711"/>
        <v>0</v>
      </c>
      <c r="AY295" s="187">
        <f t="shared" si="712"/>
        <v>0</v>
      </c>
      <c r="AZ295" s="187">
        <f t="shared" si="713"/>
        <v>7</v>
      </c>
      <c r="BA295" s="187">
        <f t="shared" si="714"/>
        <v>7</v>
      </c>
      <c r="BB295" s="187">
        <f t="shared" si="715"/>
        <v>0</v>
      </c>
      <c r="BC295" s="187">
        <f t="shared" si="716"/>
        <v>4</v>
      </c>
      <c r="BD295" s="187">
        <f t="shared" si="717"/>
        <v>0</v>
      </c>
      <c r="BE295" s="187">
        <f t="shared" si="718"/>
        <v>0</v>
      </c>
      <c r="BF295" s="187">
        <f t="shared" si="719"/>
        <v>3</v>
      </c>
      <c r="BG295" s="187">
        <f t="shared" si="720"/>
        <v>0</v>
      </c>
      <c r="BH295" s="187">
        <f t="shared" si="721"/>
        <v>2</v>
      </c>
      <c r="BI295" s="187">
        <f t="shared" si="722"/>
        <v>0</v>
      </c>
      <c r="BJ295" s="187">
        <f t="shared" si="723"/>
        <v>0</v>
      </c>
      <c r="BK295" s="187">
        <f t="shared" si="724"/>
        <v>0</v>
      </c>
      <c r="BL295" s="187">
        <f t="shared" si="725"/>
        <v>0</v>
      </c>
      <c r="BM295" s="187">
        <f t="shared" si="726"/>
        <v>0</v>
      </c>
      <c r="BN295" s="188">
        <f t="shared" si="727"/>
        <v>0</v>
      </c>
      <c r="BO295" s="187">
        <f t="shared" si="728"/>
        <v>0</v>
      </c>
      <c r="BP295" s="187">
        <f t="shared" ref="BP295:BQ295" si="1047">IF(G295=1,1,0)</f>
        <v>0</v>
      </c>
      <c r="BQ295" s="187">
        <f t="shared" si="1047"/>
        <v>0</v>
      </c>
      <c r="BR295" s="187">
        <f t="shared" ref="BR295:BT295" si="1048">IF(K295=1,1,0)</f>
        <v>0</v>
      </c>
      <c r="BS295" s="187">
        <f t="shared" si="1048"/>
        <v>0</v>
      </c>
      <c r="BT295" s="187">
        <f t="shared" si="1048"/>
        <v>0</v>
      </c>
      <c r="BU295" s="187">
        <f t="shared" ref="BU295:BV295" si="1049">IF(P295=1,1,0)</f>
        <v>0</v>
      </c>
      <c r="BV295" s="187">
        <f t="shared" si="1049"/>
        <v>0</v>
      </c>
      <c r="BW295" s="187">
        <f t="shared" si="732"/>
        <v>0</v>
      </c>
      <c r="BX295" s="187">
        <f t="shared" si="733"/>
        <v>0</v>
      </c>
      <c r="BY295" s="187">
        <f t="shared" si="734"/>
        <v>0</v>
      </c>
      <c r="BZ295" s="187">
        <f t="shared" si="735"/>
        <v>0</v>
      </c>
      <c r="CA295" s="167">
        <f t="shared" si="736"/>
        <v>74</v>
      </c>
      <c r="CB295" s="167">
        <f t="shared" si="737"/>
        <v>92</v>
      </c>
      <c r="CC295" s="644">
        <f t="shared" si="738"/>
        <v>23</v>
      </c>
      <c r="CD295" s="644">
        <f t="shared" si="739"/>
        <v>19</v>
      </c>
      <c r="CE295" s="644">
        <f t="shared" si="740"/>
        <v>15</v>
      </c>
      <c r="CF295" s="644">
        <f t="shared" si="741"/>
        <v>15</v>
      </c>
      <c r="CG295" s="644">
        <f t="shared" si="742"/>
        <v>0</v>
      </c>
      <c r="CH295" s="644">
        <f t="shared" si="1039"/>
        <v>7</v>
      </c>
      <c r="CI295" s="644">
        <f t="shared" si="744"/>
        <v>7</v>
      </c>
      <c r="CJ295" s="644">
        <f t="shared" si="745"/>
        <v>0</v>
      </c>
      <c r="CK295" s="644">
        <f t="shared" si="746"/>
        <v>0</v>
      </c>
      <c r="CL295" s="644">
        <f t="shared" si="747"/>
        <v>0</v>
      </c>
      <c r="CM295" s="644">
        <f t="shared" si="748"/>
        <v>0</v>
      </c>
      <c r="CN295" s="644">
        <f t="shared" si="749"/>
        <v>3</v>
      </c>
      <c r="CO295" s="644">
        <f t="shared" si="750"/>
        <v>3</v>
      </c>
      <c r="CP295" s="644">
        <f t="shared" si="751"/>
        <v>0</v>
      </c>
      <c r="CQ295" s="644">
        <f t="shared" si="752"/>
        <v>2</v>
      </c>
      <c r="CR295" s="644">
        <f t="shared" si="753"/>
        <v>2</v>
      </c>
      <c r="CS295" s="644">
        <f t="shared" si="754"/>
        <v>0</v>
      </c>
      <c r="CT295" s="644">
        <f t="shared" si="755"/>
        <v>0</v>
      </c>
      <c r="CU295" s="644">
        <f t="shared" si="756"/>
        <v>0</v>
      </c>
      <c r="CV295" s="644">
        <f t="shared" si="757"/>
        <v>0</v>
      </c>
      <c r="CW295" s="644">
        <f t="shared" si="758"/>
        <v>0</v>
      </c>
      <c r="CX295" s="644">
        <f t="shared" si="759"/>
        <v>0</v>
      </c>
      <c r="CY295" s="644">
        <f t="shared" si="760"/>
        <v>0</v>
      </c>
      <c r="CZ295" s="624" t="s">
        <v>743</v>
      </c>
    </row>
    <row r="296" spans="1:104">
      <c r="A296" s="253" t="s">
        <v>1330</v>
      </c>
      <c r="B296" s="641"/>
      <c r="C296" s="641"/>
      <c r="D296" s="155">
        <v>1</v>
      </c>
      <c r="E296" s="644">
        <v>1</v>
      </c>
      <c r="F296" s="644"/>
      <c r="G296" s="644"/>
      <c r="H296" s="644"/>
      <c r="I296" s="644"/>
      <c r="J296" s="644"/>
      <c r="K296" s="644"/>
      <c r="L296" s="644"/>
      <c r="M296" s="644"/>
      <c r="N296" s="644"/>
      <c r="O296" s="644"/>
      <c r="P296" s="644"/>
      <c r="Q296" s="644"/>
      <c r="R296" s="644">
        <v>1</v>
      </c>
      <c r="S296" s="644"/>
      <c r="T296" s="644">
        <v>1</v>
      </c>
      <c r="U296" s="644">
        <v>1</v>
      </c>
      <c r="V296" s="644">
        <v>1</v>
      </c>
      <c r="W296" s="644"/>
      <c r="X296" s="644"/>
      <c r="Y296" s="644"/>
      <c r="Z296" s="644"/>
      <c r="AA296" s="644"/>
      <c r="AB296" s="644">
        <v>1</v>
      </c>
      <c r="AC296" s="644">
        <v>1</v>
      </c>
      <c r="AD296" s="644">
        <v>1</v>
      </c>
      <c r="AE296" s="644"/>
      <c r="AF296" s="644"/>
      <c r="AG296" s="644"/>
      <c r="AH296" s="644">
        <v>1</v>
      </c>
      <c r="AI296" s="644"/>
      <c r="AJ296" s="644"/>
      <c r="AK296" s="644"/>
      <c r="AL296" s="167">
        <v>10</v>
      </c>
      <c r="AM296" s="191" t="str">
        <f t="shared" si="1046"/>
        <v>BBWAA.com</v>
      </c>
      <c r="AN296" s="192">
        <v>42016</v>
      </c>
      <c r="AO296" s="187"/>
      <c r="AP296" s="187">
        <f t="shared" si="703"/>
        <v>0</v>
      </c>
      <c r="AQ296" s="187">
        <f t="shared" si="704"/>
        <v>0</v>
      </c>
      <c r="AR296" s="187">
        <f t="shared" si="705"/>
        <v>13</v>
      </c>
      <c r="AS296" s="187">
        <f t="shared" si="706"/>
        <v>13</v>
      </c>
      <c r="AT296" s="187">
        <f t="shared" si="707"/>
        <v>9</v>
      </c>
      <c r="AU296" s="187">
        <f t="shared" si="708"/>
        <v>9</v>
      </c>
      <c r="AV296" s="187">
        <f t="shared" si="709"/>
        <v>9</v>
      </c>
      <c r="AW296" s="187">
        <f t="shared" si="710"/>
        <v>0</v>
      </c>
      <c r="AX296" s="187">
        <f t="shared" si="711"/>
        <v>7</v>
      </c>
      <c r="AY296" s="187">
        <f t="shared" si="712"/>
        <v>0</v>
      </c>
      <c r="AZ296" s="187">
        <f t="shared" si="713"/>
        <v>7</v>
      </c>
      <c r="BA296" s="187">
        <f t="shared" si="714"/>
        <v>7</v>
      </c>
      <c r="BB296" s="187">
        <f t="shared" si="715"/>
        <v>0</v>
      </c>
      <c r="BC296" s="187">
        <f t="shared" si="716"/>
        <v>4</v>
      </c>
      <c r="BD296" s="187">
        <f t="shared" si="717"/>
        <v>0</v>
      </c>
      <c r="BE296" s="187">
        <f t="shared" si="718"/>
        <v>0</v>
      </c>
      <c r="BF296" s="187">
        <f t="shared" si="719"/>
        <v>0</v>
      </c>
      <c r="BG296" s="187">
        <f t="shared" si="720"/>
        <v>0</v>
      </c>
      <c r="BH296" s="187">
        <f t="shared" si="721"/>
        <v>0</v>
      </c>
      <c r="BI296" s="187">
        <f t="shared" si="722"/>
        <v>1</v>
      </c>
      <c r="BJ296" s="187">
        <f t="shared" si="723"/>
        <v>0</v>
      </c>
      <c r="BK296" s="187">
        <f t="shared" si="724"/>
        <v>0</v>
      </c>
      <c r="BL296" s="187">
        <f t="shared" si="725"/>
        <v>0</v>
      </c>
      <c r="BM296" s="187">
        <f t="shared" si="726"/>
        <v>0</v>
      </c>
      <c r="BN296" s="188">
        <f t="shared" si="727"/>
        <v>0</v>
      </c>
      <c r="BO296" s="187">
        <f t="shared" si="728"/>
        <v>0</v>
      </c>
      <c r="BP296" s="187">
        <f t="shared" ref="BP296:BQ296" si="1050">IF(G296=1,1,0)</f>
        <v>0</v>
      </c>
      <c r="BQ296" s="187">
        <f t="shared" si="1050"/>
        <v>0</v>
      </c>
      <c r="BR296" s="187">
        <f t="shared" ref="BR296:BT296" si="1051">IF(K296=1,1,0)</f>
        <v>0</v>
      </c>
      <c r="BS296" s="187">
        <f t="shared" si="1051"/>
        <v>0</v>
      </c>
      <c r="BT296" s="187">
        <f t="shared" si="1051"/>
        <v>0</v>
      </c>
      <c r="BU296" s="187">
        <f t="shared" ref="BU296:BV296" si="1052">IF(P296=1,1,0)</f>
        <v>0</v>
      </c>
      <c r="BV296" s="187">
        <f t="shared" si="1052"/>
        <v>0</v>
      </c>
      <c r="BW296" s="187">
        <f t="shared" si="732"/>
        <v>0</v>
      </c>
      <c r="BX296" s="187">
        <f t="shared" si="733"/>
        <v>0</v>
      </c>
      <c r="BY296" s="187">
        <f t="shared" si="734"/>
        <v>0</v>
      </c>
      <c r="BZ296" s="187">
        <f t="shared" si="735"/>
        <v>0</v>
      </c>
      <c r="CA296" s="167">
        <f t="shared" si="736"/>
        <v>79</v>
      </c>
      <c r="CB296" s="167">
        <f t="shared" si="737"/>
        <v>100</v>
      </c>
      <c r="CC296" s="644">
        <f t="shared" si="738"/>
        <v>23</v>
      </c>
      <c r="CD296" s="644">
        <f t="shared" si="739"/>
        <v>19</v>
      </c>
      <c r="CE296" s="644">
        <f t="shared" si="740"/>
        <v>15</v>
      </c>
      <c r="CF296" s="644">
        <f t="shared" si="741"/>
        <v>15</v>
      </c>
      <c r="CG296" s="644">
        <f t="shared" si="742"/>
        <v>9</v>
      </c>
      <c r="CH296" s="644">
        <f>IF(D265=1,7,0)</f>
        <v>7</v>
      </c>
      <c r="CI296" s="644">
        <f t="shared" si="744"/>
        <v>7</v>
      </c>
      <c r="CJ296" s="644">
        <f t="shared" si="745"/>
        <v>5</v>
      </c>
      <c r="CK296" s="644">
        <f t="shared" si="746"/>
        <v>0</v>
      </c>
      <c r="CL296" s="644">
        <f t="shared" si="747"/>
        <v>0</v>
      </c>
      <c r="CM296" s="644">
        <f t="shared" si="748"/>
        <v>0</v>
      </c>
      <c r="CN296" s="644">
        <f t="shared" si="749"/>
        <v>3</v>
      </c>
      <c r="CO296" s="644">
        <f t="shared" si="750"/>
        <v>0</v>
      </c>
      <c r="CP296" s="644">
        <f t="shared" si="751"/>
        <v>0</v>
      </c>
      <c r="CQ296" s="644">
        <f t="shared" si="752"/>
        <v>0</v>
      </c>
      <c r="CR296" s="644">
        <f t="shared" si="753"/>
        <v>0</v>
      </c>
      <c r="CS296" s="644">
        <f t="shared" si="754"/>
        <v>0</v>
      </c>
      <c r="CT296" s="644">
        <f t="shared" si="755"/>
        <v>0</v>
      </c>
      <c r="CU296" s="644">
        <f t="shared" si="756"/>
        <v>0</v>
      </c>
      <c r="CV296" s="644">
        <f t="shared" si="757"/>
        <v>1</v>
      </c>
      <c r="CW296" s="644">
        <f t="shared" si="758"/>
        <v>0</v>
      </c>
      <c r="CX296" s="644">
        <f t="shared" si="759"/>
        <v>0</v>
      </c>
      <c r="CY296" s="644">
        <f t="shared" si="760"/>
        <v>0</v>
      </c>
      <c r="CZ296" s="624" t="s">
        <v>743</v>
      </c>
    </row>
    <row r="297" spans="1:104">
      <c r="A297" s="253" t="s">
        <v>600</v>
      </c>
      <c r="B297" s="641"/>
      <c r="C297" s="641"/>
      <c r="D297" s="155">
        <v>1</v>
      </c>
      <c r="E297" s="644">
        <v>1</v>
      </c>
      <c r="F297" s="644">
        <v>1</v>
      </c>
      <c r="G297" s="644"/>
      <c r="H297" s="644"/>
      <c r="I297" s="644">
        <v>1</v>
      </c>
      <c r="J297" s="644"/>
      <c r="K297" s="644"/>
      <c r="L297" s="644"/>
      <c r="M297" s="644"/>
      <c r="N297" s="644"/>
      <c r="O297" s="644"/>
      <c r="P297" s="644"/>
      <c r="Q297" s="644"/>
      <c r="R297" s="644">
        <v>1</v>
      </c>
      <c r="S297" s="644">
        <v>1</v>
      </c>
      <c r="T297" s="644"/>
      <c r="U297" s="644">
        <v>1</v>
      </c>
      <c r="V297" s="644"/>
      <c r="W297" s="644"/>
      <c r="X297" s="644"/>
      <c r="Y297" s="644"/>
      <c r="Z297" s="644"/>
      <c r="AA297" s="644"/>
      <c r="AB297" s="644">
        <v>1</v>
      </c>
      <c r="AC297" s="644">
        <v>1</v>
      </c>
      <c r="AD297" s="644"/>
      <c r="AE297" s="644"/>
      <c r="AF297" s="644"/>
      <c r="AG297" s="644"/>
      <c r="AH297" s="644">
        <v>1</v>
      </c>
      <c r="AI297" s="644"/>
      <c r="AJ297" s="644"/>
      <c r="AK297" s="644"/>
      <c r="AL297" s="167">
        <v>10</v>
      </c>
      <c r="AM297" s="191" t="s">
        <v>1331</v>
      </c>
      <c r="AN297" s="192">
        <v>42011</v>
      </c>
      <c r="AO297" s="187"/>
      <c r="AP297" s="187">
        <f t="shared" si="703"/>
        <v>13</v>
      </c>
      <c r="AQ297" s="187">
        <f t="shared" si="704"/>
        <v>13</v>
      </c>
      <c r="AR297" s="187">
        <f t="shared" si="705"/>
        <v>13</v>
      </c>
      <c r="AS297" s="187">
        <f t="shared" si="706"/>
        <v>13</v>
      </c>
      <c r="AT297" s="187">
        <f t="shared" si="707"/>
        <v>9</v>
      </c>
      <c r="AU297" s="187">
        <f t="shared" si="708"/>
        <v>9</v>
      </c>
      <c r="AV297" s="187">
        <f t="shared" si="709"/>
        <v>9</v>
      </c>
      <c r="AW297" s="187">
        <f t="shared" si="710"/>
        <v>0</v>
      </c>
      <c r="AX297" s="187">
        <f t="shared" si="711"/>
        <v>0</v>
      </c>
      <c r="AY297" s="187">
        <f t="shared" si="712"/>
        <v>0</v>
      </c>
      <c r="AZ297" s="187">
        <f t="shared" si="713"/>
        <v>7</v>
      </c>
      <c r="BA297" s="187">
        <f t="shared" si="714"/>
        <v>7</v>
      </c>
      <c r="BB297" s="187">
        <f t="shared" si="715"/>
        <v>0</v>
      </c>
      <c r="BC297" s="187">
        <f t="shared" si="716"/>
        <v>0</v>
      </c>
      <c r="BD297" s="187">
        <f t="shared" si="717"/>
        <v>0</v>
      </c>
      <c r="BE297" s="187">
        <f t="shared" si="718"/>
        <v>0</v>
      </c>
      <c r="BF297" s="187">
        <f t="shared" si="719"/>
        <v>0</v>
      </c>
      <c r="BG297" s="187">
        <f t="shared" si="720"/>
        <v>0</v>
      </c>
      <c r="BH297" s="187">
        <f t="shared" si="721"/>
        <v>2</v>
      </c>
      <c r="BI297" s="187">
        <f t="shared" si="722"/>
        <v>0</v>
      </c>
      <c r="BJ297" s="187">
        <f t="shared" si="723"/>
        <v>0</v>
      </c>
      <c r="BK297" s="187">
        <f t="shared" si="724"/>
        <v>0</v>
      </c>
      <c r="BL297" s="187">
        <f t="shared" si="725"/>
        <v>0</v>
      </c>
      <c r="BM297" s="187">
        <f t="shared" si="726"/>
        <v>0</v>
      </c>
      <c r="BN297" s="188">
        <f t="shared" si="727"/>
        <v>0</v>
      </c>
      <c r="BO297" s="187">
        <f t="shared" si="728"/>
        <v>0</v>
      </c>
      <c r="BP297" s="187">
        <f t="shared" ref="BP297:BQ297" si="1053">IF(G297=1,1,0)</f>
        <v>0</v>
      </c>
      <c r="BQ297" s="187">
        <f t="shared" si="1053"/>
        <v>0</v>
      </c>
      <c r="BR297" s="187">
        <f t="shared" ref="BR297:BT297" si="1054">IF(K297=1,1,0)</f>
        <v>0</v>
      </c>
      <c r="BS297" s="187">
        <f t="shared" si="1054"/>
        <v>0</v>
      </c>
      <c r="BT297" s="187">
        <f t="shared" si="1054"/>
        <v>0</v>
      </c>
      <c r="BU297" s="187">
        <f t="shared" ref="BU297:BV297" si="1055">IF(P297=1,1,0)</f>
        <v>0</v>
      </c>
      <c r="BV297" s="187">
        <f t="shared" si="1055"/>
        <v>0</v>
      </c>
      <c r="BW297" s="187">
        <f t="shared" si="732"/>
        <v>0</v>
      </c>
      <c r="BX297" s="187">
        <f t="shared" si="733"/>
        <v>0</v>
      </c>
      <c r="BY297" s="187">
        <f t="shared" si="734"/>
        <v>0</v>
      </c>
      <c r="BZ297" s="187">
        <f t="shared" si="735"/>
        <v>0</v>
      </c>
      <c r="CA297" s="167">
        <f t="shared" si="736"/>
        <v>95</v>
      </c>
      <c r="CB297" s="167">
        <f t="shared" si="737"/>
        <v>100</v>
      </c>
      <c r="CC297" s="644">
        <f t="shared" si="738"/>
        <v>23</v>
      </c>
      <c r="CD297" s="644">
        <f t="shared" si="739"/>
        <v>19</v>
      </c>
      <c r="CE297" s="644">
        <f t="shared" si="740"/>
        <v>15</v>
      </c>
      <c r="CF297" s="644">
        <f t="shared" si="741"/>
        <v>15</v>
      </c>
      <c r="CG297" s="644">
        <f t="shared" si="742"/>
        <v>9</v>
      </c>
      <c r="CH297" s="644">
        <f t="shared" ref="CH297:CH298" si="1056">IF(D265=1,7,0)</f>
        <v>7</v>
      </c>
      <c r="CI297" s="644">
        <f t="shared" si="744"/>
        <v>7</v>
      </c>
      <c r="CJ297" s="644">
        <f t="shared" si="745"/>
        <v>0</v>
      </c>
      <c r="CK297" s="644">
        <f t="shared" si="746"/>
        <v>5</v>
      </c>
      <c r="CL297" s="644">
        <f t="shared" si="747"/>
        <v>5</v>
      </c>
      <c r="CM297" s="644">
        <f t="shared" si="748"/>
        <v>0</v>
      </c>
      <c r="CN297" s="644">
        <f t="shared" si="749"/>
        <v>0</v>
      </c>
      <c r="CO297" s="644">
        <f t="shared" si="750"/>
        <v>0</v>
      </c>
      <c r="CP297" s="644">
        <f t="shared" si="751"/>
        <v>0</v>
      </c>
      <c r="CQ297" s="644">
        <f t="shared" si="752"/>
        <v>2</v>
      </c>
      <c r="CR297" s="644">
        <f t="shared" si="753"/>
        <v>0</v>
      </c>
      <c r="CS297" s="644">
        <f t="shared" si="754"/>
        <v>0</v>
      </c>
      <c r="CT297" s="644">
        <f t="shared" si="755"/>
        <v>0</v>
      </c>
      <c r="CU297" s="644">
        <f t="shared" si="756"/>
        <v>0</v>
      </c>
      <c r="CV297" s="644">
        <f t="shared" si="757"/>
        <v>0</v>
      </c>
      <c r="CW297" s="644">
        <f t="shared" si="758"/>
        <v>0</v>
      </c>
      <c r="CX297" s="644">
        <f t="shared" si="759"/>
        <v>0</v>
      </c>
      <c r="CY297" s="644">
        <f t="shared" si="760"/>
        <v>0</v>
      </c>
      <c r="CZ297" s="624" t="s">
        <v>746</v>
      </c>
    </row>
    <row r="298" spans="1:104">
      <c r="A298" s="253" t="s">
        <v>1332</v>
      </c>
      <c r="B298" s="641"/>
      <c r="C298" s="641"/>
      <c r="D298" s="155"/>
      <c r="E298" s="644">
        <v>1</v>
      </c>
      <c r="F298" s="644"/>
      <c r="G298" s="644"/>
      <c r="H298" s="644"/>
      <c r="I298" s="644"/>
      <c r="J298" s="644"/>
      <c r="K298" s="644"/>
      <c r="L298" s="644"/>
      <c r="M298" s="644"/>
      <c r="N298" s="644"/>
      <c r="O298" s="644"/>
      <c r="P298" s="644"/>
      <c r="Q298" s="644"/>
      <c r="R298" s="644">
        <v>1</v>
      </c>
      <c r="S298" s="644"/>
      <c r="T298" s="644"/>
      <c r="U298" s="644">
        <v>1</v>
      </c>
      <c r="V298" s="644"/>
      <c r="W298" s="644"/>
      <c r="X298" s="644"/>
      <c r="Y298" s="644"/>
      <c r="Z298" s="644"/>
      <c r="AA298" s="644"/>
      <c r="AB298" s="644"/>
      <c r="AC298" s="644"/>
      <c r="AD298" s="644">
        <v>1</v>
      </c>
      <c r="AE298" s="644"/>
      <c r="AF298" s="644"/>
      <c r="AG298" s="644"/>
      <c r="AH298" s="644"/>
      <c r="AI298" s="644"/>
      <c r="AJ298" s="644"/>
      <c r="AK298" s="644"/>
      <c r="AL298" s="167">
        <v>4</v>
      </c>
      <c r="AM298" s="191" t="str">
        <f>HYPERLINK("http://bbwaa.com/15-hof-ballots/", "BBWAA.com")</f>
        <v>BBWAA.com</v>
      </c>
      <c r="AN298" s="192">
        <v>42014</v>
      </c>
      <c r="AO298" s="187"/>
      <c r="AP298" s="187">
        <f t="shared" si="703"/>
        <v>0</v>
      </c>
      <c r="AQ298" s="187">
        <f t="shared" si="704"/>
        <v>0</v>
      </c>
      <c r="AR298" s="187">
        <f t="shared" si="705"/>
        <v>13</v>
      </c>
      <c r="AS298" s="187">
        <f t="shared" si="706"/>
        <v>13</v>
      </c>
      <c r="AT298" s="187">
        <f t="shared" si="707"/>
        <v>0</v>
      </c>
      <c r="AU298" s="187">
        <f t="shared" si="708"/>
        <v>0</v>
      </c>
      <c r="AV298" s="187">
        <f t="shared" si="709"/>
        <v>0</v>
      </c>
      <c r="AW298" s="187">
        <f t="shared" si="710"/>
        <v>0</v>
      </c>
      <c r="AX298" s="187">
        <f t="shared" si="711"/>
        <v>7</v>
      </c>
      <c r="AY298" s="187">
        <f t="shared" si="712"/>
        <v>0</v>
      </c>
      <c r="AZ298" s="187">
        <f t="shared" si="713"/>
        <v>0</v>
      </c>
      <c r="BA298" s="187">
        <f t="shared" si="714"/>
        <v>7</v>
      </c>
      <c r="BB298" s="187">
        <f t="shared" si="715"/>
        <v>0</v>
      </c>
      <c r="BC298" s="187">
        <f t="shared" si="716"/>
        <v>0</v>
      </c>
      <c r="BD298" s="187">
        <f t="shared" si="717"/>
        <v>0</v>
      </c>
      <c r="BE298" s="187">
        <f t="shared" si="718"/>
        <v>0</v>
      </c>
      <c r="BF298" s="187">
        <f t="shared" si="719"/>
        <v>0</v>
      </c>
      <c r="BG298" s="187">
        <f t="shared" si="720"/>
        <v>0</v>
      </c>
      <c r="BH298" s="187">
        <f t="shared" si="721"/>
        <v>0</v>
      </c>
      <c r="BI298" s="187">
        <f t="shared" si="722"/>
        <v>0</v>
      </c>
      <c r="BJ298" s="187">
        <f t="shared" si="723"/>
        <v>0</v>
      </c>
      <c r="BK298" s="187">
        <f t="shared" si="724"/>
        <v>0</v>
      </c>
      <c r="BL298" s="187">
        <f t="shared" si="725"/>
        <v>0</v>
      </c>
      <c r="BM298" s="187">
        <f t="shared" si="726"/>
        <v>0</v>
      </c>
      <c r="BN298" s="188">
        <f t="shared" si="727"/>
        <v>6</v>
      </c>
      <c r="BO298" s="187">
        <f t="shared" si="728"/>
        <v>0</v>
      </c>
      <c r="BP298" s="187">
        <f t="shared" ref="BP298:BQ298" si="1057">IF(G298=1,1,0)</f>
        <v>0</v>
      </c>
      <c r="BQ298" s="187">
        <f t="shared" si="1057"/>
        <v>0</v>
      </c>
      <c r="BR298" s="187">
        <f t="shared" ref="BR298:BT298" si="1058">IF(K298=1,1,0)</f>
        <v>0</v>
      </c>
      <c r="BS298" s="187">
        <f t="shared" si="1058"/>
        <v>0</v>
      </c>
      <c r="BT298" s="187">
        <f t="shared" si="1058"/>
        <v>0</v>
      </c>
      <c r="BU298" s="187">
        <f t="shared" ref="BU298:BV298" si="1059">IF(P298=1,1,0)</f>
        <v>0</v>
      </c>
      <c r="BV298" s="187">
        <f t="shared" si="1059"/>
        <v>0</v>
      </c>
      <c r="BW298" s="187">
        <f t="shared" si="732"/>
        <v>0</v>
      </c>
      <c r="BX298" s="187">
        <f t="shared" si="733"/>
        <v>0</v>
      </c>
      <c r="BY298" s="187">
        <f t="shared" si="734"/>
        <v>6</v>
      </c>
      <c r="BZ298" s="187">
        <f t="shared" si="735"/>
        <v>-36</v>
      </c>
      <c r="CA298" s="167">
        <f t="shared" si="736"/>
        <v>4</v>
      </c>
      <c r="CB298" s="167">
        <f t="shared" si="737"/>
        <v>69</v>
      </c>
      <c r="CC298" s="644">
        <f t="shared" si="738"/>
        <v>23</v>
      </c>
      <c r="CD298" s="644">
        <f t="shared" si="739"/>
        <v>19</v>
      </c>
      <c r="CE298" s="644">
        <f t="shared" si="740"/>
        <v>0</v>
      </c>
      <c r="CF298" s="644">
        <f t="shared" si="741"/>
        <v>15</v>
      </c>
      <c r="CG298" s="644">
        <f t="shared" si="742"/>
        <v>0</v>
      </c>
      <c r="CH298" s="644">
        <f t="shared" si="1056"/>
        <v>7</v>
      </c>
      <c r="CI298" s="644">
        <f t="shared" si="744"/>
        <v>0</v>
      </c>
      <c r="CJ298" s="644">
        <f t="shared" si="745"/>
        <v>5</v>
      </c>
      <c r="CK298" s="644">
        <f t="shared" si="746"/>
        <v>0</v>
      </c>
      <c r="CL298" s="644">
        <f t="shared" si="747"/>
        <v>0</v>
      </c>
      <c r="CM298" s="644">
        <f t="shared" si="748"/>
        <v>0</v>
      </c>
      <c r="CN298" s="644">
        <f t="shared" si="749"/>
        <v>0</v>
      </c>
      <c r="CO298" s="644">
        <f t="shared" si="750"/>
        <v>0</v>
      </c>
      <c r="CP298" s="644">
        <f t="shared" si="751"/>
        <v>0</v>
      </c>
      <c r="CQ298" s="644">
        <f t="shared" si="752"/>
        <v>0</v>
      </c>
      <c r="CR298" s="644">
        <f t="shared" si="753"/>
        <v>0</v>
      </c>
      <c r="CS298" s="644">
        <f t="shared" si="754"/>
        <v>0</v>
      </c>
      <c r="CT298" s="644">
        <f t="shared" si="755"/>
        <v>0</v>
      </c>
      <c r="CU298" s="644">
        <f t="shared" si="756"/>
        <v>0</v>
      </c>
      <c r="CV298" s="644">
        <f t="shared" si="757"/>
        <v>0</v>
      </c>
      <c r="CW298" s="644">
        <f t="shared" si="758"/>
        <v>0</v>
      </c>
      <c r="CX298" s="644">
        <f t="shared" si="759"/>
        <v>0</v>
      </c>
      <c r="CY298" s="644">
        <f t="shared" si="760"/>
        <v>0</v>
      </c>
      <c r="CZ298" s="624" t="s">
        <v>743</v>
      </c>
    </row>
    <row r="299" spans="1:104">
      <c r="A299" s="253" t="s">
        <v>447</v>
      </c>
      <c r="B299" s="641"/>
      <c r="C299" s="641"/>
      <c r="D299" s="155"/>
      <c r="E299" s="258">
        <v>1</v>
      </c>
      <c r="F299" s="644">
        <v>1</v>
      </c>
      <c r="G299" s="644"/>
      <c r="H299" s="644"/>
      <c r="I299" s="644">
        <v>1</v>
      </c>
      <c r="J299" s="644"/>
      <c r="K299" s="644"/>
      <c r="L299" s="644"/>
      <c r="M299" s="644"/>
      <c r="N299" s="644"/>
      <c r="O299" s="644"/>
      <c r="P299" s="644"/>
      <c r="Q299" s="644"/>
      <c r="R299" s="644">
        <v>1</v>
      </c>
      <c r="S299" s="644"/>
      <c r="T299" s="644"/>
      <c r="U299" s="644">
        <v>1</v>
      </c>
      <c r="V299" s="644"/>
      <c r="W299" s="644"/>
      <c r="X299" s="644">
        <v>1</v>
      </c>
      <c r="Y299" s="644"/>
      <c r="Z299" s="250"/>
      <c r="AA299" s="644"/>
      <c r="AB299" s="644">
        <v>1</v>
      </c>
      <c r="AC299" s="644">
        <v>1</v>
      </c>
      <c r="AD299" s="644"/>
      <c r="AE299" s="644"/>
      <c r="AF299" s="644"/>
      <c r="AG299" s="644"/>
      <c r="AH299" s="644">
        <v>1</v>
      </c>
      <c r="AI299" s="644">
        <v>1</v>
      </c>
      <c r="AJ299" s="644"/>
      <c r="AK299" s="644"/>
      <c r="AL299" s="167">
        <v>10</v>
      </c>
      <c r="AM299" s="641" t="s">
        <v>1333</v>
      </c>
      <c r="AN299" s="192">
        <v>42012</v>
      </c>
      <c r="AO299" s="187"/>
      <c r="AP299" s="187">
        <f t="shared" si="703"/>
        <v>13</v>
      </c>
      <c r="AQ299" s="187">
        <f t="shared" si="704"/>
        <v>13</v>
      </c>
      <c r="AR299" s="187">
        <f t="shared" si="705"/>
        <v>13</v>
      </c>
      <c r="AS299" s="187">
        <f t="shared" si="706"/>
        <v>13</v>
      </c>
      <c r="AT299" s="187">
        <f t="shared" si="707"/>
        <v>9</v>
      </c>
      <c r="AU299" s="187">
        <f t="shared" si="708"/>
        <v>0</v>
      </c>
      <c r="AV299" s="187">
        <f t="shared" si="709"/>
        <v>9</v>
      </c>
      <c r="AW299" s="187">
        <f t="shared" si="710"/>
        <v>0</v>
      </c>
      <c r="AX299" s="187">
        <f t="shared" si="711"/>
        <v>0</v>
      </c>
      <c r="AY299" s="187">
        <f t="shared" si="712"/>
        <v>0</v>
      </c>
      <c r="AZ299" s="187">
        <f t="shared" si="713"/>
        <v>7</v>
      </c>
      <c r="BA299" s="187">
        <f t="shared" si="714"/>
        <v>7</v>
      </c>
      <c r="BB299" s="187">
        <f t="shared" si="715"/>
        <v>0</v>
      </c>
      <c r="BC299" s="187">
        <f t="shared" si="716"/>
        <v>0</v>
      </c>
      <c r="BD299" s="187">
        <f t="shared" si="717"/>
        <v>4</v>
      </c>
      <c r="BE299" s="187">
        <f t="shared" si="718"/>
        <v>0</v>
      </c>
      <c r="BF299" s="187">
        <f t="shared" si="719"/>
        <v>0</v>
      </c>
      <c r="BG299" s="187">
        <f t="shared" si="720"/>
        <v>2</v>
      </c>
      <c r="BH299" s="187">
        <f t="shared" si="721"/>
        <v>0</v>
      </c>
      <c r="BI299" s="187">
        <f t="shared" si="722"/>
        <v>0</v>
      </c>
      <c r="BJ299" s="187">
        <f t="shared" si="723"/>
        <v>0</v>
      </c>
      <c r="BK299" s="187">
        <f t="shared" si="724"/>
        <v>0</v>
      </c>
      <c r="BL299" s="187">
        <f t="shared" si="725"/>
        <v>0</v>
      </c>
      <c r="BM299" s="187">
        <f t="shared" si="726"/>
        <v>0</v>
      </c>
      <c r="BN299" s="188">
        <f t="shared" si="727"/>
        <v>0</v>
      </c>
      <c r="BO299" s="187">
        <f t="shared" si="728"/>
        <v>0</v>
      </c>
      <c r="BP299" s="187">
        <f t="shared" ref="BP299:BQ299" si="1060">IF(G299=1,1,0)</f>
        <v>0</v>
      </c>
      <c r="BQ299" s="187">
        <f t="shared" si="1060"/>
        <v>0</v>
      </c>
      <c r="BR299" s="187">
        <f t="shared" ref="BR299:BT299" si="1061">IF(K299=1,1,0)</f>
        <v>0</v>
      </c>
      <c r="BS299" s="187">
        <f t="shared" si="1061"/>
        <v>0</v>
      </c>
      <c r="BT299" s="187">
        <f t="shared" si="1061"/>
        <v>0</v>
      </c>
      <c r="BU299" s="187">
        <f t="shared" ref="BU299:BV299" si="1062">IF(P299=1,1,0)</f>
        <v>0</v>
      </c>
      <c r="BV299" s="187">
        <f t="shared" si="1062"/>
        <v>0</v>
      </c>
      <c r="BW299" s="187">
        <f t="shared" si="732"/>
        <v>0</v>
      </c>
      <c r="BX299" s="187">
        <f t="shared" si="733"/>
        <v>0</v>
      </c>
      <c r="BY299" s="187">
        <f t="shared" si="734"/>
        <v>0</v>
      </c>
      <c r="BZ299" s="187">
        <f t="shared" si="735"/>
        <v>0</v>
      </c>
      <c r="CA299" s="167">
        <f t="shared" si="736"/>
        <v>90</v>
      </c>
      <c r="CB299" s="167">
        <f t="shared" si="737"/>
        <v>100</v>
      </c>
      <c r="CC299" s="644">
        <f t="shared" si="738"/>
        <v>23</v>
      </c>
      <c r="CD299" s="644">
        <f t="shared" si="739"/>
        <v>19</v>
      </c>
      <c r="CE299" s="644">
        <f t="shared" si="740"/>
        <v>15</v>
      </c>
      <c r="CF299" s="644">
        <f t="shared" si="741"/>
        <v>15</v>
      </c>
      <c r="CG299" s="644">
        <f t="shared" si="742"/>
        <v>9</v>
      </c>
      <c r="CH299" s="644">
        <f>IF(D266=1,7,0)</f>
        <v>7</v>
      </c>
      <c r="CI299" s="644">
        <f t="shared" si="744"/>
        <v>7</v>
      </c>
      <c r="CJ299" s="644">
        <f t="shared" si="745"/>
        <v>0</v>
      </c>
      <c r="CK299" s="644">
        <f t="shared" si="746"/>
        <v>5</v>
      </c>
      <c r="CL299" s="644">
        <f t="shared" si="747"/>
        <v>5</v>
      </c>
      <c r="CM299" s="644">
        <f t="shared" si="748"/>
        <v>0</v>
      </c>
      <c r="CN299" s="644">
        <f t="shared" si="749"/>
        <v>0</v>
      </c>
      <c r="CO299" s="644">
        <f t="shared" si="750"/>
        <v>0</v>
      </c>
      <c r="CP299" s="644">
        <f t="shared" si="751"/>
        <v>0</v>
      </c>
      <c r="CQ299" s="644">
        <f t="shared" si="752"/>
        <v>0</v>
      </c>
      <c r="CR299" s="644">
        <f t="shared" si="753"/>
        <v>0</v>
      </c>
      <c r="CS299" s="644">
        <f t="shared" si="754"/>
        <v>0</v>
      </c>
      <c r="CT299" s="644">
        <f t="shared" si="755"/>
        <v>0</v>
      </c>
      <c r="CU299" s="644">
        <f t="shared" si="756"/>
        <v>1</v>
      </c>
      <c r="CV299" s="644">
        <f t="shared" si="757"/>
        <v>0</v>
      </c>
      <c r="CW299" s="644">
        <f t="shared" si="758"/>
        <v>1</v>
      </c>
      <c r="CX299" s="644">
        <f t="shared" si="759"/>
        <v>0</v>
      </c>
      <c r="CY299" s="644">
        <f t="shared" si="760"/>
        <v>0</v>
      </c>
      <c r="CZ299" s="624" t="s">
        <v>749</v>
      </c>
    </row>
    <row r="300" spans="1:104">
      <c r="A300" s="253" t="s">
        <v>1334</v>
      </c>
      <c r="B300" s="641"/>
      <c r="C300" s="641"/>
      <c r="D300" s="155">
        <v>1</v>
      </c>
      <c r="E300" s="644"/>
      <c r="F300" s="644">
        <v>1</v>
      </c>
      <c r="G300" s="644"/>
      <c r="H300" s="644"/>
      <c r="I300" s="644">
        <v>1</v>
      </c>
      <c r="J300" s="644"/>
      <c r="K300" s="644"/>
      <c r="L300" s="644"/>
      <c r="M300" s="644"/>
      <c r="N300" s="644"/>
      <c r="O300" s="644"/>
      <c r="P300" s="644"/>
      <c r="Q300" s="644"/>
      <c r="R300" s="644">
        <v>1</v>
      </c>
      <c r="S300" s="644"/>
      <c r="T300" s="644"/>
      <c r="U300" s="644">
        <v>1</v>
      </c>
      <c r="V300" s="644"/>
      <c r="W300" s="644"/>
      <c r="X300" s="644">
        <v>1</v>
      </c>
      <c r="Y300" s="644"/>
      <c r="Z300" s="644"/>
      <c r="AA300" s="644"/>
      <c r="AB300" s="644">
        <v>1</v>
      </c>
      <c r="AC300" s="644">
        <v>1</v>
      </c>
      <c r="AD300" s="644"/>
      <c r="AE300" s="644"/>
      <c r="AF300" s="644">
        <v>1</v>
      </c>
      <c r="AG300" s="644"/>
      <c r="AH300" s="644">
        <v>1</v>
      </c>
      <c r="AI300" s="644"/>
      <c r="AJ300" s="644"/>
      <c r="AK300" s="644"/>
      <c r="AL300" s="167">
        <v>10</v>
      </c>
      <c r="AM300" s="191" t="str">
        <f>HYPERLINK("http://bbwaa.com/15-hof-ballots/", "BBWAA.com")</f>
        <v>BBWAA.com</v>
      </c>
      <c r="AN300" s="192">
        <v>42012</v>
      </c>
      <c r="AO300" s="187"/>
      <c r="AP300" s="187">
        <f t="shared" si="703"/>
        <v>13</v>
      </c>
      <c r="AQ300" s="187">
        <f t="shared" si="704"/>
        <v>13</v>
      </c>
      <c r="AR300" s="187">
        <f t="shared" si="705"/>
        <v>13</v>
      </c>
      <c r="AS300" s="187">
        <f t="shared" si="706"/>
        <v>13</v>
      </c>
      <c r="AT300" s="187">
        <f t="shared" si="707"/>
        <v>9</v>
      </c>
      <c r="AU300" s="187">
        <f t="shared" si="708"/>
        <v>9</v>
      </c>
      <c r="AV300" s="187">
        <f t="shared" si="709"/>
        <v>9</v>
      </c>
      <c r="AW300" s="187">
        <f t="shared" si="710"/>
        <v>0</v>
      </c>
      <c r="AX300" s="187">
        <f t="shared" si="711"/>
        <v>0</v>
      </c>
      <c r="AY300" s="187">
        <f t="shared" si="712"/>
        <v>0</v>
      </c>
      <c r="AZ300" s="187">
        <f t="shared" si="713"/>
        <v>7</v>
      </c>
      <c r="BA300" s="187">
        <f t="shared" si="714"/>
        <v>0</v>
      </c>
      <c r="BB300" s="187">
        <f t="shared" si="715"/>
        <v>0</v>
      </c>
      <c r="BC300" s="187">
        <f t="shared" si="716"/>
        <v>0</v>
      </c>
      <c r="BD300" s="187">
        <f t="shared" si="717"/>
        <v>4</v>
      </c>
      <c r="BE300" s="187">
        <f t="shared" si="718"/>
        <v>3</v>
      </c>
      <c r="BF300" s="187">
        <f t="shared" si="719"/>
        <v>0</v>
      </c>
      <c r="BG300" s="187">
        <f t="shared" si="720"/>
        <v>0</v>
      </c>
      <c r="BH300" s="187">
        <f t="shared" si="721"/>
        <v>0</v>
      </c>
      <c r="BI300" s="187">
        <f t="shared" si="722"/>
        <v>0</v>
      </c>
      <c r="BJ300" s="187">
        <f t="shared" si="723"/>
        <v>0</v>
      </c>
      <c r="BK300" s="187">
        <f t="shared" si="724"/>
        <v>0</v>
      </c>
      <c r="BL300" s="187">
        <f t="shared" si="725"/>
        <v>0</v>
      </c>
      <c r="BM300" s="187">
        <f t="shared" si="726"/>
        <v>0</v>
      </c>
      <c r="BN300" s="188">
        <f t="shared" si="727"/>
        <v>0</v>
      </c>
      <c r="BO300" s="187">
        <f t="shared" si="728"/>
        <v>0</v>
      </c>
      <c r="BP300" s="187">
        <f t="shared" ref="BP300:BQ300" si="1063">IF(G300=1,1,0)</f>
        <v>0</v>
      </c>
      <c r="BQ300" s="187">
        <f t="shared" si="1063"/>
        <v>0</v>
      </c>
      <c r="BR300" s="187">
        <f t="shared" ref="BR300:BT300" si="1064">IF(K300=1,1,0)</f>
        <v>0</v>
      </c>
      <c r="BS300" s="187">
        <f t="shared" si="1064"/>
        <v>0</v>
      </c>
      <c r="BT300" s="187">
        <f t="shared" si="1064"/>
        <v>0</v>
      </c>
      <c r="BU300" s="187">
        <f t="shared" ref="BU300:BV300" si="1065">IF(P300=1,1,0)</f>
        <v>0</v>
      </c>
      <c r="BV300" s="187">
        <f t="shared" si="1065"/>
        <v>0</v>
      </c>
      <c r="BW300" s="187">
        <f t="shared" si="732"/>
        <v>0</v>
      </c>
      <c r="BX300" s="187">
        <f t="shared" si="733"/>
        <v>0</v>
      </c>
      <c r="BY300" s="187">
        <f t="shared" si="734"/>
        <v>0</v>
      </c>
      <c r="BZ300" s="187">
        <f t="shared" si="735"/>
        <v>0</v>
      </c>
      <c r="CA300" s="167">
        <f t="shared" si="736"/>
        <v>93</v>
      </c>
      <c r="CB300" s="167">
        <f t="shared" si="737"/>
        <v>90</v>
      </c>
      <c r="CC300" s="644">
        <f t="shared" si="738"/>
        <v>23</v>
      </c>
      <c r="CD300" s="644">
        <f t="shared" si="739"/>
        <v>19</v>
      </c>
      <c r="CE300" s="644">
        <f t="shared" si="740"/>
        <v>15</v>
      </c>
      <c r="CF300" s="644">
        <f t="shared" si="741"/>
        <v>0</v>
      </c>
      <c r="CG300" s="644">
        <f t="shared" si="742"/>
        <v>9</v>
      </c>
      <c r="CH300" s="644">
        <f t="shared" ref="CH300:CH301" si="1066">IF(D268=1,7,0)</f>
        <v>7</v>
      </c>
      <c r="CI300" s="644">
        <f t="shared" si="744"/>
        <v>7</v>
      </c>
      <c r="CJ300" s="644">
        <f t="shared" si="745"/>
        <v>0</v>
      </c>
      <c r="CK300" s="644">
        <f t="shared" si="746"/>
        <v>5</v>
      </c>
      <c r="CL300" s="644">
        <f t="shared" si="747"/>
        <v>5</v>
      </c>
      <c r="CM300" s="644">
        <f t="shared" si="748"/>
        <v>0</v>
      </c>
      <c r="CN300" s="644">
        <f t="shared" si="749"/>
        <v>0</v>
      </c>
      <c r="CO300" s="644">
        <f t="shared" si="750"/>
        <v>0</v>
      </c>
      <c r="CP300" s="644">
        <f t="shared" si="751"/>
        <v>0</v>
      </c>
      <c r="CQ300" s="644">
        <f t="shared" si="752"/>
        <v>0</v>
      </c>
      <c r="CR300" s="644">
        <f t="shared" si="753"/>
        <v>0</v>
      </c>
      <c r="CS300" s="644">
        <f t="shared" si="754"/>
        <v>0</v>
      </c>
      <c r="CT300" s="644">
        <f t="shared" si="755"/>
        <v>2</v>
      </c>
      <c r="CU300" s="644">
        <f t="shared" si="756"/>
        <v>1</v>
      </c>
      <c r="CV300" s="644">
        <f t="shared" si="757"/>
        <v>0</v>
      </c>
      <c r="CW300" s="644">
        <f t="shared" si="758"/>
        <v>0</v>
      </c>
      <c r="CX300" s="644">
        <f t="shared" si="759"/>
        <v>0</v>
      </c>
      <c r="CY300" s="644">
        <f t="shared" si="760"/>
        <v>0</v>
      </c>
      <c r="CZ300" s="624" t="s">
        <v>743</v>
      </c>
    </row>
    <row r="301" spans="1:104" ht="27.75">
      <c r="A301" s="279" t="s">
        <v>987</v>
      </c>
      <c r="B301" s="641"/>
      <c r="C301" s="641"/>
      <c r="D301" s="155"/>
      <c r="E301" s="644">
        <v>1</v>
      </c>
      <c r="F301" s="644"/>
      <c r="G301" s="644"/>
      <c r="H301" s="644"/>
      <c r="I301" s="644">
        <v>1</v>
      </c>
      <c r="J301" s="644"/>
      <c r="K301" s="644"/>
      <c r="L301" s="644"/>
      <c r="M301" s="644"/>
      <c r="N301" s="644"/>
      <c r="O301" s="644"/>
      <c r="P301" s="644"/>
      <c r="Q301" s="644"/>
      <c r="R301" s="644">
        <v>1</v>
      </c>
      <c r="S301" s="644"/>
      <c r="T301" s="644"/>
      <c r="U301" s="644">
        <v>1</v>
      </c>
      <c r="V301" s="644"/>
      <c r="W301" s="644"/>
      <c r="X301" s="644"/>
      <c r="Y301" s="644"/>
      <c r="Z301" s="644"/>
      <c r="AA301" s="644"/>
      <c r="AB301" s="644"/>
      <c r="AC301" s="644">
        <v>1</v>
      </c>
      <c r="AD301" s="644"/>
      <c r="AE301" s="644"/>
      <c r="AF301" s="644"/>
      <c r="AG301" s="644"/>
      <c r="AH301" s="644">
        <v>1</v>
      </c>
      <c r="AI301" s="644"/>
      <c r="AJ301" s="644"/>
      <c r="AK301" s="644"/>
      <c r="AL301" s="167">
        <v>7</v>
      </c>
      <c r="AM301" s="282" t="s">
        <v>1335</v>
      </c>
      <c r="AN301" s="186">
        <v>42030</v>
      </c>
      <c r="AO301" s="187"/>
      <c r="AP301" s="187">
        <f t="shared" si="703"/>
        <v>0</v>
      </c>
      <c r="AQ301" s="187">
        <f t="shared" si="704"/>
        <v>13</v>
      </c>
      <c r="AR301" s="187">
        <f t="shared" si="705"/>
        <v>13</v>
      </c>
      <c r="AS301" s="187">
        <f t="shared" si="706"/>
        <v>13</v>
      </c>
      <c r="AT301" s="187">
        <f t="shared" si="707"/>
        <v>0</v>
      </c>
      <c r="AU301" s="187">
        <f t="shared" si="708"/>
        <v>0</v>
      </c>
      <c r="AV301" s="187">
        <f t="shared" si="709"/>
        <v>9</v>
      </c>
      <c r="AW301" s="187">
        <f t="shared" si="710"/>
        <v>0</v>
      </c>
      <c r="AX301" s="187">
        <f t="shared" si="711"/>
        <v>0</v>
      </c>
      <c r="AY301" s="187">
        <f t="shared" si="712"/>
        <v>0</v>
      </c>
      <c r="AZ301" s="187">
        <f t="shared" si="713"/>
        <v>7</v>
      </c>
      <c r="BA301" s="187">
        <f t="shared" si="714"/>
        <v>7</v>
      </c>
      <c r="BB301" s="187">
        <f t="shared" si="715"/>
        <v>0</v>
      </c>
      <c r="BC301" s="187">
        <f t="shared" si="716"/>
        <v>0</v>
      </c>
      <c r="BD301" s="187">
        <f t="shared" si="717"/>
        <v>0</v>
      </c>
      <c r="BE301" s="187">
        <f t="shared" si="718"/>
        <v>0</v>
      </c>
      <c r="BF301" s="187">
        <f t="shared" si="719"/>
        <v>0</v>
      </c>
      <c r="BG301" s="187">
        <f t="shared" si="720"/>
        <v>0</v>
      </c>
      <c r="BH301" s="187">
        <f t="shared" si="721"/>
        <v>0</v>
      </c>
      <c r="BI301" s="187">
        <f t="shared" si="722"/>
        <v>0</v>
      </c>
      <c r="BJ301" s="187">
        <f t="shared" si="723"/>
        <v>0</v>
      </c>
      <c r="BK301" s="187">
        <f t="shared" si="724"/>
        <v>0</v>
      </c>
      <c r="BL301" s="187">
        <f t="shared" si="725"/>
        <v>0</v>
      </c>
      <c r="BM301" s="187">
        <f t="shared" si="726"/>
        <v>0</v>
      </c>
      <c r="BN301" s="188">
        <f t="shared" si="727"/>
        <v>3</v>
      </c>
      <c r="BO301" s="187">
        <f t="shared" si="728"/>
        <v>0</v>
      </c>
      <c r="BP301" s="187">
        <f t="shared" ref="BP301:BQ301" si="1067">IF(G301=1,1,0)</f>
        <v>0</v>
      </c>
      <c r="BQ301" s="187">
        <f t="shared" si="1067"/>
        <v>0</v>
      </c>
      <c r="BR301" s="187">
        <f t="shared" ref="BR301:BT301" si="1068">IF(K301=1,1,0)</f>
        <v>0</v>
      </c>
      <c r="BS301" s="187">
        <f t="shared" si="1068"/>
        <v>0</v>
      </c>
      <c r="BT301" s="187">
        <f t="shared" si="1068"/>
        <v>0</v>
      </c>
      <c r="BU301" s="187">
        <f t="shared" ref="BU301:BV301" si="1069">IF(P301=1,1,0)</f>
        <v>0</v>
      </c>
      <c r="BV301" s="187">
        <f t="shared" si="1069"/>
        <v>0</v>
      </c>
      <c r="BW301" s="187">
        <f t="shared" si="732"/>
        <v>0</v>
      </c>
      <c r="BX301" s="187">
        <f t="shared" si="733"/>
        <v>0</v>
      </c>
      <c r="BY301" s="187">
        <f t="shared" si="734"/>
        <v>3</v>
      </c>
      <c r="BZ301" s="187">
        <f t="shared" si="735"/>
        <v>-9</v>
      </c>
      <c r="CA301" s="167">
        <f t="shared" si="736"/>
        <v>53</v>
      </c>
      <c r="CB301" s="167">
        <f t="shared" si="737"/>
        <v>84</v>
      </c>
      <c r="CC301" s="644">
        <f t="shared" si="738"/>
        <v>23</v>
      </c>
      <c r="CD301" s="644">
        <f t="shared" si="739"/>
        <v>19</v>
      </c>
      <c r="CE301" s="644">
        <f t="shared" si="740"/>
        <v>15</v>
      </c>
      <c r="CF301" s="644">
        <f t="shared" si="741"/>
        <v>15</v>
      </c>
      <c r="CG301" s="644">
        <f t="shared" si="742"/>
        <v>0</v>
      </c>
      <c r="CH301" s="644">
        <f t="shared" si="1066"/>
        <v>0</v>
      </c>
      <c r="CI301" s="644">
        <f t="shared" si="744"/>
        <v>7</v>
      </c>
      <c r="CJ301" s="644">
        <f t="shared" si="745"/>
        <v>0</v>
      </c>
      <c r="CK301" s="644">
        <f t="shared" si="746"/>
        <v>5</v>
      </c>
      <c r="CL301" s="644">
        <f t="shared" si="747"/>
        <v>0</v>
      </c>
      <c r="CM301" s="644">
        <f t="shared" si="748"/>
        <v>0</v>
      </c>
      <c r="CN301" s="644">
        <f t="shared" si="749"/>
        <v>0</v>
      </c>
      <c r="CO301" s="644">
        <f t="shared" si="750"/>
        <v>0</v>
      </c>
      <c r="CP301" s="644">
        <f t="shared" si="751"/>
        <v>0</v>
      </c>
      <c r="CQ301" s="644">
        <f t="shared" si="752"/>
        <v>0</v>
      </c>
      <c r="CR301" s="644">
        <f t="shared" si="753"/>
        <v>0</v>
      </c>
      <c r="CS301" s="644">
        <f t="shared" si="754"/>
        <v>0</v>
      </c>
      <c r="CT301" s="644">
        <f t="shared" si="755"/>
        <v>0</v>
      </c>
      <c r="CU301" s="644">
        <f t="shared" si="756"/>
        <v>0</v>
      </c>
      <c r="CV301" s="644">
        <f t="shared" si="757"/>
        <v>0</v>
      </c>
      <c r="CW301" s="644">
        <f t="shared" si="758"/>
        <v>0</v>
      </c>
      <c r="CX301" s="644">
        <f t="shared" si="759"/>
        <v>0</v>
      </c>
      <c r="CY301" s="644">
        <f t="shared" si="760"/>
        <v>0</v>
      </c>
      <c r="CZ301" s="624" t="s">
        <v>807</v>
      </c>
    </row>
    <row r="302" spans="1:104">
      <c r="A302" s="253" t="s">
        <v>990</v>
      </c>
      <c r="B302" s="641"/>
      <c r="C302" s="641"/>
      <c r="D302" s="155">
        <v>1</v>
      </c>
      <c r="E302" s="644">
        <v>1</v>
      </c>
      <c r="F302" s="644"/>
      <c r="G302" s="644"/>
      <c r="H302" s="644"/>
      <c r="I302" s="644"/>
      <c r="J302" s="644"/>
      <c r="K302" s="644"/>
      <c r="L302" s="644"/>
      <c r="M302" s="644"/>
      <c r="N302" s="644"/>
      <c r="O302" s="644"/>
      <c r="P302" s="644"/>
      <c r="Q302" s="644"/>
      <c r="R302" s="644">
        <v>1</v>
      </c>
      <c r="S302" s="644"/>
      <c r="T302" s="644"/>
      <c r="U302" s="644">
        <v>1</v>
      </c>
      <c r="V302" s="644"/>
      <c r="W302" s="644"/>
      <c r="X302" s="644"/>
      <c r="Y302" s="644"/>
      <c r="Z302" s="644"/>
      <c r="AA302" s="644"/>
      <c r="AB302" s="644">
        <v>1</v>
      </c>
      <c r="AC302" s="644"/>
      <c r="AD302" s="644">
        <v>1</v>
      </c>
      <c r="AE302" s="644"/>
      <c r="AF302" s="644"/>
      <c r="AG302" s="644"/>
      <c r="AH302" s="644">
        <v>1</v>
      </c>
      <c r="AI302" s="644"/>
      <c r="AJ302" s="644"/>
      <c r="AK302" s="644"/>
      <c r="AL302" s="167">
        <v>7</v>
      </c>
      <c r="AM302" s="191" t="s">
        <v>1336</v>
      </c>
      <c r="AN302" s="192">
        <v>42015</v>
      </c>
      <c r="AO302" s="187"/>
      <c r="AP302" s="187">
        <f t="shared" si="703"/>
        <v>0</v>
      </c>
      <c r="AQ302" s="187">
        <f t="shared" si="704"/>
        <v>0</v>
      </c>
      <c r="AR302" s="187">
        <f t="shared" si="705"/>
        <v>13</v>
      </c>
      <c r="AS302" s="187">
        <f t="shared" si="706"/>
        <v>13</v>
      </c>
      <c r="AT302" s="187">
        <f t="shared" si="707"/>
        <v>9</v>
      </c>
      <c r="AU302" s="187">
        <f t="shared" si="708"/>
        <v>9</v>
      </c>
      <c r="AV302" s="187">
        <f t="shared" si="709"/>
        <v>0</v>
      </c>
      <c r="AW302" s="187">
        <f t="shared" si="710"/>
        <v>0</v>
      </c>
      <c r="AX302" s="187">
        <f t="shared" si="711"/>
        <v>7</v>
      </c>
      <c r="AY302" s="187">
        <f t="shared" si="712"/>
        <v>0</v>
      </c>
      <c r="AZ302" s="187">
        <f t="shared" si="713"/>
        <v>7</v>
      </c>
      <c r="BA302" s="187">
        <f t="shared" si="714"/>
        <v>7</v>
      </c>
      <c r="BB302" s="187">
        <f t="shared" si="715"/>
        <v>0</v>
      </c>
      <c r="BC302" s="187">
        <f t="shared" si="716"/>
        <v>0</v>
      </c>
      <c r="BD302" s="187">
        <f t="shared" si="717"/>
        <v>0</v>
      </c>
      <c r="BE302" s="187">
        <f t="shared" si="718"/>
        <v>0</v>
      </c>
      <c r="BF302" s="187">
        <f t="shared" si="719"/>
        <v>0</v>
      </c>
      <c r="BG302" s="187">
        <f t="shared" si="720"/>
        <v>0</v>
      </c>
      <c r="BH302" s="187">
        <f t="shared" si="721"/>
        <v>0</v>
      </c>
      <c r="BI302" s="187">
        <f t="shared" si="722"/>
        <v>0</v>
      </c>
      <c r="BJ302" s="187">
        <f t="shared" si="723"/>
        <v>0</v>
      </c>
      <c r="BK302" s="187">
        <f t="shared" si="724"/>
        <v>0</v>
      </c>
      <c r="BL302" s="187">
        <f t="shared" si="725"/>
        <v>0</v>
      </c>
      <c r="BM302" s="187">
        <f t="shared" si="726"/>
        <v>0</v>
      </c>
      <c r="BN302" s="188">
        <f t="shared" si="727"/>
        <v>3</v>
      </c>
      <c r="BO302" s="187">
        <f t="shared" si="728"/>
        <v>0</v>
      </c>
      <c r="BP302" s="187">
        <f t="shared" ref="BP302:BQ302" si="1070">IF(G302=1,1,0)</f>
        <v>0</v>
      </c>
      <c r="BQ302" s="187">
        <f t="shared" si="1070"/>
        <v>0</v>
      </c>
      <c r="BR302" s="187">
        <f t="shared" ref="BR302:BT302" si="1071">IF(K302=1,1,0)</f>
        <v>0</v>
      </c>
      <c r="BS302" s="187">
        <f t="shared" si="1071"/>
        <v>0</v>
      </c>
      <c r="BT302" s="187">
        <f t="shared" si="1071"/>
        <v>0</v>
      </c>
      <c r="BU302" s="187">
        <f t="shared" ref="BU302:BV302" si="1072">IF(P302=1,1,0)</f>
        <v>0</v>
      </c>
      <c r="BV302" s="187">
        <f t="shared" si="1072"/>
        <v>0</v>
      </c>
      <c r="BW302" s="187">
        <f t="shared" si="732"/>
        <v>0</v>
      </c>
      <c r="BX302" s="187">
        <f t="shared" si="733"/>
        <v>0</v>
      </c>
      <c r="BY302" s="187">
        <f t="shared" si="734"/>
        <v>3</v>
      </c>
      <c r="BZ302" s="187">
        <f t="shared" si="735"/>
        <v>-9</v>
      </c>
      <c r="CA302" s="167">
        <f t="shared" si="736"/>
        <v>56</v>
      </c>
      <c r="CB302" s="167">
        <f t="shared" si="737"/>
        <v>86</v>
      </c>
      <c r="CC302" s="644">
        <f t="shared" si="738"/>
        <v>23</v>
      </c>
      <c r="CD302" s="644">
        <f t="shared" si="739"/>
        <v>19</v>
      </c>
      <c r="CE302" s="644">
        <f t="shared" si="740"/>
        <v>15</v>
      </c>
      <c r="CF302" s="644">
        <f t="shared" si="741"/>
        <v>15</v>
      </c>
      <c r="CG302" s="644">
        <f t="shared" si="742"/>
        <v>9</v>
      </c>
      <c r="CH302" s="644">
        <f>IF(D269=1,7,0)</f>
        <v>0</v>
      </c>
      <c r="CI302" s="644">
        <f t="shared" si="744"/>
        <v>0</v>
      </c>
      <c r="CJ302" s="644">
        <f t="shared" si="745"/>
        <v>5</v>
      </c>
      <c r="CK302" s="644">
        <f t="shared" si="746"/>
        <v>0</v>
      </c>
      <c r="CL302" s="644">
        <f t="shared" si="747"/>
        <v>0</v>
      </c>
      <c r="CM302" s="644">
        <f t="shared" si="748"/>
        <v>0</v>
      </c>
      <c r="CN302" s="644">
        <f t="shared" si="749"/>
        <v>0</v>
      </c>
      <c r="CO302" s="644">
        <f t="shared" si="750"/>
        <v>0</v>
      </c>
      <c r="CP302" s="644">
        <f t="shared" si="751"/>
        <v>0</v>
      </c>
      <c r="CQ302" s="644">
        <f t="shared" si="752"/>
        <v>0</v>
      </c>
      <c r="CR302" s="644">
        <f t="shared" si="753"/>
        <v>0</v>
      </c>
      <c r="CS302" s="644">
        <f t="shared" si="754"/>
        <v>0</v>
      </c>
      <c r="CT302" s="644">
        <f t="shared" si="755"/>
        <v>0</v>
      </c>
      <c r="CU302" s="644">
        <f t="shared" si="756"/>
        <v>0</v>
      </c>
      <c r="CV302" s="644">
        <f t="shared" si="757"/>
        <v>0</v>
      </c>
      <c r="CW302" s="644">
        <f t="shared" si="758"/>
        <v>0</v>
      </c>
      <c r="CX302" s="644">
        <f t="shared" si="759"/>
        <v>0</v>
      </c>
      <c r="CY302" s="644">
        <f t="shared" si="760"/>
        <v>0</v>
      </c>
      <c r="CZ302" s="624" t="s">
        <v>1296</v>
      </c>
    </row>
    <row r="303" spans="1:104">
      <c r="A303" s="253" t="s">
        <v>1337</v>
      </c>
      <c r="B303" s="641"/>
      <c r="C303" s="641"/>
      <c r="D303" s="155"/>
      <c r="E303" s="644">
        <v>1</v>
      </c>
      <c r="F303" s="644">
        <v>1</v>
      </c>
      <c r="G303" s="644"/>
      <c r="H303" s="644"/>
      <c r="I303" s="644">
        <v>1</v>
      </c>
      <c r="J303" s="644"/>
      <c r="K303" s="644"/>
      <c r="L303" s="644"/>
      <c r="M303" s="644"/>
      <c r="N303" s="644"/>
      <c r="O303" s="644"/>
      <c r="P303" s="644"/>
      <c r="Q303" s="644"/>
      <c r="R303" s="644">
        <v>1</v>
      </c>
      <c r="S303" s="644">
        <v>1</v>
      </c>
      <c r="T303" s="644">
        <v>1</v>
      </c>
      <c r="U303" s="644">
        <v>1</v>
      </c>
      <c r="V303" s="644"/>
      <c r="W303" s="644"/>
      <c r="X303" s="644"/>
      <c r="Y303" s="644"/>
      <c r="Z303" s="644"/>
      <c r="AA303" s="644"/>
      <c r="AB303" s="644">
        <v>1</v>
      </c>
      <c r="AC303" s="644">
        <v>1</v>
      </c>
      <c r="AD303" s="644"/>
      <c r="AE303" s="644"/>
      <c r="AF303" s="644"/>
      <c r="AG303" s="644"/>
      <c r="AH303" s="644">
        <v>1</v>
      </c>
      <c r="AI303" s="644"/>
      <c r="AJ303" s="644"/>
      <c r="AK303" s="644"/>
      <c r="AL303" s="167">
        <v>10</v>
      </c>
      <c r="AM303" s="191" t="str">
        <f>HYPERLINK("http://bbwaa.com/15-hof-ballots/", "BBWAA.com")</f>
        <v>BBWAA.com</v>
      </c>
      <c r="AN303" s="192">
        <v>42012</v>
      </c>
      <c r="AO303" s="187"/>
      <c r="AP303" s="187">
        <f t="shared" si="703"/>
        <v>13</v>
      </c>
      <c r="AQ303" s="187">
        <f t="shared" si="704"/>
        <v>13</v>
      </c>
      <c r="AR303" s="187">
        <f t="shared" si="705"/>
        <v>13</v>
      </c>
      <c r="AS303" s="187">
        <f t="shared" si="706"/>
        <v>13</v>
      </c>
      <c r="AT303" s="187">
        <f t="shared" si="707"/>
        <v>9</v>
      </c>
      <c r="AU303" s="187">
        <f t="shared" si="708"/>
        <v>0</v>
      </c>
      <c r="AV303" s="187">
        <f t="shared" si="709"/>
        <v>9</v>
      </c>
      <c r="AW303" s="187">
        <f t="shared" si="710"/>
        <v>0</v>
      </c>
      <c r="AX303" s="187">
        <f t="shared" si="711"/>
        <v>0</v>
      </c>
      <c r="AY303" s="187">
        <f t="shared" si="712"/>
        <v>0</v>
      </c>
      <c r="AZ303" s="187">
        <f t="shared" si="713"/>
        <v>7</v>
      </c>
      <c r="BA303" s="187">
        <f t="shared" si="714"/>
        <v>7</v>
      </c>
      <c r="BB303" s="187">
        <f t="shared" si="715"/>
        <v>0</v>
      </c>
      <c r="BC303" s="187">
        <f t="shared" si="716"/>
        <v>4</v>
      </c>
      <c r="BD303" s="187">
        <f t="shared" si="717"/>
        <v>0</v>
      </c>
      <c r="BE303" s="187">
        <f t="shared" si="718"/>
        <v>0</v>
      </c>
      <c r="BF303" s="187">
        <f t="shared" si="719"/>
        <v>0</v>
      </c>
      <c r="BG303" s="187">
        <f t="shared" si="720"/>
        <v>0</v>
      </c>
      <c r="BH303" s="187">
        <f t="shared" si="721"/>
        <v>2</v>
      </c>
      <c r="BI303" s="187">
        <f t="shared" si="722"/>
        <v>0</v>
      </c>
      <c r="BJ303" s="187">
        <f t="shared" si="723"/>
        <v>0</v>
      </c>
      <c r="BK303" s="187">
        <f t="shared" si="724"/>
        <v>0</v>
      </c>
      <c r="BL303" s="187">
        <f t="shared" si="725"/>
        <v>0</v>
      </c>
      <c r="BM303" s="187">
        <f t="shared" si="726"/>
        <v>0</v>
      </c>
      <c r="BN303" s="188">
        <f t="shared" si="727"/>
        <v>0</v>
      </c>
      <c r="BO303" s="187">
        <f t="shared" si="728"/>
        <v>0</v>
      </c>
      <c r="BP303" s="187">
        <f t="shared" ref="BP303:BQ303" si="1073">IF(G303=1,1,0)</f>
        <v>0</v>
      </c>
      <c r="BQ303" s="187">
        <f t="shared" si="1073"/>
        <v>0</v>
      </c>
      <c r="BR303" s="187">
        <f t="shared" ref="BR303:BT303" si="1074">IF(K303=1,1,0)</f>
        <v>0</v>
      </c>
      <c r="BS303" s="187">
        <f t="shared" si="1074"/>
        <v>0</v>
      </c>
      <c r="BT303" s="187">
        <f t="shared" si="1074"/>
        <v>0</v>
      </c>
      <c r="BU303" s="187">
        <f t="shared" ref="BU303:BV303" si="1075">IF(P303=1,1,0)</f>
        <v>0</v>
      </c>
      <c r="BV303" s="187">
        <f t="shared" si="1075"/>
        <v>0</v>
      </c>
      <c r="BW303" s="187">
        <f t="shared" si="732"/>
        <v>0</v>
      </c>
      <c r="BX303" s="187">
        <f t="shared" si="733"/>
        <v>0</v>
      </c>
      <c r="BY303" s="187">
        <f t="shared" si="734"/>
        <v>0</v>
      </c>
      <c r="BZ303" s="187">
        <f t="shared" si="735"/>
        <v>0</v>
      </c>
      <c r="CA303" s="167">
        <f t="shared" si="736"/>
        <v>90</v>
      </c>
      <c r="CB303" s="167">
        <f t="shared" si="737"/>
        <v>98</v>
      </c>
      <c r="CC303" s="644">
        <f t="shared" si="738"/>
        <v>23</v>
      </c>
      <c r="CD303" s="644">
        <f t="shared" si="739"/>
        <v>19</v>
      </c>
      <c r="CE303" s="644">
        <f t="shared" si="740"/>
        <v>15</v>
      </c>
      <c r="CF303" s="644">
        <f t="shared" si="741"/>
        <v>15</v>
      </c>
      <c r="CG303" s="644">
        <f t="shared" si="742"/>
        <v>9</v>
      </c>
      <c r="CH303" s="644">
        <f t="shared" ref="CH303:CH307" si="1076">IF(D269=1,7,0)</f>
        <v>0</v>
      </c>
      <c r="CI303" s="644">
        <f t="shared" si="744"/>
        <v>7</v>
      </c>
      <c r="CJ303" s="644">
        <f t="shared" si="745"/>
        <v>0</v>
      </c>
      <c r="CK303" s="644">
        <f t="shared" si="746"/>
        <v>5</v>
      </c>
      <c r="CL303" s="644">
        <f t="shared" si="747"/>
        <v>5</v>
      </c>
      <c r="CM303" s="644">
        <f t="shared" si="748"/>
        <v>0</v>
      </c>
      <c r="CN303" s="644">
        <f t="shared" si="749"/>
        <v>3</v>
      </c>
      <c r="CO303" s="644">
        <f t="shared" si="750"/>
        <v>0</v>
      </c>
      <c r="CP303" s="644">
        <f t="shared" si="751"/>
        <v>0</v>
      </c>
      <c r="CQ303" s="644">
        <f t="shared" si="752"/>
        <v>2</v>
      </c>
      <c r="CR303" s="644">
        <f t="shared" si="753"/>
        <v>0</v>
      </c>
      <c r="CS303" s="644">
        <f t="shared" si="754"/>
        <v>0</v>
      </c>
      <c r="CT303" s="644">
        <f t="shared" si="755"/>
        <v>0</v>
      </c>
      <c r="CU303" s="644">
        <f t="shared" si="756"/>
        <v>0</v>
      </c>
      <c r="CV303" s="644">
        <f t="shared" si="757"/>
        <v>0</v>
      </c>
      <c r="CW303" s="644">
        <f t="shared" si="758"/>
        <v>0</v>
      </c>
      <c r="CX303" s="644">
        <f t="shared" si="759"/>
        <v>0</v>
      </c>
      <c r="CY303" s="644">
        <f t="shared" si="760"/>
        <v>0</v>
      </c>
      <c r="CZ303" s="624" t="s">
        <v>743</v>
      </c>
    </row>
    <row r="304" spans="1:104">
      <c r="A304" s="253" t="s">
        <v>452</v>
      </c>
      <c r="B304" s="641"/>
      <c r="C304" s="641"/>
      <c r="D304" s="276">
        <v>1</v>
      </c>
      <c r="E304" s="644">
        <v>1</v>
      </c>
      <c r="F304" s="644"/>
      <c r="G304" s="644">
        <v>1</v>
      </c>
      <c r="H304" s="644"/>
      <c r="I304" s="644"/>
      <c r="J304" s="644"/>
      <c r="K304" s="644"/>
      <c r="L304" s="644"/>
      <c r="M304" s="644"/>
      <c r="N304" s="644"/>
      <c r="O304" s="644"/>
      <c r="P304" s="644"/>
      <c r="Q304" s="644"/>
      <c r="R304" s="644">
        <v>1</v>
      </c>
      <c r="S304" s="644"/>
      <c r="T304" s="644">
        <v>1</v>
      </c>
      <c r="U304" s="644">
        <v>1</v>
      </c>
      <c r="V304" s="644"/>
      <c r="W304" s="644">
        <v>1</v>
      </c>
      <c r="X304" s="644"/>
      <c r="Y304" s="644"/>
      <c r="Z304" s="644"/>
      <c r="AA304" s="644"/>
      <c r="AB304" s="644"/>
      <c r="AC304" s="644"/>
      <c r="AD304" s="644"/>
      <c r="AE304" s="644"/>
      <c r="AF304" s="644"/>
      <c r="AG304" s="644">
        <v>1</v>
      </c>
      <c r="AH304" s="644">
        <v>1</v>
      </c>
      <c r="AI304" s="644"/>
      <c r="AJ304" s="644"/>
      <c r="AK304" s="644"/>
      <c r="AL304" s="167">
        <v>9</v>
      </c>
      <c r="AM304" s="191" t="s">
        <v>1338</v>
      </c>
      <c r="AN304" s="192">
        <v>42011</v>
      </c>
      <c r="AO304" s="187"/>
      <c r="AP304" s="187">
        <f t="shared" si="703"/>
        <v>0</v>
      </c>
      <c r="AQ304" s="187">
        <f t="shared" si="704"/>
        <v>0</v>
      </c>
      <c r="AR304" s="187">
        <f t="shared" si="705"/>
        <v>13</v>
      </c>
      <c r="AS304" s="187">
        <f t="shared" si="706"/>
        <v>13</v>
      </c>
      <c r="AT304" s="187">
        <f t="shared" si="707"/>
        <v>0</v>
      </c>
      <c r="AU304" s="187">
        <f t="shared" si="708"/>
        <v>9</v>
      </c>
      <c r="AV304" s="187">
        <f t="shared" si="709"/>
        <v>0</v>
      </c>
      <c r="AW304" s="187">
        <f t="shared" si="710"/>
        <v>0</v>
      </c>
      <c r="AX304" s="187">
        <f t="shared" si="711"/>
        <v>0</v>
      </c>
      <c r="AY304" s="187">
        <f t="shared" si="712"/>
        <v>0</v>
      </c>
      <c r="AZ304" s="187">
        <f t="shared" si="713"/>
        <v>7</v>
      </c>
      <c r="BA304" s="187">
        <f t="shared" si="714"/>
        <v>7</v>
      </c>
      <c r="BB304" s="187">
        <f t="shared" si="715"/>
        <v>0</v>
      </c>
      <c r="BC304" s="187">
        <f t="shared" si="716"/>
        <v>4</v>
      </c>
      <c r="BD304" s="187">
        <f t="shared" si="717"/>
        <v>0</v>
      </c>
      <c r="BE304" s="187">
        <f t="shared" si="718"/>
        <v>0</v>
      </c>
      <c r="BF304" s="187">
        <f t="shared" si="719"/>
        <v>3</v>
      </c>
      <c r="BG304" s="187">
        <f t="shared" si="720"/>
        <v>0</v>
      </c>
      <c r="BH304" s="187">
        <f t="shared" si="721"/>
        <v>0</v>
      </c>
      <c r="BI304" s="187">
        <f t="shared" si="722"/>
        <v>0</v>
      </c>
      <c r="BJ304" s="187">
        <f t="shared" si="723"/>
        <v>1</v>
      </c>
      <c r="BK304" s="187">
        <f t="shared" si="724"/>
        <v>0</v>
      </c>
      <c r="BL304" s="187">
        <f t="shared" si="725"/>
        <v>0</v>
      </c>
      <c r="BM304" s="187">
        <f t="shared" si="726"/>
        <v>0</v>
      </c>
      <c r="BN304" s="188">
        <f t="shared" si="727"/>
        <v>1</v>
      </c>
      <c r="BO304" s="187">
        <f t="shared" si="728"/>
        <v>0</v>
      </c>
      <c r="BP304" s="187">
        <f t="shared" ref="BP304:BQ304" si="1077">IF(G304=1,1,0)</f>
        <v>1</v>
      </c>
      <c r="BQ304" s="187">
        <f t="shared" si="1077"/>
        <v>0</v>
      </c>
      <c r="BR304" s="187">
        <f t="shared" ref="BR304:BT304" si="1078">IF(K304=1,1,0)</f>
        <v>0</v>
      </c>
      <c r="BS304" s="187">
        <f t="shared" si="1078"/>
        <v>0</v>
      </c>
      <c r="BT304" s="187">
        <f t="shared" si="1078"/>
        <v>0</v>
      </c>
      <c r="BU304" s="187">
        <f t="shared" ref="BU304:BV304" si="1079">IF(P304=1,1,0)</f>
        <v>0</v>
      </c>
      <c r="BV304" s="187">
        <f t="shared" si="1079"/>
        <v>0</v>
      </c>
      <c r="BW304" s="187">
        <f t="shared" si="732"/>
        <v>0</v>
      </c>
      <c r="BX304" s="187">
        <f t="shared" si="733"/>
        <v>0</v>
      </c>
      <c r="BY304" s="187">
        <f t="shared" si="734"/>
        <v>2</v>
      </c>
      <c r="BZ304" s="187">
        <f t="shared" si="735"/>
        <v>-4</v>
      </c>
      <c r="CA304" s="167">
        <f t="shared" si="736"/>
        <v>53</v>
      </c>
      <c r="CB304" s="167">
        <f t="shared" si="737"/>
        <v>80</v>
      </c>
      <c r="CC304" s="644">
        <f t="shared" si="738"/>
        <v>23</v>
      </c>
      <c r="CD304" s="644">
        <f t="shared" si="739"/>
        <v>19</v>
      </c>
      <c r="CE304" s="644">
        <f t="shared" si="740"/>
        <v>15</v>
      </c>
      <c r="CF304" s="644">
        <f t="shared" si="741"/>
        <v>15</v>
      </c>
      <c r="CG304" s="644">
        <f t="shared" si="742"/>
        <v>0</v>
      </c>
      <c r="CH304" s="644">
        <f t="shared" si="1076"/>
        <v>0</v>
      </c>
      <c r="CI304" s="644">
        <f t="shared" si="744"/>
        <v>0</v>
      </c>
      <c r="CJ304" s="644">
        <f t="shared" si="745"/>
        <v>0</v>
      </c>
      <c r="CK304" s="644">
        <f t="shared" si="746"/>
        <v>0</v>
      </c>
      <c r="CL304" s="644">
        <f t="shared" si="747"/>
        <v>0</v>
      </c>
      <c r="CM304" s="644">
        <f t="shared" si="748"/>
        <v>3</v>
      </c>
      <c r="CN304" s="644">
        <f t="shared" si="749"/>
        <v>3</v>
      </c>
      <c r="CO304" s="644">
        <f t="shared" si="750"/>
        <v>0</v>
      </c>
      <c r="CP304" s="644">
        <f t="shared" si="751"/>
        <v>0</v>
      </c>
      <c r="CQ304" s="644">
        <f t="shared" si="752"/>
        <v>0</v>
      </c>
      <c r="CR304" s="644">
        <f t="shared" si="753"/>
        <v>2</v>
      </c>
      <c r="CS304" s="644">
        <f t="shared" si="754"/>
        <v>0</v>
      </c>
      <c r="CT304" s="644">
        <f t="shared" si="755"/>
        <v>0</v>
      </c>
      <c r="CU304" s="644">
        <f t="shared" si="756"/>
        <v>0</v>
      </c>
      <c r="CV304" s="644">
        <f t="shared" si="757"/>
        <v>0</v>
      </c>
      <c r="CW304" s="644">
        <f t="shared" si="758"/>
        <v>0</v>
      </c>
      <c r="CX304" s="644">
        <f t="shared" si="759"/>
        <v>0</v>
      </c>
      <c r="CY304" s="644">
        <f t="shared" si="760"/>
        <v>0</v>
      </c>
      <c r="CZ304" s="624" t="s">
        <v>1126</v>
      </c>
    </row>
    <row r="305" spans="1:104">
      <c r="A305" s="253" t="s">
        <v>453</v>
      </c>
      <c r="B305" s="641"/>
      <c r="C305" s="641"/>
      <c r="D305" s="276">
        <v>1</v>
      </c>
      <c r="E305" s="644">
        <v>1</v>
      </c>
      <c r="F305" s="644"/>
      <c r="G305" s="644"/>
      <c r="H305" s="644"/>
      <c r="I305" s="644"/>
      <c r="J305" s="644"/>
      <c r="K305" s="644"/>
      <c r="L305" s="644"/>
      <c r="M305" s="644"/>
      <c r="N305" s="644"/>
      <c r="O305" s="644"/>
      <c r="P305" s="644"/>
      <c r="Q305" s="644"/>
      <c r="R305" s="644">
        <v>1</v>
      </c>
      <c r="S305" s="644"/>
      <c r="T305" s="644"/>
      <c r="U305" s="644">
        <v>1</v>
      </c>
      <c r="V305" s="644"/>
      <c r="W305" s="644"/>
      <c r="X305" s="644"/>
      <c r="Y305" s="644"/>
      <c r="Z305" s="644">
        <v>1</v>
      </c>
      <c r="AA305" s="644"/>
      <c r="AB305" s="644"/>
      <c r="AC305" s="644"/>
      <c r="AD305" s="250"/>
      <c r="AE305" s="644"/>
      <c r="AF305" s="644"/>
      <c r="AG305" s="644"/>
      <c r="AH305" s="644">
        <v>1</v>
      </c>
      <c r="AI305" s="644"/>
      <c r="AJ305" s="644">
        <v>1</v>
      </c>
      <c r="AK305" s="644"/>
      <c r="AL305" s="167">
        <v>7</v>
      </c>
      <c r="AM305" s="191" t="str">
        <f>HYPERLINK("http://bbwaa.com/15-hof-ballots/", "BBWAA.com")</f>
        <v>BBWAA.com</v>
      </c>
      <c r="AN305" s="192">
        <v>42012</v>
      </c>
      <c r="AO305" s="187"/>
      <c r="AP305" s="187">
        <f t="shared" si="703"/>
        <v>0</v>
      </c>
      <c r="AQ305" s="187">
        <f t="shared" si="704"/>
        <v>0</v>
      </c>
      <c r="AR305" s="187">
        <f t="shared" si="705"/>
        <v>13</v>
      </c>
      <c r="AS305" s="187">
        <f t="shared" si="706"/>
        <v>13</v>
      </c>
      <c r="AT305" s="187">
        <f t="shared" si="707"/>
        <v>0</v>
      </c>
      <c r="AU305" s="187">
        <f t="shared" si="708"/>
        <v>9</v>
      </c>
      <c r="AV305" s="187">
        <f t="shared" si="709"/>
        <v>0</v>
      </c>
      <c r="AW305" s="187">
        <f t="shared" si="710"/>
        <v>7</v>
      </c>
      <c r="AX305" s="187">
        <f t="shared" si="711"/>
        <v>0</v>
      </c>
      <c r="AY305" s="187">
        <f t="shared" si="712"/>
        <v>7</v>
      </c>
      <c r="AZ305" s="187">
        <f t="shared" si="713"/>
        <v>7</v>
      </c>
      <c r="BA305" s="187">
        <f t="shared" si="714"/>
        <v>7</v>
      </c>
      <c r="BB305" s="187">
        <f t="shared" si="715"/>
        <v>0</v>
      </c>
      <c r="BC305" s="187">
        <f t="shared" si="716"/>
        <v>0</v>
      </c>
      <c r="BD305" s="187">
        <f t="shared" si="717"/>
        <v>0</v>
      </c>
      <c r="BE305" s="187">
        <f t="shared" si="718"/>
        <v>0</v>
      </c>
      <c r="BF305" s="187">
        <f t="shared" si="719"/>
        <v>0</v>
      </c>
      <c r="BG305" s="187">
        <f t="shared" si="720"/>
        <v>0</v>
      </c>
      <c r="BH305" s="187">
        <f t="shared" si="721"/>
        <v>0</v>
      </c>
      <c r="BI305" s="187">
        <f t="shared" si="722"/>
        <v>0</v>
      </c>
      <c r="BJ305" s="187">
        <f t="shared" si="723"/>
        <v>0</v>
      </c>
      <c r="BK305" s="187">
        <f t="shared" si="724"/>
        <v>0</v>
      </c>
      <c r="BL305" s="187">
        <f t="shared" si="725"/>
        <v>0</v>
      </c>
      <c r="BM305" s="187">
        <f t="shared" si="726"/>
        <v>0</v>
      </c>
      <c r="BN305" s="188">
        <f t="shared" si="727"/>
        <v>3</v>
      </c>
      <c r="BO305" s="187">
        <f t="shared" si="728"/>
        <v>0</v>
      </c>
      <c r="BP305" s="187">
        <f t="shared" ref="BP305:BQ305" si="1080">IF(G305=1,1,0)</f>
        <v>0</v>
      </c>
      <c r="BQ305" s="187">
        <f t="shared" si="1080"/>
        <v>0</v>
      </c>
      <c r="BR305" s="187">
        <f t="shared" ref="BR305:BT305" si="1081">IF(K305=1,1,0)</f>
        <v>0</v>
      </c>
      <c r="BS305" s="187">
        <f t="shared" si="1081"/>
        <v>0</v>
      </c>
      <c r="BT305" s="187">
        <f t="shared" si="1081"/>
        <v>0</v>
      </c>
      <c r="BU305" s="187">
        <f t="shared" ref="BU305:BV305" si="1082">IF(P305=1,1,0)</f>
        <v>0</v>
      </c>
      <c r="BV305" s="187">
        <f t="shared" si="1082"/>
        <v>0</v>
      </c>
      <c r="BW305" s="187">
        <f t="shared" si="732"/>
        <v>0</v>
      </c>
      <c r="BX305" s="187">
        <f t="shared" si="733"/>
        <v>0</v>
      </c>
      <c r="BY305" s="187">
        <f t="shared" si="734"/>
        <v>3</v>
      </c>
      <c r="BZ305" s="187">
        <f t="shared" si="735"/>
        <v>-9</v>
      </c>
      <c r="CA305" s="167">
        <f t="shared" si="736"/>
        <v>54</v>
      </c>
      <c r="CB305" s="167">
        <f t="shared" si="737"/>
        <v>85</v>
      </c>
      <c r="CC305" s="644">
        <f t="shared" si="738"/>
        <v>23</v>
      </c>
      <c r="CD305" s="644">
        <f t="shared" si="739"/>
        <v>19</v>
      </c>
      <c r="CE305" s="644">
        <f t="shared" si="740"/>
        <v>15</v>
      </c>
      <c r="CF305" s="644">
        <f t="shared" si="741"/>
        <v>15</v>
      </c>
      <c r="CG305" s="644">
        <f t="shared" si="742"/>
        <v>0</v>
      </c>
      <c r="CH305" s="644">
        <f t="shared" si="1076"/>
        <v>7</v>
      </c>
      <c r="CI305" s="644">
        <f t="shared" si="744"/>
        <v>0</v>
      </c>
      <c r="CJ305" s="644">
        <f t="shared" si="745"/>
        <v>0</v>
      </c>
      <c r="CK305" s="644">
        <f t="shared" si="746"/>
        <v>0</v>
      </c>
      <c r="CL305" s="644">
        <f t="shared" si="747"/>
        <v>0</v>
      </c>
      <c r="CM305" s="644">
        <f t="shared" si="748"/>
        <v>0</v>
      </c>
      <c r="CN305" s="644">
        <f t="shared" si="749"/>
        <v>0</v>
      </c>
      <c r="CO305" s="644">
        <f t="shared" si="750"/>
        <v>3</v>
      </c>
      <c r="CP305" s="644">
        <f t="shared" si="751"/>
        <v>3</v>
      </c>
      <c r="CQ305" s="644">
        <f t="shared" si="752"/>
        <v>0</v>
      </c>
      <c r="CR305" s="644">
        <f t="shared" si="753"/>
        <v>0</v>
      </c>
      <c r="CS305" s="644">
        <f t="shared" si="754"/>
        <v>0</v>
      </c>
      <c r="CT305" s="644">
        <f t="shared" si="755"/>
        <v>0</v>
      </c>
      <c r="CU305" s="644">
        <f t="shared" si="756"/>
        <v>0</v>
      </c>
      <c r="CV305" s="644">
        <f t="shared" si="757"/>
        <v>0</v>
      </c>
      <c r="CW305" s="644">
        <f t="shared" si="758"/>
        <v>0</v>
      </c>
      <c r="CX305" s="644">
        <f t="shared" si="759"/>
        <v>0</v>
      </c>
      <c r="CY305" s="644">
        <f t="shared" si="760"/>
        <v>0</v>
      </c>
      <c r="CZ305" s="624" t="s">
        <v>814</v>
      </c>
    </row>
    <row r="306" spans="1:104">
      <c r="A306" s="277" t="s">
        <v>454</v>
      </c>
      <c r="B306" s="641"/>
      <c r="C306" s="641"/>
      <c r="D306" s="281"/>
      <c r="E306" s="256">
        <v>1</v>
      </c>
      <c r="F306" s="256">
        <v>1</v>
      </c>
      <c r="G306" s="644"/>
      <c r="H306" s="644"/>
      <c r="I306" s="256">
        <v>1</v>
      </c>
      <c r="J306" s="644"/>
      <c r="K306" s="644"/>
      <c r="L306" s="644"/>
      <c r="M306" s="644"/>
      <c r="N306" s="644"/>
      <c r="O306" s="644"/>
      <c r="P306" s="644"/>
      <c r="Q306" s="644"/>
      <c r="R306" s="644">
        <v>1</v>
      </c>
      <c r="S306" s="644"/>
      <c r="T306" s="644"/>
      <c r="U306" s="644">
        <v>1</v>
      </c>
      <c r="V306" s="644"/>
      <c r="W306" s="644"/>
      <c r="X306" s="644"/>
      <c r="Y306" s="644"/>
      <c r="Z306" s="255"/>
      <c r="AA306" s="644"/>
      <c r="AB306" s="256">
        <v>1</v>
      </c>
      <c r="AC306" s="255"/>
      <c r="AD306" s="378">
        <v>1</v>
      </c>
      <c r="AE306" s="644"/>
      <c r="AF306" s="644"/>
      <c r="AG306" s="644"/>
      <c r="AH306" s="644">
        <v>1</v>
      </c>
      <c r="AI306" s="644"/>
      <c r="AJ306" s="644"/>
      <c r="AK306" s="644"/>
      <c r="AL306" s="167">
        <v>8</v>
      </c>
      <c r="AM306" s="641" t="s">
        <v>1311</v>
      </c>
      <c r="AN306" s="192">
        <v>42010</v>
      </c>
      <c r="AO306" s="187"/>
      <c r="AP306" s="187">
        <f t="shared" si="703"/>
        <v>13</v>
      </c>
      <c r="AQ306" s="187">
        <f t="shared" si="704"/>
        <v>13</v>
      </c>
      <c r="AR306" s="187">
        <f t="shared" si="705"/>
        <v>13</v>
      </c>
      <c r="AS306" s="187">
        <f t="shared" si="706"/>
        <v>13</v>
      </c>
      <c r="AT306" s="187">
        <f t="shared" si="707"/>
        <v>9</v>
      </c>
      <c r="AU306" s="187">
        <f t="shared" si="708"/>
        <v>0</v>
      </c>
      <c r="AV306" s="187">
        <f t="shared" si="709"/>
        <v>0</v>
      </c>
      <c r="AW306" s="187">
        <f t="shared" si="710"/>
        <v>0</v>
      </c>
      <c r="AX306" s="187">
        <f t="shared" si="711"/>
        <v>7</v>
      </c>
      <c r="AY306" s="187">
        <f t="shared" si="712"/>
        <v>0</v>
      </c>
      <c r="AZ306" s="187">
        <f t="shared" si="713"/>
        <v>7</v>
      </c>
      <c r="BA306" s="187">
        <f t="shared" si="714"/>
        <v>7</v>
      </c>
      <c r="BB306" s="187">
        <f t="shared" si="715"/>
        <v>0</v>
      </c>
      <c r="BC306" s="187">
        <f t="shared" si="716"/>
        <v>0</v>
      </c>
      <c r="BD306" s="187">
        <f t="shared" si="717"/>
        <v>0</v>
      </c>
      <c r="BE306" s="187">
        <f t="shared" si="718"/>
        <v>0</v>
      </c>
      <c r="BF306" s="187">
        <f t="shared" si="719"/>
        <v>0</v>
      </c>
      <c r="BG306" s="187">
        <f t="shared" si="720"/>
        <v>0</v>
      </c>
      <c r="BH306" s="187">
        <f t="shared" si="721"/>
        <v>0</v>
      </c>
      <c r="BI306" s="187">
        <f t="shared" si="722"/>
        <v>0</v>
      </c>
      <c r="BJ306" s="187">
        <f t="shared" si="723"/>
        <v>0</v>
      </c>
      <c r="BK306" s="187">
        <f t="shared" si="724"/>
        <v>0</v>
      </c>
      <c r="BL306" s="187">
        <f t="shared" si="725"/>
        <v>0</v>
      </c>
      <c r="BM306" s="187">
        <f t="shared" si="726"/>
        <v>0</v>
      </c>
      <c r="BN306" s="188">
        <f t="shared" si="727"/>
        <v>2</v>
      </c>
      <c r="BO306" s="187">
        <f t="shared" si="728"/>
        <v>0</v>
      </c>
      <c r="BP306" s="187">
        <f t="shared" ref="BP306:BQ306" si="1083">IF(G306=1,1,0)</f>
        <v>0</v>
      </c>
      <c r="BQ306" s="187">
        <f t="shared" si="1083"/>
        <v>0</v>
      </c>
      <c r="BR306" s="187">
        <f t="shared" ref="BR306:BT306" si="1084">IF(K306=1,1,0)</f>
        <v>0</v>
      </c>
      <c r="BS306" s="187">
        <f t="shared" si="1084"/>
        <v>0</v>
      </c>
      <c r="BT306" s="187">
        <f t="shared" si="1084"/>
        <v>0</v>
      </c>
      <c r="BU306" s="187">
        <f t="shared" ref="BU306:BV306" si="1085">IF(P306=1,1,0)</f>
        <v>0</v>
      </c>
      <c r="BV306" s="187">
        <f t="shared" si="1085"/>
        <v>0</v>
      </c>
      <c r="BW306" s="187">
        <f t="shared" si="732"/>
        <v>0</v>
      </c>
      <c r="BX306" s="187">
        <f t="shared" si="733"/>
        <v>0</v>
      </c>
      <c r="BY306" s="187">
        <f t="shared" si="734"/>
        <v>2</v>
      </c>
      <c r="BZ306" s="187">
        <f t="shared" si="735"/>
        <v>-4</v>
      </c>
      <c r="CA306" s="167">
        <f t="shared" si="736"/>
        <v>78</v>
      </c>
      <c r="CB306" s="167">
        <f t="shared" si="737"/>
        <v>96</v>
      </c>
      <c r="CC306" s="644">
        <f t="shared" si="738"/>
        <v>23</v>
      </c>
      <c r="CD306" s="644">
        <f t="shared" si="739"/>
        <v>19</v>
      </c>
      <c r="CE306" s="644">
        <f t="shared" si="740"/>
        <v>15</v>
      </c>
      <c r="CF306" s="644">
        <f t="shared" si="741"/>
        <v>15</v>
      </c>
      <c r="CG306" s="644">
        <f t="shared" si="742"/>
        <v>9</v>
      </c>
      <c r="CH306" s="644">
        <f t="shared" si="1076"/>
        <v>0</v>
      </c>
      <c r="CI306" s="644">
        <f t="shared" si="744"/>
        <v>0</v>
      </c>
      <c r="CJ306" s="644">
        <f t="shared" si="745"/>
        <v>5</v>
      </c>
      <c r="CK306" s="644">
        <f t="shared" si="746"/>
        <v>5</v>
      </c>
      <c r="CL306" s="644">
        <f t="shared" si="747"/>
        <v>5</v>
      </c>
      <c r="CM306" s="644">
        <f t="shared" si="748"/>
        <v>0</v>
      </c>
      <c r="CN306" s="644">
        <f t="shared" si="749"/>
        <v>0</v>
      </c>
      <c r="CO306" s="644">
        <f t="shared" si="750"/>
        <v>0</v>
      </c>
      <c r="CP306" s="644">
        <f t="shared" si="751"/>
        <v>0</v>
      </c>
      <c r="CQ306" s="644">
        <f t="shared" si="752"/>
        <v>0</v>
      </c>
      <c r="CR306" s="644">
        <f t="shared" si="753"/>
        <v>0</v>
      </c>
      <c r="CS306" s="644">
        <f t="shared" si="754"/>
        <v>0</v>
      </c>
      <c r="CT306" s="644">
        <f t="shared" si="755"/>
        <v>0</v>
      </c>
      <c r="CU306" s="644">
        <f t="shared" si="756"/>
        <v>0</v>
      </c>
      <c r="CV306" s="644">
        <f t="shared" si="757"/>
        <v>0</v>
      </c>
      <c r="CW306" s="644">
        <f t="shared" si="758"/>
        <v>0</v>
      </c>
      <c r="CX306" s="644">
        <f t="shared" si="759"/>
        <v>0</v>
      </c>
      <c r="CY306" s="644">
        <f t="shared" si="760"/>
        <v>0</v>
      </c>
      <c r="CZ306" s="624" t="s">
        <v>841</v>
      </c>
    </row>
    <row r="307" spans="1:104">
      <c r="A307" s="253" t="s">
        <v>455</v>
      </c>
      <c r="B307" s="641"/>
      <c r="C307" s="641"/>
      <c r="D307" s="155">
        <v>1</v>
      </c>
      <c r="E307" s="644">
        <v>1</v>
      </c>
      <c r="F307" s="644">
        <v>1</v>
      </c>
      <c r="G307" s="644"/>
      <c r="H307" s="644"/>
      <c r="I307" s="644">
        <v>1</v>
      </c>
      <c r="J307" s="644">
        <v>1</v>
      </c>
      <c r="K307" s="644"/>
      <c r="L307" s="644"/>
      <c r="M307" s="644"/>
      <c r="N307" s="644"/>
      <c r="O307" s="644"/>
      <c r="P307" s="644"/>
      <c r="Q307" s="644"/>
      <c r="R307" s="644">
        <v>1</v>
      </c>
      <c r="S307" s="644"/>
      <c r="T307" s="644">
        <v>1</v>
      </c>
      <c r="U307" s="644">
        <v>1</v>
      </c>
      <c r="V307" s="644"/>
      <c r="W307" s="644"/>
      <c r="X307" s="644"/>
      <c r="Y307" s="644"/>
      <c r="Z307" s="644"/>
      <c r="AA307" s="644"/>
      <c r="AB307" s="644">
        <v>1</v>
      </c>
      <c r="AC307" s="644">
        <v>1</v>
      </c>
      <c r="AD307" s="644"/>
      <c r="AE307" s="644"/>
      <c r="AF307" s="644"/>
      <c r="AG307" s="644"/>
      <c r="AH307" s="644"/>
      <c r="AI307" s="644"/>
      <c r="AJ307" s="644"/>
      <c r="AK307" s="644"/>
      <c r="AL307" s="167">
        <v>10</v>
      </c>
      <c r="AM307" s="191" t="str">
        <f>HYPERLINK("http://bbwaa.com/15-hof-ballots/", "BBWAA.com")</f>
        <v>BBWAA.com</v>
      </c>
      <c r="AN307" s="192">
        <v>42017</v>
      </c>
      <c r="AO307" s="187"/>
      <c r="AP307" s="187">
        <f t="shared" si="703"/>
        <v>13</v>
      </c>
      <c r="AQ307" s="187">
        <f t="shared" si="704"/>
        <v>13</v>
      </c>
      <c r="AR307" s="187">
        <f t="shared" si="705"/>
        <v>13</v>
      </c>
      <c r="AS307" s="187">
        <f t="shared" si="706"/>
        <v>13</v>
      </c>
      <c r="AT307" s="187">
        <f t="shared" si="707"/>
        <v>9</v>
      </c>
      <c r="AU307" s="187">
        <f t="shared" si="708"/>
        <v>9</v>
      </c>
      <c r="AV307" s="187">
        <f t="shared" si="709"/>
        <v>9</v>
      </c>
      <c r="AW307" s="187">
        <f t="shared" si="710"/>
        <v>0</v>
      </c>
      <c r="AX307" s="187">
        <f t="shared" si="711"/>
        <v>0</v>
      </c>
      <c r="AY307" s="187">
        <f t="shared" si="712"/>
        <v>0</v>
      </c>
      <c r="AZ307" s="187">
        <f t="shared" si="713"/>
        <v>0</v>
      </c>
      <c r="BA307" s="187">
        <f t="shared" si="714"/>
        <v>7</v>
      </c>
      <c r="BB307" s="187">
        <f t="shared" si="715"/>
        <v>0</v>
      </c>
      <c r="BC307" s="187">
        <f t="shared" si="716"/>
        <v>4</v>
      </c>
      <c r="BD307" s="187">
        <f t="shared" si="717"/>
        <v>0</v>
      </c>
      <c r="BE307" s="187">
        <f t="shared" si="718"/>
        <v>0</v>
      </c>
      <c r="BF307" s="187">
        <f t="shared" si="719"/>
        <v>0</v>
      </c>
      <c r="BG307" s="187">
        <f t="shared" si="720"/>
        <v>0</v>
      </c>
      <c r="BH307" s="187">
        <f t="shared" si="721"/>
        <v>0</v>
      </c>
      <c r="BI307" s="187">
        <f t="shared" si="722"/>
        <v>0</v>
      </c>
      <c r="BJ307" s="187">
        <f t="shared" si="723"/>
        <v>0</v>
      </c>
      <c r="BK307" s="187">
        <f t="shared" si="724"/>
        <v>0</v>
      </c>
      <c r="BL307" s="187">
        <f t="shared" si="725"/>
        <v>1</v>
      </c>
      <c r="BM307" s="187">
        <f t="shared" si="726"/>
        <v>0</v>
      </c>
      <c r="BN307" s="188">
        <f t="shared" si="727"/>
        <v>0</v>
      </c>
      <c r="BO307" s="187">
        <f t="shared" si="728"/>
        <v>0</v>
      </c>
      <c r="BP307" s="187">
        <f t="shared" ref="BP307:BQ307" si="1086">IF(G307=1,1,0)</f>
        <v>0</v>
      </c>
      <c r="BQ307" s="187">
        <f t="shared" si="1086"/>
        <v>0</v>
      </c>
      <c r="BR307" s="187">
        <f t="shared" ref="BR307:BT307" si="1087">IF(K307=1,1,0)</f>
        <v>0</v>
      </c>
      <c r="BS307" s="187">
        <f t="shared" si="1087"/>
        <v>0</v>
      </c>
      <c r="BT307" s="187">
        <f t="shared" si="1087"/>
        <v>0</v>
      </c>
      <c r="BU307" s="187">
        <f t="shared" ref="BU307:BV307" si="1088">IF(P307=1,1,0)</f>
        <v>0</v>
      </c>
      <c r="BV307" s="187">
        <f t="shared" si="1088"/>
        <v>0</v>
      </c>
      <c r="BW307" s="187">
        <f t="shared" si="732"/>
        <v>0</v>
      </c>
      <c r="BX307" s="187">
        <f t="shared" si="733"/>
        <v>0</v>
      </c>
      <c r="BY307" s="187">
        <f t="shared" si="734"/>
        <v>0</v>
      </c>
      <c r="BZ307" s="187">
        <f t="shared" si="735"/>
        <v>0</v>
      </c>
      <c r="CA307" s="167">
        <f t="shared" si="736"/>
        <v>91</v>
      </c>
      <c r="CB307" s="167">
        <f t="shared" si="737"/>
        <v>90</v>
      </c>
      <c r="CC307" s="644">
        <f t="shared" si="738"/>
        <v>23</v>
      </c>
      <c r="CD307" s="644">
        <f t="shared" si="739"/>
        <v>19</v>
      </c>
      <c r="CE307" s="644">
        <f t="shared" si="740"/>
        <v>0</v>
      </c>
      <c r="CF307" s="644">
        <f t="shared" si="741"/>
        <v>15</v>
      </c>
      <c r="CG307" s="644">
        <f t="shared" si="742"/>
        <v>9</v>
      </c>
      <c r="CH307" s="644">
        <f t="shared" si="1076"/>
        <v>7</v>
      </c>
      <c r="CI307" s="644">
        <f t="shared" si="744"/>
        <v>7</v>
      </c>
      <c r="CJ307" s="644">
        <f t="shared" si="745"/>
        <v>0</v>
      </c>
      <c r="CK307" s="644">
        <f t="shared" si="746"/>
        <v>5</v>
      </c>
      <c r="CL307" s="644">
        <f t="shared" si="747"/>
        <v>5</v>
      </c>
      <c r="CM307" s="644">
        <f t="shared" si="748"/>
        <v>0</v>
      </c>
      <c r="CN307" s="644">
        <f t="shared" si="749"/>
        <v>3</v>
      </c>
      <c r="CO307" s="644">
        <f t="shared" si="750"/>
        <v>0</v>
      </c>
      <c r="CP307" s="644">
        <f t="shared" si="751"/>
        <v>0</v>
      </c>
      <c r="CQ307" s="644">
        <f t="shared" si="752"/>
        <v>0</v>
      </c>
      <c r="CR307" s="644">
        <f t="shared" si="753"/>
        <v>0</v>
      </c>
      <c r="CS307" s="644">
        <f t="shared" si="754"/>
        <v>0</v>
      </c>
      <c r="CT307" s="644">
        <f t="shared" si="755"/>
        <v>0</v>
      </c>
      <c r="CU307" s="644">
        <f t="shared" si="756"/>
        <v>0</v>
      </c>
      <c r="CV307" s="644">
        <f t="shared" si="757"/>
        <v>0</v>
      </c>
      <c r="CW307" s="644">
        <f t="shared" si="758"/>
        <v>0</v>
      </c>
      <c r="CX307" s="644">
        <f t="shared" si="759"/>
        <v>0</v>
      </c>
      <c r="CY307" s="644">
        <f t="shared" si="760"/>
        <v>1</v>
      </c>
      <c r="CZ307" s="624" t="s">
        <v>743</v>
      </c>
    </row>
    <row r="308" spans="1:104">
      <c r="A308" s="253" t="s">
        <v>1339</v>
      </c>
      <c r="B308" s="641"/>
      <c r="C308" s="641"/>
      <c r="D308" s="155"/>
      <c r="E308" s="644">
        <v>1</v>
      </c>
      <c r="F308" s="644"/>
      <c r="G308" s="644"/>
      <c r="H308" s="644"/>
      <c r="I308" s="644"/>
      <c r="J308" s="644"/>
      <c r="K308" s="644"/>
      <c r="L308" s="644"/>
      <c r="M308" s="644"/>
      <c r="N308" s="644"/>
      <c r="O308" s="644"/>
      <c r="P308" s="644"/>
      <c r="Q308" s="644"/>
      <c r="R308" s="644">
        <v>1</v>
      </c>
      <c r="S308" s="644"/>
      <c r="T308" s="644"/>
      <c r="U308" s="644">
        <v>1</v>
      </c>
      <c r="V308" s="644"/>
      <c r="W308" s="644"/>
      <c r="X308" s="644"/>
      <c r="Y308" s="644"/>
      <c r="Z308" s="644"/>
      <c r="AA308" s="644"/>
      <c r="AB308" s="644"/>
      <c r="AC308" s="644"/>
      <c r="AD308" s="644"/>
      <c r="AE308" s="644"/>
      <c r="AF308" s="644"/>
      <c r="AG308" s="644">
        <v>1</v>
      </c>
      <c r="AH308" s="644">
        <v>1</v>
      </c>
      <c r="AI308" s="644"/>
      <c r="AJ308" s="644"/>
      <c r="AK308" s="644"/>
      <c r="AL308" s="167">
        <v>5</v>
      </c>
      <c r="AM308" s="187" t="s">
        <v>1137</v>
      </c>
      <c r="AN308" s="186">
        <v>42015</v>
      </c>
      <c r="AO308" s="187"/>
      <c r="AP308" s="187">
        <f t="shared" si="703"/>
        <v>0</v>
      </c>
      <c r="AQ308" s="187">
        <f t="shared" si="704"/>
        <v>0</v>
      </c>
      <c r="AR308" s="187">
        <f t="shared" si="705"/>
        <v>13</v>
      </c>
      <c r="AS308" s="187">
        <f t="shared" si="706"/>
        <v>13</v>
      </c>
      <c r="AT308" s="187">
        <f t="shared" si="707"/>
        <v>0</v>
      </c>
      <c r="AU308" s="187">
        <f t="shared" si="708"/>
        <v>0</v>
      </c>
      <c r="AV308" s="187">
        <f t="shared" si="709"/>
        <v>0</v>
      </c>
      <c r="AW308" s="187">
        <f t="shared" si="710"/>
        <v>0</v>
      </c>
      <c r="AX308" s="187">
        <f t="shared" si="711"/>
        <v>0</v>
      </c>
      <c r="AY308" s="187">
        <f t="shared" si="712"/>
        <v>0</v>
      </c>
      <c r="AZ308" s="187">
        <f t="shared" si="713"/>
        <v>7</v>
      </c>
      <c r="BA308" s="187">
        <f t="shared" si="714"/>
        <v>7</v>
      </c>
      <c r="BB308" s="187">
        <f t="shared" si="715"/>
        <v>0</v>
      </c>
      <c r="BC308" s="187">
        <f t="shared" si="716"/>
        <v>0</v>
      </c>
      <c r="BD308" s="187">
        <f t="shared" si="717"/>
        <v>0</v>
      </c>
      <c r="BE308" s="187">
        <f t="shared" si="718"/>
        <v>0</v>
      </c>
      <c r="BF308" s="187">
        <f t="shared" si="719"/>
        <v>0</v>
      </c>
      <c r="BG308" s="187">
        <f t="shared" si="720"/>
        <v>0</v>
      </c>
      <c r="BH308" s="187">
        <f t="shared" si="721"/>
        <v>0</v>
      </c>
      <c r="BI308" s="187">
        <f t="shared" si="722"/>
        <v>0</v>
      </c>
      <c r="BJ308" s="187">
        <f t="shared" si="723"/>
        <v>1</v>
      </c>
      <c r="BK308" s="187">
        <f t="shared" si="724"/>
        <v>0</v>
      </c>
      <c r="BL308" s="187">
        <f t="shared" si="725"/>
        <v>0</v>
      </c>
      <c r="BM308" s="187">
        <f t="shared" si="726"/>
        <v>0</v>
      </c>
      <c r="BN308" s="188">
        <f t="shared" si="727"/>
        <v>5</v>
      </c>
      <c r="BO308" s="187">
        <f t="shared" si="728"/>
        <v>0</v>
      </c>
      <c r="BP308" s="187">
        <f t="shared" ref="BP308:BQ308" si="1089">IF(G308=1,1,0)</f>
        <v>0</v>
      </c>
      <c r="BQ308" s="187">
        <f t="shared" si="1089"/>
        <v>0</v>
      </c>
      <c r="BR308" s="187">
        <f t="shared" ref="BR308:BT308" si="1090">IF(K308=1,1,0)</f>
        <v>0</v>
      </c>
      <c r="BS308" s="187">
        <f t="shared" si="1090"/>
        <v>0</v>
      </c>
      <c r="BT308" s="187">
        <f t="shared" si="1090"/>
        <v>0</v>
      </c>
      <c r="BU308" s="187">
        <f t="shared" ref="BU308:BV308" si="1091">IF(P308=1,1,0)</f>
        <v>0</v>
      </c>
      <c r="BV308" s="187">
        <f t="shared" si="1091"/>
        <v>0</v>
      </c>
      <c r="BW308" s="187">
        <f t="shared" si="732"/>
        <v>0</v>
      </c>
      <c r="BX308" s="187">
        <f t="shared" si="733"/>
        <v>0</v>
      </c>
      <c r="BY308" s="187">
        <f t="shared" si="734"/>
        <v>5</v>
      </c>
      <c r="BZ308" s="187">
        <f t="shared" si="735"/>
        <v>-25</v>
      </c>
      <c r="CA308" s="167">
        <f t="shared" si="736"/>
        <v>16</v>
      </c>
      <c r="CB308" s="167">
        <f t="shared" si="737"/>
        <v>82</v>
      </c>
      <c r="CC308" s="644">
        <f t="shared" si="738"/>
        <v>23</v>
      </c>
      <c r="CD308" s="644">
        <f t="shared" si="739"/>
        <v>19</v>
      </c>
      <c r="CE308" s="644">
        <f t="shared" si="740"/>
        <v>15</v>
      </c>
      <c r="CF308" s="644">
        <f t="shared" si="741"/>
        <v>15</v>
      </c>
      <c r="CG308" s="644">
        <f t="shared" si="742"/>
        <v>0</v>
      </c>
      <c r="CH308" s="644">
        <f t="shared" ref="CH308:CH310" si="1092">IF(D273=1,7,0)</f>
        <v>7</v>
      </c>
      <c r="CI308" s="644">
        <f t="shared" si="744"/>
        <v>0</v>
      </c>
      <c r="CJ308" s="644">
        <f t="shared" si="745"/>
        <v>0</v>
      </c>
      <c r="CK308" s="644">
        <f t="shared" si="746"/>
        <v>0</v>
      </c>
      <c r="CL308" s="644">
        <f t="shared" si="747"/>
        <v>0</v>
      </c>
      <c r="CM308" s="644">
        <f t="shared" si="748"/>
        <v>3</v>
      </c>
      <c r="CN308" s="644">
        <f t="shared" si="749"/>
        <v>0</v>
      </c>
      <c r="CO308" s="644">
        <f t="shared" si="750"/>
        <v>0</v>
      </c>
      <c r="CP308" s="644">
        <f t="shared" si="751"/>
        <v>0</v>
      </c>
      <c r="CQ308" s="644">
        <f t="shared" si="752"/>
        <v>0</v>
      </c>
      <c r="CR308" s="644">
        <f t="shared" si="753"/>
        <v>0</v>
      </c>
      <c r="CS308" s="644">
        <f t="shared" si="754"/>
        <v>0</v>
      </c>
      <c r="CT308" s="644">
        <f t="shared" si="755"/>
        <v>0</v>
      </c>
      <c r="CU308" s="644">
        <f t="shared" si="756"/>
        <v>0</v>
      </c>
      <c r="CV308" s="644">
        <f t="shared" si="757"/>
        <v>0</v>
      </c>
      <c r="CW308" s="644">
        <f t="shared" si="758"/>
        <v>0</v>
      </c>
      <c r="CX308" s="644">
        <f t="shared" si="759"/>
        <v>0</v>
      </c>
      <c r="CY308" s="644">
        <f t="shared" si="760"/>
        <v>0</v>
      </c>
      <c r="CZ308" s="624" t="s">
        <v>809</v>
      </c>
    </row>
    <row r="309" spans="1:104">
      <c r="A309" s="253" t="s">
        <v>294</v>
      </c>
      <c r="B309" s="641"/>
      <c r="C309" s="641"/>
      <c r="D309" s="155">
        <v>1</v>
      </c>
      <c r="E309" s="644"/>
      <c r="F309" s="644">
        <v>1</v>
      </c>
      <c r="G309" s="644"/>
      <c r="H309" s="644"/>
      <c r="I309" s="644">
        <v>1</v>
      </c>
      <c r="J309" s="644"/>
      <c r="K309" s="644"/>
      <c r="L309" s="644"/>
      <c r="M309" s="644"/>
      <c r="N309" s="644"/>
      <c r="O309" s="644"/>
      <c r="P309" s="644"/>
      <c r="Q309" s="644"/>
      <c r="R309" s="644">
        <v>1</v>
      </c>
      <c r="S309" s="644"/>
      <c r="T309" s="644"/>
      <c r="U309" s="644">
        <v>1</v>
      </c>
      <c r="V309" s="644"/>
      <c r="W309" s="644"/>
      <c r="X309" s="644">
        <v>1</v>
      </c>
      <c r="Y309" s="644"/>
      <c r="Z309" s="644"/>
      <c r="AA309" s="644"/>
      <c r="AB309" s="644">
        <v>1</v>
      </c>
      <c r="AC309" s="644">
        <v>1</v>
      </c>
      <c r="AD309" s="644"/>
      <c r="AE309" s="644"/>
      <c r="AF309" s="644"/>
      <c r="AG309" s="644"/>
      <c r="AH309" s="644"/>
      <c r="AI309" s="644">
        <v>1</v>
      </c>
      <c r="AJ309" s="644"/>
      <c r="AK309" s="644"/>
      <c r="AL309" s="167">
        <v>9</v>
      </c>
      <c r="AM309" s="191" t="s">
        <v>1340</v>
      </c>
      <c r="AN309" s="192">
        <v>42010</v>
      </c>
      <c r="AO309" s="187"/>
      <c r="AP309" s="187">
        <f t="shared" si="703"/>
        <v>13</v>
      </c>
      <c r="AQ309" s="187">
        <f t="shared" si="704"/>
        <v>13</v>
      </c>
      <c r="AR309" s="187">
        <f t="shared" si="705"/>
        <v>13</v>
      </c>
      <c r="AS309" s="187">
        <f t="shared" si="706"/>
        <v>13</v>
      </c>
      <c r="AT309" s="187">
        <f t="shared" si="707"/>
        <v>9</v>
      </c>
      <c r="AU309" s="187">
        <f t="shared" si="708"/>
        <v>9</v>
      </c>
      <c r="AV309" s="187">
        <f t="shared" si="709"/>
        <v>9</v>
      </c>
      <c r="AW309" s="187">
        <f t="shared" si="710"/>
        <v>0</v>
      </c>
      <c r="AX309" s="187">
        <f t="shared" si="711"/>
        <v>0</v>
      </c>
      <c r="AY309" s="187">
        <f t="shared" si="712"/>
        <v>0</v>
      </c>
      <c r="AZ309" s="187">
        <f t="shared" si="713"/>
        <v>0</v>
      </c>
      <c r="BA309" s="187">
        <f t="shared" si="714"/>
        <v>0</v>
      </c>
      <c r="BB309" s="187">
        <f t="shared" si="715"/>
        <v>0</v>
      </c>
      <c r="BC309" s="187">
        <f t="shared" si="716"/>
        <v>0</v>
      </c>
      <c r="BD309" s="187">
        <f t="shared" si="717"/>
        <v>4</v>
      </c>
      <c r="BE309" s="187">
        <f t="shared" si="718"/>
        <v>0</v>
      </c>
      <c r="BF309" s="187">
        <f t="shared" si="719"/>
        <v>0</v>
      </c>
      <c r="BG309" s="187">
        <f t="shared" si="720"/>
        <v>2</v>
      </c>
      <c r="BH309" s="187">
        <f t="shared" si="721"/>
        <v>0</v>
      </c>
      <c r="BI309" s="187">
        <f t="shared" si="722"/>
        <v>0</v>
      </c>
      <c r="BJ309" s="187">
        <f t="shared" si="723"/>
        <v>0</v>
      </c>
      <c r="BK309" s="187">
        <f t="shared" si="724"/>
        <v>0</v>
      </c>
      <c r="BL309" s="187">
        <f t="shared" si="725"/>
        <v>0</v>
      </c>
      <c r="BM309" s="187">
        <f t="shared" si="726"/>
        <v>0</v>
      </c>
      <c r="BN309" s="188">
        <f t="shared" si="727"/>
        <v>1</v>
      </c>
      <c r="BO309" s="187">
        <f t="shared" si="728"/>
        <v>0</v>
      </c>
      <c r="BP309" s="187">
        <f t="shared" ref="BP309:BQ309" si="1093">IF(G309=1,1,0)</f>
        <v>0</v>
      </c>
      <c r="BQ309" s="187">
        <f t="shared" si="1093"/>
        <v>0</v>
      </c>
      <c r="BR309" s="187">
        <f t="shared" ref="BR309:BT309" si="1094">IF(K309=1,1,0)</f>
        <v>0</v>
      </c>
      <c r="BS309" s="187">
        <f t="shared" si="1094"/>
        <v>0</v>
      </c>
      <c r="BT309" s="187">
        <f t="shared" si="1094"/>
        <v>0</v>
      </c>
      <c r="BU309" s="187">
        <f t="shared" ref="BU309:BV309" si="1095">IF(P309=1,1,0)</f>
        <v>0</v>
      </c>
      <c r="BV309" s="187">
        <f t="shared" si="1095"/>
        <v>0</v>
      </c>
      <c r="BW309" s="187">
        <f t="shared" si="732"/>
        <v>0</v>
      </c>
      <c r="BX309" s="187">
        <f t="shared" si="733"/>
        <v>0</v>
      </c>
      <c r="BY309" s="187">
        <f t="shared" si="734"/>
        <v>1</v>
      </c>
      <c r="BZ309" s="187">
        <f t="shared" si="735"/>
        <v>-1</v>
      </c>
      <c r="CA309" s="167">
        <f t="shared" si="736"/>
        <v>84</v>
      </c>
      <c r="CB309" s="167">
        <f t="shared" si="737"/>
        <v>70</v>
      </c>
      <c r="CC309" s="644">
        <f t="shared" si="738"/>
        <v>23</v>
      </c>
      <c r="CD309" s="644">
        <f t="shared" si="739"/>
        <v>19</v>
      </c>
      <c r="CE309" s="644">
        <f t="shared" si="740"/>
        <v>0</v>
      </c>
      <c r="CF309" s="644">
        <f t="shared" si="741"/>
        <v>0</v>
      </c>
      <c r="CG309" s="644">
        <f t="shared" si="742"/>
        <v>9</v>
      </c>
      <c r="CH309" s="644">
        <f t="shared" si="1092"/>
        <v>0</v>
      </c>
      <c r="CI309" s="644">
        <f t="shared" si="744"/>
        <v>7</v>
      </c>
      <c r="CJ309" s="644">
        <f t="shared" si="745"/>
        <v>0</v>
      </c>
      <c r="CK309" s="644">
        <f t="shared" si="746"/>
        <v>5</v>
      </c>
      <c r="CL309" s="644">
        <f t="shared" si="747"/>
        <v>5</v>
      </c>
      <c r="CM309" s="644">
        <f t="shared" si="748"/>
        <v>0</v>
      </c>
      <c r="CN309" s="644">
        <f t="shared" si="749"/>
        <v>0</v>
      </c>
      <c r="CO309" s="644">
        <f t="shared" si="750"/>
        <v>0</v>
      </c>
      <c r="CP309" s="644">
        <f t="shared" si="751"/>
        <v>0</v>
      </c>
      <c r="CQ309" s="644">
        <f t="shared" si="752"/>
        <v>0</v>
      </c>
      <c r="CR309" s="644">
        <f t="shared" si="753"/>
        <v>0</v>
      </c>
      <c r="CS309" s="644">
        <f t="shared" si="754"/>
        <v>0</v>
      </c>
      <c r="CT309" s="644">
        <f t="shared" si="755"/>
        <v>0</v>
      </c>
      <c r="CU309" s="644">
        <f t="shared" si="756"/>
        <v>1</v>
      </c>
      <c r="CV309" s="644">
        <f t="shared" si="757"/>
        <v>0</v>
      </c>
      <c r="CW309" s="644">
        <f t="shared" si="758"/>
        <v>1</v>
      </c>
      <c r="CX309" s="644">
        <f t="shared" si="759"/>
        <v>0</v>
      </c>
      <c r="CY309" s="644">
        <f t="shared" si="760"/>
        <v>0</v>
      </c>
      <c r="CZ309" s="624" t="s">
        <v>768</v>
      </c>
    </row>
    <row r="310" spans="1:104">
      <c r="A310" s="253" t="s">
        <v>615</v>
      </c>
      <c r="B310" s="641"/>
      <c r="C310" s="641"/>
      <c r="D310" s="155">
        <v>1</v>
      </c>
      <c r="E310" s="644">
        <v>1</v>
      </c>
      <c r="F310" s="644"/>
      <c r="G310" s="644"/>
      <c r="H310" s="644"/>
      <c r="I310" s="644"/>
      <c r="J310" s="644"/>
      <c r="K310" s="644"/>
      <c r="L310" s="644"/>
      <c r="M310" s="644"/>
      <c r="N310" s="644"/>
      <c r="O310" s="644"/>
      <c r="P310" s="644"/>
      <c r="Q310" s="644"/>
      <c r="R310" s="644">
        <v>1</v>
      </c>
      <c r="S310" s="644"/>
      <c r="T310" s="644">
        <v>1</v>
      </c>
      <c r="U310" s="644">
        <v>1</v>
      </c>
      <c r="V310" s="644"/>
      <c r="W310" s="644"/>
      <c r="X310" s="644"/>
      <c r="Y310" s="644"/>
      <c r="Z310" s="250"/>
      <c r="AA310" s="644"/>
      <c r="AB310" s="644">
        <v>1</v>
      </c>
      <c r="AC310" s="644"/>
      <c r="AD310" s="644"/>
      <c r="AE310" s="644"/>
      <c r="AF310" s="644">
        <v>1</v>
      </c>
      <c r="AG310" s="644">
        <v>1</v>
      </c>
      <c r="AH310" s="644">
        <v>1</v>
      </c>
      <c r="AI310" s="644"/>
      <c r="AJ310" s="644"/>
      <c r="AK310" s="644">
        <v>1</v>
      </c>
      <c r="AL310" s="167">
        <v>10</v>
      </c>
      <c r="AM310" s="641" t="s">
        <v>1137</v>
      </c>
      <c r="AN310" s="192">
        <v>42016</v>
      </c>
      <c r="AO310" s="187"/>
      <c r="AP310" s="187">
        <f t="shared" si="703"/>
        <v>0</v>
      </c>
      <c r="AQ310" s="187">
        <f t="shared" si="704"/>
        <v>0</v>
      </c>
      <c r="AR310" s="187">
        <f t="shared" si="705"/>
        <v>13</v>
      </c>
      <c r="AS310" s="187">
        <f t="shared" si="706"/>
        <v>13</v>
      </c>
      <c r="AT310" s="187">
        <f t="shared" si="707"/>
        <v>9</v>
      </c>
      <c r="AU310" s="187">
        <f t="shared" si="708"/>
        <v>9</v>
      </c>
      <c r="AV310" s="187">
        <f t="shared" si="709"/>
        <v>0</v>
      </c>
      <c r="AW310" s="187">
        <f t="shared" si="710"/>
        <v>0</v>
      </c>
      <c r="AX310" s="187">
        <f t="shared" si="711"/>
        <v>0</v>
      </c>
      <c r="AY310" s="187">
        <f t="shared" si="712"/>
        <v>0</v>
      </c>
      <c r="AZ310" s="187">
        <f t="shared" si="713"/>
        <v>7</v>
      </c>
      <c r="BA310" s="187">
        <f t="shared" si="714"/>
        <v>7</v>
      </c>
      <c r="BB310" s="187">
        <f t="shared" si="715"/>
        <v>4</v>
      </c>
      <c r="BC310" s="187">
        <f t="shared" si="716"/>
        <v>4</v>
      </c>
      <c r="BD310" s="187">
        <f t="shared" si="717"/>
        <v>0</v>
      </c>
      <c r="BE310" s="187">
        <f t="shared" si="718"/>
        <v>3</v>
      </c>
      <c r="BF310" s="187">
        <f t="shared" si="719"/>
        <v>0</v>
      </c>
      <c r="BG310" s="187">
        <f t="shared" si="720"/>
        <v>0</v>
      </c>
      <c r="BH310" s="187">
        <f t="shared" si="721"/>
        <v>0</v>
      </c>
      <c r="BI310" s="187">
        <f t="shared" si="722"/>
        <v>0</v>
      </c>
      <c r="BJ310" s="187">
        <f t="shared" si="723"/>
        <v>1</v>
      </c>
      <c r="BK310" s="187">
        <f t="shared" si="724"/>
        <v>0</v>
      </c>
      <c r="BL310" s="187">
        <f t="shared" si="725"/>
        <v>0</v>
      </c>
      <c r="BM310" s="187">
        <f t="shared" si="726"/>
        <v>0</v>
      </c>
      <c r="BN310" s="188">
        <f t="shared" si="727"/>
        <v>0</v>
      </c>
      <c r="BO310" s="187">
        <f t="shared" si="728"/>
        <v>0</v>
      </c>
      <c r="BP310" s="187">
        <f t="shared" ref="BP310:BQ310" si="1096">IF(G310=1,1,0)</f>
        <v>0</v>
      </c>
      <c r="BQ310" s="187">
        <f t="shared" si="1096"/>
        <v>0</v>
      </c>
      <c r="BR310" s="187">
        <f t="shared" ref="BR310:BT310" si="1097">IF(K310=1,1,0)</f>
        <v>0</v>
      </c>
      <c r="BS310" s="187">
        <f t="shared" si="1097"/>
        <v>0</v>
      </c>
      <c r="BT310" s="187">
        <f t="shared" si="1097"/>
        <v>0</v>
      </c>
      <c r="BU310" s="187">
        <f t="shared" ref="BU310:BV310" si="1098">IF(P310=1,1,0)</f>
        <v>0</v>
      </c>
      <c r="BV310" s="187">
        <f t="shared" si="1098"/>
        <v>0</v>
      </c>
      <c r="BW310" s="187">
        <f t="shared" si="732"/>
        <v>0</v>
      </c>
      <c r="BX310" s="187">
        <f t="shared" si="733"/>
        <v>0</v>
      </c>
      <c r="BY310" s="187">
        <f t="shared" si="734"/>
        <v>0</v>
      </c>
      <c r="BZ310" s="187">
        <f t="shared" si="735"/>
        <v>0</v>
      </c>
      <c r="CA310" s="167">
        <f t="shared" si="736"/>
        <v>70</v>
      </c>
      <c r="CB310" s="167">
        <f t="shared" si="737"/>
        <v>89</v>
      </c>
      <c r="CC310" s="644">
        <f t="shared" si="738"/>
        <v>23</v>
      </c>
      <c r="CD310" s="644">
        <f t="shared" si="739"/>
        <v>19</v>
      </c>
      <c r="CE310" s="644">
        <f t="shared" si="740"/>
        <v>15</v>
      </c>
      <c r="CF310" s="644">
        <f t="shared" si="741"/>
        <v>15</v>
      </c>
      <c r="CG310" s="644">
        <f t="shared" si="742"/>
        <v>9</v>
      </c>
      <c r="CH310" s="644">
        <f t="shared" si="1092"/>
        <v>0</v>
      </c>
      <c r="CI310" s="644">
        <f t="shared" si="744"/>
        <v>0</v>
      </c>
      <c r="CJ310" s="644">
        <f t="shared" si="745"/>
        <v>0</v>
      </c>
      <c r="CK310" s="644">
        <f t="shared" si="746"/>
        <v>0</v>
      </c>
      <c r="CL310" s="644">
        <f t="shared" si="747"/>
        <v>0</v>
      </c>
      <c r="CM310" s="644">
        <f t="shared" si="748"/>
        <v>3</v>
      </c>
      <c r="CN310" s="644">
        <f t="shared" si="749"/>
        <v>3</v>
      </c>
      <c r="CO310" s="644">
        <f t="shared" si="750"/>
        <v>0</v>
      </c>
      <c r="CP310" s="644">
        <f t="shared" si="751"/>
        <v>0</v>
      </c>
      <c r="CQ310" s="644">
        <f t="shared" si="752"/>
        <v>0</v>
      </c>
      <c r="CR310" s="644">
        <f t="shared" si="753"/>
        <v>0</v>
      </c>
      <c r="CS310" s="644">
        <f t="shared" si="754"/>
        <v>2</v>
      </c>
      <c r="CT310" s="644">
        <f t="shared" si="755"/>
        <v>2</v>
      </c>
      <c r="CU310" s="644">
        <f t="shared" si="756"/>
        <v>0</v>
      </c>
      <c r="CV310" s="644">
        <f t="shared" si="757"/>
        <v>0</v>
      </c>
      <c r="CW310" s="644">
        <f t="shared" si="758"/>
        <v>0</v>
      </c>
      <c r="CX310" s="644">
        <f t="shared" si="759"/>
        <v>0</v>
      </c>
      <c r="CY310" s="644">
        <f t="shared" si="760"/>
        <v>0</v>
      </c>
      <c r="CZ310" s="624" t="s">
        <v>853</v>
      </c>
    </row>
    <row r="311" spans="1:104">
      <c r="A311" s="253" t="s">
        <v>1341</v>
      </c>
      <c r="B311" s="641"/>
      <c r="C311" s="641"/>
      <c r="D311" s="155"/>
      <c r="E311" s="644">
        <v>1</v>
      </c>
      <c r="F311" s="644"/>
      <c r="G311" s="644"/>
      <c r="H311" s="644"/>
      <c r="I311" s="644"/>
      <c r="J311" s="644"/>
      <c r="K311" s="644"/>
      <c r="L311" s="644"/>
      <c r="M311" s="644"/>
      <c r="N311" s="644"/>
      <c r="O311" s="644"/>
      <c r="P311" s="644"/>
      <c r="Q311" s="644"/>
      <c r="R311" s="644">
        <v>1</v>
      </c>
      <c r="S311" s="644"/>
      <c r="T311" s="644"/>
      <c r="U311" s="644">
        <v>1</v>
      </c>
      <c r="V311" s="644"/>
      <c r="W311" s="644"/>
      <c r="X311" s="644"/>
      <c r="Y311" s="644"/>
      <c r="Z311" s="644"/>
      <c r="AA311" s="644"/>
      <c r="AB311" s="644"/>
      <c r="AC311" s="644"/>
      <c r="AD311" s="644"/>
      <c r="AE311" s="644"/>
      <c r="AF311" s="644"/>
      <c r="AG311" s="644"/>
      <c r="AH311" s="644">
        <v>1</v>
      </c>
      <c r="AI311" s="644"/>
      <c r="AJ311" s="644"/>
      <c r="AK311" s="644"/>
      <c r="AL311" s="167">
        <v>4</v>
      </c>
      <c r="AM311" s="191" t="str">
        <f t="shared" ref="AM311:AM312" si="1099">HYPERLINK("http://bbwaa.com/15-hof-ballots/", "BBWAA.com")</f>
        <v>BBWAA.com</v>
      </c>
      <c r="AN311" s="192">
        <v>42012</v>
      </c>
      <c r="AO311" s="187"/>
      <c r="AP311" s="187">
        <f t="shared" si="703"/>
        <v>0</v>
      </c>
      <c r="AQ311" s="187">
        <f t="shared" si="704"/>
        <v>0</v>
      </c>
      <c r="AR311" s="187">
        <f t="shared" si="705"/>
        <v>13</v>
      </c>
      <c r="AS311" s="187">
        <f t="shared" si="706"/>
        <v>13</v>
      </c>
      <c r="AT311" s="187">
        <f t="shared" si="707"/>
        <v>0</v>
      </c>
      <c r="AU311" s="187">
        <f t="shared" si="708"/>
        <v>0</v>
      </c>
      <c r="AV311" s="187">
        <f t="shared" si="709"/>
        <v>0</v>
      </c>
      <c r="AW311" s="187">
        <f t="shared" si="710"/>
        <v>0</v>
      </c>
      <c r="AX311" s="187">
        <f t="shared" si="711"/>
        <v>0</v>
      </c>
      <c r="AY311" s="187">
        <f t="shared" si="712"/>
        <v>0</v>
      </c>
      <c r="AZ311" s="187">
        <f t="shared" si="713"/>
        <v>7</v>
      </c>
      <c r="BA311" s="187">
        <f t="shared" si="714"/>
        <v>7</v>
      </c>
      <c r="BB311" s="187">
        <f t="shared" si="715"/>
        <v>0</v>
      </c>
      <c r="BC311" s="187">
        <f t="shared" si="716"/>
        <v>0</v>
      </c>
      <c r="BD311" s="187">
        <f t="shared" si="717"/>
        <v>0</v>
      </c>
      <c r="BE311" s="187">
        <f t="shared" si="718"/>
        <v>0</v>
      </c>
      <c r="BF311" s="187">
        <f t="shared" si="719"/>
        <v>0</v>
      </c>
      <c r="BG311" s="187">
        <f t="shared" si="720"/>
        <v>0</v>
      </c>
      <c r="BH311" s="187">
        <f t="shared" si="721"/>
        <v>0</v>
      </c>
      <c r="BI311" s="187">
        <f t="shared" si="722"/>
        <v>0</v>
      </c>
      <c r="BJ311" s="187">
        <f t="shared" si="723"/>
        <v>0</v>
      </c>
      <c r="BK311" s="187">
        <f t="shared" si="724"/>
        <v>0</v>
      </c>
      <c r="BL311" s="187">
        <f t="shared" si="725"/>
        <v>0</v>
      </c>
      <c r="BM311" s="187">
        <f t="shared" si="726"/>
        <v>0</v>
      </c>
      <c r="BN311" s="188">
        <f t="shared" si="727"/>
        <v>6</v>
      </c>
      <c r="BO311" s="187">
        <f t="shared" si="728"/>
        <v>0</v>
      </c>
      <c r="BP311" s="187">
        <f t="shared" ref="BP311:BQ311" si="1100">IF(G311=1,1,0)</f>
        <v>0</v>
      </c>
      <c r="BQ311" s="187">
        <f t="shared" si="1100"/>
        <v>0</v>
      </c>
      <c r="BR311" s="187">
        <f t="shared" ref="BR311:BT311" si="1101">IF(K311=1,1,0)</f>
        <v>0</v>
      </c>
      <c r="BS311" s="187">
        <f t="shared" si="1101"/>
        <v>0</v>
      </c>
      <c r="BT311" s="187">
        <f t="shared" si="1101"/>
        <v>0</v>
      </c>
      <c r="BU311" s="187">
        <f t="shared" ref="BU311:BV311" si="1102">IF(P311=1,1,0)</f>
        <v>0</v>
      </c>
      <c r="BV311" s="187">
        <f t="shared" si="1102"/>
        <v>0</v>
      </c>
      <c r="BW311" s="187">
        <f t="shared" si="732"/>
        <v>0</v>
      </c>
      <c r="BX311" s="187">
        <f t="shared" si="733"/>
        <v>0</v>
      </c>
      <c r="BY311" s="187">
        <f t="shared" si="734"/>
        <v>6</v>
      </c>
      <c r="BZ311" s="187">
        <f t="shared" si="735"/>
        <v>-36</v>
      </c>
      <c r="CA311" s="167">
        <f t="shared" si="736"/>
        <v>4</v>
      </c>
      <c r="CB311" s="167">
        <f t="shared" si="737"/>
        <v>79</v>
      </c>
      <c r="CC311" s="644">
        <f t="shared" si="738"/>
        <v>23</v>
      </c>
      <c r="CD311" s="644">
        <f t="shared" si="739"/>
        <v>19</v>
      </c>
      <c r="CE311" s="644">
        <f t="shared" si="740"/>
        <v>15</v>
      </c>
      <c r="CF311" s="644">
        <f t="shared" si="741"/>
        <v>15</v>
      </c>
      <c r="CG311" s="644">
        <f t="shared" si="742"/>
        <v>0</v>
      </c>
      <c r="CH311" s="644">
        <f t="shared" ref="CH311:CH312" si="1103">IF(D277=1,7,0)</f>
        <v>7</v>
      </c>
      <c r="CI311" s="644">
        <f t="shared" si="744"/>
        <v>0</v>
      </c>
      <c r="CJ311" s="644">
        <f t="shared" si="745"/>
        <v>0</v>
      </c>
      <c r="CK311" s="644">
        <f t="shared" si="746"/>
        <v>0</v>
      </c>
      <c r="CL311" s="644">
        <f t="shared" si="747"/>
        <v>0</v>
      </c>
      <c r="CM311" s="644">
        <f t="shared" si="748"/>
        <v>0</v>
      </c>
      <c r="CN311" s="644">
        <f t="shared" si="749"/>
        <v>0</v>
      </c>
      <c r="CO311" s="644">
        <f t="shared" si="750"/>
        <v>0</v>
      </c>
      <c r="CP311" s="644">
        <f t="shared" si="751"/>
        <v>0</v>
      </c>
      <c r="CQ311" s="644">
        <f t="shared" si="752"/>
        <v>0</v>
      </c>
      <c r="CR311" s="644">
        <f t="shared" si="753"/>
        <v>0</v>
      </c>
      <c r="CS311" s="644">
        <f t="shared" si="754"/>
        <v>0</v>
      </c>
      <c r="CT311" s="644">
        <f t="shared" si="755"/>
        <v>0</v>
      </c>
      <c r="CU311" s="644">
        <f t="shared" si="756"/>
        <v>0</v>
      </c>
      <c r="CV311" s="644">
        <f t="shared" si="757"/>
        <v>0</v>
      </c>
      <c r="CW311" s="644">
        <f t="shared" si="758"/>
        <v>0</v>
      </c>
      <c r="CX311" s="644">
        <f t="shared" si="759"/>
        <v>0</v>
      </c>
      <c r="CY311" s="644">
        <f t="shared" si="760"/>
        <v>0</v>
      </c>
      <c r="CZ311" s="624" t="s">
        <v>768</v>
      </c>
    </row>
    <row r="312" spans="1:104">
      <c r="A312" s="253" t="s">
        <v>680</v>
      </c>
      <c r="B312" s="641"/>
      <c r="C312" s="641"/>
      <c r="D312" s="155">
        <v>1</v>
      </c>
      <c r="E312" s="644">
        <v>1</v>
      </c>
      <c r="F312" s="644">
        <v>1</v>
      </c>
      <c r="G312" s="644"/>
      <c r="H312" s="644"/>
      <c r="I312" s="644">
        <v>1</v>
      </c>
      <c r="J312" s="644"/>
      <c r="K312" s="644"/>
      <c r="L312" s="644"/>
      <c r="M312" s="644"/>
      <c r="N312" s="644"/>
      <c r="O312" s="644"/>
      <c r="P312" s="644"/>
      <c r="Q312" s="644"/>
      <c r="R312" s="644">
        <v>1</v>
      </c>
      <c r="S312" s="644"/>
      <c r="T312" s="644"/>
      <c r="U312" s="644">
        <v>1</v>
      </c>
      <c r="V312" s="644"/>
      <c r="W312" s="644"/>
      <c r="X312" s="644">
        <v>1</v>
      </c>
      <c r="Y312" s="644"/>
      <c r="Z312" s="644"/>
      <c r="AA312" s="644"/>
      <c r="AB312" s="644">
        <v>1</v>
      </c>
      <c r="AC312" s="644"/>
      <c r="AD312" s="644"/>
      <c r="AE312" s="644"/>
      <c r="AF312" s="644"/>
      <c r="AG312" s="644"/>
      <c r="AH312" s="644">
        <v>1</v>
      </c>
      <c r="AI312" s="644">
        <v>1</v>
      </c>
      <c r="AJ312" s="644"/>
      <c r="AK312" s="644"/>
      <c r="AL312" s="167">
        <v>10</v>
      </c>
      <c r="AM312" s="191" t="str">
        <f t="shared" si="1099"/>
        <v>BBWAA.com</v>
      </c>
      <c r="AN312" s="192">
        <v>42012</v>
      </c>
      <c r="AO312" s="187"/>
      <c r="AP312" s="187">
        <f t="shared" si="703"/>
        <v>13</v>
      </c>
      <c r="AQ312" s="187">
        <f t="shared" si="704"/>
        <v>13</v>
      </c>
      <c r="AR312" s="187">
        <f t="shared" si="705"/>
        <v>13</v>
      </c>
      <c r="AS312" s="187">
        <f t="shared" si="706"/>
        <v>13</v>
      </c>
      <c r="AT312" s="187">
        <f t="shared" si="707"/>
        <v>9</v>
      </c>
      <c r="AU312" s="187">
        <f t="shared" si="708"/>
        <v>9</v>
      </c>
      <c r="AV312" s="187">
        <f t="shared" si="709"/>
        <v>0</v>
      </c>
      <c r="AW312" s="187">
        <f t="shared" si="710"/>
        <v>0</v>
      </c>
      <c r="AX312" s="187">
        <f t="shared" si="711"/>
        <v>0</v>
      </c>
      <c r="AY312" s="187">
        <f t="shared" si="712"/>
        <v>0</v>
      </c>
      <c r="AZ312" s="187">
        <f t="shared" si="713"/>
        <v>7</v>
      </c>
      <c r="BA312" s="187">
        <f t="shared" si="714"/>
        <v>7</v>
      </c>
      <c r="BB312" s="187">
        <f t="shared" si="715"/>
        <v>0</v>
      </c>
      <c r="BC312" s="187">
        <f t="shared" si="716"/>
        <v>0</v>
      </c>
      <c r="BD312" s="187">
        <f t="shared" si="717"/>
        <v>4</v>
      </c>
      <c r="BE312" s="187">
        <f t="shared" si="718"/>
        <v>0</v>
      </c>
      <c r="BF312" s="187">
        <f t="shared" si="719"/>
        <v>0</v>
      </c>
      <c r="BG312" s="187">
        <f t="shared" si="720"/>
        <v>2</v>
      </c>
      <c r="BH312" s="187">
        <f t="shared" si="721"/>
        <v>0</v>
      </c>
      <c r="BI312" s="187">
        <f t="shared" si="722"/>
        <v>0</v>
      </c>
      <c r="BJ312" s="187">
        <f t="shared" si="723"/>
        <v>0</v>
      </c>
      <c r="BK312" s="187">
        <f t="shared" si="724"/>
        <v>0</v>
      </c>
      <c r="BL312" s="187">
        <f t="shared" si="725"/>
        <v>0</v>
      </c>
      <c r="BM312" s="187">
        <f t="shared" si="726"/>
        <v>0</v>
      </c>
      <c r="BN312" s="188">
        <f t="shared" si="727"/>
        <v>0</v>
      </c>
      <c r="BO312" s="187">
        <f t="shared" si="728"/>
        <v>0</v>
      </c>
      <c r="BP312" s="187">
        <f t="shared" ref="BP312:BQ312" si="1104">IF(G312=1,1,0)</f>
        <v>0</v>
      </c>
      <c r="BQ312" s="187">
        <f t="shared" si="1104"/>
        <v>0</v>
      </c>
      <c r="BR312" s="187">
        <f t="shared" ref="BR312:BT312" si="1105">IF(K312=1,1,0)</f>
        <v>0</v>
      </c>
      <c r="BS312" s="187">
        <f t="shared" si="1105"/>
        <v>0</v>
      </c>
      <c r="BT312" s="187">
        <f t="shared" si="1105"/>
        <v>0</v>
      </c>
      <c r="BU312" s="187">
        <f t="shared" ref="BU312:BV312" si="1106">IF(P312=1,1,0)</f>
        <v>0</v>
      </c>
      <c r="BV312" s="187">
        <f t="shared" si="1106"/>
        <v>0</v>
      </c>
      <c r="BW312" s="187">
        <f t="shared" si="732"/>
        <v>0</v>
      </c>
      <c r="BX312" s="187">
        <f t="shared" si="733"/>
        <v>0</v>
      </c>
      <c r="BY312" s="187">
        <f t="shared" si="734"/>
        <v>0</v>
      </c>
      <c r="BZ312" s="187">
        <f t="shared" si="735"/>
        <v>0</v>
      </c>
      <c r="CA312" s="167">
        <f t="shared" si="736"/>
        <v>90</v>
      </c>
      <c r="CB312" s="167">
        <f t="shared" si="737"/>
        <v>98</v>
      </c>
      <c r="CC312" s="644">
        <f t="shared" si="738"/>
        <v>23</v>
      </c>
      <c r="CD312" s="644">
        <f t="shared" si="739"/>
        <v>19</v>
      </c>
      <c r="CE312" s="644">
        <f t="shared" si="740"/>
        <v>15</v>
      </c>
      <c r="CF312" s="644">
        <f t="shared" si="741"/>
        <v>15</v>
      </c>
      <c r="CG312" s="644">
        <f t="shared" si="742"/>
        <v>9</v>
      </c>
      <c r="CH312" s="644">
        <f t="shared" si="1103"/>
        <v>7</v>
      </c>
      <c r="CI312" s="644">
        <f t="shared" si="744"/>
        <v>0</v>
      </c>
      <c r="CJ312" s="644">
        <f t="shared" si="745"/>
        <v>0</v>
      </c>
      <c r="CK312" s="644">
        <f t="shared" si="746"/>
        <v>5</v>
      </c>
      <c r="CL312" s="644">
        <f t="shared" si="747"/>
        <v>5</v>
      </c>
      <c r="CM312" s="644">
        <f t="shared" si="748"/>
        <v>0</v>
      </c>
      <c r="CN312" s="644">
        <f t="shared" si="749"/>
        <v>0</v>
      </c>
      <c r="CO312" s="644">
        <f t="shared" si="750"/>
        <v>0</v>
      </c>
      <c r="CP312" s="644">
        <f t="shared" si="751"/>
        <v>0</v>
      </c>
      <c r="CQ312" s="644">
        <f t="shared" si="752"/>
        <v>0</v>
      </c>
      <c r="CR312" s="644">
        <f t="shared" si="753"/>
        <v>0</v>
      </c>
      <c r="CS312" s="644">
        <f t="shared" si="754"/>
        <v>0</v>
      </c>
      <c r="CT312" s="644">
        <f t="shared" si="755"/>
        <v>0</v>
      </c>
      <c r="CU312" s="644">
        <f t="shared" si="756"/>
        <v>1</v>
      </c>
      <c r="CV312" s="644">
        <f t="shared" si="757"/>
        <v>0</v>
      </c>
      <c r="CW312" s="644">
        <f t="shared" si="758"/>
        <v>1</v>
      </c>
      <c r="CX312" s="644">
        <f t="shared" si="759"/>
        <v>0</v>
      </c>
      <c r="CY312" s="644">
        <f t="shared" si="760"/>
        <v>0</v>
      </c>
      <c r="CZ312" s="624" t="s">
        <v>768</v>
      </c>
    </row>
    <row r="313" spans="1:104" ht="25.5">
      <c r="A313" s="253" t="s">
        <v>997</v>
      </c>
      <c r="B313" s="641"/>
      <c r="C313" s="641"/>
      <c r="D313" s="276">
        <v>1</v>
      </c>
      <c r="E313" s="644">
        <v>1</v>
      </c>
      <c r="F313" s="644"/>
      <c r="G313" s="644"/>
      <c r="H313" s="644"/>
      <c r="I313" s="644"/>
      <c r="J313" s="644"/>
      <c r="K313" s="644"/>
      <c r="L313" s="644"/>
      <c r="M313" s="644"/>
      <c r="N313" s="644"/>
      <c r="O313" s="644"/>
      <c r="P313" s="644"/>
      <c r="Q313" s="644"/>
      <c r="R313" s="644">
        <v>1</v>
      </c>
      <c r="S313" s="644"/>
      <c r="T313" s="644"/>
      <c r="U313" s="644">
        <v>1</v>
      </c>
      <c r="V313" s="644"/>
      <c r="W313" s="644"/>
      <c r="X313" s="644"/>
      <c r="Y313" s="644"/>
      <c r="Z313" s="644"/>
      <c r="AA313" s="644"/>
      <c r="AB313" s="644">
        <v>1</v>
      </c>
      <c r="AC313" s="644">
        <v>1</v>
      </c>
      <c r="AD313" s="644">
        <v>1</v>
      </c>
      <c r="AE313" s="644"/>
      <c r="AF313" s="644"/>
      <c r="AG313" s="644">
        <v>1</v>
      </c>
      <c r="AH313" s="644">
        <v>1</v>
      </c>
      <c r="AI313" s="644"/>
      <c r="AJ313" s="644">
        <v>1</v>
      </c>
      <c r="AK313" s="644"/>
      <c r="AL313" s="167">
        <v>10</v>
      </c>
      <c r="AM313" s="191" t="s">
        <v>1342</v>
      </c>
      <c r="AN313" s="192">
        <v>42010</v>
      </c>
      <c r="AO313" s="187"/>
      <c r="AP313" s="187">
        <f t="shared" si="703"/>
        <v>0</v>
      </c>
      <c r="AQ313" s="187">
        <f t="shared" si="704"/>
        <v>0</v>
      </c>
      <c r="AR313" s="187">
        <f t="shared" si="705"/>
        <v>13</v>
      </c>
      <c r="AS313" s="187">
        <f t="shared" si="706"/>
        <v>13</v>
      </c>
      <c r="AT313" s="187">
        <f t="shared" si="707"/>
        <v>9</v>
      </c>
      <c r="AU313" s="187">
        <f t="shared" si="708"/>
        <v>9</v>
      </c>
      <c r="AV313" s="187">
        <f t="shared" si="709"/>
        <v>9</v>
      </c>
      <c r="AW313" s="187">
        <f t="shared" si="710"/>
        <v>7</v>
      </c>
      <c r="AX313" s="187">
        <f t="shared" si="711"/>
        <v>7</v>
      </c>
      <c r="AY313" s="187">
        <f t="shared" si="712"/>
        <v>0</v>
      </c>
      <c r="AZ313" s="187">
        <f t="shared" si="713"/>
        <v>7</v>
      </c>
      <c r="BA313" s="187">
        <f t="shared" si="714"/>
        <v>7</v>
      </c>
      <c r="BB313" s="187">
        <f t="shared" si="715"/>
        <v>0</v>
      </c>
      <c r="BC313" s="187">
        <f t="shared" si="716"/>
        <v>0</v>
      </c>
      <c r="BD313" s="187">
        <f t="shared" si="717"/>
        <v>0</v>
      </c>
      <c r="BE313" s="187">
        <f t="shared" si="718"/>
        <v>0</v>
      </c>
      <c r="BF313" s="187">
        <f t="shared" si="719"/>
        <v>0</v>
      </c>
      <c r="BG313" s="187">
        <f t="shared" si="720"/>
        <v>0</v>
      </c>
      <c r="BH313" s="187">
        <f t="shared" si="721"/>
        <v>0</v>
      </c>
      <c r="BI313" s="187">
        <f t="shared" si="722"/>
        <v>0</v>
      </c>
      <c r="BJ313" s="187">
        <f t="shared" si="723"/>
        <v>1</v>
      </c>
      <c r="BK313" s="187">
        <f t="shared" si="724"/>
        <v>0</v>
      </c>
      <c r="BL313" s="187">
        <f t="shared" si="725"/>
        <v>0</v>
      </c>
      <c r="BM313" s="187">
        <f t="shared" si="726"/>
        <v>0</v>
      </c>
      <c r="BN313" s="188">
        <f t="shared" si="727"/>
        <v>0</v>
      </c>
      <c r="BO313" s="187">
        <f t="shared" si="728"/>
        <v>0</v>
      </c>
      <c r="BP313" s="187">
        <f t="shared" ref="BP313:BQ313" si="1107">IF(G313=1,1,0)</f>
        <v>0</v>
      </c>
      <c r="BQ313" s="187">
        <f t="shared" si="1107"/>
        <v>0</v>
      </c>
      <c r="BR313" s="187">
        <f t="shared" ref="BR313:BT313" si="1108">IF(K313=1,1,0)</f>
        <v>0</v>
      </c>
      <c r="BS313" s="187">
        <f t="shared" si="1108"/>
        <v>0</v>
      </c>
      <c r="BT313" s="187">
        <f t="shared" si="1108"/>
        <v>0</v>
      </c>
      <c r="BU313" s="187">
        <f t="shared" ref="BU313:BV313" si="1109">IF(P313=1,1,0)</f>
        <v>0</v>
      </c>
      <c r="BV313" s="187">
        <f t="shared" si="1109"/>
        <v>0</v>
      </c>
      <c r="BW313" s="187">
        <f t="shared" si="732"/>
        <v>0</v>
      </c>
      <c r="BX313" s="187">
        <f t="shared" si="733"/>
        <v>0</v>
      </c>
      <c r="BY313" s="187">
        <f t="shared" si="734"/>
        <v>0</v>
      </c>
      <c r="BZ313" s="187">
        <f t="shared" si="735"/>
        <v>0</v>
      </c>
      <c r="CA313" s="167">
        <f t="shared" si="736"/>
        <v>82</v>
      </c>
      <c r="CB313" s="167">
        <f t="shared" si="737"/>
        <v>96</v>
      </c>
      <c r="CC313" s="644">
        <f t="shared" si="738"/>
        <v>23</v>
      </c>
      <c r="CD313" s="644">
        <f t="shared" si="739"/>
        <v>19</v>
      </c>
      <c r="CE313" s="644">
        <f t="shared" si="740"/>
        <v>15</v>
      </c>
      <c r="CF313" s="644">
        <f t="shared" si="741"/>
        <v>15</v>
      </c>
      <c r="CG313" s="644">
        <f t="shared" si="742"/>
        <v>9</v>
      </c>
      <c r="CH313" s="644">
        <f>IF(D280=1,7,0)</f>
        <v>0</v>
      </c>
      <c r="CI313" s="644">
        <f t="shared" si="744"/>
        <v>7</v>
      </c>
      <c r="CJ313" s="644">
        <f t="shared" si="745"/>
        <v>5</v>
      </c>
      <c r="CK313" s="644">
        <f t="shared" si="746"/>
        <v>0</v>
      </c>
      <c r="CL313" s="644">
        <f t="shared" si="747"/>
        <v>0</v>
      </c>
      <c r="CM313" s="644">
        <f t="shared" si="748"/>
        <v>3</v>
      </c>
      <c r="CN313" s="644">
        <f t="shared" si="749"/>
        <v>0</v>
      </c>
      <c r="CO313" s="644">
        <f t="shared" si="750"/>
        <v>3</v>
      </c>
      <c r="CP313" s="644">
        <f t="shared" si="751"/>
        <v>0</v>
      </c>
      <c r="CQ313" s="644">
        <f t="shared" si="752"/>
        <v>0</v>
      </c>
      <c r="CR313" s="644">
        <f t="shared" si="753"/>
        <v>0</v>
      </c>
      <c r="CS313" s="644">
        <f t="shared" si="754"/>
        <v>0</v>
      </c>
      <c r="CT313" s="644">
        <f t="shared" si="755"/>
        <v>0</v>
      </c>
      <c r="CU313" s="644">
        <f t="shared" si="756"/>
        <v>0</v>
      </c>
      <c r="CV313" s="644">
        <f t="shared" si="757"/>
        <v>0</v>
      </c>
      <c r="CW313" s="644">
        <f t="shared" si="758"/>
        <v>0</v>
      </c>
      <c r="CX313" s="644">
        <f t="shared" si="759"/>
        <v>0</v>
      </c>
      <c r="CY313" s="644">
        <f t="shared" si="760"/>
        <v>0</v>
      </c>
      <c r="CZ313" s="624" t="s">
        <v>1090</v>
      </c>
    </row>
    <row r="314" spans="1:104">
      <c r="A314" s="253" t="s">
        <v>1343</v>
      </c>
      <c r="B314" s="641"/>
      <c r="C314" s="641"/>
      <c r="D314" s="155"/>
      <c r="E314" s="644">
        <v>1</v>
      </c>
      <c r="F314" s="644"/>
      <c r="G314" s="644"/>
      <c r="H314" s="644"/>
      <c r="I314" s="644"/>
      <c r="J314" s="644"/>
      <c r="K314" s="644"/>
      <c r="L314" s="644"/>
      <c r="M314" s="644"/>
      <c r="N314" s="644"/>
      <c r="O314" s="644"/>
      <c r="P314" s="644"/>
      <c r="Q314" s="644"/>
      <c r="R314" s="644">
        <v>1</v>
      </c>
      <c r="S314" s="644"/>
      <c r="T314" s="644"/>
      <c r="U314" s="644">
        <v>1</v>
      </c>
      <c r="V314" s="644"/>
      <c r="W314" s="644"/>
      <c r="X314" s="644"/>
      <c r="Y314" s="644"/>
      <c r="Z314" s="258">
        <v>1</v>
      </c>
      <c r="AA314" s="644"/>
      <c r="AB314" s="644"/>
      <c r="AC314" s="644"/>
      <c r="AD314" s="644"/>
      <c r="AE314" s="644"/>
      <c r="AF314" s="644"/>
      <c r="AG314" s="644"/>
      <c r="AH314" s="644">
        <v>1</v>
      </c>
      <c r="AI314" s="644"/>
      <c r="AJ314" s="644"/>
      <c r="AK314" s="644"/>
      <c r="AL314" s="167">
        <v>5</v>
      </c>
      <c r="AM314" s="191" t="str">
        <f t="shared" ref="AM314:AM316" si="1110">HYPERLINK("http://bbwaa.com/15-hof-ballots/", "BBWAA.com")</f>
        <v>BBWAA.com</v>
      </c>
      <c r="AN314" s="192">
        <v>42012</v>
      </c>
      <c r="AO314" s="187"/>
      <c r="AP314" s="187">
        <f t="shared" si="703"/>
        <v>0</v>
      </c>
      <c r="AQ314" s="187">
        <f t="shared" si="704"/>
        <v>0</v>
      </c>
      <c r="AR314" s="187">
        <f t="shared" si="705"/>
        <v>13</v>
      </c>
      <c r="AS314" s="187">
        <f t="shared" si="706"/>
        <v>13</v>
      </c>
      <c r="AT314" s="187">
        <f t="shared" si="707"/>
        <v>0</v>
      </c>
      <c r="AU314" s="187">
        <f t="shared" si="708"/>
        <v>0</v>
      </c>
      <c r="AV314" s="187">
        <f t="shared" si="709"/>
        <v>0</v>
      </c>
      <c r="AW314" s="187">
        <f t="shared" si="710"/>
        <v>0</v>
      </c>
      <c r="AX314" s="187">
        <f t="shared" si="711"/>
        <v>0</v>
      </c>
      <c r="AY314" s="187">
        <f t="shared" si="712"/>
        <v>7</v>
      </c>
      <c r="AZ314" s="187">
        <f t="shared" si="713"/>
        <v>7</v>
      </c>
      <c r="BA314" s="187">
        <f t="shared" si="714"/>
        <v>7</v>
      </c>
      <c r="BB314" s="187">
        <f t="shared" si="715"/>
        <v>0</v>
      </c>
      <c r="BC314" s="187">
        <f t="shared" si="716"/>
        <v>0</v>
      </c>
      <c r="BD314" s="187">
        <f t="shared" si="717"/>
        <v>0</v>
      </c>
      <c r="BE314" s="187">
        <f t="shared" si="718"/>
        <v>0</v>
      </c>
      <c r="BF314" s="187">
        <f t="shared" si="719"/>
        <v>0</v>
      </c>
      <c r="BG314" s="187">
        <f t="shared" si="720"/>
        <v>0</v>
      </c>
      <c r="BH314" s="187">
        <f t="shared" si="721"/>
        <v>0</v>
      </c>
      <c r="BI314" s="187">
        <f t="shared" si="722"/>
        <v>0</v>
      </c>
      <c r="BJ314" s="187">
        <f t="shared" si="723"/>
        <v>0</v>
      </c>
      <c r="BK314" s="187">
        <f t="shared" si="724"/>
        <v>0</v>
      </c>
      <c r="BL314" s="187">
        <f t="shared" si="725"/>
        <v>0</v>
      </c>
      <c r="BM314" s="187">
        <f t="shared" si="726"/>
        <v>0</v>
      </c>
      <c r="BN314" s="188">
        <f t="shared" si="727"/>
        <v>5</v>
      </c>
      <c r="BO314" s="187">
        <f t="shared" si="728"/>
        <v>0</v>
      </c>
      <c r="BP314" s="187">
        <f t="shared" ref="BP314:BQ314" si="1111">IF(G314=1,1,0)</f>
        <v>0</v>
      </c>
      <c r="BQ314" s="187">
        <f t="shared" si="1111"/>
        <v>0</v>
      </c>
      <c r="BR314" s="187">
        <f t="shared" ref="BR314:BT314" si="1112">IF(K314=1,1,0)</f>
        <v>0</v>
      </c>
      <c r="BS314" s="187">
        <f t="shared" si="1112"/>
        <v>0</v>
      </c>
      <c r="BT314" s="187">
        <f t="shared" si="1112"/>
        <v>0</v>
      </c>
      <c r="BU314" s="187">
        <f t="shared" ref="BU314:BV314" si="1113">IF(P314=1,1,0)</f>
        <v>0</v>
      </c>
      <c r="BV314" s="187">
        <f t="shared" si="1113"/>
        <v>0</v>
      </c>
      <c r="BW314" s="187">
        <f t="shared" si="732"/>
        <v>0</v>
      </c>
      <c r="BX314" s="187">
        <f t="shared" si="733"/>
        <v>0</v>
      </c>
      <c r="BY314" s="187">
        <f t="shared" si="734"/>
        <v>5</v>
      </c>
      <c r="BZ314" s="187">
        <f t="shared" si="735"/>
        <v>-25</v>
      </c>
      <c r="CA314" s="167">
        <f t="shared" si="736"/>
        <v>22</v>
      </c>
      <c r="CB314" s="167">
        <f t="shared" si="737"/>
        <v>75</v>
      </c>
      <c r="CC314" s="644">
        <f t="shared" si="738"/>
        <v>23</v>
      </c>
      <c r="CD314" s="644">
        <f t="shared" si="739"/>
        <v>19</v>
      </c>
      <c r="CE314" s="644">
        <f t="shared" si="740"/>
        <v>15</v>
      </c>
      <c r="CF314" s="644">
        <f t="shared" si="741"/>
        <v>15</v>
      </c>
      <c r="CG314" s="644">
        <f t="shared" si="742"/>
        <v>0</v>
      </c>
      <c r="CH314" s="644">
        <f>IF(D283=1,7,0)</f>
        <v>0</v>
      </c>
      <c r="CI314" s="644">
        <f t="shared" si="744"/>
        <v>0</v>
      </c>
      <c r="CJ314" s="644">
        <f t="shared" si="745"/>
        <v>0</v>
      </c>
      <c r="CK314" s="644">
        <f t="shared" si="746"/>
        <v>0</v>
      </c>
      <c r="CL314" s="644">
        <f t="shared" si="747"/>
        <v>0</v>
      </c>
      <c r="CM314" s="644">
        <f t="shared" si="748"/>
        <v>0</v>
      </c>
      <c r="CN314" s="644">
        <f t="shared" si="749"/>
        <v>0</v>
      </c>
      <c r="CO314" s="644">
        <f t="shared" si="750"/>
        <v>0</v>
      </c>
      <c r="CP314" s="644">
        <f t="shared" si="751"/>
        <v>3</v>
      </c>
      <c r="CQ314" s="644">
        <f t="shared" si="752"/>
        <v>0</v>
      </c>
      <c r="CR314" s="644">
        <f t="shared" si="753"/>
        <v>0</v>
      </c>
      <c r="CS314" s="644">
        <f t="shared" si="754"/>
        <v>0</v>
      </c>
      <c r="CT314" s="644">
        <f t="shared" si="755"/>
        <v>0</v>
      </c>
      <c r="CU314" s="644">
        <f t="shared" si="756"/>
        <v>0</v>
      </c>
      <c r="CV314" s="644">
        <f t="shared" si="757"/>
        <v>0</v>
      </c>
      <c r="CW314" s="644">
        <f t="shared" si="758"/>
        <v>0</v>
      </c>
      <c r="CX314" s="644">
        <f t="shared" si="759"/>
        <v>0</v>
      </c>
      <c r="CY314" s="644">
        <f t="shared" si="760"/>
        <v>0</v>
      </c>
      <c r="CZ314" s="624" t="s">
        <v>743</v>
      </c>
    </row>
    <row r="315" spans="1:104">
      <c r="A315" s="253" t="s">
        <v>1344</v>
      </c>
      <c r="B315" s="641"/>
      <c r="C315" s="641"/>
      <c r="D315" s="155"/>
      <c r="E315" s="644">
        <v>1</v>
      </c>
      <c r="F315" s="644"/>
      <c r="G315" s="644"/>
      <c r="H315" s="644"/>
      <c r="I315" s="644"/>
      <c r="J315" s="644"/>
      <c r="K315" s="644"/>
      <c r="L315" s="644"/>
      <c r="M315" s="644"/>
      <c r="N315" s="644"/>
      <c r="O315" s="644"/>
      <c r="P315" s="644"/>
      <c r="Q315" s="644"/>
      <c r="R315" s="644">
        <v>1</v>
      </c>
      <c r="S315" s="644"/>
      <c r="T315" s="644"/>
      <c r="U315" s="644">
        <v>1</v>
      </c>
      <c r="V315" s="644"/>
      <c r="W315" s="644"/>
      <c r="X315" s="644"/>
      <c r="Y315" s="644"/>
      <c r="Z315" s="644">
        <v>1</v>
      </c>
      <c r="AA315" s="644"/>
      <c r="AB315" s="644">
        <v>1</v>
      </c>
      <c r="AC315" s="644"/>
      <c r="AD315" s="644"/>
      <c r="AE315" s="644"/>
      <c r="AF315" s="644"/>
      <c r="AG315" s="644">
        <v>1</v>
      </c>
      <c r="AH315" s="644">
        <v>1</v>
      </c>
      <c r="AI315" s="644"/>
      <c r="AJ315" s="644"/>
      <c r="AK315" s="644"/>
      <c r="AL315" s="167">
        <v>7</v>
      </c>
      <c r="AM315" s="191" t="str">
        <f t="shared" si="1110"/>
        <v>BBWAA.com</v>
      </c>
      <c r="AN315" s="192">
        <v>42014</v>
      </c>
      <c r="AO315" s="187"/>
      <c r="AP315" s="187">
        <f t="shared" si="703"/>
        <v>0</v>
      </c>
      <c r="AQ315" s="187">
        <f t="shared" si="704"/>
        <v>0</v>
      </c>
      <c r="AR315" s="187">
        <f t="shared" si="705"/>
        <v>13</v>
      </c>
      <c r="AS315" s="187">
        <f t="shared" si="706"/>
        <v>13</v>
      </c>
      <c r="AT315" s="187">
        <f t="shared" si="707"/>
        <v>9</v>
      </c>
      <c r="AU315" s="187">
        <f t="shared" si="708"/>
        <v>0</v>
      </c>
      <c r="AV315" s="187">
        <f t="shared" si="709"/>
        <v>0</v>
      </c>
      <c r="AW315" s="187">
        <f t="shared" si="710"/>
        <v>0</v>
      </c>
      <c r="AX315" s="187">
        <f t="shared" si="711"/>
        <v>0</v>
      </c>
      <c r="AY315" s="187">
        <f t="shared" si="712"/>
        <v>7</v>
      </c>
      <c r="AZ315" s="187">
        <f t="shared" si="713"/>
        <v>7</v>
      </c>
      <c r="BA315" s="187">
        <f t="shared" si="714"/>
        <v>7</v>
      </c>
      <c r="BB315" s="187">
        <f t="shared" si="715"/>
        <v>0</v>
      </c>
      <c r="BC315" s="187">
        <f t="shared" si="716"/>
        <v>0</v>
      </c>
      <c r="BD315" s="187">
        <f t="shared" si="717"/>
        <v>0</v>
      </c>
      <c r="BE315" s="187">
        <f t="shared" si="718"/>
        <v>0</v>
      </c>
      <c r="BF315" s="187">
        <f t="shared" si="719"/>
        <v>0</v>
      </c>
      <c r="BG315" s="187">
        <f t="shared" si="720"/>
        <v>0</v>
      </c>
      <c r="BH315" s="187">
        <f t="shared" si="721"/>
        <v>0</v>
      </c>
      <c r="BI315" s="187">
        <f t="shared" si="722"/>
        <v>0</v>
      </c>
      <c r="BJ315" s="187">
        <f t="shared" si="723"/>
        <v>1</v>
      </c>
      <c r="BK315" s="187">
        <f t="shared" si="724"/>
        <v>0</v>
      </c>
      <c r="BL315" s="187">
        <f t="shared" si="725"/>
        <v>0</v>
      </c>
      <c r="BM315" s="187">
        <f t="shared" si="726"/>
        <v>0</v>
      </c>
      <c r="BN315" s="188">
        <f t="shared" si="727"/>
        <v>3</v>
      </c>
      <c r="BO315" s="187">
        <f t="shared" si="728"/>
        <v>0</v>
      </c>
      <c r="BP315" s="187">
        <f t="shared" ref="BP315:BQ315" si="1114">IF(G315=1,1,0)</f>
        <v>0</v>
      </c>
      <c r="BQ315" s="187">
        <f t="shared" si="1114"/>
        <v>0</v>
      </c>
      <c r="BR315" s="187">
        <f t="shared" ref="BR315:BT315" si="1115">IF(K315=1,1,0)</f>
        <v>0</v>
      </c>
      <c r="BS315" s="187">
        <f t="shared" si="1115"/>
        <v>0</v>
      </c>
      <c r="BT315" s="187">
        <f t="shared" si="1115"/>
        <v>0</v>
      </c>
      <c r="BU315" s="187">
        <f t="shared" ref="BU315:BV315" si="1116">IF(P315=1,1,0)</f>
        <v>0</v>
      </c>
      <c r="BV315" s="187">
        <f t="shared" si="1116"/>
        <v>0</v>
      </c>
      <c r="BW315" s="187">
        <f t="shared" si="732"/>
        <v>0</v>
      </c>
      <c r="BX315" s="187">
        <f t="shared" si="733"/>
        <v>0</v>
      </c>
      <c r="BY315" s="187">
        <f t="shared" si="734"/>
        <v>3</v>
      </c>
      <c r="BZ315" s="187">
        <f t="shared" si="735"/>
        <v>-9</v>
      </c>
      <c r="CA315" s="167">
        <f t="shared" si="736"/>
        <v>48</v>
      </c>
      <c r="CB315" s="167">
        <f t="shared" si="737"/>
        <v>94</v>
      </c>
      <c r="CC315" s="644">
        <f t="shared" si="738"/>
        <v>23</v>
      </c>
      <c r="CD315" s="644">
        <f t="shared" si="739"/>
        <v>19</v>
      </c>
      <c r="CE315" s="644">
        <f t="shared" si="740"/>
        <v>15</v>
      </c>
      <c r="CF315" s="644">
        <f t="shared" si="741"/>
        <v>15</v>
      </c>
      <c r="CG315" s="644">
        <f t="shared" si="742"/>
        <v>9</v>
      </c>
      <c r="CH315" s="644">
        <f>IF(D285=1,7,0)</f>
        <v>7</v>
      </c>
      <c r="CI315" s="644">
        <f t="shared" si="744"/>
        <v>0</v>
      </c>
      <c r="CJ315" s="644">
        <f t="shared" si="745"/>
        <v>0</v>
      </c>
      <c r="CK315" s="644">
        <f t="shared" si="746"/>
        <v>0</v>
      </c>
      <c r="CL315" s="644">
        <f t="shared" si="747"/>
        <v>0</v>
      </c>
      <c r="CM315" s="644">
        <f t="shared" si="748"/>
        <v>3</v>
      </c>
      <c r="CN315" s="644">
        <f t="shared" si="749"/>
        <v>0</v>
      </c>
      <c r="CO315" s="644">
        <f t="shared" si="750"/>
        <v>0</v>
      </c>
      <c r="CP315" s="644">
        <f t="shared" si="751"/>
        <v>3</v>
      </c>
      <c r="CQ315" s="644">
        <f t="shared" si="752"/>
        <v>0</v>
      </c>
      <c r="CR315" s="644">
        <f t="shared" si="753"/>
        <v>0</v>
      </c>
      <c r="CS315" s="644">
        <f t="shared" si="754"/>
        <v>0</v>
      </c>
      <c r="CT315" s="644">
        <f t="shared" si="755"/>
        <v>0</v>
      </c>
      <c r="CU315" s="644">
        <f t="shared" si="756"/>
        <v>0</v>
      </c>
      <c r="CV315" s="644">
        <f t="shared" si="757"/>
        <v>0</v>
      </c>
      <c r="CW315" s="644">
        <f t="shared" si="758"/>
        <v>0</v>
      </c>
      <c r="CX315" s="644">
        <f t="shared" si="759"/>
        <v>0</v>
      </c>
      <c r="CY315" s="644">
        <f t="shared" si="760"/>
        <v>0</v>
      </c>
      <c r="CZ315" s="624" t="s">
        <v>743</v>
      </c>
    </row>
    <row r="316" spans="1:104">
      <c r="A316" s="277" t="s">
        <v>1345</v>
      </c>
      <c r="B316" s="641"/>
      <c r="C316" s="641"/>
      <c r="D316" s="278">
        <v>1</v>
      </c>
      <c r="E316" s="256">
        <v>1</v>
      </c>
      <c r="F316" s="255"/>
      <c r="G316" s="644"/>
      <c r="H316" s="644"/>
      <c r="I316" s="255"/>
      <c r="J316" s="644"/>
      <c r="K316" s="644"/>
      <c r="L316" s="644"/>
      <c r="M316" s="644"/>
      <c r="N316" s="644"/>
      <c r="O316" s="644"/>
      <c r="P316" s="644"/>
      <c r="Q316" s="644"/>
      <c r="R316" s="644">
        <v>1</v>
      </c>
      <c r="S316" s="644"/>
      <c r="T316" s="644"/>
      <c r="U316" s="644">
        <v>1</v>
      </c>
      <c r="V316" s="644"/>
      <c r="W316" s="644">
        <v>1</v>
      </c>
      <c r="X316" s="644"/>
      <c r="Y316" s="644"/>
      <c r="Z316" s="255"/>
      <c r="AA316" s="644"/>
      <c r="AB316" s="256">
        <v>1</v>
      </c>
      <c r="AC316" s="256">
        <v>1</v>
      </c>
      <c r="AD316" s="255"/>
      <c r="AE316" s="644"/>
      <c r="AF316" s="644">
        <v>1</v>
      </c>
      <c r="AG316" s="644"/>
      <c r="AH316" s="644">
        <v>1</v>
      </c>
      <c r="AI316" s="644"/>
      <c r="AJ316" s="644"/>
      <c r="AK316" s="644"/>
      <c r="AL316" s="167">
        <v>9</v>
      </c>
      <c r="AM316" s="191" t="str">
        <f t="shared" si="1110"/>
        <v>BBWAA.com</v>
      </c>
      <c r="AN316" s="192">
        <v>42015</v>
      </c>
      <c r="AO316" s="187"/>
      <c r="AP316" s="187">
        <f t="shared" si="703"/>
        <v>0</v>
      </c>
      <c r="AQ316" s="187">
        <f t="shared" si="704"/>
        <v>0</v>
      </c>
      <c r="AR316" s="187">
        <f t="shared" si="705"/>
        <v>13</v>
      </c>
      <c r="AS316" s="187">
        <f t="shared" si="706"/>
        <v>13</v>
      </c>
      <c r="AT316" s="187">
        <f t="shared" si="707"/>
        <v>9</v>
      </c>
      <c r="AU316" s="187">
        <f t="shared" si="708"/>
        <v>9</v>
      </c>
      <c r="AV316" s="187">
        <f t="shared" si="709"/>
        <v>9</v>
      </c>
      <c r="AW316" s="187">
        <f t="shared" si="710"/>
        <v>0</v>
      </c>
      <c r="AX316" s="187">
        <f t="shared" si="711"/>
        <v>0</v>
      </c>
      <c r="AY316" s="187">
        <f t="shared" si="712"/>
        <v>0</v>
      </c>
      <c r="AZ316" s="187">
        <f t="shared" si="713"/>
        <v>7</v>
      </c>
      <c r="BA316" s="187">
        <f t="shared" si="714"/>
        <v>7</v>
      </c>
      <c r="BB316" s="187">
        <f t="shared" si="715"/>
        <v>0</v>
      </c>
      <c r="BC316" s="187">
        <f t="shared" si="716"/>
        <v>0</v>
      </c>
      <c r="BD316" s="187">
        <f t="shared" si="717"/>
        <v>0</v>
      </c>
      <c r="BE316" s="187">
        <f t="shared" si="718"/>
        <v>3</v>
      </c>
      <c r="BF316" s="187">
        <f t="shared" si="719"/>
        <v>3</v>
      </c>
      <c r="BG316" s="187">
        <f t="shared" si="720"/>
        <v>0</v>
      </c>
      <c r="BH316" s="187">
        <f t="shared" si="721"/>
        <v>0</v>
      </c>
      <c r="BI316" s="187">
        <f t="shared" si="722"/>
        <v>0</v>
      </c>
      <c r="BJ316" s="187">
        <f t="shared" si="723"/>
        <v>0</v>
      </c>
      <c r="BK316" s="187">
        <f t="shared" si="724"/>
        <v>0</v>
      </c>
      <c r="BL316" s="187">
        <f t="shared" si="725"/>
        <v>0</v>
      </c>
      <c r="BM316" s="187">
        <f t="shared" si="726"/>
        <v>0</v>
      </c>
      <c r="BN316" s="188">
        <f t="shared" si="727"/>
        <v>1</v>
      </c>
      <c r="BO316" s="187">
        <f t="shared" si="728"/>
        <v>0</v>
      </c>
      <c r="BP316" s="187">
        <f t="shared" ref="BP316:BQ316" si="1117">IF(G316=1,1,0)</f>
        <v>0</v>
      </c>
      <c r="BQ316" s="187">
        <f t="shared" si="1117"/>
        <v>0</v>
      </c>
      <c r="BR316" s="187">
        <f t="shared" ref="BR316:BT316" si="1118">IF(K316=1,1,0)</f>
        <v>0</v>
      </c>
      <c r="BS316" s="187">
        <f t="shared" si="1118"/>
        <v>0</v>
      </c>
      <c r="BT316" s="187">
        <f t="shared" si="1118"/>
        <v>0</v>
      </c>
      <c r="BU316" s="187">
        <f t="shared" ref="BU316:BV316" si="1119">IF(P316=1,1,0)</f>
        <v>0</v>
      </c>
      <c r="BV316" s="187">
        <f t="shared" si="1119"/>
        <v>0</v>
      </c>
      <c r="BW316" s="187">
        <f t="shared" si="732"/>
        <v>0</v>
      </c>
      <c r="BX316" s="187">
        <f t="shared" si="733"/>
        <v>0</v>
      </c>
      <c r="BY316" s="187">
        <f t="shared" si="734"/>
        <v>1</v>
      </c>
      <c r="BZ316" s="187">
        <f t="shared" si="735"/>
        <v>-1</v>
      </c>
      <c r="CA316" s="167">
        <f t="shared" si="736"/>
        <v>72</v>
      </c>
      <c r="CB316" s="167">
        <f t="shared" si="737"/>
        <v>92</v>
      </c>
      <c r="CC316" s="644">
        <f t="shared" si="738"/>
        <v>23</v>
      </c>
      <c r="CD316" s="644">
        <f t="shared" si="739"/>
        <v>19</v>
      </c>
      <c r="CE316" s="644">
        <f t="shared" si="740"/>
        <v>15</v>
      </c>
      <c r="CF316" s="644">
        <f t="shared" si="741"/>
        <v>15</v>
      </c>
      <c r="CG316" s="644">
        <f t="shared" si="742"/>
        <v>9</v>
      </c>
      <c r="CH316" s="644">
        <f>IF(D287=1,7,0)</f>
        <v>0</v>
      </c>
      <c r="CI316" s="644">
        <f t="shared" si="744"/>
        <v>7</v>
      </c>
      <c r="CJ316" s="644">
        <f t="shared" si="745"/>
        <v>0</v>
      </c>
      <c r="CK316" s="644">
        <f t="shared" si="746"/>
        <v>0</v>
      </c>
      <c r="CL316" s="644">
        <f t="shared" si="747"/>
        <v>0</v>
      </c>
      <c r="CM316" s="644">
        <f t="shared" si="748"/>
        <v>0</v>
      </c>
      <c r="CN316" s="644">
        <f t="shared" si="749"/>
        <v>0</v>
      </c>
      <c r="CO316" s="644">
        <f t="shared" si="750"/>
        <v>0</v>
      </c>
      <c r="CP316" s="644">
        <f t="shared" si="751"/>
        <v>0</v>
      </c>
      <c r="CQ316" s="644">
        <f t="shared" si="752"/>
        <v>0</v>
      </c>
      <c r="CR316" s="644">
        <f t="shared" si="753"/>
        <v>2</v>
      </c>
      <c r="CS316" s="644">
        <f t="shared" si="754"/>
        <v>0</v>
      </c>
      <c r="CT316" s="644">
        <f t="shared" si="755"/>
        <v>2</v>
      </c>
      <c r="CU316" s="644">
        <f t="shared" si="756"/>
        <v>0</v>
      </c>
      <c r="CV316" s="644">
        <f t="shared" si="757"/>
        <v>0</v>
      </c>
      <c r="CW316" s="644">
        <f t="shared" si="758"/>
        <v>0</v>
      </c>
      <c r="CX316" s="644">
        <f t="shared" si="759"/>
        <v>0</v>
      </c>
      <c r="CY316" s="644">
        <f t="shared" si="760"/>
        <v>0</v>
      </c>
      <c r="CZ316" s="624" t="s">
        <v>754</v>
      </c>
    </row>
    <row r="317" spans="1:104">
      <c r="A317" s="253" t="s">
        <v>459</v>
      </c>
      <c r="B317" s="641"/>
      <c r="C317" s="641"/>
      <c r="D317" s="155">
        <v>1</v>
      </c>
      <c r="E317" s="644">
        <v>1</v>
      </c>
      <c r="F317" s="644">
        <v>1</v>
      </c>
      <c r="G317" s="644"/>
      <c r="H317" s="644"/>
      <c r="I317" s="644">
        <v>1</v>
      </c>
      <c r="J317" s="644"/>
      <c r="K317" s="644"/>
      <c r="L317" s="644"/>
      <c r="M317" s="644"/>
      <c r="N317" s="644"/>
      <c r="O317" s="644"/>
      <c r="P317" s="644"/>
      <c r="Q317" s="644"/>
      <c r="R317" s="644">
        <v>1</v>
      </c>
      <c r="S317" s="644"/>
      <c r="T317" s="644"/>
      <c r="U317" s="644">
        <v>1</v>
      </c>
      <c r="V317" s="644"/>
      <c r="W317" s="644"/>
      <c r="X317" s="644"/>
      <c r="Y317" s="644"/>
      <c r="Z317" s="644"/>
      <c r="AA317" s="644"/>
      <c r="AB317" s="644">
        <v>1</v>
      </c>
      <c r="AC317" s="644">
        <v>1</v>
      </c>
      <c r="AD317" s="644"/>
      <c r="AE317" s="644"/>
      <c r="AF317" s="644"/>
      <c r="AG317" s="644"/>
      <c r="AH317" s="644">
        <v>1</v>
      </c>
      <c r="AI317" s="644"/>
      <c r="AJ317" s="644">
        <v>1</v>
      </c>
      <c r="AK317" s="644"/>
      <c r="AL317" s="167">
        <v>10</v>
      </c>
      <c r="AM317" s="191" t="s">
        <v>1346</v>
      </c>
      <c r="AN317" s="192">
        <v>42010</v>
      </c>
      <c r="AO317" s="187"/>
      <c r="AP317" s="187">
        <f t="shared" si="703"/>
        <v>13</v>
      </c>
      <c r="AQ317" s="187">
        <f t="shared" si="704"/>
        <v>13</v>
      </c>
      <c r="AR317" s="187">
        <f t="shared" si="705"/>
        <v>13</v>
      </c>
      <c r="AS317" s="187">
        <f t="shared" si="706"/>
        <v>13</v>
      </c>
      <c r="AT317" s="187">
        <f t="shared" si="707"/>
        <v>9</v>
      </c>
      <c r="AU317" s="187">
        <f t="shared" si="708"/>
        <v>9</v>
      </c>
      <c r="AV317" s="187">
        <f t="shared" si="709"/>
        <v>9</v>
      </c>
      <c r="AW317" s="187">
        <f t="shared" si="710"/>
        <v>7</v>
      </c>
      <c r="AX317" s="187">
        <f t="shared" si="711"/>
        <v>0</v>
      </c>
      <c r="AY317" s="187">
        <f t="shared" si="712"/>
        <v>0</v>
      </c>
      <c r="AZ317" s="187">
        <f t="shared" si="713"/>
        <v>7</v>
      </c>
      <c r="BA317" s="187">
        <f t="shared" si="714"/>
        <v>7</v>
      </c>
      <c r="BB317" s="187">
        <f t="shared" si="715"/>
        <v>0</v>
      </c>
      <c r="BC317" s="187">
        <f t="shared" si="716"/>
        <v>0</v>
      </c>
      <c r="BD317" s="187">
        <f t="shared" si="717"/>
        <v>0</v>
      </c>
      <c r="BE317" s="187">
        <f t="shared" si="718"/>
        <v>0</v>
      </c>
      <c r="BF317" s="187">
        <f t="shared" si="719"/>
        <v>0</v>
      </c>
      <c r="BG317" s="187">
        <f t="shared" si="720"/>
        <v>0</v>
      </c>
      <c r="BH317" s="187">
        <f t="shared" si="721"/>
        <v>0</v>
      </c>
      <c r="BI317" s="187">
        <f t="shared" si="722"/>
        <v>0</v>
      </c>
      <c r="BJ317" s="187">
        <f t="shared" si="723"/>
        <v>0</v>
      </c>
      <c r="BK317" s="187">
        <f t="shared" si="724"/>
        <v>0</v>
      </c>
      <c r="BL317" s="187">
        <f t="shared" si="725"/>
        <v>0</v>
      </c>
      <c r="BM317" s="187">
        <f t="shared" si="726"/>
        <v>0</v>
      </c>
      <c r="BN317" s="188">
        <f t="shared" si="727"/>
        <v>0</v>
      </c>
      <c r="BO317" s="187">
        <f t="shared" si="728"/>
        <v>0</v>
      </c>
      <c r="BP317" s="187">
        <f t="shared" ref="BP317:BQ317" si="1120">IF(G317=1,1,0)</f>
        <v>0</v>
      </c>
      <c r="BQ317" s="187">
        <f t="shared" si="1120"/>
        <v>0</v>
      </c>
      <c r="BR317" s="187">
        <f t="shared" ref="BR317:BT317" si="1121">IF(K317=1,1,0)</f>
        <v>0</v>
      </c>
      <c r="BS317" s="187">
        <f t="shared" si="1121"/>
        <v>0</v>
      </c>
      <c r="BT317" s="187">
        <f t="shared" si="1121"/>
        <v>0</v>
      </c>
      <c r="BU317" s="187">
        <f t="shared" ref="BU317:BV317" si="1122">IF(P317=1,1,0)</f>
        <v>0</v>
      </c>
      <c r="BV317" s="187">
        <f t="shared" si="1122"/>
        <v>0</v>
      </c>
      <c r="BW317" s="187">
        <f t="shared" si="732"/>
        <v>0</v>
      </c>
      <c r="BX317" s="187">
        <f t="shared" si="733"/>
        <v>0</v>
      </c>
      <c r="BY317" s="187">
        <f t="shared" si="734"/>
        <v>0</v>
      </c>
      <c r="BZ317" s="187">
        <f t="shared" si="735"/>
        <v>0</v>
      </c>
      <c r="CA317" s="167">
        <f t="shared" si="736"/>
        <v>100</v>
      </c>
      <c r="CB317" s="167">
        <f t="shared" si="737"/>
        <v>100</v>
      </c>
      <c r="CC317" s="644">
        <f t="shared" si="738"/>
        <v>23</v>
      </c>
      <c r="CD317" s="644">
        <f t="shared" si="739"/>
        <v>19</v>
      </c>
      <c r="CE317" s="644">
        <f t="shared" si="740"/>
        <v>15</v>
      </c>
      <c r="CF317" s="644">
        <f t="shared" si="741"/>
        <v>15</v>
      </c>
      <c r="CG317" s="644">
        <f t="shared" si="742"/>
        <v>9</v>
      </c>
      <c r="CH317" s="644">
        <f>IF(D285=1,7,0)</f>
        <v>7</v>
      </c>
      <c r="CI317" s="644">
        <f t="shared" si="744"/>
        <v>7</v>
      </c>
      <c r="CJ317" s="644">
        <f t="shared" si="745"/>
        <v>0</v>
      </c>
      <c r="CK317" s="644">
        <f t="shared" si="746"/>
        <v>5</v>
      </c>
      <c r="CL317" s="644">
        <f t="shared" si="747"/>
        <v>5</v>
      </c>
      <c r="CM317" s="644">
        <f t="shared" si="748"/>
        <v>0</v>
      </c>
      <c r="CN317" s="644">
        <f t="shared" si="749"/>
        <v>0</v>
      </c>
      <c r="CO317" s="644">
        <f t="shared" si="750"/>
        <v>3</v>
      </c>
      <c r="CP317" s="644">
        <f t="shared" si="751"/>
        <v>0</v>
      </c>
      <c r="CQ317" s="644">
        <f t="shared" si="752"/>
        <v>0</v>
      </c>
      <c r="CR317" s="644">
        <f t="shared" si="753"/>
        <v>0</v>
      </c>
      <c r="CS317" s="644">
        <f t="shared" si="754"/>
        <v>0</v>
      </c>
      <c r="CT317" s="644">
        <f t="shared" si="755"/>
        <v>0</v>
      </c>
      <c r="CU317" s="644">
        <f t="shared" si="756"/>
        <v>0</v>
      </c>
      <c r="CV317" s="644">
        <f t="shared" si="757"/>
        <v>0</v>
      </c>
      <c r="CW317" s="644">
        <f t="shared" si="758"/>
        <v>0</v>
      </c>
      <c r="CX317" s="644">
        <f t="shared" si="759"/>
        <v>0</v>
      </c>
      <c r="CY317" s="644">
        <f t="shared" si="760"/>
        <v>0</v>
      </c>
      <c r="CZ317" s="624" t="s">
        <v>841</v>
      </c>
    </row>
    <row r="318" spans="1:104">
      <c r="A318" s="253" t="s">
        <v>461</v>
      </c>
      <c r="B318" s="641"/>
      <c r="C318" s="641"/>
      <c r="D318" s="155">
        <v>1</v>
      </c>
      <c r="E318" s="644">
        <v>1</v>
      </c>
      <c r="F318" s="644"/>
      <c r="G318" s="644"/>
      <c r="H318" s="644"/>
      <c r="I318" s="644"/>
      <c r="J318" s="644"/>
      <c r="K318" s="644"/>
      <c r="L318" s="644"/>
      <c r="M318" s="644"/>
      <c r="N318" s="644"/>
      <c r="O318" s="644"/>
      <c r="P318" s="644"/>
      <c r="Q318" s="644"/>
      <c r="R318" s="644">
        <v>1</v>
      </c>
      <c r="S318" s="644"/>
      <c r="T318" s="644">
        <v>1</v>
      </c>
      <c r="U318" s="644">
        <v>1</v>
      </c>
      <c r="V318" s="644"/>
      <c r="W318" s="644"/>
      <c r="X318" s="644"/>
      <c r="Y318" s="644"/>
      <c r="Z318" s="258">
        <v>1</v>
      </c>
      <c r="AA318" s="644"/>
      <c r="AB318" s="644">
        <v>1</v>
      </c>
      <c r="AC318" s="644">
        <v>1</v>
      </c>
      <c r="AD318" s="644">
        <v>1</v>
      </c>
      <c r="AE318" s="644"/>
      <c r="AF318" s="644"/>
      <c r="AG318" s="644"/>
      <c r="AH318" s="644">
        <v>1</v>
      </c>
      <c r="AI318" s="644"/>
      <c r="AJ318" s="644"/>
      <c r="AK318" s="644"/>
      <c r="AL318" s="167">
        <v>10</v>
      </c>
      <c r="AM318" s="191" t="str">
        <f t="shared" ref="AM318:AM322" si="1123">HYPERLINK("http://bbwaa.com/15-hof-ballots/", "BBWAA.com")</f>
        <v>BBWAA.com</v>
      </c>
      <c r="AN318" s="192">
        <v>42012</v>
      </c>
      <c r="AO318" s="187"/>
      <c r="AP318" s="187">
        <f t="shared" si="703"/>
        <v>0</v>
      </c>
      <c r="AQ318" s="187">
        <f t="shared" si="704"/>
        <v>0</v>
      </c>
      <c r="AR318" s="187">
        <f t="shared" si="705"/>
        <v>13</v>
      </c>
      <c r="AS318" s="187">
        <f t="shared" si="706"/>
        <v>13</v>
      </c>
      <c r="AT318" s="187">
        <f t="shared" si="707"/>
        <v>9</v>
      </c>
      <c r="AU318" s="187">
        <f t="shared" si="708"/>
        <v>9</v>
      </c>
      <c r="AV318" s="187">
        <f t="shared" si="709"/>
        <v>9</v>
      </c>
      <c r="AW318" s="187">
        <f t="shared" si="710"/>
        <v>0</v>
      </c>
      <c r="AX318" s="187">
        <f t="shared" si="711"/>
        <v>7</v>
      </c>
      <c r="AY318" s="187">
        <f t="shared" si="712"/>
        <v>7</v>
      </c>
      <c r="AZ318" s="187">
        <f t="shared" si="713"/>
        <v>7</v>
      </c>
      <c r="BA318" s="187">
        <f t="shared" si="714"/>
        <v>7</v>
      </c>
      <c r="BB318" s="187">
        <f t="shared" si="715"/>
        <v>0</v>
      </c>
      <c r="BC318" s="187">
        <f t="shared" si="716"/>
        <v>4</v>
      </c>
      <c r="BD318" s="187">
        <f t="shared" si="717"/>
        <v>0</v>
      </c>
      <c r="BE318" s="187">
        <f t="shared" si="718"/>
        <v>0</v>
      </c>
      <c r="BF318" s="187">
        <f t="shared" si="719"/>
        <v>0</v>
      </c>
      <c r="BG318" s="187">
        <f t="shared" si="720"/>
        <v>0</v>
      </c>
      <c r="BH318" s="187">
        <f t="shared" si="721"/>
        <v>0</v>
      </c>
      <c r="BI318" s="187">
        <f t="shared" si="722"/>
        <v>0</v>
      </c>
      <c r="BJ318" s="187">
        <f t="shared" si="723"/>
        <v>0</v>
      </c>
      <c r="BK318" s="187">
        <f t="shared" si="724"/>
        <v>0</v>
      </c>
      <c r="BL318" s="187">
        <f t="shared" si="725"/>
        <v>0</v>
      </c>
      <c r="BM318" s="187">
        <f t="shared" si="726"/>
        <v>0</v>
      </c>
      <c r="BN318" s="188">
        <f t="shared" si="727"/>
        <v>0</v>
      </c>
      <c r="BO318" s="187">
        <f t="shared" si="728"/>
        <v>0</v>
      </c>
      <c r="BP318" s="187">
        <f t="shared" ref="BP318:BQ318" si="1124">IF(G318=1,1,0)</f>
        <v>0</v>
      </c>
      <c r="BQ318" s="187">
        <f t="shared" si="1124"/>
        <v>0</v>
      </c>
      <c r="BR318" s="187">
        <f t="shared" ref="BR318:BT318" si="1125">IF(K318=1,1,0)</f>
        <v>0</v>
      </c>
      <c r="BS318" s="187">
        <f t="shared" si="1125"/>
        <v>0</v>
      </c>
      <c r="BT318" s="187">
        <f t="shared" si="1125"/>
        <v>0</v>
      </c>
      <c r="BU318" s="187">
        <f t="shared" ref="BU318:BV318" si="1126">IF(P318=1,1,0)</f>
        <v>0</v>
      </c>
      <c r="BV318" s="187">
        <f t="shared" si="1126"/>
        <v>0</v>
      </c>
      <c r="BW318" s="187">
        <f t="shared" si="732"/>
        <v>0</v>
      </c>
      <c r="BX318" s="187">
        <f t="shared" si="733"/>
        <v>0</v>
      </c>
      <c r="BY318" s="187">
        <f t="shared" si="734"/>
        <v>0</v>
      </c>
      <c r="BZ318" s="187">
        <f t="shared" si="735"/>
        <v>0</v>
      </c>
      <c r="CA318" s="167">
        <f t="shared" si="736"/>
        <v>85</v>
      </c>
      <c r="CB318" s="167">
        <f t="shared" si="737"/>
        <v>96</v>
      </c>
      <c r="CC318" s="644">
        <f t="shared" si="738"/>
        <v>23</v>
      </c>
      <c r="CD318" s="644">
        <f t="shared" si="739"/>
        <v>19</v>
      </c>
      <c r="CE318" s="644">
        <f t="shared" si="740"/>
        <v>15</v>
      </c>
      <c r="CF318" s="644">
        <f t="shared" si="741"/>
        <v>15</v>
      </c>
      <c r="CG318" s="644">
        <f t="shared" si="742"/>
        <v>9</v>
      </c>
      <c r="CH318" s="644">
        <f t="shared" ref="CH318:CH319" si="1127">IF(D289=1,7,0)</f>
        <v>0</v>
      </c>
      <c r="CI318" s="644">
        <f t="shared" si="744"/>
        <v>7</v>
      </c>
      <c r="CJ318" s="644">
        <f t="shared" si="745"/>
        <v>5</v>
      </c>
      <c r="CK318" s="644">
        <f t="shared" si="746"/>
        <v>0</v>
      </c>
      <c r="CL318" s="644">
        <f t="shared" si="747"/>
        <v>0</v>
      </c>
      <c r="CM318" s="644">
        <f t="shared" si="748"/>
        <v>0</v>
      </c>
      <c r="CN318" s="644">
        <f t="shared" si="749"/>
        <v>3</v>
      </c>
      <c r="CO318" s="644">
        <f t="shared" si="750"/>
        <v>0</v>
      </c>
      <c r="CP318" s="644">
        <f t="shared" si="751"/>
        <v>3</v>
      </c>
      <c r="CQ318" s="644">
        <f t="shared" si="752"/>
        <v>0</v>
      </c>
      <c r="CR318" s="644">
        <f t="shared" si="753"/>
        <v>0</v>
      </c>
      <c r="CS318" s="644">
        <f t="shared" si="754"/>
        <v>0</v>
      </c>
      <c r="CT318" s="644">
        <f t="shared" si="755"/>
        <v>0</v>
      </c>
      <c r="CU318" s="644">
        <f t="shared" si="756"/>
        <v>0</v>
      </c>
      <c r="CV318" s="644">
        <f t="shared" si="757"/>
        <v>0</v>
      </c>
      <c r="CW318" s="644">
        <f t="shared" si="758"/>
        <v>0</v>
      </c>
      <c r="CX318" s="644">
        <f t="shared" si="759"/>
        <v>0</v>
      </c>
      <c r="CY318" s="644">
        <f t="shared" si="760"/>
        <v>0</v>
      </c>
      <c r="CZ318" s="624" t="s">
        <v>743</v>
      </c>
    </row>
    <row r="319" spans="1:104">
      <c r="A319" s="253" t="s">
        <v>1347</v>
      </c>
      <c r="B319" s="641"/>
      <c r="C319" s="641"/>
      <c r="D319" s="155"/>
      <c r="E319" s="644">
        <v>1</v>
      </c>
      <c r="F319" s="644"/>
      <c r="G319" s="644"/>
      <c r="H319" s="644"/>
      <c r="I319" s="644"/>
      <c r="J319" s="644"/>
      <c r="K319" s="644"/>
      <c r="L319" s="644"/>
      <c r="M319" s="644"/>
      <c r="N319" s="644"/>
      <c r="O319" s="644"/>
      <c r="P319" s="644"/>
      <c r="Q319" s="644"/>
      <c r="R319" s="644">
        <v>1</v>
      </c>
      <c r="S319" s="644"/>
      <c r="T319" s="644"/>
      <c r="U319" s="644">
        <v>1</v>
      </c>
      <c r="V319" s="644"/>
      <c r="W319" s="644"/>
      <c r="X319" s="644"/>
      <c r="Y319" s="644"/>
      <c r="Z319" s="644"/>
      <c r="AA319" s="644"/>
      <c r="AB319" s="644"/>
      <c r="AC319" s="644"/>
      <c r="AD319" s="644"/>
      <c r="AE319" s="644"/>
      <c r="AF319" s="644"/>
      <c r="AG319" s="644"/>
      <c r="AH319" s="644">
        <v>1</v>
      </c>
      <c r="AI319" s="644"/>
      <c r="AJ319" s="644"/>
      <c r="AK319" s="644"/>
      <c r="AL319" s="167">
        <v>4</v>
      </c>
      <c r="AM319" s="191" t="str">
        <f t="shared" si="1123"/>
        <v>BBWAA.com</v>
      </c>
      <c r="AN319" s="192">
        <v>42015</v>
      </c>
      <c r="AO319" s="187"/>
      <c r="AP319" s="187">
        <f t="shared" si="703"/>
        <v>0</v>
      </c>
      <c r="AQ319" s="187">
        <f t="shared" si="704"/>
        <v>0</v>
      </c>
      <c r="AR319" s="187">
        <f t="shared" si="705"/>
        <v>13</v>
      </c>
      <c r="AS319" s="187">
        <f t="shared" si="706"/>
        <v>13</v>
      </c>
      <c r="AT319" s="187">
        <f t="shared" si="707"/>
        <v>0</v>
      </c>
      <c r="AU319" s="187">
        <f t="shared" si="708"/>
        <v>0</v>
      </c>
      <c r="AV319" s="187">
        <f t="shared" si="709"/>
        <v>0</v>
      </c>
      <c r="AW319" s="187">
        <f t="shared" si="710"/>
        <v>0</v>
      </c>
      <c r="AX319" s="187">
        <f t="shared" si="711"/>
        <v>0</v>
      </c>
      <c r="AY319" s="187">
        <f t="shared" si="712"/>
        <v>0</v>
      </c>
      <c r="AZ319" s="187">
        <f t="shared" si="713"/>
        <v>7</v>
      </c>
      <c r="BA319" s="187">
        <f t="shared" si="714"/>
        <v>7</v>
      </c>
      <c r="BB319" s="187">
        <f t="shared" si="715"/>
        <v>0</v>
      </c>
      <c r="BC319" s="187">
        <f t="shared" si="716"/>
        <v>0</v>
      </c>
      <c r="BD319" s="187">
        <f t="shared" si="717"/>
        <v>0</v>
      </c>
      <c r="BE319" s="187">
        <f t="shared" si="718"/>
        <v>0</v>
      </c>
      <c r="BF319" s="187">
        <f t="shared" si="719"/>
        <v>0</v>
      </c>
      <c r="BG319" s="187">
        <f t="shared" si="720"/>
        <v>0</v>
      </c>
      <c r="BH319" s="187">
        <f t="shared" si="721"/>
        <v>0</v>
      </c>
      <c r="BI319" s="187">
        <f t="shared" si="722"/>
        <v>0</v>
      </c>
      <c r="BJ319" s="187">
        <f t="shared" si="723"/>
        <v>0</v>
      </c>
      <c r="BK319" s="187">
        <f t="shared" si="724"/>
        <v>0</v>
      </c>
      <c r="BL319" s="187">
        <f t="shared" si="725"/>
        <v>0</v>
      </c>
      <c r="BM319" s="187">
        <f t="shared" si="726"/>
        <v>0</v>
      </c>
      <c r="BN319" s="188">
        <f t="shared" si="727"/>
        <v>6</v>
      </c>
      <c r="BO319" s="187">
        <f t="shared" si="728"/>
        <v>0</v>
      </c>
      <c r="BP319" s="187">
        <f t="shared" ref="BP319:BQ319" si="1128">IF(G319=1,1,0)</f>
        <v>0</v>
      </c>
      <c r="BQ319" s="187">
        <f t="shared" si="1128"/>
        <v>0</v>
      </c>
      <c r="BR319" s="187">
        <f t="shared" ref="BR319:BT319" si="1129">IF(K319=1,1,0)</f>
        <v>0</v>
      </c>
      <c r="BS319" s="187">
        <f t="shared" si="1129"/>
        <v>0</v>
      </c>
      <c r="BT319" s="187">
        <f t="shared" si="1129"/>
        <v>0</v>
      </c>
      <c r="BU319" s="187">
        <f t="shared" ref="BU319:BV319" si="1130">IF(P319=1,1,0)</f>
        <v>0</v>
      </c>
      <c r="BV319" s="187">
        <f t="shared" si="1130"/>
        <v>0</v>
      </c>
      <c r="BW319" s="187">
        <f t="shared" si="732"/>
        <v>0</v>
      </c>
      <c r="BX319" s="187">
        <f t="shared" si="733"/>
        <v>0</v>
      </c>
      <c r="BY319" s="187">
        <f t="shared" si="734"/>
        <v>6</v>
      </c>
      <c r="BZ319" s="187">
        <f t="shared" si="735"/>
        <v>-36</v>
      </c>
      <c r="CA319" s="167">
        <f t="shared" si="736"/>
        <v>4</v>
      </c>
      <c r="CB319" s="167">
        <f t="shared" si="737"/>
        <v>72</v>
      </c>
      <c r="CC319" s="644">
        <f t="shared" si="738"/>
        <v>23</v>
      </c>
      <c r="CD319" s="644">
        <f t="shared" si="739"/>
        <v>19</v>
      </c>
      <c r="CE319" s="644">
        <f t="shared" si="740"/>
        <v>15</v>
      </c>
      <c r="CF319" s="644">
        <f t="shared" si="741"/>
        <v>15</v>
      </c>
      <c r="CG319" s="644">
        <f t="shared" si="742"/>
        <v>0</v>
      </c>
      <c r="CH319" s="644">
        <f t="shared" si="1127"/>
        <v>0</v>
      </c>
      <c r="CI319" s="644">
        <f t="shared" si="744"/>
        <v>0</v>
      </c>
      <c r="CJ319" s="644">
        <f t="shared" si="745"/>
        <v>0</v>
      </c>
      <c r="CK319" s="644">
        <f t="shared" si="746"/>
        <v>0</v>
      </c>
      <c r="CL319" s="644">
        <f t="shared" si="747"/>
        <v>0</v>
      </c>
      <c r="CM319" s="644">
        <f t="shared" si="748"/>
        <v>0</v>
      </c>
      <c r="CN319" s="644">
        <f t="shared" si="749"/>
        <v>0</v>
      </c>
      <c r="CO319" s="644">
        <f t="shared" si="750"/>
        <v>0</v>
      </c>
      <c r="CP319" s="644">
        <f t="shared" si="751"/>
        <v>0</v>
      </c>
      <c r="CQ319" s="644">
        <f t="shared" si="752"/>
        <v>0</v>
      </c>
      <c r="CR319" s="644">
        <f t="shared" si="753"/>
        <v>0</v>
      </c>
      <c r="CS319" s="644">
        <f t="shared" si="754"/>
        <v>0</v>
      </c>
      <c r="CT319" s="644">
        <f t="shared" si="755"/>
        <v>0</v>
      </c>
      <c r="CU319" s="644">
        <f t="shared" si="756"/>
        <v>0</v>
      </c>
      <c r="CV319" s="644">
        <f t="shared" si="757"/>
        <v>0</v>
      </c>
      <c r="CW319" s="644">
        <f t="shared" si="758"/>
        <v>0</v>
      </c>
      <c r="CX319" s="644">
        <f t="shared" si="759"/>
        <v>0</v>
      </c>
      <c r="CY319" s="644">
        <f t="shared" si="760"/>
        <v>0</v>
      </c>
      <c r="CZ319" s="624" t="s">
        <v>743</v>
      </c>
    </row>
    <row r="320" spans="1:104" ht="25.5">
      <c r="A320" s="253" t="s">
        <v>315</v>
      </c>
      <c r="B320" s="641"/>
      <c r="C320" s="641"/>
      <c r="D320" s="644">
        <v>1</v>
      </c>
      <c r="E320" s="644"/>
      <c r="F320" s="644">
        <v>1</v>
      </c>
      <c r="G320" s="644"/>
      <c r="H320" s="644"/>
      <c r="I320" s="644">
        <v>1</v>
      </c>
      <c r="J320" s="644"/>
      <c r="K320" s="644"/>
      <c r="L320" s="644"/>
      <c r="M320" s="644"/>
      <c r="N320" s="644"/>
      <c r="O320" s="644"/>
      <c r="P320" s="644"/>
      <c r="Q320" s="644"/>
      <c r="R320" s="644">
        <v>1</v>
      </c>
      <c r="S320" s="644"/>
      <c r="T320" s="644"/>
      <c r="U320" s="644">
        <v>1</v>
      </c>
      <c r="V320" s="644"/>
      <c r="W320" s="644"/>
      <c r="X320" s="644"/>
      <c r="Y320" s="644"/>
      <c r="Z320" s="644"/>
      <c r="AA320" s="644"/>
      <c r="AB320" s="644">
        <v>1</v>
      </c>
      <c r="AC320" s="644">
        <v>1</v>
      </c>
      <c r="AD320" s="644"/>
      <c r="AE320" s="644"/>
      <c r="AF320" s="644"/>
      <c r="AG320" s="644"/>
      <c r="AH320" s="644">
        <v>1</v>
      </c>
      <c r="AI320" s="644"/>
      <c r="AJ320" s="644">
        <v>1</v>
      </c>
      <c r="AK320" s="644">
        <v>1</v>
      </c>
      <c r="AL320" s="167">
        <v>10</v>
      </c>
      <c r="AM320" s="187" t="s">
        <v>1348</v>
      </c>
      <c r="AN320" s="186">
        <v>42367</v>
      </c>
      <c r="AO320" s="187"/>
      <c r="AP320" s="187">
        <f t="shared" ref="AP320" si="1131">IF(F320=1,13,0)</f>
        <v>13</v>
      </c>
      <c r="AQ320" s="187">
        <f t="shared" ref="AQ320" si="1132">IF(I320=1,13,0)</f>
        <v>13</v>
      </c>
      <c r="AR320" s="187">
        <f t="shared" ref="AR320" si="1133">IF(R320=1,13,0)</f>
        <v>13</v>
      </c>
      <c r="AS320" s="187">
        <f t="shared" ref="AS320" si="1134">IF(U320=1,13,0)</f>
        <v>13</v>
      </c>
      <c r="AT320" s="187">
        <f t="shared" ref="AT320" si="1135">IF(AB320=1, 9,0)</f>
        <v>9</v>
      </c>
      <c r="AU320" s="187">
        <f t="shared" ref="AU320" si="1136">IF(D320=1, 9,0)</f>
        <v>9</v>
      </c>
      <c r="AV320" s="187">
        <f t="shared" ref="AV320" si="1137">IF(AC320=1, 9,0)</f>
        <v>9</v>
      </c>
      <c r="AW320" s="187">
        <f t="shared" ref="AW320" si="1138">IF(AJ320=1,7,0)</f>
        <v>7</v>
      </c>
      <c r="AX320" s="187">
        <f t="shared" ref="AX320" si="1139">IF(AD320=1,7,0)</f>
        <v>0</v>
      </c>
      <c r="AY320" s="187">
        <f t="shared" ref="AY320" si="1140">IF(Z320=1,7,0)</f>
        <v>0</v>
      </c>
      <c r="AZ320" s="187">
        <f t="shared" ref="AZ320" si="1141">IF(AH320=1,7,0)</f>
        <v>7</v>
      </c>
      <c r="BA320" s="187">
        <f t="shared" ref="BA320" si="1142">IF(E320=1,7,0)</f>
        <v>0</v>
      </c>
      <c r="BB320" s="187">
        <f t="shared" ref="BB320" si="1143">IF(AK320=1,4,0)</f>
        <v>4</v>
      </c>
      <c r="BC320" s="187">
        <f t="shared" ref="BC320" si="1144">IF(T320=1,4,0)</f>
        <v>0</v>
      </c>
      <c r="BD320" s="187">
        <f t="shared" ref="BD320" si="1145">IF(X320=1,4,0)</f>
        <v>0</v>
      </c>
      <c r="BE320" s="187">
        <f t="shared" ref="BE320" si="1146">IF(AF320=1,3,0)</f>
        <v>0</v>
      </c>
      <c r="BF320" s="187">
        <f t="shared" ref="BF320" si="1147">IF(W320=1,3,0)</f>
        <v>0</v>
      </c>
      <c r="BG320" s="187">
        <f t="shared" ref="BG320" si="1148">IF(AI320=1,2,0)</f>
        <v>0</v>
      </c>
      <c r="BH320" s="187">
        <f t="shared" ref="BH320" si="1149">IF(S320=1,2,0)</f>
        <v>0</v>
      </c>
      <c r="BI320" s="187">
        <f t="shared" ref="BI320" si="1150">IF(V320=1,1,0)</f>
        <v>0</v>
      </c>
      <c r="BJ320" s="187">
        <f t="shared" ref="BJ320" si="1151">IF(AG320=1,1,0)</f>
        <v>0</v>
      </c>
      <c r="BK320" s="187">
        <f t="shared" ref="BK320" si="1152">IF(O320=1,1,0)</f>
        <v>0</v>
      </c>
      <c r="BL320" s="187">
        <f t="shared" ref="BL320" si="1153">IF(J320=1,1,0)</f>
        <v>0</v>
      </c>
      <c r="BM320" s="187">
        <f t="shared" ref="BM320" si="1154">IF(N320=1,1,0)</f>
        <v>0</v>
      </c>
      <c r="BN320" s="188">
        <f t="shared" ref="BN320" si="1155">10-AL320</f>
        <v>0</v>
      </c>
      <c r="BO320" s="187">
        <f t="shared" ref="BO320" si="1156">IF(C320=1,1,0)</f>
        <v>0</v>
      </c>
      <c r="BP320" s="187">
        <f t="shared" ref="BP320" si="1157">IF(G320=1,1,0)</f>
        <v>0</v>
      </c>
      <c r="BQ320" s="187">
        <f t="shared" ref="BQ320" si="1158">IF(H320=1,1,0)</f>
        <v>0</v>
      </c>
      <c r="BR320" s="187">
        <f t="shared" ref="BR320" si="1159">IF(K320=1,1,0)</f>
        <v>0</v>
      </c>
      <c r="BS320" s="187">
        <f t="shared" ref="BS320" si="1160">IF(L320=1,1,0)</f>
        <v>0</v>
      </c>
      <c r="BT320" s="187">
        <f t="shared" ref="BT320" si="1161">IF(M320=1,1,0)</f>
        <v>0</v>
      </c>
      <c r="BU320" s="187">
        <f t="shared" ref="BU320" si="1162">IF(P320=1,1,0)</f>
        <v>0</v>
      </c>
      <c r="BV320" s="187">
        <f t="shared" ref="BV320" si="1163">IF(Q320=1,1,0)</f>
        <v>0</v>
      </c>
      <c r="BW320" s="187">
        <f t="shared" ref="BW320" si="1164">IF(AA320=1,1,0)</f>
        <v>0</v>
      </c>
      <c r="BX320" s="187">
        <f t="shared" ref="BX320" si="1165">IF(AE320=1,1,0)</f>
        <v>0</v>
      </c>
      <c r="BY320" s="187">
        <f t="shared" ref="BY320" si="1166">SUM(BN320:BX320)</f>
        <v>0</v>
      </c>
      <c r="BZ320" s="187">
        <f t="shared" ref="BZ320" si="1167">(BY320*BY320)*-1</f>
        <v>0</v>
      </c>
      <c r="CA320" s="167">
        <f t="shared" ref="CA320" si="1168">SUM(AP320:BM320)+BZ320</f>
        <v>97</v>
      </c>
      <c r="CB320" s="167">
        <f t="shared" ref="CB320" si="1169">LARGE(CC320:CY320,1)+LARGE(CC320:CY320,2)+LARGE(CC320:CY320,3)+LARGE(CC320:CY320,4)+LARGE(CC320:CY320,5)+LARGE(CC320:CY320,6)+LARGE(CC320:CY320,7)+LARGE(CC320:CY320,8)</f>
        <v>86</v>
      </c>
      <c r="CC320" s="644">
        <f t="shared" ref="CC320" si="1170">IF(R320=1,23,0)</f>
        <v>23</v>
      </c>
      <c r="CD320" s="644">
        <f t="shared" ref="CD320" si="1171">IF(U320=1,19,0)</f>
        <v>19</v>
      </c>
      <c r="CE320" s="644">
        <f t="shared" ref="CE320" si="1172">IF(AH320=1,15,0)</f>
        <v>15</v>
      </c>
      <c r="CF320" s="644">
        <f t="shared" ref="CF320" si="1173">IF(E320=1,15,0)</f>
        <v>0</v>
      </c>
      <c r="CG320" s="644">
        <f t="shared" ref="CG320" si="1174">IF(AB320=1, 9,0)</f>
        <v>9</v>
      </c>
      <c r="CH320" s="644">
        <f t="shared" ref="CH320" si="1175">IF(D291=1,7,0)</f>
        <v>0</v>
      </c>
      <c r="CI320" s="644">
        <f t="shared" ref="CI320" si="1176">IF(AC320=1,7,0)</f>
        <v>7</v>
      </c>
      <c r="CJ320" s="644">
        <f t="shared" ref="CJ320" si="1177">IF(AD320=1,5,0)</f>
        <v>0</v>
      </c>
      <c r="CK320" s="644">
        <f t="shared" ref="CK320" si="1178">IF(I320=1,5,0)</f>
        <v>5</v>
      </c>
      <c r="CL320" s="644">
        <f t="shared" ref="CL320" si="1179">IF(F320=1,5,0)</f>
        <v>5</v>
      </c>
      <c r="CM320" s="644">
        <f t="shared" ref="CM320" si="1180">IF(AG320=1,3,0)</f>
        <v>0</v>
      </c>
      <c r="CN320" s="644">
        <f t="shared" ref="CN320" si="1181">IF(T320=1,3,0)</f>
        <v>0</v>
      </c>
      <c r="CO320" s="644">
        <f t="shared" ref="CO320" si="1182">IF(AJ320=1,3,0)</f>
        <v>3</v>
      </c>
      <c r="CP320" s="644">
        <f t="shared" ref="CP320" si="1183">IF(Z320=1,3,0)</f>
        <v>0</v>
      </c>
      <c r="CQ320" s="644">
        <f t="shared" ref="CQ320" si="1184">IF(S320=1,2,0)</f>
        <v>0</v>
      </c>
      <c r="CR320" s="644">
        <f t="shared" ref="CR320" si="1185">IF(W320=1,2,0)</f>
        <v>0</v>
      </c>
      <c r="CS320" s="644">
        <f t="shared" ref="CS320" si="1186">IF(AK320=1,2,0)</f>
        <v>2</v>
      </c>
      <c r="CT320" s="644">
        <f t="shared" ref="CT320" si="1187">IF(AF320=1,2,0)</f>
        <v>0</v>
      </c>
      <c r="CU320" s="644">
        <f t="shared" ref="CU320" si="1188">IF(X320=1,1,0)</f>
        <v>0</v>
      </c>
      <c r="CV320" s="644">
        <f t="shared" ref="CV320" si="1189">IF(V320=1,1,0)</f>
        <v>0</v>
      </c>
      <c r="CW320" s="644">
        <f t="shared" ref="CW320" si="1190">IF(AI320=1,1,0)</f>
        <v>0</v>
      </c>
      <c r="CX320" s="644">
        <f t="shared" ref="CX320" si="1191">IF(N320=1,1,0)</f>
        <v>0</v>
      </c>
      <c r="CY320" s="644">
        <f t="shared" ref="CY320" si="1192">IF(J320=1,1,0)</f>
        <v>0</v>
      </c>
      <c r="CZ320" s="624" t="s">
        <v>809</v>
      </c>
    </row>
    <row r="321" spans="1:105">
      <c r="A321" s="253" t="s">
        <v>1349</v>
      </c>
      <c r="B321" s="641"/>
      <c r="C321" s="641"/>
      <c r="D321" s="155">
        <v>1</v>
      </c>
      <c r="E321" s="644">
        <v>1</v>
      </c>
      <c r="F321" s="644"/>
      <c r="G321" s="644"/>
      <c r="H321" s="644"/>
      <c r="I321" s="644"/>
      <c r="J321" s="644"/>
      <c r="K321" s="644"/>
      <c r="L321" s="644"/>
      <c r="M321" s="644"/>
      <c r="N321" s="644"/>
      <c r="O321" s="644"/>
      <c r="P321" s="644"/>
      <c r="Q321" s="644"/>
      <c r="R321" s="644">
        <v>1</v>
      </c>
      <c r="S321" s="644"/>
      <c r="T321" s="644"/>
      <c r="U321" s="644">
        <v>1</v>
      </c>
      <c r="V321" s="644"/>
      <c r="W321" s="644">
        <v>1</v>
      </c>
      <c r="X321" s="644"/>
      <c r="Y321" s="644"/>
      <c r="Z321" s="644">
        <v>1</v>
      </c>
      <c r="AA321" s="644"/>
      <c r="AB321" s="644"/>
      <c r="AC321" s="644">
        <v>1</v>
      </c>
      <c r="AD321" s="644">
        <v>1</v>
      </c>
      <c r="AE321" s="644"/>
      <c r="AF321" s="644"/>
      <c r="AG321" s="644"/>
      <c r="AH321" s="644">
        <v>1</v>
      </c>
      <c r="AI321" s="644"/>
      <c r="AJ321" s="644">
        <v>1</v>
      </c>
      <c r="AK321" s="644"/>
      <c r="AL321" s="167">
        <v>10</v>
      </c>
      <c r="AM321" s="191" t="str">
        <f t="shared" si="1123"/>
        <v>BBWAA.com</v>
      </c>
      <c r="AN321" s="192">
        <v>42015</v>
      </c>
      <c r="AO321" s="187"/>
      <c r="AP321" s="187">
        <f t="shared" si="703"/>
        <v>0</v>
      </c>
      <c r="AQ321" s="187">
        <f t="shared" si="704"/>
        <v>0</v>
      </c>
      <c r="AR321" s="187">
        <f t="shared" si="705"/>
        <v>13</v>
      </c>
      <c r="AS321" s="187">
        <f t="shared" si="706"/>
        <v>13</v>
      </c>
      <c r="AT321" s="187">
        <f t="shared" si="707"/>
        <v>0</v>
      </c>
      <c r="AU321" s="187">
        <f t="shared" si="708"/>
        <v>9</v>
      </c>
      <c r="AV321" s="187">
        <f t="shared" si="709"/>
        <v>9</v>
      </c>
      <c r="AW321" s="187">
        <f t="shared" si="710"/>
        <v>7</v>
      </c>
      <c r="AX321" s="187">
        <f t="shared" si="711"/>
        <v>7</v>
      </c>
      <c r="AY321" s="187">
        <f t="shared" si="712"/>
        <v>7</v>
      </c>
      <c r="AZ321" s="187">
        <f t="shared" si="713"/>
        <v>7</v>
      </c>
      <c r="BA321" s="187">
        <f t="shared" si="714"/>
        <v>7</v>
      </c>
      <c r="BB321" s="187">
        <f t="shared" si="715"/>
        <v>0</v>
      </c>
      <c r="BC321" s="187">
        <f t="shared" si="716"/>
        <v>0</v>
      </c>
      <c r="BD321" s="187">
        <f t="shared" si="717"/>
        <v>0</v>
      </c>
      <c r="BE321" s="187">
        <f t="shared" si="718"/>
        <v>0</v>
      </c>
      <c r="BF321" s="187">
        <f t="shared" si="719"/>
        <v>3</v>
      </c>
      <c r="BG321" s="187">
        <f t="shared" si="720"/>
        <v>0</v>
      </c>
      <c r="BH321" s="187">
        <f t="shared" si="721"/>
        <v>0</v>
      </c>
      <c r="BI321" s="187">
        <f t="shared" si="722"/>
        <v>0</v>
      </c>
      <c r="BJ321" s="187">
        <f t="shared" si="723"/>
        <v>0</v>
      </c>
      <c r="BK321" s="187">
        <f t="shared" si="724"/>
        <v>0</v>
      </c>
      <c r="BL321" s="187">
        <f t="shared" si="725"/>
        <v>0</v>
      </c>
      <c r="BM321" s="187">
        <f t="shared" si="726"/>
        <v>0</v>
      </c>
      <c r="BN321" s="188">
        <f t="shared" si="727"/>
        <v>0</v>
      </c>
      <c r="BO321" s="187">
        <f t="shared" si="728"/>
        <v>0</v>
      </c>
      <c r="BP321" s="187">
        <f t="shared" ref="BP321:BQ321" si="1193">IF(G321=1,1,0)</f>
        <v>0</v>
      </c>
      <c r="BQ321" s="187">
        <f t="shared" si="1193"/>
        <v>0</v>
      </c>
      <c r="BR321" s="187">
        <f t="shared" ref="BR321:BT321" si="1194">IF(K321=1,1,0)</f>
        <v>0</v>
      </c>
      <c r="BS321" s="187">
        <f t="shared" si="1194"/>
        <v>0</v>
      </c>
      <c r="BT321" s="187">
        <f t="shared" si="1194"/>
        <v>0</v>
      </c>
      <c r="BU321" s="187">
        <f t="shared" ref="BU321:BV321" si="1195">IF(P321=1,1,0)</f>
        <v>0</v>
      </c>
      <c r="BV321" s="187">
        <f t="shared" si="1195"/>
        <v>0</v>
      </c>
      <c r="BW321" s="187">
        <f t="shared" si="732"/>
        <v>0</v>
      </c>
      <c r="BX321" s="187">
        <f t="shared" si="733"/>
        <v>0</v>
      </c>
      <c r="BY321" s="187">
        <f t="shared" si="734"/>
        <v>0</v>
      </c>
      <c r="BZ321" s="187">
        <f t="shared" si="735"/>
        <v>0</v>
      </c>
      <c r="CA321" s="167">
        <f t="shared" si="736"/>
        <v>82</v>
      </c>
      <c r="CB321" s="167">
        <f t="shared" si="737"/>
        <v>90</v>
      </c>
      <c r="CC321" s="644">
        <f t="shared" si="738"/>
        <v>23</v>
      </c>
      <c r="CD321" s="644">
        <f t="shared" si="739"/>
        <v>19</v>
      </c>
      <c r="CE321" s="644">
        <f t="shared" si="740"/>
        <v>15</v>
      </c>
      <c r="CF321" s="644">
        <f t="shared" si="741"/>
        <v>15</v>
      </c>
      <c r="CG321" s="644">
        <f t="shared" si="742"/>
        <v>0</v>
      </c>
      <c r="CH321" s="644">
        <f>IF(D290=1,7,0)</f>
        <v>0</v>
      </c>
      <c r="CI321" s="644">
        <f t="shared" si="744"/>
        <v>7</v>
      </c>
      <c r="CJ321" s="644">
        <f t="shared" si="745"/>
        <v>5</v>
      </c>
      <c r="CK321" s="644">
        <f t="shared" si="746"/>
        <v>0</v>
      </c>
      <c r="CL321" s="644">
        <f t="shared" si="747"/>
        <v>0</v>
      </c>
      <c r="CM321" s="644">
        <f t="shared" si="748"/>
        <v>0</v>
      </c>
      <c r="CN321" s="644">
        <f t="shared" si="749"/>
        <v>0</v>
      </c>
      <c r="CO321" s="644">
        <f t="shared" si="750"/>
        <v>3</v>
      </c>
      <c r="CP321" s="644">
        <f t="shared" si="751"/>
        <v>3</v>
      </c>
      <c r="CQ321" s="644">
        <f t="shared" si="752"/>
        <v>0</v>
      </c>
      <c r="CR321" s="644">
        <f t="shared" si="753"/>
        <v>2</v>
      </c>
      <c r="CS321" s="644">
        <f t="shared" si="754"/>
        <v>0</v>
      </c>
      <c r="CT321" s="644">
        <f t="shared" si="755"/>
        <v>0</v>
      </c>
      <c r="CU321" s="644">
        <f t="shared" si="756"/>
        <v>0</v>
      </c>
      <c r="CV321" s="644">
        <f t="shared" si="757"/>
        <v>0</v>
      </c>
      <c r="CW321" s="644">
        <f t="shared" si="758"/>
        <v>0</v>
      </c>
      <c r="CX321" s="644">
        <f t="shared" si="759"/>
        <v>0</v>
      </c>
      <c r="CY321" s="644">
        <f t="shared" si="760"/>
        <v>0</v>
      </c>
      <c r="CZ321" s="624" t="s">
        <v>743</v>
      </c>
    </row>
    <row r="322" spans="1:105">
      <c r="A322" s="253" t="s">
        <v>1350</v>
      </c>
      <c r="B322" s="641"/>
      <c r="C322" s="641"/>
      <c r="D322" s="155">
        <v>1</v>
      </c>
      <c r="E322" s="644">
        <v>1</v>
      </c>
      <c r="F322" s="644"/>
      <c r="G322" s="644"/>
      <c r="H322" s="644"/>
      <c r="I322" s="644"/>
      <c r="J322" s="644"/>
      <c r="K322" s="644"/>
      <c r="L322" s="644"/>
      <c r="M322" s="644"/>
      <c r="N322" s="644"/>
      <c r="O322" s="644"/>
      <c r="P322" s="644"/>
      <c r="Q322" s="644"/>
      <c r="R322" s="644">
        <v>1</v>
      </c>
      <c r="S322" s="644">
        <v>1</v>
      </c>
      <c r="T322" s="644">
        <v>1</v>
      </c>
      <c r="U322" s="644">
        <v>1</v>
      </c>
      <c r="V322" s="644"/>
      <c r="W322" s="644"/>
      <c r="X322" s="644"/>
      <c r="Y322" s="644"/>
      <c r="Z322" s="644"/>
      <c r="AA322" s="644"/>
      <c r="AB322" s="644">
        <v>1</v>
      </c>
      <c r="AC322" s="644"/>
      <c r="AD322" s="644"/>
      <c r="AE322" s="644"/>
      <c r="AF322" s="644"/>
      <c r="AG322" s="644"/>
      <c r="AH322" s="644">
        <v>1</v>
      </c>
      <c r="AI322" s="644"/>
      <c r="AJ322" s="644"/>
      <c r="AK322" s="644">
        <v>1</v>
      </c>
      <c r="AL322" s="167">
        <v>9</v>
      </c>
      <c r="AM322" s="191" t="str">
        <f t="shared" si="1123"/>
        <v>BBWAA.com</v>
      </c>
      <c r="AN322" s="192">
        <v>42012</v>
      </c>
      <c r="AO322" s="187"/>
      <c r="AP322" s="187">
        <f t="shared" si="703"/>
        <v>0</v>
      </c>
      <c r="AQ322" s="187">
        <f t="shared" si="704"/>
        <v>0</v>
      </c>
      <c r="AR322" s="187">
        <f t="shared" si="705"/>
        <v>13</v>
      </c>
      <c r="AS322" s="187">
        <f t="shared" si="706"/>
        <v>13</v>
      </c>
      <c r="AT322" s="187">
        <f t="shared" si="707"/>
        <v>9</v>
      </c>
      <c r="AU322" s="187">
        <f t="shared" si="708"/>
        <v>9</v>
      </c>
      <c r="AV322" s="187">
        <f t="shared" si="709"/>
        <v>0</v>
      </c>
      <c r="AW322" s="187">
        <f t="shared" si="710"/>
        <v>0</v>
      </c>
      <c r="AX322" s="187">
        <f t="shared" si="711"/>
        <v>0</v>
      </c>
      <c r="AY322" s="187">
        <f t="shared" si="712"/>
        <v>0</v>
      </c>
      <c r="AZ322" s="187">
        <f t="shared" si="713"/>
        <v>7</v>
      </c>
      <c r="BA322" s="187">
        <f t="shared" si="714"/>
        <v>7</v>
      </c>
      <c r="BB322" s="187">
        <f t="shared" si="715"/>
        <v>4</v>
      </c>
      <c r="BC322" s="187">
        <f t="shared" si="716"/>
        <v>4</v>
      </c>
      <c r="BD322" s="187">
        <f t="shared" si="717"/>
        <v>0</v>
      </c>
      <c r="BE322" s="187">
        <f t="shared" si="718"/>
        <v>0</v>
      </c>
      <c r="BF322" s="187">
        <f t="shared" si="719"/>
        <v>0</v>
      </c>
      <c r="BG322" s="187">
        <f t="shared" si="720"/>
        <v>0</v>
      </c>
      <c r="BH322" s="187">
        <f t="shared" si="721"/>
        <v>2</v>
      </c>
      <c r="BI322" s="187">
        <f t="shared" si="722"/>
        <v>0</v>
      </c>
      <c r="BJ322" s="187">
        <f t="shared" si="723"/>
        <v>0</v>
      </c>
      <c r="BK322" s="187">
        <f t="shared" si="724"/>
        <v>0</v>
      </c>
      <c r="BL322" s="187">
        <f t="shared" si="725"/>
        <v>0</v>
      </c>
      <c r="BM322" s="187">
        <f t="shared" si="726"/>
        <v>0</v>
      </c>
      <c r="BN322" s="188">
        <f t="shared" si="727"/>
        <v>1</v>
      </c>
      <c r="BO322" s="187">
        <f t="shared" si="728"/>
        <v>0</v>
      </c>
      <c r="BP322" s="187">
        <f t="shared" ref="BP322:BQ322" si="1196">IF(G322=1,1,0)</f>
        <v>0</v>
      </c>
      <c r="BQ322" s="187">
        <f t="shared" si="1196"/>
        <v>0</v>
      </c>
      <c r="BR322" s="187">
        <f t="shared" ref="BR322:BT322" si="1197">IF(K322=1,1,0)</f>
        <v>0</v>
      </c>
      <c r="BS322" s="187">
        <f t="shared" si="1197"/>
        <v>0</v>
      </c>
      <c r="BT322" s="187">
        <f t="shared" si="1197"/>
        <v>0</v>
      </c>
      <c r="BU322" s="187">
        <f t="shared" ref="BU322:BV322" si="1198">IF(P322=1,1,0)</f>
        <v>0</v>
      </c>
      <c r="BV322" s="187">
        <f t="shared" si="1198"/>
        <v>0</v>
      </c>
      <c r="BW322" s="187">
        <f t="shared" si="732"/>
        <v>0</v>
      </c>
      <c r="BX322" s="187">
        <f t="shared" si="733"/>
        <v>0</v>
      </c>
      <c r="BY322" s="187">
        <f t="shared" si="734"/>
        <v>1</v>
      </c>
      <c r="BZ322" s="187">
        <f t="shared" si="735"/>
        <v>-1</v>
      </c>
      <c r="CA322" s="167">
        <f t="shared" si="736"/>
        <v>67</v>
      </c>
      <c r="CB322" s="167">
        <f t="shared" si="737"/>
        <v>93</v>
      </c>
      <c r="CC322" s="644">
        <f t="shared" si="738"/>
        <v>23</v>
      </c>
      <c r="CD322" s="644">
        <f t="shared" si="739"/>
        <v>19</v>
      </c>
      <c r="CE322" s="644">
        <f t="shared" si="740"/>
        <v>15</v>
      </c>
      <c r="CF322" s="644">
        <f t="shared" si="741"/>
        <v>15</v>
      </c>
      <c r="CG322" s="644">
        <f t="shared" si="742"/>
        <v>9</v>
      </c>
      <c r="CH322" s="644">
        <f>IF(D292=1,7,0)</f>
        <v>7</v>
      </c>
      <c r="CI322" s="644">
        <f t="shared" si="744"/>
        <v>0</v>
      </c>
      <c r="CJ322" s="644">
        <f t="shared" si="745"/>
        <v>0</v>
      </c>
      <c r="CK322" s="644">
        <f t="shared" si="746"/>
        <v>0</v>
      </c>
      <c r="CL322" s="644">
        <f t="shared" si="747"/>
        <v>0</v>
      </c>
      <c r="CM322" s="644">
        <f t="shared" si="748"/>
        <v>0</v>
      </c>
      <c r="CN322" s="644">
        <f t="shared" si="749"/>
        <v>3</v>
      </c>
      <c r="CO322" s="644">
        <f t="shared" si="750"/>
        <v>0</v>
      </c>
      <c r="CP322" s="644">
        <f t="shared" si="751"/>
        <v>0</v>
      </c>
      <c r="CQ322" s="644">
        <f t="shared" si="752"/>
        <v>2</v>
      </c>
      <c r="CR322" s="644">
        <f t="shared" si="753"/>
        <v>0</v>
      </c>
      <c r="CS322" s="644">
        <f t="shared" si="754"/>
        <v>2</v>
      </c>
      <c r="CT322" s="644">
        <f t="shared" si="755"/>
        <v>0</v>
      </c>
      <c r="CU322" s="644">
        <f t="shared" si="756"/>
        <v>0</v>
      </c>
      <c r="CV322" s="644">
        <f t="shared" si="757"/>
        <v>0</v>
      </c>
      <c r="CW322" s="644">
        <f t="shared" si="758"/>
        <v>0</v>
      </c>
      <c r="CX322" s="644">
        <f t="shared" si="759"/>
        <v>0</v>
      </c>
      <c r="CY322" s="644">
        <f t="shared" si="760"/>
        <v>0</v>
      </c>
      <c r="CZ322" s="624" t="s">
        <v>768</v>
      </c>
    </row>
    <row r="323" spans="1:105">
      <c r="A323" s="253" t="s">
        <v>333</v>
      </c>
      <c r="B323" s="641"/>
      <c r="C323" s="641"/>
      <c r="D323" s="155">
        <v>1</v>
      </c>
      <c r="E323" s="644">
        <v>1</v>
      </c>
      <c r="F323" s="644"/>
      <c r="G323" s="644"/>
      <c r="H323" s="644"/>
      <c r="I323" s="644"/>
      <c r="J323" s="644"/>
      <c r="K323" s="644"/>
      <c r="L323" s="644"/>
      <c r="M323" s="644"/>
      <c r="N323" s="644"/>
      <c r="O323" s="644"/>
      <c r="P323" s="644"/>
      <c r="Q323" s="644"/>
      <c r="R323" s="644">
        <v>1</v>
      </c>
      <c r="S323" s="644"/>
      <c r="T323" s="644"/>
      <c r="U323" s="644">
        <v>1</v>
      </c>
      <c r="V323" s="644"/>
      <c r="W323" s="644"/>
      <c r="X323" s="644"/>
      <c r="Y323" s="644"/>
      <c r="Z323" s="644"/>
      <c r="AA323" s="644"/>
      <c r="AB323" s="644">
        <v>1</v>
      </c>
      <c r="AC323" s="644">
        <v>1</v>
      </c>
      <c r="AD323" s="644"/>
      <c r="AE323" s="644"/>
      <c r="AF323" s="644"/>
      <c r="AG323" s="644">
        <v>1</v>
      </c>
      <c r="AH323" s="644">
        <v>1</v>
      </c>
      <c r="AI323" s="644"/>
      <c r="AJ323" s="644"/>
      <c r="AK323" s="644"/>
      <c r="AL323" s="167">
        <v>8</v>
      </c>
      <c r="AM323" s="191" t="s">
        <v>1351</v>
      </c>
      <c r="AN323" s="192">
        <v>42010</v>
      </c>
      <c r="AO323" s="187"/>
      <c r="AP323" s="187">
        <f t="shared" si="703"/>
        <v>0</v>
      </c>
      <c r="AQ323" s="187">
        <f t="shared" si="704"/>
        <v>0</v>
      </c>
      <c r="AR323" s="187">
        <f t="shared" si="705"/>
        <v>13</v>
      </c>
      <c r="AS323" s="187">
        <f t="shared" si="706"/>
        <v>13</v>
      </c>
      <c r="AT323" s="187">
        <f t="shared" si="707"/>
        <v>9</v>
      </c>
      <c r="AU323" s="187">
        <f t="shared" si="708"/>
        <v>9</v>
      </c>
      <c r="AV323" s="187">
        <f t="shared" si="709"/>
        <v>9</v>
      </c>
      <c r="AW323" s="187">
        <f t="shared" si="710"/>
        <v>0</v>
      </c>
      <c r="AX323" s="187">
        <f t="shared" si="711"/>
        <v>0</v>
      </c>
      <c r="AY323" s="187">
        <f t="shared" si="712"/>
        <v>0</v>
      </c>
      <c r="AZ323" s="187">
        <f t="shared" si="713"/>
        <v>7</v>
      </c>
      <c r="BA323" s="187">
        <f t="shared" si="714"/>
        <v>7</v>
      </c>
      <c r="BB323" s="187">
        <f t="shared" si="715"/>
        <v>0</v>
      </c>
      <c r="BC323" s="187">
        <f t="shared" si="716"/>
        <v>0</v>
      </c>
      <c r="BD323" s="187">
        <f t="shared" si="717"/>
        <v>0</v>
      </c>
      <c r="BE323" s="187">
        <f t="shared" si="718"/>
        <v>0</v>
      </c>
      <c r="BF323" s="187">
        <f t="shared" si="719"/>
        <v>0</v>
      </c>
      <c r="BG323" s="187">
        <f t="shared" si="720"/>
        <v>0</v>
      </c>
      <c r="BH323" s="187">
        <f t="shared" si="721"/>
        <v>0</v>
      </c>
      <c r="BI323" s="187">
        <f t="shared" si="722"/>
        <v>0</v>
      </c>
      <c r="BJ323" s="187">
        <f t="shared" si="723"/>
        <v>1</v>
      </c>
      <c r="BK323" s="187">
        <f t="shared" si="724"/>
        <v>0</v>
      </c>
      <c r="BL323" s="187">
        <f t="shared" si="725"/>
        <v>0</v>
      </c>
      <c r="BM323" s="187">
        <f t="shared" si="726"/>
        <v>0</v>
      </c>
      <c r="BN323" s="188">
        <f t="shared" si="727"/>
        <v>2</v>
      </c>
      <c r="BO323" s="187">
        <f t="shared" si="728"/>
        <v>0</v>
      </c>
      <c r="BP323" s="187">
        <f t="shared" ref="BP323:BQ323" si="1199">IF(G323=1,1,0)</f>
        <v>0</v>
      </c>
      <c r="BQ323" s="187">
        <f t="shared" si="1199"/>
        <v>0</v>
      </c>
      <c r="BR323" s="187">
        <f t="shared" ref="BR323:BT323" si="1200">IF(K323=1,1,0)</f>
        <v>0</v>
      </c>
      <c r="BS323" s="187">
        <f t="shared" si="1200"/>
        <v>0</v>
      </c>
      <c r="BT323" s="187">
        <f t="shared" si="1200"/>
        <v>0</v>
      </c>
      <c r="BU323" s="187">
        <f t="shared" ref="BU323:BV323" si="1201">IF(P323=1,1,0)</f>
        <v>0</v>
      </c>
      <c r="BV323" s="187">
        <f t="shared" si="1201"/>
        <v>0</v>
      </c>
      <c r="BW323" s="187">
        <f t="shared" si="732"/>
        <v>0</v>
      </c>
      <c r="BX323" s="187">
        <f t="shared" si="733"/>
        <v>0</v>
      </c>
      <c r="BY323" s="187">
        <f t="shared" si="734"/>
        <v>2</v>
      </c>
      <c r="BZ323" s="187">
        <f t="shared" si="735"/>
        <v>-4</v>
      </c>
      <c r="CA323" s="167">
        <f t="shared" si="736"/>
        <v>64</v>
      </c>
      <c r="CB323" s="167">
        <f t="shared" si="737"/>
        <v>91</v>
      </c>
      <c r="CC323" s="644">
        <f t="shared" si="738"/>
        <v>23</v>
      </c>
      <c r="CD323" s="644">
        <f t="shared" si="739"/>
        <v>19</v>
      </c>
      <c r="CE323" s="644">
        <f t="shared" si="740"/>
        <v>15</v>
      </c>
      <c r="CF323" s="644">
        <f t="shared" si="741"/>
        <v>15</v>
      </c>
      <c r="CG323" s="644">
        <f t="shared" si="742"/>
        <v>9</v>
      </c>
      <c r="CH323" s="644">
        <f>IF(D293=1,7,0)</f>
        <v>0</v>
      </c>
      <c r="CI323" s="644">
        <f t="shared" si="744"/>
        <v>7</v>
      </c>
      <c r="CJ323" s="644">
        <f t="shared" si="745"/>
        <v>0</v>
      </c>
      <c r="CK323" s="644">
        <f t="shared" si="746"/>
        <v>0</v>
      </c>
      <c r="CL323" s="644">
        <f t="shared" si="747"/>
        <v>0</v>
      </c>
      <c r="CM323" s="644">
        <f t="shared" si="748"/>
        <v>3</v>
      </c>
      <c r="CN323" s="644">
        <f t="shared" si="749"/>
        <v>0</v>
      </c>
      <c r="CO323" s="644">
        <f t="shared" si="750"/>
        <v>0</v>
      </c>
      <c r="CP323" s="644">
        <f t="shared" si="751"/>
        <v>0</v>
      </c>
      <c r="CQ323" s="644">
        <f t="shared" si="752"/>
        <v>0</v>
      </c>
      <c r="CR323" s="644">
        <f t="shared" si="753"/>
        <v>0</v>
      </c>
      <c r="CS323" s="644">
        <f t="shared" si="754"/>
        <v>0</v>
      </c>
      <c r="CT323" s="644">
        <f t="shared" si="755"/>
        <v>0</v>
      </c>
      <c r="CU323" s="644">
        <f t="shared" si="756"/>
        <v>0</v>
      </c>
      <c r="CV323" s="644">
        <f t="shared" si="757"/>
        <v>0</v>
      </c>
      <c r="CW323" s="644">
        <f t="shared" si="758"/>
        <v>0</v>
      </c>
      <c r="CX323" s="644">
        <f t="shared" si="759"/>
        <v>0</v>
      </c>
      <c r="CY323" s="644">
        <f t="shared" si="760"/>
        <v>0</v>
      </c>
      <c r="CZ323" s="624" t="s">
        <v>1308</v>
      </c>
    </row>
    <row r="324" spans="1:105">
      <c r="A324" s="253" t="s">
        <v>1352</v>
      </c>
      <c r="B324" s="641"/>
      <c r="C324" s="641"/>
      <c r="D324" s="155">
        <v>1</v>
      </c>
      <c r="E324" s="250"/>
      <c r="F324" s="644">
        <v>1</v>
      </c>
      <c r="G324" s="644"/>
      <c r="H324" s="644"/>
      <c r="I324" s="644">
        <v>1</v>
      </c>
      <c r="J324" s="644"/>
      <c r="K324" s="644"/>
      <c r="L324" s="644"/>
      <c r="M324" s="644"/>
      <c r="N324" s="644"/>
      <c r="O324" s="644"/>
      <c r="P324" s="644"/>
      <c r="Q324" s="644"/>
      <c r="R324" s="644">
        <v>1</v>
      </c>
      <c r="S324" s="644"/>
      <c r="T324" s="644"/>
      <c r="U324" s="644">
        <v>1</v>
      </c>
      <c r="V324" s="644"/>
      <c r="W324" s="644"/>
      <c r="X324" s="644"/>
      <c r="Y324" s="644"/>
      <c r="Z324" s="644">
        <v>1</v>
      </c>
      <c r="AA324" s="644"/>
      <c r="AB324" s="644">
        <v>1</v>
      </c>
      <c r="AC324" s="644">
        <v>1</v>
      </c>
      <c r="AD324" s="644"/>
      <c r="AE324" s="644"/>
      <c r="AF324" s="644"/>
      <c r="AG324" s="644"/>
      <c r="AH324" s="644">
        <v>1</v>
      </c>
      <c r="AI324" s="644"/>
      <c r="AJ324" s="644">
        <v>1</v>
      </c>
      <c r="AK324" s="644"/>
      <c r="AL324" s="167">
        <v>10</v>
      </c>
      <c r="AM324" s="191" t="s">
        <v>1353</v>
      </c>
      <c r="AN324" s="192">
        <v>42010</v>
      </c>
      <c r="AO324" s="187"/>
      <c r="AP324" s="187">
        <f t="shared" si="703"/>
        <v>13</v>
      </c>
      <c r="AQ324" s="187">
        <f t="shared" si="704"/>
        <v>13</v>
      </c>
      <c r="AR324" s="187">
        <f t="shared" si="705"/>
        <v>13</v>
      </c>
      <c r="AS324" s="187">
        <f t="shared" si="706"/>
        <v>13</v>
      </c>
      <c r="AT324" s="187">
        <f t="shared" si="707"/>
        <v>9</v>
      </c>
      <c r="AU324" s="187">
        <f t="shared" si="708"/>
        <v>9</v>
      </c>
      <c r="AV324" s="187">
        <f t="shared" si="709"/>
        <v>9</v>
      </c>
      <c r="AW324" s="187">
        <f t="shared" si="710"/>
        <v>7</v>
      </c>
      <c r="AX324" s="187">
        <f t="shared" si="711"/>
        <v>0</v>
      </c>
      <c r="AY324" s="187">
        <f t="shared" si="712"/>
        <v>7</v>
      </c>
      <c r="AZ324" s="187">
        <f t="shared" si="713"/>
        <v>7</v>
      </c>
      <c r="BA324" s="187">
        <f t="shared" si="714"/>
        <v>0</v>
      </c>
      <c r="BB324" s="187">
        <f t="shared" si="715"/>
        <v>0</v>
      </c>
      <c r="BC324" s="187">
        <f t="shared" si="716"/>
        <v>0</v>
      </c>
      <c r="BD324" s="187">
        <f t="shared" si="717"/>
        <v>0</v>
      </c>
      <c r="BE324" s="187">
        <f t="shared" si="718"/>
        <v>0</v>
      </c>
      <c r="BF324" s="187">
        <f t="shared" si="719"/>
        <v>0</v>
      </c>
      <c r="BG324" s="187">
        <f t="shared" si="720"/>
        <v>0</v>
      </c>
      <c r="BH324" s="187">
        <f t="shared" si="721"/>
        <v>0</v>
      </c>
      <c r="BI324" s="187">
        <f t="shared" si="722"/>
        <v>0</v>
      </c>
      <c r="BJ324" s="187">
        <f t="shared" si="723"/>
        <v>0</v>
      </c>
      <c r="BK324" s="187">
        <f t="shared" si="724"/>
        <v>0</v>
      </c>
      <c r="BL324" s="187">
        <f t="shared" si="725"/>
        <v>0</v>
      </c>
      <c r="BM324" s="187">
        <f t="shared" si="726"/>
        <v>0</v>
      </c>
      <c r="BN324" s="188">
        <f t="shared" si="727"/>
        <v>0</v>
      </c>
      <c r="BO324" s="187">
        <f t="shared" si="728"/>
        <v>0</v>
      </c>
      <c r="BP324" s="187">
        <f t="shared" ref="BP324:BQ324" si="1202">IF(G324=1,1,0)</f>
        <v>0</v>
      </c>
      <c r="BQ324" s="187">
        <f t="shared" si="1202"/>
        <v>0</v>
      </c>
      <c r="BR324" s="187">
        <f t="shared" ref="BR324:BT324" si="1203">IF(K324=1,1,0)</f>
        <v>0</v>
      </c>
      <c r="BS324" s="187">
        <f t="shared" si="1203"/>
        <v>0</v>
      </c>
      <c r="BT324" s="187">
        <f t="shared" si="1203"/>
        <v>0</v>
      </c>
      <c r="BU324" s="187">
        <f t="shared" ref="BU324:BV324" si="1204">IF(P324=1,1,0)</f>
        <v>0</v>
      </c>
      <c r="BV324" s="187">
        <f t="shared" si="1204"/>
        <v>0</v>
      </c>
      <c r="BW324" s="187">
        <f t="shared" si="732"/>
        <v>0</v>
      </c>
      <c r="BX324" s="187">
        <f t="shared" si="733"/>
        <v>0</v>
      </c>
      <c r="BY324" s="187">
        <f t="shared" si="734"/>
        <v>0</v>
      </c>
      <c r="BZ324" s="187">
        <f t="shared" si="735"/>
        <v>0</v>
      </c>
      <c r="CA324" s="167">
        <f t="shared" si="736"/>
        <v>100</v>
      </c>
      <c r="CB324" s="167">
        <f t="shared" si="737"/>
        <v>90</v>
      </c>
      <c r="CC324" s="644">
        <f t="shared" si="738"/>
        <v>23</v>
      </c>
      <c r="CD324" s="644">
        <f t="shared" si="739"/>
        <v>19</v>
      </c>
      <c r="CE324" s="644">
        <f t="shared" si="740"/>
        <v>15</v>
      </c>
      <c r="CF324" s="644">
        <f t="shared" si="741"/>
        <v>0</v>
      </c>
      <c r="CG324" s="644">
        <f t="shared" si="742"/>
        <v>9</v>
      </c>
      <c r="CH324" s="644">
        <f>IF(D294=1,7,0)</f>
        <v>7</v>
      </c>
      <c r="CI324" s="644">
        <f t="shared" si="744"/>
        <v>7</v>
      </c>
      <c r="CJ324" s="644">
        <f t="shared" si="745"/>
        <v>0</v>
      </c>
      <c r="CK324" s="644">
        <f t="shared" si="746"/>
        <v>5</v>
      </c>
      <c r="CL324" s="644">
        <f t="shared" si="747"/>
        <v>5</v>
      </c>
      <c r="CM324" s="644">
        <f t="shared" si="748"/>
        <v>0</v>
      </c>
      <c r="CN324" s="644">
        <f t="shared" si="749"/>
        <v>0</v>
      </c>
      <c r="CO324" s="644">
        <f t="shared" si="750"/>
        <v>3</v>
      </c>
      <c r="CP324" s="644">
        <f t="shared" si="751"/>
        <v>3</v>
      </c>
      <c r="CQ324" s="644">
        <f t="shared" si="752"/>
        <v>0</v>
      </c>
      <c r="CR324" s="644">
        <f t="shared" si="753"/>
        <v>0</v>
      </c>
      <c r="CS324" s="644">
        <f t="shared" si="754"/>
        <v>0</v>
      </c>
      <c r="CT324" s="644">
        <f t="shared" si="755"/>
        <v>0</v>
      </c>
      <c r="CU324" s="644">
        <f t="shared" si="756"/>
        <v>0</v>
      </c>
      <c r="CV324" s="644">
        <f t="shared" si="757"/>
        <v>0</v>
      </c>
      <c r="CW324" s="644">
        <f t="shared" si="758"/>
        <v>0</v>
      </c>
      <c r="CX324" s="644">
        <f t="shared" si="759"/>
        <v>0</v>
      </c>
      <c r="CY324" s="644">
        <f t="shared" si="760"/>
        <v>0</v>
      </c>
      <c r="CZ324" s="624" t="s">
        <v>752</v>
      </c>
    </row>
    <row r="325" spans="1:105">
      <c r="A325" s="253" t="s">
        <v>467</v>
      </c>
      <c r="B325" s="641"/>
      <c r="C325" s="641"/>
      <c r="D325" s="155"/>
      <c r="E325" s="644"/>
      <c r="F325" s="644">
        <v>1</v>
      </c>
      <c r="G325" s="644"/>
      <c r="H325" s="644"/>
      <c r="I325" s="644"/>
      <c r="J325" s="644"/>
      <c r="K325" s="644"/>
      <c r="L325" s="644"/>
      <c r="M325" s="644"/>
      <c r="N325" s="644"/>
      <c r="O325" s="644"/>
      <c r="P325" s="644"/>
      <c r="Q325" s="644"/>
      <c r="R325" s="644">
        <v>1</v>
      </c>
      <c r="S325" s="644"/>
      <c r="T325" s="644"/>
      <c r="U325" s="644">
        <v>1</v>
      </c>
      <c r="V325" s="644"/>
      <c r="W325" s="644">
        <v>1</v>
      </c>
      <c r="X325" s="644"/>
      <c r="Y325" s="644"/>
      <c r="Z325" s="644"/>
      <c r="AA325" s="644"/>
      <c r="AB325" s="644"/>
      <c r="AC325" s="258">
        <v>1</v>
      </c>
      <c r="AD325" s="644"/>
      <c r="AE325" s="644"/>
      <c r="AF325" s="644"/>
      <c r="AG325" s="644"/>
      <c r="AH325" s="644">
        <v>1</v>
      </c>
      <c r="AI325" s="644"/>
      <c r="AJ325" s="644"/>
      <c r="AK325" s="644"/>
      <c r="AL325" s="167">
        <v>6</v>
      </c>
      <c r="AM325" s="191" t="str">
        <f t="shared" ref="AM325:AM327" si="1205">HYPERLINK("http://bbwaa.com/15-hof-ballots/", "BBWAA.com")</f>
        <v>BBWAA.com</v>
      </c>
      <c r="AN325" s="192">
        <v>42015</v>
      </c>
      <c r="AO325" s="187"/>
      <c r="AP325" s="187">
        <f t="shared" si="703"/>
        <v>13</v>
      </c>
      <c r="AQ325" s="187">
        <f t="shared" si="704"/>
        <v>0</v>
      </c>
      <c r="AR325" s="187">
        <f t="shared" si="705"/>
        <v>13</v>
      </c>
      <c r="AS325" s="187">
        <f t="shared" si="706"/>
        <v>13</v>
      </c>
      <c r="AT325" s="187">
        <f t="shared" si="707"/>
        <v>0</v>
      </c>
      <c r="AU325" s="187">
        <f t="shared" si="708"/>
        <v>0</v>
      </c>
      <c r="AV325" s="187">
        <f t="shared" si="709"/>
        <v>9</v>
      </c>
      <c r="AW325" s="187">
        <f t="shared" si="710"/>
        <v>0</v>
      </c>
      <c r="AX325" s="187">
        <f t="shared" si="711"/>
        <v>0</v>
      </c>
      <c r="AY325" s="187">
        <f t="shared" si="712"/>
        <v>0</v>
      </c>
      <c r="AZ325" s="187">
        <f t="shared" si="713"/>
        <v>7</v>
      </c>
      <c r="BA325" s="187">
        <f t="shared" si="714"/>
        <v>0</v>
      </c>
      <c r="BB325" s="187">
        <f t="shared" si="715"/>
        <v>0</v>
      </c>
      <c r="BC325" s="187">
        <f t="shared" si="716"/>
        <v>0</v>
      </c>
      <c r="BD325" s="187">
        <f t="shared" si="717"/>
        <v>0</v>
      </c>
      <c r="BE325" s="187">
        <f t="shared" si="718"/>
        <v>0</v>
      </c>
      <c r="BF325" s="187">
        <f t="shared" si="719"/>
        <v>3</v>
      </c>
      <c r="BG325" s="187">
        <f t="shared" si="720"/>
        <v>0</v>
      </c>
      <c r="BH325" s="187">
        <f t="shared" si="721"/>
        <v>0</v>
      </c>
      <c r="BI325" s="187">
        <f t="shared" si="722"/>
        <v>0</v>
      </c>
      <c r="BJ325" s="187">
        <f t="shared" si="723"/>
        <v>0</v>
      </c>
      <c r="BK325" s="187">
        <f t="shared" si="724"/>
        <v>0</v>
      </c>
      <c r="BL325" s="187">
        <f t="shared" si="725"/>
        <v>0</v>
      </c>
      <c r="BM325" s="187">
        <f t="shared" si="726"/>
        <v>0</v>
      </c>
      <c r="BN325" s="188">
        <f t="shared" si="727"/>
        <v>4</v>
      </c>
      <c r="BO325" s="187">
        <f t="shared" si="728"/>
        <v>0</v>
      </c>
      <c r="BP325" s="187">
        <f t="shared" ref="BP325:BQ325" si="1206">IF(G325=1,1,0)</f>
        <v>0</v>
      </c>
      <c r="BQ325" s="187">
        <f t="shared" si="1206"/>
        <v>0</v>
      </c>
      <c r="BR325" s="187">
        <f t="shared" ref="BR325:BT325" si="1207">IF(K325=1,1,0)</f>
        <v>0</v>
      </c>
      <c r="BS325" s="187">
        <f t="shared" si="1207"/>
        <v>0</v>
      </c>
      <c r="BT325" s="187">
        <f t="shared" si="1207"/>
        <v>0</v>
      </c>
      <c r="BU325" s="187">
        <f t="shared" ref="BU325:BV325" si="1208">IF(P325=1,1,0)</f>
        <v>0</v>
      </c>
      <c r="BV325" s="187">
        <f t="shared" si="1208"/>
        <v>0</v>
      </c>
      <c r="BW325" s="187">
        <f t="shared" si="732"/>
        <v>0</v>
      </c>
      <c r="BX325" s="187">
        <f t="shared" si="733"/>
        <v>0</v>
      </c>
      <c r="BY325" s="187">
        <f t="shared" si="734"/>
        <v>4</v>
      </c>
      <c r="BZ325" s="187">
        <f t="shared" si="735"/>
        <v>-16</v>
      </c>
      <c r="CA325" s="167">
        <f t="shared" si="736"/>
        <v>42</v>
      </c>
      <c r="CB325" s="167">
        <f t="shared" si="737"/>
        <v>78</v>
      </c>
      <c r="CC325" s="644">
        <f t="shared" si="738"/>
        <v>23</v>
      </c>
      <c r="CD325" s="644">
        <f t="shared" si="739"/>
        <v>19</v>
      </c>
      <c r="CE325" s="644">
        <f t="shared" si="740"/>
        <v>15</v>
      </c>
      <c r="CF325" s="644">
        <f t="shared" si="741"/>
        <v>0</v>
      </c>
      <c r="CG325" s="644">
        <f t="shared" si="742"/>
        <v>0</v>
      </c>
      <c r="CH325" s="644">
        <f>IF(D295=1,7,0)</f>
        <v>7</v>
      </c>
      <c r="CI325" s="644">
        <f t="shared" si="744"/>
        <v>7</v>
      </c>
      <c r="CJ325" s="644">
        <f t="shared" si="745"/>
        <v>0</v>
      </c>
      <c r="CK325" s="644">
        <f t="shared" si="746"/>
        <v>0</v>
      </c>
      <c r="CL325" s="644">
        <f t="shared" si="747"/>
        <v>5</v>
      </c>
      <c r="CM325" s="644">
        <f t="shared" si="748"/>
        <v>0</v>
      </c>
      <c r="CN325" s="644">
        <f t="shared" si="749"/>
        <v>0</v>
      </c>
      <c r="CO325" s="644">
        <f t="shared" si="750"/>
        <v>0</v>
      </c>
      <c r="CP325" s="644">
        <f t="shared" si="751"/>
        <v>0</v>
      </c>
      <c r="CQ325" s="644">
        <f t="shared" si="752"/>
        <v>0</v>
      </c>
      <c r="CR325" s="644">
        <f t="shared" si="753"/>
        <v>2</v>
      </c>
      <c r="CS325" s="644">
        <f t="shared" si="754"/>
        <v>0</v>
      </c>
      <c r="CT325" s="644">
        <f t="shared" si="755"/>
        <v>0</v>
      </c>
      <c r="CU325" s="644">
        <f t="shared" si="756"/>
        <v>0</v>
      </c>
      <c r="CV325" s="644">
        <f t="shared" si="757"/>
        <v>0</v>
      </c>
      <c r="CW325" s="644">
        <f t="shared" si="758"/>
        <v>0</v>
      </c>
      <c r="CX325" s="644">
        <f t="shared" si="759"/>
        <v>0</v>
      </c>
      <c r="CY325" s="644">
        <f t="shared" si="760"/>
        <v>0</v>
      </c>
      <c r="CZ325" s="624" t="s">
        <v>743</v>
      </c>
    </row>
    <row r="326" spans="1:105">
      <c r="A326" s="253" t="s">
        <v>1354</v>
      </c>
      <c r="B326" s="641"/>
      <c r="C326" s="641"/>
      <c r="D326" s="155">
        <v>1</v>
      </c>
      <c r="E326" s="644">
        <v>1</v>
      </c>
      <c r="F326" s="644"/>
      <c r="G326" s="644"/>
      <c r="H326" s="644"/>
      <c r="I326" s="644"/>
      <c r="J326" s="644"/>
      <c r="K326" s="644"/>
      <c r="L326" s="644"/>
      <c r="M326" s="644"/>
      <c r="N326" s="644"/>
      <c r="O326" s="644"/>
      <c r="P326" s="644"/>
      <c r="Q326" s="644"/>
      <c r="R326" s="644">
        <v>1</v>
      </c>
      <c r="S326" s="644"/>
      <c r="T326" s="644">
        <v>1</v>
      </c>
      <c r="U326" s="644">
        <v>1</v>
      </c>
      <c r="V326" s="644"/>
      <c r="W326" s="644"/>
      <c r="X326" s="644"/>
      <c r="Y326" s="644"/>
      <c r="Z326" s="644"/>
      <c r="AA326" s="644"/>
      <c r="AB326" s="644">
        <v>1</v>
      </c>
      <c r="AC326" s="644">
        <v>1</v>
      </c>
      <c r="AD326" s="258">
        <v>1</v>
      </c>
      <c r="AE326" s="644"/>
      <c r="AF326" s="644"/>
      <c r="AG326" s="644"/>
      <c r="AH326" s="644"/>
      <c r="AI326" s="644"/>
      <c r="AJ326" s="644">
        <v>1</v>
      </c>
      <c r="AK326" s="644">
        <v>1</v>
      </c>
      <c r="AL326" s="167">
        <v>10</v>
      </c>
      <c r="AM326" s="191" t="str">
        <f t="shared" si="1205"/>
        <v>BBWAA.com</v>
      </c>
      <c r="AN326" s="192">
        <v>42012</v>
      </c>
      <c r="AO326" s="187"/>
      <c r="AP326" s="187">
        <f t="shared" si="703"/>
        <v>0</v>
      </c>
      <c r="AQ326" s="187">
        <f t="shared" si="704"/>
        <v>0</v>
      </c>
      <c r="AR326" s="187">
        <f t="shared" si="705"/>
        <v>13</v>
      </c>
      <c r="AS326" s="187">
        <f t="shared" si="706"/>
        <v>13</v>
      </c>
      <c r="AT326" s="187">
        <f t="shared" si="707"/>
        <v>9</v>
      </c>
      <c r="AU326" s="187">
        <f t="shared" si="708"/>
        <v>9</v>
      </c>
      <c r="AV326" s="187">
        <f t="shared" si="709"/>
        <v>9</v>
      </c>
      <c r="AW326" s="187">
        <f t="shared" si="710"/>
        <v>7</v>
      </c>
      <c r="AX326" s="187">
        <f t="shared" si="711"/>
        <v>7</v>
      </c>
      <c r="AY326" s="187">
        <f t="shared" si="712"/>
        <v>0</v>
      </c>
      <c r="AZ326" s="187">
        <f t="shared" si="713"/>
        <v>0</v>
      </c>
      <c r="BA326" s="187">
        <f t="shared" si="714"/>
        <v>7</v>
      </c>
      <c r="BB326" s="187">
        <f t="shared" si="715"/>
        <v>4</v>
      </c>
      <c r="BC326" s="187">
        <f t="shared" si="716"/>
        <v>4</v>
      </c>
      <c r="BD326" s="187">
        <f t="shared" si="717"/>
        <v>0</v>
      </c>
      <c r="BE326" s="187">
        <f t="shared" si="718"/>
        <v>0</v>
      </c>
      <c r="BF326" s="187">
        <f t="shared" si="719"/>
        <v>0</v>
      </c>
      <c r="BG326" s="187">
        <f t="shared" si="720"/>
        <v>0</v>
      </c>
      <c r="BH326" s="187">
        <f t="shared" si="721"/>
        <v>0</v>
      </c>
      <c r="BI326" s="187">
        <f t="shared" si="722"/>
        <v>0</v>
      </c>
      <c r="BJ326" s="187">
        <f t="shared" si="723"/>
        <v>0</v>
      </c>
      <c r="BK326" s="187">
        <f t="shared" si="724"/>
        <v>0</v>
      </c>
      <c r="BL326" s="187">
        <f t="shared" si="725"/>
        <v>0</v>
      </c>
      <c r="BM326" s="187">
        <f t="shared" si="726"/>
        <v>0</v>
      </c>
      <c r="BN326" s="188">
        <f t="shared" si="727"/>
        <v>0</v>
      </c>
      <c r="BO326" s="187">
        <f t="shared" si="728"/>
        <v>0</v>
      </c>
      <c r="BP326" s="187">
        <f t="shared" ref="BP326:BQ326" si="1209">IF(G326=1,1,0)</f>
        <v>0</v>
      </c>
      <c r="BQ326" s="187">
        <f t="shared" si="1209"/>
        <v>0</v>
      </c>
      <c r="BR326" s="187">
        <f t="shared" ref="BR326:BT326" si="1210">IF(K326=1,1,0)</f>
        <v>0</v>
      </c>
      <c r="BS326" s="187">
        <f t="shared" si="1210"/>
        <v>0</v>
      </c>
      <c r="BT326" s="187">
        <f t="shared" si="1210"/>
        <v>0</v>
      </c>
      <c r="BU326" s="187">
        <f t="shared" ref="BU326:BV326" si="1211">IF(P326=1,1,0)</f>
        <v>0</v>
      </c>
      <c r="BV326" s="187">
        <f t="shared" si="1211"/>
        <v>0</v>
      </c>
      <c r="BW326" s="187">
        <f t="shared" si="732"/>
        <v>0</v>
      </c>
      <c r="BX326" s="187">
        <f t="shared" si="733"/>
        <v>0</v>
      </c>
      <c r="BY326" s="187">
        <f t="shared" si="734"/>
        <v>0</v>
      </c>
      <c r="BZ326" s="187">
        <f t="shared" si="735"/>
        <v>0</v>
      </c>
      <c r="CA326" s="167">
        <f t="shared" si="736"/>
        <v>82</v>
      </c>
      <c r="CB326" s="167">
        <f t="shared" si="737"/>
        <v>88</v>
      </c>
      <c r="CC326" s="644">
        <f t="shared" si="738"/>
        <v>23</v>
      </c>
      <c r="CD326" s="644">
        <f t="shared" si="739"/>
        <v>19</v>
      </c>
      <c r="CE326" s="644">
        <f t="shared" si="740"/>
        <v>0</v>
      </c>
      <c r="CF326" s="644">
        <f t="shared" si="741"/>
        <v>15</v>
      </c>
      <c r="CG326" s="644">
        <f t="shared" si="742"/>
        <v>9</v>
      </c>
      <c r="CH326" s="644">
        <f t="shared" ref="CH326:CH331" si="1212">IF(D295=1,7,0)</f>
        <v>7</v>
      </c>
      <c r="CI326" s="644">
        <f t="shared" si="744"/>
        <v>7</v>
      </c>
      <c r="CJ326" s="644">
        <f t="shared" si="745"/>
        <v>5</v>
      </c>
      <c r="CK326" s="644">
        <f t="shared" si="746"/>
        <v>0</v>
      </c>
      <c r="CL326" s="644">
        <f t="shared" si="747"/>
        <v>0</v>
      </c>
      <c r="CM326" s="644">
        <f t="shared" si="748"/>
        <v>0</v>
      </c>
      <c r="CN326" s="644">
        <f t="shared" si="749"/>
        <v>3</v>
      </c>
      <c r="CO326" s="644">
        <f t="shared" si="750"/>
        <v>3</v>
      </c>
      <c r="CP326" s="644">
        <f t="shared" si="751"/>
        <v>0</v>
      </c>
      <c r="CQ326" s="644">
        <f t="shared" si="752"/>
        <v>0</v>
      </c>
      <c r="CR326" s="644">
        <f t="shared" si="753"/>
        <v>0</v>
      </c>
      <c r="CS326" s="644">
        <f t="shared" si="754"/>
        <v>2</v>
      </c>
      <c r="CT326" s="644">
        <f t="shared" si="755"/>
        <v>0</v>
      </c>
      <c r="CU326" s="644">
        <f t="shared" si="756"/>
        <v>0</v>
      </c>
      <c r="CV326" s="644">
        <f t="shared" si="757"/>
        <v>0</v>
      </c>
      <c r="CW326" s="644">
        <f t="shared" si="758"/>
        <v>0</v>
      </c>
      <c r="CX326" s="644">
        <f t="shared" si="759"/>
        <v>0</v>
      </c>
      <c r="CY326" s="644">
        <f t="shared" si="760"/>
        <v>0</v>
      </c>
      <c r="CZ326" s="624" t="s">
        <v>805</v>
      </c>
    </row>
    <row r="327" spans="1:105">
      <c r="A327" s="253" t="s">
        <v>1355</v>
      </c>
      <c r="B327" s="641"/>
      <c r="C327" s="641"/>
      <c r="D327" s="155"/>
      <c r="E327" s="644">
        <v>1</v>
      </c>
      <c r="F327" s="644"/>
      <c r="G327" s="644"/>
      <c r="H327" s="644"/>
      <c r="I327" s="644"/>
      <c r="J327" s="644"/>
      <c r="K327" s="644"/>
      <c r="L327" s="644"/>
      <c r="M327" s="644"/>
      <c r="N327" s="644"/>
      <c r="O327" s="644"/>
      <c r="P327" s="644"/>
      <c r="Q327" s="644"/>
      <c r="R327" s="644">
        <v>1</v>
      </c>
      <c r="S327" s="644"/>
      <c r="T327" s="644"/>
      <c r="U327" s="644">
        <v>1</v>
      </c>
      <c r="V327" s="644"/>
      <c r="W327" s="644"/>
      <c r="X327" s="644"/>
      <c r="Y327" s="644"/>
      <c r="Z327" s="644"/>
      <c r="AA327" s="644"/>
      <c r="AB327" s="644">
        <v>1</v>
      </c>
      <c r="AC327" s="644"/>
      <c r="AD327" s="644"/>
      <c r="AE327" s="644"/>
      <c r="AF327" s="644"/>
      <c r="AG327" s="644"/>
      <c r="AH327" s="644">
        <v>1</v>
      </c>
      <c r="AI327" s="644"/>
      <c r="AJ327" s="644"/>
      <c r="AK327" s="644"/>
      <c r="AL327" s="167">
        <v>5</v>
      </c>
      <c r="AM327" s="191" t="str">
        <f t="shared" si="1205"/>
        <v>BBWAA.com</v>
      </c>
      <c r="AN327" s="192">
        <v>42017</v>
      </c>
      <c r="AO327" s="187"/>
      <c r="AP327" s="187">
        <f t="shared" si="703"/>
        <v>0</v>
      </c>
      <c r="AQ327" s="187">
        <f t="shared" si="704"/>
        <v>0</v>
      </c>
      <c r="AR327" s="187">
        <f t="shared" si="705"/>
        <v>13</v>
      </c>
      <c r="AS327" s="187">
        <f t="shared" si="706"/>
        <v>13</v>
      </c>
      <c r="AT327" s="187">
        <f t="shared" si="707"/>
        <v>9</v>
      </c>
      <c r="AU327" s="187">
        <f t="shared" si="708"/>
        <v>0</v>
      </c>
      <c r="AV327" s="187">
        <f t="shared" si="709"/>
        <v>0</v>
      </c>
      <c r="AW327" s="187">
        <f t="shared" si="710"/>
        <v>0</v>
      </c>
      <c r="AX327" s="187">
        <f t="shared" si="711"/>
        <v>0</v>
      </c>
      <c r="AY327" s="187">
        <f t="shared" si="712"/>
        <v>0</v>
      </c>
      <c r="AZ327" s="187">
        <f t="shared" si="713"/>
        <v>7</v>
      </c>
      <c r="BA327" s="187">
        <f t="shared" si="714"/>
        <v>7</v>
      </c>
      <c r="BB327" s="187">
        <f t="shared" si="715"/>
        <v>0</v>
      </c>
      <c r="BC327" s="187">
        <f t="shared" si="716"/>
        <v>0</v>
      </c>
      <c r="BD327" s="187">
        <f t="shared" si="717"/>
        <v>0</v>
      </c>
      <c r="BE327" s="187">
        <f t="shared" si="718"/>
        <v>0</v>
      </c>
      <c r="BF327" s="187">
        <f t="shared" si="719"/>
        <v>0</v>
      </c>
      <c r="BG327" s="187">
        <f t="shared" si="720"/>
        <v>0</v>
      </c>
      <c r="BH327" s="187">
        <f t="shared" si="721"/>
        <v>0</v>
      </c>
      <c r="BI327" s="187">
        <f t="shared" si="722"/>
        <v>0</v>
      </c>
      <c r="BJ327" s="187">
        <f t="shared" si="723"/>
        <v>0</v>
      </c>
      <c r="BK327" s="187">
        <f t="shared" si="724"/>
        <v>0</v>
      </c>
      <c r="BL327" s="187">
        <f t="shared" si="725"/>
        <v>0</v>
      </c>
      <c r="BM327" s="187">
        <f t="shared" si="726"/>
        <v>0</v>
      </c>
      <c r="BN327" s="188">
        <f t="shared" si="727"/>
        <v>5</v>
      </c>
      <c r="BO327" s="187">
        <f t="shared" si="728"/>
        <v>0</v>
      </c>
      <c r="BP327" s="187">
        <f t="shared" ref="BP327:BQ327" si="1213">IF(G327=1,1,0)</f>
        <v>0</v>
      </c>
      <c r="BQ327" s="187">
        <f t="shared" si="1213"/>
        <v>0</v>
      </c>
      <c r="BR327" s="187">
        <f t="shared" ref="BR327:BT327" si="1214">IF(K327=1,1,0)</f>
        <v>0</v>
      </c>
      <c r="BS327" s="187">
        <f t="shared" si="1214"/>
        <v>0</v>
      </c>
      <c r="BT327" s="187">
        <f t="shared" si="1214"/>
        <v>0</v>
      </c>
      <c r="BU327" s="187">
        <f t="shared" ref="BU327:BV327" si="1215">IF(P327=1,1,0)</f>
        <v>0</v>
      </c>
      <c r="BV327" s="187">
        <f t="shared" si="1215"/>
        <v>0</v>
      </c>
      <c r="BW327" s="187">
        <f t="shared" si="732"/>
        <v>0</v>
      </c>
      <c r="BX327" s="187">
        <f t="shared" si="733"/>
        <v>0</v>
      </c>
      <c r="BY327" s="187">
        <f t="shared" si="734"/>
        <v>5</v>
      </c>
      <c r="BZ327" s="187">
        <f t="shared" si="735"/>
        <v>-25</v>
      </c>
      <c r="CA327" s="167">
        <f t="shared" si="736"/>
        <v>24</v>
      </c>
      <c r="CB327" s="167">
        <f t="shared" si="737"/>
        <v>88</v>
      </c>
      <c r="CC327" s="644">
        <f t="shared" si="738"/>
        <v>23</v>
      </c>
      <c r="CD327" s="644">
        <f t="shared" si="739"/>
        <v>19</v>
      </c>
      <c r="CE327" s="644">
        <f t="shared" si="740"/>
        <v>15</v>
      </c>
      <c r="CF327" s="644">
        <f t="shared" si="741"/>
        <v>15</v>
      </c>
      <c r="CG327" s="644">
        <f t="shared" si="742"/>
        <v>9</v>
      </c>
      <c r="CH327" s="644">
        <f t="shared" si="1212"/>
        <v>7</v>
      </c>
      <c r="CI327" s="644">
        <f t="shared" si="744"/>
        <v>0</v>
      </c>
      <c r="CJ327" s="644">
        <f t="shared" si="745"/>
        <v>0</v>
      </c>
      <c r="CK327" s="644">
        <f t="shared" si="746"/>
        <v>0</v>
      </c>
      <c r="CL327" s="644">
        <f t="shared" si="747"/>
        <v>0</v>
      </c>
      <c r="CM327" s="644">
        <f t="shared" si="748"/>
        <v>0</v>
      </c>
      <c r="CN327" s="644">
        <f t="shared" si="749"/>
        <v>0</v>
      </c>
      <c r="CO327" s="644">
        <f t="shared" si="750"/>
        <v>0</v>
      </c>
      <c r="CP327" s="644">
        <f t="shared" si="751"/>
        <v>0</v>
      </c>
      <c r="CQ327" s="644">
        <f t="shared" si="752"/>
        <v>0</v>
      </c>
      <c r="CR327" s="644">
        <f t="shared" si="753"/>
        <v>0</v>
      </c>
      <c r="CS327" s="644">
        <f t="shared" si="754"/>
        <v>0</v>
      </c>
      <c r="CT327" s="644">
        <f t="shared" si="755"/>
        <v>0</v>
      </c>
      <c r="CU327" s="644">
        <f t="shared" si="756"/>
        <v>0</v>
      </c>
      <c r="CV327" s="644">
        <f t="shared" si="757"/>
        <v>0</v>
      </c>
      <c r="CW327" s="644">
        <f t="shared" si="758"/>
        <v>0</v>
      </c>
      <c r="CX327" s="644">
        <f t="shared" si="759"/>
        <v>0</v>
      </c>
      <c r="CY327" s="644">
        <f t="shared" si="760"/>
        <v>0</v>
      </c>
      <c r="CZ327" s="624" t="s">
        <v>756</v>
      </c>
    </row>
    <row r="328" spans="1:105">
      <c r="A328" s="253" t="s">
        <v>351</v>
      </c>
      <c r="B328" s="641"/>
      <c r="C328" s="641"/>
      <c r="D328" s="155">
        <v>1</v>
      </c>
      <c r="E328" s="644">
        <v>1</v>
      </c>
      <c r="F328" s="644">
        <v>1</v>
      </c>
      <c r="G328" s="644"/>
      <c r="H328" s="644"/>
      <c r="I328" s="644">
        <v>1</v>
      </c>
      <c r="J328" s="644"/>
      <c r="K328" s="644"/>
      <c r="L328" s="644"/>
      <c r="M328" s="644"/>
      <c r="N328" s="644"/>
      <c r="O328" s="644"/>
      <c r="P328" s="644"/>
      <c r="Q328" s="644"/>
      <c r="R328" s="644">
        <v>1</v>
      </c>
      <c r="S328" s="644"/>
      <c r="T328" s="644"/>
      <c r="U328" s="644">
        <v>1</v>
      </c>
      <c r="V328" s="644"/>
      <c r="W328" s="644"/>
      <c r="X328" s="644"/>
      <c r="Y328" s="644"/>
      <c r="Z328" s="644"/>
      <c r="AA328" s="644"/>
      <c r="AB328" s="644">
        <v>1</v>
      </c>
      <c r="AC328" s="258">
        <v>1</v>
      </c>
      <c r="AD328" s="644"/>
      <c r="AE328" s="644"/>
      <c r="AF328" s="644"/>
      <c r="AG328" s="644"/>
      <c r="AH328" s="644">
        <v>1</v>
      </c>
      <c r="AI328" s="644"/>
      <c r="AJ328" s="644"/>
      <c r="AK328" s="644"/>
      <c r="AL328" s="167">
        <v>9</v>
      </c>
      <c r="AM328" s="191" t="s">
        <v>1356</v>
      </c>
      <c r="AN328" s="192">
        <v>42010</v>
      </c>
      <c r="AO328" s="187"/>
      <c r="AP328" s="187">
        <f t="shared" si="703"/>
        <v>13</v>
      </c>
      <c r="AQ328" s="187">
        <f t="shared" si="704"/>
        <v>13</v>
      </c>
      <c r="AR328" s="187">
        <f t="shared" si="705"/>
        <v>13</v>
      </c>
      <c r="AS328" s="187">
        <f t="shared" si="706"/>
        <v>13</v>
      </c>
      <c r="AT328" s="187">
        <f t="shared" si="707"/>
        <v>9</v>
      </c>
      <c r="AU328" s="187">
        <f t="shared" si="708"/>
        <v>9</v>
      </c>
      <c r="AV328" s="187">
        <f t="shared" si="709"/>
        <v>9</v>
      </c>
      <c r="AW328" s="187">
        <f t="shared" si="710"/>
        <v>0</v>
      </c>
      <c r="AX328" s="187">
        <f t="shared" si="711"/>
        <v>0</v>
      </c>
      <c r="AY328" s="187">
        <f t="shared" si="712"/>
        <v>0</v>
      </c>
      <c r="AZ328" s="187">
        <f t="shared" si="713"/>
        <v>7</v>
      </c>
      <c r="BA328" s="187">
        <f t="shared" si="714"/>
        <v>7</v>
      </c>
      <c r="BB328" s="187">
        <f t="shared" si="715"/>
        <v>0</v>
      </c>
      <c r="BC328" s="187">
        <f t="shared" si="716"/>
        <v>0</v>
      </c>
      <c r="BD328" s="187">
        <f t="shared" si="717"/>
        <v>0</v>
      </c>
      <c r="BE328" s="187">
        <f t="shared" si="718"/>
        <v>0</v>
      </c>
      <c r="BF328" s="187">
        <f t="shared" si="719"/>
        <v>0</v>
      </c>
      <c r="BG328" s="187">
        <f t="shared" si="720"/>
        <v>0</v>
      </c>
      <c r="BH328" s="187">
        <f t="shared" si="721"/>
        <v>0</v>
      </c>
      <c r="BI328" s="187">
        <f t="shared" si="722"/>
        <v>0</v>
      </c>
      <c r="BJ328" s="187">
        <f t="shared" si="723"/>
        <v>0</v>
      </c>
      <c r="BK328" s="187">
        <f t="shared" si="724"/>
        <v>0</v>
      </c>
      <c r="BL328" s="187">
        <f t="shared" si="725"/>
        <v>0</v>
      </c>
      <c r="BM328" s="187">
        <f t="shared" si="726"/>
        <v>0</v>
      </c>
      <c r="BN328" s="188">
        <f t="shared" si="727"/>
        <v>1</v>
      </c>
      <c r="BO328" s="187">
        <f t="shared" si="728"/>
        <v>0</v>
      </c>
      <c r="BP328" s="187">
        <f t="shared" ref="BP328:BQ328" si="1216">IF(G328=1,1,0)</f>
        <v>0</v>
      </c>
      <c r="BQ328" s="187">
        <f t="shared" si="1216"/>
        <v>0</v>
      </c>
      <c r="BR328" s="187">
        <f t="shared" ref="BR328:BT328" si="1217">IF(K328=1,1,0)</f>
        <v>0</v>
      </c>
      <c r="BS328" s="187">
        <f t="shared" si="1217"/>
        <v>0</v>
      </c>
      <c r="BT328" s="187">
        <f t="shared" si="1217"/>
        <v>0</v>
      </c>
      <c r="BU328" s="187">
        <f t="shared" ref="BU328:BV328" si="1218">IF(P328=1,1,0)</f>
        <v>0</v>
      </c>
      <c r="BV328" s="187">
        <f t="shared" si="1218"/>
        <v>0</v>
      </c>
      <c r="BW328" s="187">
        <f t="shared" si="732"/>
        <v>0</v>
      </c>
      <c r="BX328" s="187">
        <f t="shared" si="733"/>
        <v>0</v>
      </c>
      <c r="BY328" s="187">
        <f t="shared" si="734"/>
        <v>1</v>
      </c>
      <c r="BZ328" s="187">
        <f t="shared" si="735"/>
        <v>-1</v>
      </c>
      <c r="CA328" s="167">
        <f t="shared" si="736"/>
        <v>92</v>
      </c>
      <c r="CB328" s="167">
        <f t="shared" si="737"/>
        <v>100</v>
      </c>
      <c r="CC328" s="644">
        <f t="shared" si="738"/>
        <v>23</v>
      </c>
      <c r="CD328" s="644">
        <f t="shared" si="739"/>
        <v>19</v>
      </c>
      <c r="CE328" s="644">
        <f t="shared" si="740"/>
        <v>15</v>
      </c>
      <c r="CF328" s="644">
        <f t="shared" si="741"/>
        <v>15</v>
      </c>
      <c r="CG328" s="644">
        <f t="shared" si="742"/>
        <v>9</v>
      </c>
      <c r="CH328" s="644">
        <f t="shared" si="1212"/>
        <v>7</v>
      </c>
      <c r="CI328" s="644">
        <f t="shared" si="744"/>
        <v>7</v>
      </c>
      <c r="CJ328" s="644">
        <f t="shared" si="745"/>
        <v>0</v>
      </c>
      <c r="CK328" s="644">
        <f t="shared" si="746"/>
        <v>5</v>
      </c>
      <c r="CL328" s="644">
        <f t="shared" si="747"/>
        <v>5</v>
      </c>
      <c r="CM328" s="644">
        <f t="shared" si="748"/>
        <v>0</v>
      </c>
      <c r="CN328" s="644">
        <f t="shared" si="749"/>
        <v>0</v>
      </c>
      <c r="CO328" s="644">
        <f t="shared" si="750"/>
        <v>0</v>
      </c>
      <c r="CP328" s="644">
        <f t="shared" si="751"/>
        <v>0</v>
      </c>
      <c r="CQ328" s="644">
        <f t="shared" si="752"/>
        <v>0</v>
      </c>
      <c r="CR328" s="644">
        <f t="shared" si="753"/>
        <v>0</v>
      </c>
      <c r="CS328" s="644">
        <f t="shared" si="754"/>
        <v>0</v>
      </c>
      <c r="CT328" s="644">
        <f t="shared" si="755"/>
        <v>0</v>
      </c>
      <c r="CU328" s="644">
        <f t="shared" si="756"/>
        <v>0</v>
      </c>
      <c r="CV328" s="644">
        <f t="shared" si="757"/>
        <v>0</v>
      </c>
      <c r="CW328" s="644">
        <f t="shared" si="758"/>
        <v>0</v>
      </c>
      <c r="CX328" s="644">
        <f t="shared" si="759"/>
        <v>0</v>
      </c>
      <c r="CY328" s="644">
        <f t="shared" si="760"/>
        <v>0</v>
      </c>
      <c r="CZ328" s="624" t="s">
        <v>764</v>
      </c>
    </row>
    <row r="329" spans="1:105">
      <c r="A329" s="253" t="s">
        <v>469</v>
      </c>
      <c r="B329" s="641"/>
      <c r="C329" s="641"/>
      <c r="D329" s="155"/>
      <c r="E329" s="644"/>
      <c r="F329" s="644"/>
      <c r="G329" s="644"/>
      <c r="H329" s="644"/>
      <c r="I329" s="644"/>
      <c r="J329" s="644"/>
      <c r="K329" s="644"/>
      <c r="L329" s="644"/>
      <c r="M329" s="644"/>
      <c r="N329" s="644"/>
      <c r="O329" s="644"/>
      <c r="P329" s="644"/>
      <c r="Q329" s="644"/>
      <c r="R329" s="644">
        <v>1</v>
      </c>
      <c r="S329" s="644"/>
      <c r="T329" s="644"/>
      <c r="U329" s="644">
        <v>1</v>
      </c>
      <c r="V329" s="644"/>
      <c r="W329" s="644">
        <v>1</v>
      </c>
      <c r="X329" s="644"/>
      <c r="Y329" s="644"/>
      <c r="Z329" s="644"/>
      <c r="AA329" s="644"/>
      <c r="AB329" s="644">
        <v>1</v>
      </c>
      <c r="AC329" s="644">
        <v>1</v>
      </c>
      <c r="AD329" s="644"/>
      <c r="AE329" s="644"/>
      <c r="AF329" s="644"/>
      <c r="AG329" s="644"/>
      <c r="AH329" s="644">
        <v>1</v>
      </c>
      <c r="AI329" s="644"/>
      <c r="AJ329" s="644"/>
      <c r="AK329" s="644"/>
      <c r="AL329" s="167">
        <v>6</v>
      </c>
      <c r="AM329" s="191" t="str">
        <f>HYPERLINK("http://bbwaa.com/15-hof-ballots/", "BBWAA.com")</f>
        <v>BBWAA.com</v>
      </c>
      <c r="AN329" s="192">
        <v>42016</v>
      </c>
      <c r="AO329" s="187"/>
      <c r="AP329" s="187">
        <f t="shared" si="703"/>
        <v>0</v>
      </c>
      <c r="AQ329" s="187">
        <f t="shared" si="704"/>
        <v>0</v>
      </c>
      <c r="AR329" s="187">
        <f t="shared" si="705"/>
        <v>13</v>
      </c>
      <c r="AS329" s="187">
        <f t="shared" si="706"/>
        <v>13</v>
      </c>
      <c r="AT329" s="187">
        <f t="shared" si="707"/>
        <v>9</v>
      </c>
      <c r="AU329" s="187">
        <f t="shared" si="708"/>
        <v>0</v>
      </c>
      <c r="AV329" s="187">
        <f t="shared" si="709"/>
        <v>9</v>
      </c>
      <c r="AW329" s="187">
        <f t="shared" si="710"/>
        <v>0</v>
      </c>
      <c r="AX329" s="187">
        <f t="shared" si="711"/>
        <v>0</v>
      </c>
      <c r="AY329" s="187">
        <f t="shared" si="712"/>
        <v>0</v>
      </c>
      <c r="AZ329" s="187">
        <f t="shared" si="713"/>
        <v>7</v>
      </c>
      <c r="BA329" s="187">
        <f t="shared" si="714"/>
        <v>0</v>
      </c>
      <c r="BB329" s="187">
        <f t="shared" si="715"/>
        <v>0</v>
      </c>
      <c r="BC329" s="187">
        <f t="shared" si="716"/>
        <v>0</v>
      </c>
      <c r="BD329" s="187">
        <f t="shared" si="717"/>
        <v>0</v>
      </c>
      <c r="BE329" s="187">
        <f t="shared" si="718"/>
        <v>0</v>
      </c>
      <c r="BF329" s="187">
        <f t="shared" si="719"/>
        <v>3</v>
      </c>
      <c r="BG329" s="187">
        <f t="shared" si="720"/>
        <v>0</v>
      </c>
      <c r="BH329" s="187">
        <f t="shared" si="721"/>
        <v>0</v>
      </c>
      <c r="BI329" s="187">
        <f t="shared" si="722"/>
        <v>0</v>
      </c>
      <c r="BJ329" s="187">
        <f t="shared" si="723"/>
        <v>0</v>
      </c>
      <c r="BK329" s="187">
        <f t="shared" si="724"/>
        <v>0</v>
      </c>
      <c r="BL329" s="187">
        <f t="shared" si="725"/>
        <v>0</v>
      </c>
      <c r="BM329" s="187">
        <f t="shared" si="726"/>
        <v>0</v>
      </c>
      <c r="BN329" s="188">
        <f t="shared" si="727"/>
        <v>4</v>
      </c>
      <c r="BO329" s="187">
        <f t="shared" si="728"/>
        <v>0</v>
      </c>
      <c r="BP329" s="187">
        <f t="shared" ref="BP329:BQ329" si="1219">IF(G329=1,1,0)</f>
        <v>0</v>
      </c>
      <c r="BQ329" s="187">
        <f t="shared" si="1219"/>
        <v>0</v>
      </c>
      <c r="BR329" s="187">
        <f t="shared" ref="BR329:BT329" si="1220">IF(K329=1,1,0)</f>
        <v>0</v>
      </c>
      <c r="BS329" s="187">
        <f t="shared" si="1220"/>
        <v>0</v>
      </c>
      <c r="BT329" s="187">
        <f t="shared" si="1220"/>
        <v>0</v>
      </c>
      <c r="BU329" s="187">
        <f t="shared" ref="BU329:BV329" si="1221">IF(P329=1,1,0)</f>
        <v>0</v>
      </c>
      <c r="BV329" s="187">
        <f t="shared" si="1221"/>
        <v>0</v>
      </c>
      <c r="BW329" s="187">
        <f t="shared" si="732"/>
        <v>0</v>
      </c>
      <c r="BX329" s="187">
        <f t="shared" si="733"/>
        <v>0</v>
      </c>
      <c r="BY329" s="187">
        <f t="shared" si="734"/>
        <v>4</v>
      </c>
      <c r="BZ329" s="187">
        <f t="shared" si="735"/>
        <v>-16</v>
      </c>
      <c r="CA329" s="167">
        <f t="shared" si="736"/>
        <v>38</v>
      </c>
      <c r="CB329" s="167">
        <f t="shared" si="737"/>
        <v>75</v>
      </c>
      <c r="CC329" s="644">
        <f t="shared" si="738"/>
        <v>23</v>
      </c>
      <c r="CD329" s="644">
        <f t="shared" si="739"/>
        <v>19</v>
      </c>
      <c r="CE329" s="644">
        <f t="shared" si="740"/>
        <v>15</v>
      </c>
      <c r="CF329" s="644">
        <f t="shared" si="741"/>
        <v>0</v>
      </c>
      <c r="CG329" s="644">
        <f t="shared" si="742"/>
        <v>9</v>
      </c>
      <c r="CH329" s="644">
        <f t="shared" si="1212"/>
        <v>0</v>
      </c>
      <c r="CI329" s="644">
        <f t="shared" si="744"/>
        <v>7</v>
      </c>
      <c r="CJ329" s="644">
        <f t="shared" si="745"/>
        <v>0</v>
      </c>
      <c r="CK329" s="644">
        <f t="shared" si="746"/>
        <v>0</v>
      </c>
      <c r="CL329" s="644">
        <f t="shared" si="747"/>
        <v>0</v>
      </c>
      <c r="CM329" s="644">
        <f t="shared" si="748"/>
        <v>0</v>
      </c>
      <c r="CN329" s="644">
        <f t="shared" si="749"/>
        <v>0</v>
      </c>
      <c r="CO329" s="644">
        <f t="shared" si="750"/>
        <v>0</v>
      </c>
      <c r="CP329" s="644">
        <f t="shared" si="751"/>
        <v>0</v>
      </c>
      <c r="CQ329" s="644">
        <f t="shared" si="752"/>
        <v>0</v>
      </c>
      <c r="CR329" s="644">
        <f t="shared" si="753"/>
        <v>2</v>
      </c>
      <c r="CS329" s="644">
        <f t="shared" si="754"/>
        <v>0</v>
      </c>
      <c r="CT329" s="644">
        <f t="shared" si="755"/>
        <v>0</v>
      </c>
      <c r="CU329" s="644">
        <f t="shared" si="756"/>
        <v>0</v>
      </c>
      <c r="CV329" s="644">
        <f t="shared" si="757"/>
        <v>0</v>
      </c>
      <c r="CW329" s="644">
        <f t="shared" si="758"/>
        <v>0</v>
      </c>
      <c r="CX329" s="644">
        <f t="shared" si="759"/>
        <v>0</v>
      </c>
      <c r="CY329" s="644">
        <f t="shared" si="760"/>
        <v>0</v>
      </c>
      <c r="CZ329" s="624" t="s">
        <v>843</v>
      </c>
    </row>
    <row r="330" spans="1:105">
      <c r="A330" s="283" t="s">
        <v>355</v>
      </c>
      <c r="B330" s="641"/>
      <c r="C330" s="641"/>
      <c r="D330" s="284">
        <v>1</v>
      </c>
      <c r="E330" s="251">
        <v>1</v>
      </c>
      <c r="F330" s="251">
        <v>1</v>
      </c>
      <c r="G330" s="251"/>
      <c r="H330" s="251"/>
      <c r="I330" s="251">
        <v>1</v>
      </c>
      <c r="J330" s="251"/>
      <c r="K330" s="251"/>
      <c r="L330" s="251"/>
      <c r="M330" s="251"/>
      <c r="N330" s="251"/>
      <c r="O330" s="251"/>
      <c r="P330" s="251"/>
      <c r="Q330" s="251"/>
      <c r="R330" s="251">
        <v>1</v>
      </c>
      <c r="S330" s="251"/>
      <c r="T330" s="251"/>
      <c r="U330" s="251">
        <v>1</v>
      </c>
      <c r="V330" s="251"/>
      <c r="W330" s="251"/>
      <c r="X330" s="251"/>
      <c r="Y330" s="251"/>
      <c r="Z330" s="251"/>
      <c r="AA330" s="251"/>
      <c r="AB330" s="251">
        <v>1</v>
      </c>
      <c r="AC330" s="251">
        <v>1</v>
      </c>
      <c r="AD330" s="251"/>
      <c r="AE330" s="251"/>
      <c r="AF330" s="251"/>
      <c r="AG330" s="251">
        <v>1</v>
      </c>
      <c r="AH330" s="644">
        <v>1</v>
      </c>
      <c r="AI330" s="644"/>
      <c r="AJ330" s="644"/>
      <c r="AK330" s="644"/>
      <c r="AL330" s="167">
        <v>10</v>
      </c>
      <c r="AM330" s="191" t="s">
        <v>1321</v>
      </c>
      <c r="AN330" s="192">
        <v>42010</v>
      </c>
      <c r="AO330" s="187"/>
      <c r="AP330" s="187">
        <f t="shared" si="703"/>
        <v>13</v>
      </c>
      <c r="AQ330" s="187">
        <f t="shared" si="704"/>
        <v>13</v>
      </c>
      <c r="AR330" s="187">
        <f t="shared" si="705"/>
        <v>13</v>
      </c>
      <c r="AS330" s="187">
        <f t="shared" si="706"/>
        <v>13</v>
      </c>
      <c r="AT330" s="187">
        <f t="shared" si="707"/>
        <v>9</v>
      </c>
      <c r="AU330" s="187">
        <f t="shared" si="708"/>
        <v>9</v>
      </c>
      <c r="AV330" s="187">
        <f t="shared" si="709"/>
        <v>9</v>
      </c>
      <c r="AW330" s="187">
        <f t="shared" si="710"/>
        <v>0</v>
      </c>
      <c r="AX330" s="187">
        <f t="shared" si="711"/>
        <v>0</v>
      </c>
      <c r="AY330" s="187">
        <f t="shared" si="712"/>
        <v>0</v>
      </c>
      <c r="AZ330" s="187">
        <f t="shared" si="713"/>
        <v>7</v>
      </c>
      <c r="BA330" s="187">
        <f t="shared" si="714"/>
        <v>7</v>
      </c>
      <c r="BB330" s="187">
        <f t="shared" si="715"/>
        <v>0</v>
      </c>
      <c r="BC330" s="187">
        <f t="shared" si="716"/>
        <v>0</v>
      </c>
      <c r="BD330" s="187">
        <f t="shared" si="717"/>
        <v>0</v>
      </c>
      <c r="BE330" s="187">
        <f t="shared" si="718"/>
        <v>0</v>
      </c>
      <c r="BF330" s="187">
        <f t="shared" si="719"/>
        <v>0</v>
      </c>
      <c r="BG330" s="187">
        <f t="shared" si="720"/>
        <v>0</v>
      </c>
      <c r="BH330" s="187">
        <f t="shared" si="721"/>
        <v>0</v>
      </c>
      <c r="BI330" s="187">
        <f t="shared" si="722"/>
        <v>0</v>
      </c>
      <c r="BJ330" s="187">
        <f t="shared" si="723"/>
        <v>1</v>
      </c>
      <c r="BK330" s="187">
        <f t="shared" si="724"/>
        <v>0</v>
      </c>
      <c r="BL330" s="187">
        <f t="shared" si="725"/>
        <v>0</v>
      </c>
      <c r="BM330" s="187">
        <f t="shared" si="726"/>
        <v>0</v>
      </c>
      <c r="BN330" s="188">
        <f t="shared" si="727"/>
        <v>0</v>
      </c>
      <c r="BO330" s="187">
        <f t="shared" si="728"/>
        <v>0</v>
      </c>
      <c r="BP330" s="187">
        <f t="shared" ref="BP330:BQ330" si="1222">IF(G330=1,1,0)</f>
        <v>0</v>
      </c>
      <c r="BQ330" s="187">
        <f t="shared" si="1222"/>
        <v>0</v>
      </c>
      <c r="BR330" s="187">
        <f t="shared" ref="BR330:BT330" si="1223">IF(K330=1,1,0)</f>
        <v>0</v>
      </c>
      <c r="BS330" s="187">
        <f t="shared" si="1223"/>
        <v>0</v>
      </c>
      <c r="BT330" s="187">
        <f t="shared" si="1223"/>
        <v>0</v>
      </c>
      <c r="BU330" s="187">
        <f t="shared" ref="BU330:BV330" si="1224">IF(P330=1,1,0)</f>
        <v>0</v>
      </c>
      <c r="BV330" s="187">
        <f t="shared" si="1224"/>
        <v>0</v>
      </c>
      <c r="BW330" s="187">
        <f t="shared" si="732"/>
        <v>0</v>
      </c>
      <c r="BX330" s="187">
        <f t="shared" si="733"/>
        <v>0</v>
      </c>
      <c r="BY330" s="187">
        <f t="shared" si="734"/>
        <v>0</v>
      </c>
      <c r="BZ330" s="187">
        <f t="shared" si="735"/>
        <v>0</v>
      </c>
      <c r="CA330" s="167">
        <f t="shared" si="736"/>
        <v>94</v>
      </c>
      <c r="CB330" s="167">
        <f t="shared" si="737"/>
        <v>98</v>
      </c>
      <c r="CC330" s="644">
        <f t="shared" si="738"/>
        <v>23</v>
      </c>
      <c r="CD330" s="644">
        <f t="shared" si="739"/>
        <v>19</v>
      </c>
      <c r="CE330" s="644">
        <f t="shared" si="740"/>
        <v>15</v>
      </c>
      <c r="CF330" s="644">
        <f t="shared" si="741"/>
        <v>15</v>
      </c>
      <c r="CG330" s="644">
        <f t="shared" si="742"/>
        <v>9</v>
      </c>
      <c r="CH330" s="644">
        <f t="shared" si="1212"/>
        <v>0</v>
      </c>
      <c r="CI330" s="644">
        <f t="shared" si="744"/>
        <v>7</v>
      </c>
      <c r="CJ330" s="644">
        <f t="shared" si="745"/>
        <v>0</v>
      </c>
      <c r="CK330" s="644">
        <f t="shared" si="746"/>
        <v>5</v>
      </c>
      <c r="CL330" s="644">
        <f t="shared" si="747"/>
        <v>5</v>
      </c>
      <c r="CM330" s="644">
        <f t="shared" si="748"/>
        <v>3</v>
      </c>
      <c r="CN330" s="644">
        <f t="shared" si="749"/>
        <v>0</v>
      </c>
      <c r="CO330" s="644">
        <f t="shared" si="750"/>
        <v>0</v>
      </c>
      <c r="CP330" s="644">
        <f t="shared" si="751"/>
        <v>0</v>
      </c>
      <c r="CQ330" s="644">
        <f t="shared" si="752"/>
        <v>0</v>
      </c>
      <c r="CR330" s="644">
        <f t="shared" si="753"/>
        <v>0</v>
      </c>
      <c r="CS330" s="644">
        <f t="shared" si="754"/>
        <v>0</v>
      </c>
      <c r="CT330" s="644">
        <f t="shared" si="755"/>
        <v>0</v>
      </c>
      <c r="CU330" s="644">
        <f t="shared" si="756"/>
        <v>0</v>
      </c>
      <c r="CV330" s="644">
        <f t="shared" si="757"/>
        <v>0</v>
      </c>
      <c r="CW330" s="644">
        <f t="shared" si="758"/>
        <v>0</v>
      </c>
      <c r="CX330" s="644">
        <f t="shared" si="759"/>
        <v>0</v>
      </c>
      <c r="CY330" s="644">
        <f t="shared" si="760"/>
        <v>0</v>
      </c>
      <c r="CZ330" s="624" t="s">
        <v>752</v>
      </c>
    </row>
    <row r="331" spans="1:105">
      <c r="A331" s="283" t="s">
        <v>1357</v>
      </c>
      <c r="B331" s="641"/>
      <c r="C331" s="641"/>
      <c r="D331" s="284"/>
      <c r="E331" s="258">
        <v>1</v>
      </c>
      <c r="F331" s="251"/>
      <c r="G331" s="251"/>
      <c r="H331" s="251"/>
      <c r="I331" s="251"/>
      <c r="J331" s="251"/>
      <c r="K331" s="251"/>
      <c r="L331" s="251"/>
      <c r="M331" s="251"/>
      <c r="N331" s="251"/>
      <c r="O331" s="251"/>
      <c r="P331" s="251"/>
      <c r="Q331" s="251"/>
      <c r="R331" s="251">
        <v>1</v>
      </c>
      <c r="S331" s="251"/>
      <c r="T331" s="251"/>
      <c r="U331" s="251">
        <v>1</v>
      </c>
      <c r="V331" s="251"/>
      <c r="W331" s="251"/>
      <c r="X331" s="251"/>
      <c r="Y331" s="251"/>
      <c r="Z331" s="251"/>
      <c r="AA331" s="251"/>
      <c r="AB331" s="251"/>
      <c r="AC331" s="258">
        <v>1</v>
      </c>
      <c r="AD331" s="251"/>
      <c r="AE331" s="251"/>
      <c r="AF331" s="251"/>
      <c r="AG331" s="251"/>
      <c r="AH331" s="644">
        <v>1</v>
      </c>
      <c r="AI331" s="644"/>
      <c r="AJ331" s="644"/>
      <c r="AK331" s="644"/>
      <c r="AL331" s="167">
        <v>5</v>
      </c>
      <c r="AM331" s="191" t="str">
        <f t="shared" ref="AM331:AM334" si="1225">HYPERLINK("http://bbwaa.com/15-hof-ballots/", "BBWAA.com")</f>
        <v>BBWAA.com</v>
      </c>
      <c r="AN331" s="192">
        <v>42012</v>
      </c>
      <c r="AO331" s="187"/>
      <c r="AP331" s="187">
        <f t="shared" si="703"/>
        <v>0</v>
      </c>
      <c r="AQ331" s="187">
        <f t="shared" si="704"/>
        <v>0</v>
      </c>
      <c r="AR331" s="187">
        <f t="shared" si="705"/>
        <v>13</v>
      </c>
      <c r="AS331" s="187">
        <f t="shared" si="706"/>
        <v>13</v>
      </c>
      <c r="AT331" s="187">
        <f t="shared" si="707"/>
        <v>0</v>
      </c>
      <c r="AU331" s="187">
        <f t="shared" si="708"/>
        <v>0</v>
      </c>
      <c r="AV331" s="187">
        <f t="shared" si="709"/>
        <v>9</v>
      </c>
      <c r="AW331" s="187">
        <f t="shared" si="710"/>
        <v>0</v>
      </c>
      <c r="AX331" s="187">
        <f t="shared" si="711"/>
        <v>0</v>
      </c>
      <c r="AY331" s="187">
        <f t="shared" si="712"/>
        <v>0</v>
      </c>
      <c r="AZ331" s="187">
        <f t="shared" si="713"/>
        <v>7</v>
      </c>
      <c r="BA331" s="187">
        <f t="shared" si="714"/>
        <v>7</v>
      </c>
      <c r="BB331" s="187">
        <f t="shared" si="715"/>
        <v>0</v>
      </c>
      <c r="BC331" s="187">
        <f t="shared" si="716"/>
        <v>0</v>
      </c>
      <c r="BD331" s="187">
        <f t="shared" si="717"/>
        <v>0</v>
      </c>
      <c r="BE331" s="187">
        <f t="shared" si="718"/>
        <v>0</v>
      </c>
      <c r="BF331" s="187">
        <f t="shared" si="719"/>
        <v>0</v>
      </c>
      <c r="BG331" s="187">
        <f t="shared" si="720"/>
        <v>0</v>
      </c>
      <c r="BH331" s="187">
        <f t="shared" si="721"/>
        <v>0</v>
      </c>
      <c r="BI331" s="187">
        <f t="shared" si="722"/>
        <v>0</v>
      </c>
      <c r="BJ331" s="187">
        <f t="shared" si="723"/>
        <v>0</v>
      </c>
      <c r="BK331" s="187">
        <f t="shared" si="724"/>
        <v>0</v>
      </c>
      <c r="BL331" s="187">
        <f t="shared" si="725"/>
        <v>0</v>
      </c>
      <c r="BM331" s="187">
        <f t="shared" si="726"/>
        <v>0</v>
      </c>
      <c r="BN331" s="188">
        <f t="shared" si="727"/>
        <v>5</v>
      </c>
      <c r="BO331" s="187">
        <f t="shared" si="728"/>
        <v>0</v>
      </c>
      <c r="BP331" s="187">
        <f t="shared" ref="BP331:BQ331" si="1226">IF(G331=1,1,0)</f>
        <v>0</v>
      </c>
      <c r="BQ331" s="187">
        <f t="shared" si="1226"/>
        <v>0</v>
      </c>
      <c r="BR331" s="187">
        <f t="shared" ref="BR331:BT331" si="1227">IF(K331=1,1,0)</f>
        <v>0</v>
      </c>
      <c r="BS331" s="187">
        <f t="shared" si="1227"/>
        <v>0</v>
      </c>
      <c r="BT331" s="187">
        <f t="shared" si="1227"/>
        <v>0</v>
      </c>
      <c r="BU331" s="187">
        <f t="shared" ref="BU331:BV331" si="1228">IF(P331=1,1,0)</f>
        <v>0</v>
      </c>
      <c r="BV331" s="187">
        <f t="shared" si="1228"/>
        <v>0</v>
      </c>
      <c r="BW331" s="187">
        <f t="shared" si="732"/>
        <v>0</v>
      </c>
      <c r="BX331" s="187">
        <f t="shared" si="733"/>
        <v>0</v>
      </c>
      <c r="BY331" s="187">
        <f t="shared" si="734"/>
        <v>5</v>
      </c>
      <c r="BZ331" s="187">
        <f t="shared" si="735"/>
        <v>-25</v>
      </c>
      <c r="CA331" s="167">
        <f t="shared" si="736"/>
        <v>24</v>
      </c>
      <c r="CB331" s="167">
        <f t="shared" si="737"/>
        <v>86</v>
      </c>
      <c r="CC331" s="644">
        <f t="shared" si="738"/>
        <v>23</v>
      </c>
      <c r="CD331" s="644">
        <f t="shared" si="739"/>
        <v>19</v>
      </c>
      <c r="CE331" s="644">
        <f t="shared" si="740"/>
        <v>15</v>
      </c>
      <c r="CF331" s="644">
        <f t="shared" si="741"/>
        <v>15</v>
      </c>
      <c r="CG331" s="644">
        <f t="shared" si="742"/>
        <v>0</v>
      </c>
      <c r="CH331" s="644">
        <f t="shared" si="1212"/>
        <v>7</v>
      </c>
      <c r="CI331" s="644">
        <f t="shared" si="744"/>
        <v>7</v>
      </c>
      <c r="CJ331" s="644">
        <f t="shared" si="745"/>
        <v>0</v>
      </c>
      <c r="CK331" s="644">
        <f t="shared" si="746"/>
        <v>0</v>
      </c>
      <c r="CL331" s="644">
        <f t="shared" si="747"/>
        <v>0</v>
      </c>
      <c r="CM331" s="644">
        <f t="shared" si="748"/>
        <v>0</v>
      </c>
      <c r="CN331" s="644">
        <f t="shared" si="749"/>
        <v>0</v>
      </c>
      <c r="CO331" s="644">
        <f t="shared" si="750"/>
        <v>0</v>
      </c>
      <c r="CP331" s="644">
        <f t="shared" si="751"/>
        <v>0</v>
      </c>
      <c r="CQ331" s="644">
        <f t="shared" si="752"/>
        <v>0</v>
      </c>
      <c r="CR331" s="644">
        <f t="shared" si="753"/>
        <v>0</v>
      </c>
      <c r="CS331" s="644">
        <f t="shared" si="754"/>
        <v>0</v>
      </c>
      <c r="CT331" s="644">
        <f t="shared" si="755"/>
        <v>0</v>
      </c>
      <c r="CU331" s="644">
        <f t="shared" si="756"/>
        <v>0</v>
      </c>
      <c r="CV331" s="644">
        <f t="shared" si="757"/>
        <v>0</v>
      </c>
      <c r="CW331" s="644">
        <f t="shared" si="758"/>
        <v>0</v>
      </c>
      <c r="CX331" s="644">
        <f t="shared" si="759"/>
        <v>0</v>
      </c>
      <c r="CY331" s="644">
        <f t="shared" si="760"/>
        <v>0</v>
      </c>
      <c r="CZ331" s="624" t="s">
        <v>743</v>
      </c>
      <c r="DA331" s="248"/>
    </row>
    <row r="332" spans="1:105">
      <c r="A332" s="249" t="s">
        <v>1358</v>
      </c>
      <c r="B332" s="187"/>
      <c r="C332" s="187"/>
      <c r="D332" s="644">
        <v>1</v>
      </c>
      <c r="E332" s="644">
        <v>1</v>
      </c>
      <c r="F332" s="251">
        <v>1</v>
      </c>
      <c r="G332" s="251"/>
      <c r="H332" s="251"/>
      <c r="I332" s="251">
        <v>1</v>
      </c>
      <c r="J332" s="644"/>
      <c r="K332" s="644"/>
      <c r="L332" s="644"/>
      <c r="M332" s="644"/>
      <c r="N332" s="644"/>
      <c r="O332" s="644"/>
      <c r="P332" s="644"/>
      <c r="Q332" s="644"/>
      <c r="R332" s="644">
        <v>1</v>
      </c>
      <c r="S332" s="644"/>
      <c r="T332" s="644"/>
      <c r="U332" s="644">
        <v>1</v>
      </c>
      <c r="V332" s="644"/>
      <c r="W332" s="644"/>
      <c r="X332" s="644">
        <v>1</v>
      </c>
      <c r="Y332" s="644"/>
      <c r="Z332" s="644"/>
      <c r="AA332" s="644"/>
      <c r="AB332" s="644">
        <v>1</v>
      </c>
      <c r="AC332" s="644"/>
      <c r="AD332" s="644">
        <v>1</v>
      </c>
      <c r="AE332" s="644"/>
      <c r="AF332" s="644"/>
      <c r="AG332" s="644"/>
      <c r="AH332" s="644">
        <v>1</v>
      </c>
      <c r="AI332" s="644"/>
      <c r="AJ332" s="644"/>
      <c r="AK332" s="644"/>
      <c r="AL332" s="167">
        <v>10</v>
      </c>
      <c r="AM332" s="191" t="str">
        <f t="shared" si="1225"/>
        <v>BBWAA.com</v>
      </c>
      <c r="AN332" s="186">
        <v>42012</v>
      </c>
      <c r="AO332" s="187"/>
      <c r="AP332" s="187">
        <f t="shared" si="703"/>
        <v>13</v>
      </c>
      <c r="AQ332" s="187">
        <f t="shared" si="704"/>
        <v>13</v>
      </c>
      <c r="AR332" s="187">
        <f t="shared" si="705"/>
        <v>13</v>
      </c>
      <c r="AS332" s="187">
        <f t="shared" si="706"/>
        <v>13</v>
      </c>
      <c r="AT332" s="187">
        <f t="shared" si="707"/>
        <v>9</v>
      </c>
      <c r="AU332" s="187">
        <f t="shared" si="708"/>
        <v>9</v>
      </c>
      <c r="AV332" s="187">
        <f t="shared" si="709"/>
        <v>0</v>
      </c>
      <c r="AW332" s="187">
        <f t="shared" si="710"/>
        <v>0</v>
      </c>
      <c r="AX332" s="187">
        <f t="shared" si="711"/>
        <v>7</v>
      </c>
      <c r="AY332" s="187">
        <f t="shared" si="712"/>
        <v>0</v>
      </c>
      <c r="AZ332" s="187">
        <f t="shared" si="713"/>
        <v>7</v>
      </c>
      <c r="BA332" s="187">
        <f t="shared" si="714"/>
        <v>7</v>
      </c>
      <c r="BB332" s="187">
        <f t="shared" si="715"/>
        <v>0</v>
      </c>
      <c r="BC332" s="187">
        <f t="shared" si="716"/>
        <v>0</v>
      </c>
      <c r="BD332" s="187">
        <f t="shared" si="717"/>
        <v>4</v>
      </c>
      <c r="BE332" s="187">
        <f t="shared" si="718"/>
        <v>0</v>
      </c>
      <c r="BF332" s="187">
        <f t="shared" si="719"/>
        <v>0</v>
      </c>
      <c r="BG332" s="187">
        <f t="shared" si="720"/>
        <v>0</v>
      </c>
      <c r="BH332" s="187">
        <f t="shared" si="721"/>
        <v>0</v>
      </c>
      <c r="BI332" s="187">
        <f t="shared" si="722"/>
        <v>0</v>
      </c>
      <c r="BJ332" s="187">
        <f t="shared" si="723"/>
        <v>0</v>
      </c>
      <c r="BK332" s="187">
        <f t="shared" si="724"/>
        <v>0</v>
      </c>
      <c r="BL332" s="187">
        <f t="shared" si="725"/>
        <v>0</v>
      </c>
      <c r="BM332" s="187">
        <f t="shared" si="726"/>
        <v>0</v>
      </c>
      <c r="BN332" s="188">
        <f t="shared" si="727"/>
        <v>0</v>
      </c>
      <c r="BO332" s="187">
        <f t="shared" si="728"/>
        <v>0</v>
      </c>
      <c r="BP332" s="187">
        <f t="shared" ref="BP332:BQ332" si="1229">IF(G332=1,1,0)</f>
        <v>0</v>
      </c>
      <c r="BQ332" s="187">
        <f t="shared" si="1229"/>
        <v>0</v>
      </c>
      <c r="BR332" s="187">
        <f t="shared" ref="BR332:BT332" si="1230">IF(K332=1,1,0)</f>
        <v>0</v>
      </c>
      <c r="BS332" s="187">
        <f t="shared" si="1230"/>
        <v>0</v>
      </c>
      <c r="BT332" s="187">
        <f t="shared" si="1230"/>
        <v>0</v>
      </c>
      <c r="BU332" s="187">
        <f t="shared" ref="BU332:BV332" si="1231">IF(P332=1,1,0)</f>
        <v>0</v>
      </c>
      <c r="BV332" s="187">
        <f t="shared" si="1231"/>
        <v>0</v>
      </c>
      <c r="BW332" s="187">
        <f t="shared" si="732"/>
        <v>0</v>
      </c>
      <c r="BX332" s="187">
        <f t="shared" si="733"/>
        <v>0</v>
      </c>
      <c r="BY332" s="187">
        <f t="shared" si="734"/>
        <v>0</v>
      </c>
      <c r="BZ332" s="187">
        <f t="shared" si="735"/>
        <v>0</v>
      </c>
      <c r="CA332" s="167">
        <f t="shared" si="736"/>
        <v>95</v>
      </c>
      <c r="CB332" s="167">
        <f t="shared" si="737"/>
        <v>96</v>
      </c>
      <c r="CC332" s="644">
        <f t="shared" si="738"/>
        <v>23</v>
      </c>
      <c r="CD332" s="644">
        <f t="shared" si="739"/>
        <v>19</v>
      </c>
      <c r="CE332" s="644">
        <f t="shared" si="740"/>
        <v>15</v>
      </c>
      <c r="CF332" s="644">
        <f t="shared" si="741"/>
        <v>15</v>
      </c>
      <c r="CG332" s="644">
        <f t="shared" si="742"/>
        <v>9</v>
      </c>
      <c r="CH332" s="644">
        <f>IF(D303=1,7,0)</f>
        <v>0</v>
      </c>
      <c r="CI332" s="644">
        <f t="shared" si="744"/>
        <v>0</v>
      </c>
      <c r="CJ332" s="644">
        <f t="shared" si="745"/>
        <v>5</v>
      </c>
      <c r="CK332" s="644">
        <f t="shared" si="746"/>
        <v>5</v>
      </c>
      <c r="CL332" s="644">
        <f t="shared" si="747"/>
        <v>5</v>
      </c>
      <c r="CM332" s="644">
        <f t="shared" si="748"/>
        <v>0</v>
      </c>
      <c r="CN332" s="644">
        <f t="shared" si="749"/>
        <v>0</v>
      </c>
      <c r="CO332" s="644">
        <f t="shared" si="750"/>
        <v>0</v>
      </c>
      <c r="CP332" s="644">
        <f t="shared" si="751"/>
        <v>0</v>
      </c>
      <c r="CQ332" s="644">
        <f t="shared" si="752"/>
        <v>0</v>
      </c>
      <c r="CR332" s="644">
        <f t="shared" si="753"/>
        <v>0</v>
      </c>
      <c r="CS332" s="644">
        <f t="shared" si="754"/>
        <v>0</v>
      </c>
      <c r="CT332" s="644">
        <f t="shared" si="755"/>
        <v>0</v>
      </c>
      <c r="CU332" s="644">
        <f t="shared" si="756"/>
        <v>1</v>
      </c>
      <c r="CV332" s="644">
        <f t="shared" si="757"/>
        <v>0</v>
      </c>
      <c r="CW332" s="644">
        <f t="shared" si="758"/>
        <v>0</v>
      </c>
      <c r="CX332" s="644">
        <f t="shared" si="759"/>
        <v>0</v>
      </c>
      <c r="CY332" s="644">
        <f t="shared" si="760"/>
        <v>0</v>
      </c>
      <c r="CZ332" s="271" t="s">
        <v>743</v>
      </c>
      <c r="DA332" s="252"/>
    </row>
    <row r="333" spans="1:105">
      <c r="A333" s="253" t="s">
        <v>1359</v>
      </c>
      <c r="B333" s="641"/>
      <c r="C333" s="641"/>
      <c r="D333" s="155">
        <v>1</v>
      </c>
      <c r="E333" s="644">
        <v>1</v>
      </c>
      <c r="F333" s="251"/>
      <c r="G333" s="251"/>
      <c r="H333" s="251"/>
      <c r="I333" s="251"/>
      <c r="J333" s="644"/>
      <c r="K333" s="644"/>
      <c r="L333" s="644"/>
      <c r="M333" s="644"/>
      <c r="N333" s="644"/>
      <c r="O333" s="644"/>
      <c r="P333" s="644"/>
      <c r="Q333" s="644"/>
      <c r="R333" s="644">
        <v>1</v>
      </c>
      <c r="S333" s="644"/>
      <c r="T333" s="644"/>
      <c r="U333" s="644">
        <v>1</v>
      </c>
      <c r="V333" s="644"/>
      <c r="W333" s="644"/>
      <c r="X333" s="644"/>
      <c r="Y333" s="644"/>
      <c r="Z333" s="644"/>
      <c r="AA333" s="644"/>
      <c r="AB333" s="644">
        <v>1</v>
      </c>
      <c r="AC333" s="644">
        <v>1</v>
      </c>
      <c r="AD333" s="644"/>
      <c r="AE333" s="644"/>
      <c r="AF333" s="644"/>
      <c r="AG333" s="644"/>
      <c r="AH333" s="644">
        <v>1</v>
      </c>
      <c r="AI333" s="644"/>
      <c r="AJ333" s="644"/>
      <c r="AK333" s="644"/>
      <c r="AL333" s="167">
        <v>7</v>
      </c>
      <c r="AM333" s="191" t="str">
        <f t="shared" si="1225"/>
        <v>BBWAA.com</v>
      </c>
      <c r="AN333" s="192">
        <v>42014</v>
      </c>
      <c r="AO333" s="187"/>
      <c r="AP333" s="187">
        <f t="shared" si="703"/>
        <v>0</v>
      </c>
      <c r="AQ333" s="187">
        <f t="shared" si="704"/>
        <v>0</v>
      </c>
      <c r="AR333" s="187">
        <f t="shared" si="705"/>
        <v>13</v>
      </c>
      <c r="AS333" s="187">
        <f t="shared" si="706"/>
        <v>13</v>
      </c>
      <c r="AT333" s="187">
        <f t="shared" si="707"/>
        <v>9</v>
      </c>
      <c r="AU333" s="187">
        <f t="shared" si="708"/>
        <v>9</v>
      </c>
      <c r="AV333" s="187">
        <f t="shared" si="709"/>
        <v>9</v>
      </c>
      <c r="AW333" s="187">
        <f t="shared" si="710"/>
        <v>0</v>
      </c>
      <c r="AX333" s="187">
        <f t="shared" si="711"/>
        <v>0</v>
      </c>
      <c r="AY333" s="187">
        <f t="shared" si="712"/>
        <v>0</v>
      </c>
      <c r="AZ333" s="187">
        <f t="shared" si="713"/>
        <v>7</v>
      </c>
      <c r="BA333" s="187">
        <f t="shared" si="714"/>
        <v>7</v>
      </c>
      <c r="BB333" s="187">
        <f t="shared" si="715"/>
        <v>0</v>
      </c>
      <c r="BC333" s="187">
        <f t="shared" si="716"/>
        <v>0</v>
      </c>
      <c r="BD333" s="187">
        <f t="shared" si="717"/>
        <v>0</v>
      </c>
      <c r="BE333" s="187">
        <f t="shared" si="718"/>
        <v>0</v>
      </c>
      <c r="BF333" s="187">
        <f t="shared" si="719"/>
        <v>0</v>
      </c>
      <c r="BG333" s="187">
        <f t="shared" si="720"/>
        <v>0</v>
      </c>
      <c r="BH333" s="187">
        <f t="shared" si="721"/>
        <v>0</v>
      </c>
      <c r="BI333" s="187">
        <f t="shared" si="722"/>
        <v>0</v>
      </c>
      <c r="BJ333" s="187">
        <f t="shared" si="723"/>
        <v>0</v>
      </c>
      <c r="BK333" s="187">
        <f t="shared" si="724"/>
        <v>0</v>
      </c>
      <c r="BL333" s="187">
        <f t="shared" si="725"/>
        <v>0</v>
      </c>
      <c r="BM333" s="187">
        <f t="shared" si="726"/>
        <v>0</v>
      </c>
      <c r="BN333" s="188">
        <f t="shared" si="727"/>
        <v>3</v>
      </c>
      <c r="BO333" s="187">
        <f t="shared" si="728"/>
        <v>0</v>
      </c>
      <c r="BP333" s="187">
        <f t="shared" ref="BP333:BQ333" si="1232">IF(G333=1,1,0)</f>
        <v>0</v>
      </c>
      <c r="BQ333" s="187">
        <f t="shared" si="1232"/>
        <v>0</v>
      </c>
      <c r="BR333" s="187">
        <f t="shared" ref="BR333:BT333" si="1233">IF(K333=1,1,0)</f>
        <v>0</v>
      </c>
      <c r="BS333" s="187">
        <f t="shared" si="1233"/>
        <v>0</v>
      </c>
      <c r="BT333" s="187">
        <f t="shared" si="1233"/>
        <v>0</v>
      </c>
      <c r="BU333" s="187">
        <f t="shared" ref="BU333:BV333" si="1234">IF(P333=1,1,0)</f>
        <v>0</v>
      </c>
      <c r="BV333" s="187">
        <f t="shared" si="1234"/>
        <v>0</v>
      </c>
      <c r="BW333" s="187">
        <f t="shared" si="732"/>
        <v>0</v>
      </c>
      <c r="BX333" s="187">
        <f t="shared" si="733"/>
        <v>0</v>
      </c>
      <c r="BY333" s="187">
        <f t="shared" si="734"/>
        <v>3</v>
      </c>
      <c r="BZ333" s="187">
        <f t="shared" si="735"/>
        <v>-9</v>
      </c>
      <c r="CA333" s="167">
        <f t="shared" si="736"/>
        <v>58</v>
      </c>
      <c r="CB333" s="167">
        <f t="shared" si="737"/>
        <v>95</v>
      </c>
      <c r="CC333" s="644">
        <f t="shared" si="738"/>
        <v>23</v>
      </c>
      <c r="CD333" s="644">
        <f t="shared" si="739"/>
        <v>19</v>
      </c>
      <c r="CE333" s="644">
        <f t="shared" si="740"/>
        <v>15</v>
      </c>
      <c r="CF333" s="644">
        <f t="shared" si="741"/>
        <v>15</v>
      </c>
      <c r="CG333" s="644">
        <f t="shared" si="742"/>
        <v>9</v>
      </c>
      <c r="CH333" s="644">
        <f>IF(D304=1,7,0)</f>
        <v>7</v>
      </c>
      <c r="CI333" s="644">
        <f t="shared" si="744"/>
        <v>7</v>
      </c>
      <c r="CJ333" s="644">
        <f t="shared" si="745"/>
        <v>0</v>
      </c>
      <c r="CK333" s="644">
        <f t="shared" si="746"/>
        <v>0</v>
      </c>
      <c r="CL333" s="644">
        <f t="shared" si="747"/>
        <v>0</v>
      </c>
      <c r="CM333" s="644">
        <f t="shared" si="748"/>
        <v>0</v>
      </c>
      <c r="CN333" s="644">
        <f t="shared" si="749"/>
        <v>0</v>
      </c>
      <c r="CO333" s="644">
        <f t="shared" si="750"/>
        <v>0</v>
      </c>
      <c r="CP333" s="644">
        <f t="shared" si="751"/>
        <v>0</v>
      </c>
      <c r="CQ333" s="644">
        <f t="shared" si="752"/>
        <v>0</v>
      </c>
      <c r="CR333" s="644">
        <f t="shared" si="753"/>
        <v>0</v>
      </c>
      <c r="CS333" s="644">
        <f t="shared" si="754"/>
        <v>0</v>
      </c>
      <c r="CT333" s="644">
        <f t="shared" si="755"/>
        <v>0</v>
      </c>
      <c r="CU333" s="644">
        <f t="shared" si="756"/>
        <v>0</v>
      </c>
      <c r="CV333" s="644">
        <f t="shared" si="757"/>
        <v>0</v>
      </c>
      <c r="CW333" s="644">
        <f t="shared" si="758"/>
        <v>0</v>
      </c>
      <c r="CX333" s="644">
        <f t="shared" si="759"/>
        <v>0</v>
      </c>
      <c r="CY333" s="644">
        <f t="shared" si="760"/>
        <v>0</v>
      </c>
      <c r="CZ333" s="271" t="s">
        <v>743</v>
      </c>
      <c r="DA333" s="248"/>
    </row>
    <row r="334" spans="1:105">
      <c r="A334" s="283" t="s">
        <v>1360</v>
      </c>
      <c r="B334" s="641"/>
      <c r="C334" s="641"/>
      <c r="D334" s="284">
        <v>1</v>
      </c>
      <c r="E334" s="644">
        <v>1</v>
      </c>
      <c r="F334" s="251"/>
      <c r="G334" s="251"/>
      <c r="H334" s="251"/>
      <c r="I334" s="251"/>
      <c r="J334" s="251"/>
      <c r="K334" s="251"/>
      <c r="L334" s="251"/>
      <c r="M334" s="251"/>
      <c r="N334" s="251"/>
      <c r="O334" s="251"/>
      <c r="P334" s="251"/>
      <c r="Q334" s="251"/>
      <c r="R334" s="251">
        <v>1</v>
      </c>
      <c r="S334" s="251"/>
      <c r="T334" s="251">
        <v>1</v>
      </c>
      <c r="U334" s="251">
        <v>1</v>
      </c>
      <c r="V334" s="251"/>
      <c r="W334" s="251"/>
      <c r="X334" s="251"/>
      <c r="Y334" s="251"/>
      <c r="Z334" s="251"/>
      <c r="AA334" s="251"/>
      <c r="AB334" s="251">
        <v>1</v>
      </c>
      <c r="AC334" s="644">
        <v>1</v>
      </c>
      <c r="AD334" s="251">
        <v>1</v>
      </c>
      <c r="AE334" s="251"/>
      <c r="AF334" s="251"/>
      <c r="AG334" s="251"/>
      <c r="AH334" s="644">
        <v>1</v>
      </c>
      <c r="AI334" s="644"/>
      <c r="AJ334" s="644">
        <v>1</v>
      </c>
      <c r="AK334" s="644"/>
      <c r="AL334" s="167">
        <v>10</v>
      </c>
      <c r="AM334" s="191" t="str">
        <f t="shared" si="1225"/>
        <v>BBWAA.com</v>
      </c>
      <c r="AN334" s="192">
        <v>42009</v>
      </c>
      <c r="AO334" s="187"/>
      <c r="AP334" s="187">
        <f t="shared" si="703"/>
        <v>0</v>
      </c>
      <c r="AQ334" s="187">
        <f t="shared" si="704"/>
        <v>0</v>
      </c>
      <c r="AR334" s="187">
        <f t="shared" si="705"/>
        <v>13</v>
      </c>
      <c r="AS334" s="187">
        <f t="shared" si="706"/>
        <v>13</v>
      </c>
      <c r="AT334" s="187">
        <f t="shared" si="707"/>
        <v>9</v>
      </c>
      <c r="AU334" s="187">
        <f t="shared" si="708"/>
        <v>9</v>
      </c>
      <c r="AV334" s="187">
        <f t="shared" si="709"/>
        <v>9</v>
      </c>
      <c r="AW334" s="187">
        <f t="shared" si="710"/>
        <v>7</v>
      </c>
      <c r="AX334" s="187">
        <f t="shared" si="711"/>
        <v>7</v>
      </c>
      <c r="AY334" s="187">
        <f t="shared" si="712"/>
        <v>0</v>
      </c>
      <c r="AZ334" s="187">
        <f t="shared" si="713"/>
        <v>7</v>
      </c>
      <c r="BA334" s="187">
        <f t="shared" si="714"/>
        <v>7</v>
      </c>
      <c r="BB334" s="187">
        <f t="shared" si="715"/>
        <v>0</v>
      </c>
      <c r="BC334" s="187">
        <f t="shared" si="716"/>
        <v>4</v>
      </c>
      <c r="BD334" s="187">
        <f t="shared" si="717"/>
        <v>0</v>
      </c>
      <c r="BE334" s="187">
        <f t="shared" si="718"/>
        <v>0</v>
      </c>
      <c r="BF334" s="187">
        <f t="shared" si="719"/>
        <v>0</v>
      </c>
      <c r="BG334" s="187">
        <f t="shared" si="720"/>
        <v>0</v>
      </c>
      <c r="BH334" s="187">
        <f t="shared" si="721"/>
        <v>0</v>
      </c>
      <c r="BI334" s="187">
        <f t="shared" si="722"/>
        <v>0</v>
      </c>
      <c r="BJ334" s="187">
        <f t="shared" si="723"/>
        <v>0</v>
      </c>
      <c r="BK334" s="187">
        <f t="shared" si="724"/>
        <v>0</v>
      </c>
      <c r="BL334" s="187">
        <f t="shared" si="725"/>
        <v>0</v>
      </c>
      <c r="BM334" s="187">
        <f t="shared" si="726"/>
        <v>0</v>
      </c>
      <c r="BN334" s="188">
        <f t="shared" si="727"/>
        <v>0</v>
      </c>
      <c r="BO334" s="187">
        <f t="shared" si="728"/>
        <v>0</v>
      </c>
      <c r="BP334" s="187">
        <f t="shared" ref="BP334:BQ334" si="1235">IF(G334=1,1,0)</f>
        <v>0</v>
      </c>
      <c r="BQ334" s="187">
        <f t="shared" si="1235"/>
        <v>0</v>
      </c>
      <c r="BR334" s="187">
        <f t="shared" ref="BR334:BT334" si="1236">IF(K334=1,1,0)</f>
        <v>0</v>
      </c>
      <c r="BS334" s="187">
        <f t="shared" si="1236"/>
        <v>0</v>
      </c>
      <c r="BT334" s="187">
        <f t="shared" si="1236"/>
        <v>0</v>
      </c>
      <c r="BU334" s="187">
        <f t="shared" ref="BU334:BV334" si="1237">IF(P334=1,1,0)</f>
        <v>0</v>
      </c>
      <c r="BV334" s="187">
        <f t="shared" si="1237"/>
        <v>0</v>
      </c>
      <c r="BW334" s="187">
        <f t="shared" si="732"/>
        <v>0</v>
      </c>
      <c r="BX334" s="187">
        <f t="shared" si="733"/>
        <v>0</v>
      </c>
      <c r="BY334" s="187">
        <f t="shared" si="734"/>
        <v>0</v>
      </c>
      <c r="BZ334" s="187">
        <f t="shared" si="735"/>
        <v>0</v>
      </c>
      <c r="CA334" s="167">
        <f t="shared" si="736"/>
        <v>85</v>
      </c>
      <c r="CB334" s="167">
        <f t="shared" si="737"/>
        <v>100</v>
      </c>
      <c r="CC334" s="644">
        <f t="shared" si="738"/>
        <v>23</v>
      </c>
      <c r="CD334" s="644">
        <f t="shared" si="739"/>
        <v>19</v>
      </c>
      <c r="CE334" s="644">
        <f t="shared" si="740"/>
        <v>15</v>
      </c>
      <c r="CF334" s="644">
        <f t="shared" si="741"/>
        <v>15</v>
      </c>
      <c r="CG334" s="644">
        <f t="shared" si="742"/>
        <v>9</v>
      </c>
      <c r="CH334" s="644">
        <f>IF(D304=1,7,0)</f>
        <v>7</v>
      </c>
      <c r="CI334" s="644">
        <f t="shared" si="744"/>
        <v>7</v>
      </c>
      <c r="CJ334" s="644">
        <f t="shared" si="745"/>
        <v>5</v>
      </c>
      <c r="CK334" s="644">
        <f t="shared" si="746"/>
        <v>0</v>
      </c>
      <c r="CL334" s="644">
        <f t="shared" si="747"/>
        <v>0</v>
      </c>
      <c r="CM334" s="644">
        <f t="shared" si="748"/>
        <v>0</v>
      </c>
      <c r="CN334" s="644">
        <f t="shared" si="749"/>
        <v>3</v>
      </c>
      <c r="CO334" s="644">
        <f t="shared" si="750"/>
        <v>3</v>
      </c>
      <c r="CP334" s="644">
        <f t="shared" si="751"/>
        <v>0</v>
      </c>
      <c r="CQ334" s="644">
        <f t="shared" si="752"/>
        <v>0</v>
      </c>
      <c r="CR334" s="644">
        <f t="shared" si="753"/>
        <v>0</v>
      </c>
      <c r="CS334" s="644">
        <f t="shared" si="754"/>
        <v>0</v>
      </c>
      <c r="CT334" s="644">
        <f t="shared" si="755"/>
        <v>0</v>
      </c>
      <c r="CU334" s="644">
        <f t="shared" si="756"/>
        <v>0</v>
      </c>
      <c r="CV334" s="644">
        <f t="shared" si="757"/>
        <v>0</v>
      </c>
      <c r="CW334" s="644">
        <f t="shared" si="758"/>
        <v>0</v>
      </c>
      <c r="CX334" s="644">
        <f t="shared" si="759"/>
        <v>0</v>
      </c>
      <c r="CY334" s="644">
        <f t="shared" si="760"/>
        <v>0</v>
      </c>
      <c r="CZ334" s="624" t="s">
        <v>841</v>
      </c>
      <c r="DA334" s="252"/>
    </row>
    <row r="335" spans="1:105">
      <c r="A335" s="283" t="s">
        <v>359</v>
      </c>
      <c r="B335" s="641"/>
      <c r="C335" s="641"/>
      <c r="D335" s="284">
        <v>1</v>
      </c>
      <c r="E335" s="251">
        <v>1</v>
      </c>
      <c r="F335" s="251"/>
      <c r="G335" s="251"/>
      <c r="H335" s="251"/>
      <c r="I335" s="251"/>
      <c r="J335" s="251"/>
      <c r="K335" s="251"/>
      <c r="L335" s="251"/>
      <c r="M335" s="251"/>
      <c r="N335" s="251"/>
      <c r="O335" s="251"/>
      <c r="P335" s="251"/>
      <c r="Q335" s="251"/>
      <c r="R335" s="251">
        <v>1</v>
      </c>
      <c r="S335" s="251">
        <v>1</v>
      </c>
      <c r="T335" s="251"/>
      <c r="U335" s="251">
        <v>1</v>
      </c>
      <c r="V335" s="251"/>
      <c r="W335" s="251"/>
      <c r="X335" s="251"/>
      <c r="Y335" s="251"/>
      <c r="Z335" s="251"/>
      <c r="AA335" s="251"/>
      <c r="AB335" s="251">
        <v>1</v>
      </c>
      <c r="AC335" s="251">
        <v>1</v>
      </c>
      <c r="AD335" s="251"/>
      <c r="AE335" s="251"/>
      <c r="AF335" s="251"/>
      <c r="AG335" s="251">
        <v>1</v>
      </c>
      <c r="AH335" s="644">
        <v>1</v>
      </c>
      <c r="AI335" s="644"/>
      <c r="AJ335" s="644">
        <v>1</v>
      </c>
      <c r="AK335" s="644"/>
      <c r="AL335" s="167">
        <v>10</v>
      </c>
      <c r="AM335" s="191" t="s">
        <v>1321</v>
      </c>
      <c r="AN335" s="192">
        <v>42010</v>
      </c>
      <c r="AO335" s="187"/>
      <c r="AP335" s="187">
        <f t="shared" si="703"/>
        <v>0</v>
      </c>
      <c r="AQ335" s="187">
        <f t="shared" si="704"/>
        <v>0</v>
      </c>
      <c r="AR335" s="187">
        <f t="shared" si="705"/>
        <v>13</v>
      </c>
      <c r="AS335" s="187">
        <f t="shared" si="706"/>
        <v>13</v>
      </c>
      <c r="AT335" s="187">
        <f t="shared" si="707"/>
        <v>9</v>
      </c>
      <c r="AU335" s="187">
        <f t="shared" si="708"/>
        <v>9</v>
      </c>
      <c r="AV335" s="187">
        <f t="shared" si="709"/>
        <v>9</v>
      </c>
      <c r="AW335" s="187">
        <f t="shared" si="710"/>
        <v>7</v>
      </c>
      <c r="AX335" s="187">
        <f t="shared" si="711"/>
        <v>0</v>
      </c>
      <c r="AY335" s="187">
        <f t="shared" si="712"/>
        <v>0</v>
      </c>
      <c r="AZ335" s="187">
        <f t="shared" si="713"/>
        <v>7</v>
      </c>
      <c r="BA335" s="187">
        <f t="shared" si="714"/>
        <v>7</v>
      </c>
      <c r="BB335" s="187">
        <f t="shared" si="715"/>
        <v>0</v>
      </c>
      <c r="BC335" s="187">
        <f t="shared" si="716"/>
        <v>0</v>
      </c>
      <c r="BD335" s="187">
        <f t="shared" si="717"/>
        <v>0</v>
      </c>
      <c r="BE335" s="187">
        <f t="shared" si="718"/>
        <v>0</v>
      </c>
      <c r="BF335" s="187">
        <f t="shared" si="719"/>
        <v>0</v>
      </c>
      <c r="BG335" s="187">
        <f t="shared" si="720"/>
        <v>0</v>
      </c>
      <c r="BH335" s="187">
        <f t="shared" si="721"/>
        <v>2</v>
      </c>
      <c r="BI335" s="187">
        <f t="shared" si="722"/>
        <v>0</v>
      </c>
      <c r="BJ335" s="187">
        <f t="shared" si="723"/>
        <v>1</v>
      </c>
      <c r="BK335" s="187">
        <f t="shared" si="724"/>
        <v>0</v>
      </c>
      <c r="BL335" s="187">
        <f t="shared" si="725"/>
        <v>0</v>
      </c>
      <c r="BM335" s="187">
        <f t="shared" si="726"/>
        <v>0</v>
      </c>
      <c r="BN335" s="188">
        <f t="shared" si="727"/>
        <v>0</v>
      </c>
      <c r="BO335" s="187">
        <f t="shared" si="728"/>
        <v>0</v>
      </c>
      <c r="BP335" s="187">
        <f t="shared" ref="BP335:BQ335" si="1238">IF(G335=1,1,0)</f>
        <v>0</v>
      </c>
      <c r="BQ335" s="187">
        <f t="shared" si="1238"/>
        <v>0</v>
      </c>
      <c r="BR335" s="187">
        <f t="shared" ref="BR335:BT335" si="1239">IF(K335=1,1,0)</f>
        <v>0</v>
      </c>
      <c r="BS335" s="187">
        <f t="shared" si="1239"/>
        <v>0</v>
      </c>
      <c r="BT335" s="187">
        <f t="shared" si="1239"/>
        <v>0</v>
      </c>
      <c r="BU335" s="187">
        <f t="shared" ref="BU335:BV335" si="1240">IF(P335=1,1,0)</f>
        <v>0</v>
      </c>
      <c r="BV335" s="187">
        <f t="shared" si="1240"/>
        <v>0</v>
      </c>
      <c r="BW335" s="187">
        <f t="shared" si="732"/>
        <v>0</v>
      </c>
      <c r="BX335" s="187">
        <f t="shared" si="733"/>
        <v>0</v>
      </c>
      <c r="BY335" s="187">
        <f t="shared" si="734"/>
        <v>0</v>
      </c>
      <c r="BZ335" s="187">
        <f t="shared" si="735"/>
        <v>0</v>
      </c>
      <c r="CA335" s="167">
        <f t="shared" si="736"/>
        <v>77</v>
      </c>
      <c r="CB335" s="167">
        <f t="shared" si="737"/>
        <v>98</v>
      </c>
      <c r="CC335" s="644">
        <f t="shared" si="738"/>
        <v>23</v>
      </c>
      <c r="CD335" s="644">
        <f t="shared" si="739"/>
        <v>19</v>
      </c>
      <c r="CE335" s="644">
        <f t="shared" si="740"/>
        <v>15</v>
      </c>
      <c r="CF335" s="644">
        <f t="shared" si="741"/>
        <v>15</v>
      </c>
      <c r="CG335" s="644">
        <f t="shared" si="742"/>
        <v>9</v>
      </c>
      <c r="CH335" s="644">
        <f>IF(D305=1,7,0)</f>
        <v>7</v>
      </c>
      <c r="CI335" s="644">
        <f t="shared" si="744"/>
        <v>7</v>
      </c>
      <c r="CJ335" s="644">
        <f t="shared" si="745"/>
        <v>0</v>
      </c>
      <c r="CK335" s="644">
        <f t="shared" si="746"/>
        <v>0</v>
      </c>
      <c r="CL335" s="644">
        <f t="shared" si="747"/>
        <v>0</v>
      </c>
      <c r="CM335" s="644">
        <f t="shared" si="748"/>
        <v>3</v>
      </c>
      <c r="CN335" s="644">
        <f t="shared" si="749"/>
        <v>0</v>
      </c>
      <c r="CO335" s="644">
        <f t="shared" si="750"/>
        <v>3</v>
      </c>
      <c r="CP335" s="644">
        <f t="shared" si="751"/>
        <v>0</v>
      </c>
      <c r="CQ335" s="644">
        <f t="shared" si="752"/>
        <v>2</v>
      </c>
      <c r="CR335" s="644">
        <f t="shared" si="753"/>
        <v>0</v>
      </c>
      <c r="CS335" s="644">
        <f t="shared" si="754"/>
        <v>0</v>
      </c>
      <c r="CT335" s="644">
        <f t="shared" si="755"/>
        <v>0</v>
      </c>
      <c r="CU335" s="644">
        <f t="shared" si="756"/>
        <v>0</v>
      </c>
      <c r="CV335" s="644">
        <f t="shared" si="757"/>
        <v>0</v>
      </c>
      <c r="CW335" s="644">
        <f t="shared" si="758"/>
        <v>0</v>
      </c>
      <c r="CX335" s="644">
        <f t="shared" si="759"/>
        <v>0</v>
      </c>
      <c r="CY335" s="644">
        <f t="shared" si="760"/>
        <v>0</v>
      </c>
      <c r="CZ335" s="624" t="s">
        <v>752</v>
      </c>
    </row>
    <row r="336" spans="1:105">
      <c r="A336" s="283" t="s">
        <v>1361</v>
      </c>
      <c r="B336" s="641"/>
      <c r="C336" s="641"/>
      <c r="D336" s="284">
        <v>1</v>
      </c>
      <c r="E336" s="251">
        <v>1</v>
      </c>
      <c r="F336" s="251"/>
      <c r="G336" s="251"/>
      <c r="H336" s="251"/>
      <c r="I336" s="251"/>
      <c r="J336" s="251"/>
      <c r="K336" s="251"/>
      <c r="L336" s="251"/>
      <c r="M336" s="251"/>
      <c r="N336" s="251"/>
      <c r="O336" s="251"/>
      <c r="P336" s="251"/>
      <c r="Q336" s="251"/>
      <c r="R336" s="251">
        <v>1</v>
      </c>
      <c r="S336" s="251"/>
      <c r="T336" s="251"/>
      <c r="U336" s="251">
        <v>1</v>
      </c>
      <c r="V336" s="251"/>
      <c r="W336" s="251">
        <v>1</v>
      </c>
      <c r="X336" s="251"/>
      <c r="Y336" s="251"/>
      <c r="Z336" s="251">
        <v>1</v>
      </c>
      <c r="AA336" s="251"/>
      <c r="AB336" s="251">
        <v>1</v>
      </c>
      <c r="AC336" s="251"/>
      <c r="AD336" s="251">
        <v>1</v>
      </c>
      <c r="AE336" s="251"/>
      <c r="AF336" s="251"/>
      <c r="AG336" s="251"/>
      <c r="AH336" s="644">
        <v>1</v>
      </c>
      <c r="AI336" s="644"/>
      <c r="AJ336" s="644">
        <v>1</v>
      </c>
      <c r="AK336" s="644"/>
      <c r="AL336" s="167">
        <v>10</v>
      </c>
      <c r="AM336" s="191" t="s">
        <v>1362</v>
      </c>
      <c r="AN336" s="192">
        <v>42010</v>
      </c>
      <c r="AO336" s="187"/>
      <c r="AP336" s="187">
        <f t="shared" si="703"/>
        <v>0</v>
      </c>
      <c r="AQ336" s="187">
        <f t="shared" si="704"/>
        <v>0</v>
      </c>
      <c r="AR336" s="187">
        <f t="shared" si="705"/>
        <v>13</v>
      </c>
      <c r="AS336" s="187">
        <f t="shared" si="706"/>
        <v>13</v>
      </c>
      <c r="AT336" s="187">
        <f t="shared" si="707"/>
        <v>9</v>
      </c>
      <c r="AU336" s="187">
        <f t="shared" si="708"/>
        <v>9</v>
      </c>
      <c r="AV336" s="187">
        <f t="shared" si="709"/>
        <v>0</v>
      </c>
      <c r="AW336" s="187">
        <f t="shared" si="710"/>
        <v>7</v>
      </c>
      <c r="AX336" s="187">
        <f t="shared" si="711"/>
        <v>7</v>
      </c>
      <c r="AY336" s="187">
        <f t="shared" si="712"/>
        <v>7</v>
      </c>
      <c r="AZ336" s="187">
        <f t="shared" si="713"/>
        <v>7</v>
      </c>
      <c r="BA336" s="187">
        <f t="shared" si="714"/>
        <v>7</v>
      </c>
      <c r="BB336" s="187">
        <f t="shared" si="715"/>
        <v>0</v>
      </c>
      <c r="BC336" s="187">
        <f t="shared" si="716"/>
        <v>0</v>
      </c>
      <c r="BD336" s="187">
        <f t="shared" si="717"/>
        <v>0</v>
      </c>
      <c r="BE336" s="187">
        <f t="shared" si="718"/>
        <v>0</v>
      </c>
      <c r="BF336" s="187">
        <f t="shared" si="719"/>
        <v>3</v>
      </c>
      <c r="BG336" s="187">
        <f t="shared" si="720"/>
        <v>0</v>
      </c>
      <c r="BH336" s="187">
        <f t="shared" si="721"/>
        <v>0</v>
      </c>
      <c r="BI336" s="187">
        <f t="shared" si="722"/>
        <v>0</v>
      </c>
      <c r="BJ336" s="187">
        <f t="shared" si="723"/>
        <v>0</v>
      </c>
      <c r="BK336" s="187">
        <f t="shared" si="724"/>
        <v>0</v>
      </c>
      <c r="BL336" s="187">
        <f t="shared" si="725"/>
        <v>0</v>
      </c>
      <c r="BM336" s="187">
        <f t="shared" si="726"/>
        <v>0</v>
      </c>
      <c r="BN336" s="188">
        <f t="shared" si="727"/>
        <v>0</v>
      </c>
      <c r="BO336" s="187">
        <f t="shared" si="728"/>
        <v>0</v>
      </c>
      <c r="BP336" s="187">
        <f t="shared" ref="BP336:BQ336" si="1241">IF(G336=1,1,0)</f>
        <v>0</v>
      </c>
      <c r="BQ336" s="187">
        <f t="shared" si="1241"/>
        <v>0</v>
      </c>
      <c r="BR336" s="187">
        <f t="shared" ref="BR336:BT336" si="1242">IF(K336=1,1,0)</f>
        <v>0</v>
      </c>
      <c r="BS336" s="187">
        <f t="shared" si="1242"/>
        <v>0</v>
      </c>
      <c r="BT336" s="187">
        <f t="shared" si="1242"/>
        <v>0</v>
      </c>
      <c r="BU336" s="187">
        <f t="shared" ref="BU336:BV336" si="1243">IF(P336=1,1,0)</f>
        <v>0</v>
      </c>
      <c r="BV336" s="187">
        <f t="shared" si="1243"/>
        <v>0</v>
      </c>
      <c r="BW336" s="187">
        <f t="shared" si="732"/>
        <v>0</v>
      </c>
      <c r="BX336" s="187">
        <f t="shared" si="733"/>
        <v>0</v>
      </c>
      <c r="BY336" s="187">
        <f t="shared" si="734"/>
        <v>0</v>
      </c>
      <c r="BZ336" s="187">
        <f t="shared" si="735"/>
        <v>0</v>
      </c>
      <c r="CA336" s="167">
        <f t="shared" si="736"/>
        <v>82</v>
      </c>
      <c r="CB336" s="167">
        <f t="shared" si="737"/>
        <v>92</v>
      </c>
      <c r="CC336" s="644">
        <f t="shared" si="738"/>
        <v>23</v>
      </c>
      <c r="CD336" s="644">
        <f t="shared" si="739"/>
        <v>19</v>
      </c>
      <c r="CE336" s="644">
        <f t="shared" si="740"/>
        <v>15</v>
      </c>
      <c r="CF336" s="644">
        <f t="shared" si="741"/>
        <v>15</v>
      </c>
      <c r="CG336" s="644">
        <f t="shared" si="742"/>
        <v>9</v>
      </c>
      <c r="CH336" s="644">
        <f>IF(D306=1,7,0)</f>
        <v>0</v>
      </c>
      <c r="CI336" s="644">
        <f t="shared" si="744"/>
        <v>0</v>
      </c>
      <c r="CJ336" s="644">
        <f t="shared" si="745"/>
        <v>5</v>
      </c>
      <c r="CK336" s="644">
        <f t="shared" si="746"/>
        <v>0</v>
      </c>
      <c r="CL336" s="644">
        <f t="shared" si="747"/>
        <v>0</v>
      </c>
      <c r="CM336" s="644">
        <f t="shared" si="748"/>
        <v>0</v>
      </c>
      <c r="CN336" s="644">
        <f t="shared" si="749"/>
        <v>0</v>
      </c>
      <c r="CO336" s="644">
        <f t="shared" si="750"/>
        <v>3</v>
      </c>
      <c r="CP336" s="644">
        <f t="shared" si="751"/>
        <v>3</v>
      </c>
      <c r="CQ336" s="644">
        <f t="shared" si="752"/>
        <v>0</v>
      </c>
      <c r="CR336" s="644">
        <f t="shared" si="753"/>
        <v>2</v>
      </c>
      <c r="CS336" s="644">
        <f t="shared" si="754"/>
        <v>0</v>
      </c>
      <c r="CT336" s="644">
        <f t="shared" si="755"/>
        <v>0</v>
      </c>
      <c r="CU336" s="644">
        <f t="shared" si="756"/>
        <v>0</v>
      </c>
      <c r="CV336" s="644">
        <f t="shared" si="757"/>
        <v>0</v>
      </c>
      <c r="CW336" s="644">
        <f t="shared" si="758"/>
        <v>0</v>
      </c>
      <c r="CX336" s="644">
        <f t="shared" si="759"/>
        <v>0</v>
      </c>
      <c r="CY336" s="644">
        <f t="shared" si="760"/>
        <v>0</v>
      </c>
      <c r="CZ336" s="624" t="s">
        <v>843</v>
      </c>
    </row>
    <row r="337" spans="1:104">
      <c r="A337" s="283" t="s">
        <v>1363</v>
      </c>
      <c r="B337" s="641"/>
      <c r="C337" s="641"/>
      <c r="D337" s="284">
        <v>1</v>
      </c>
      <c r="E337" s="251">
        <v>1</v>
      </c>
      <c r="F337" s="251"/>
      <c r="G337" s="251"/>
      <c r="H337" s="251"/>
      <c r="I337" s="251"/>
      <c r="J337" s="251"/>
      <c r="K337" s="251"/>
      <c r="L337" s="251"/>
      <c r="M337" s="251"/>
      <c r="N337" s="251"/>
      <c r="O337" s="251"/>
      <c r="P337" s="251"/>
      <c r="Q337" s="251"/>
      <c r="R337" s="251">
        <v>1</v>
      </c>
      <c r="S337" s="251"/>
      <c r="T337" s="251"/>
      <c r="U337" s="251"/>
      <c r="V337" s="251">
        <v>1</v>
      </c>
      <c r="W337" s="251"/>
      <c r="X337" s="251"/>
      <c r="Y337" s="251"/>
      <c r="Z337" s="251"/>
      <c r="AA337" s="251"/>
      <c r="AB337" s="251">
        <v>1</v>
      </c>
      <c r="AC337" s="644">
        <v>1</v>
      </c>
      <c r="AD337" s="251">
        <v>1</v>
      </c>
      <c r="AE337" s="251"/>
      <c r="AF337" s="251"/>
      <c r="AG337" s="251"/>
      <c r="AH337" s="644">
        <v>1</v>
      </c>
      <c r="AI337" s="644"/>
      <c r="AJ337" s="644">
        <v>1</v>
      </c>
      <c r="AK337" s="644">
        <v>1</v>
      </c>
      <c r="AL337" s="167">
        <v>10</v>
      </c>
      <c r="AM337" s="191" t="str">
        <f>HYPERLINK("http://bbwaa.com/15-hof-ballots/", "BBWAA.com")</f>
        <v>BBWAA.com</v>
      </c>
      <c r="AN337" s="192">
        <v>42014</v>
      </c>
      <c r="AO337" s="187"/>
      <c r="AP337" s="187">
        <f t="shared" si="703"/>
        <v>0</v>
      </c>
      <c r="AQ337" s="187">
        <f t="shared" si="704"/>
        <v>0</v>
      </c>
      <c r="AR337" s="187">
        <f t="shared" si="705"/>
        <v>13</v>
      </c>
      <c r="AS337" s="187">
        <f t="shared" si="706"/>
        <v>0</v>
      </c>
      <c r="AT337" s="187">
        <f t="shared" si="707"/>
        <v>9</v>
      </c>
      <c r="AU337" s="187">
        <f t="shared" si="708"/>
        <v>9</v>
      </c>
      <c r="AV337" s="187">
        <f t="shared" si="709"/>
        <v>9</v>
      </c>
      <c r="AW337" s="187">
        <f t="shared" si="710"/>
        <v>7</v>
      </c>
      <c r="AX337" s="187">
        <f t="shared" si="711"/>
        <v>7</v>
      </c>
      <c r="AY337" s="187">
        <f t="shared" si="712"/>
        <v>0</v>
      </c>
      <c r="AZ337" s="187">
        <f t="shared" si="713"/>
        <v>7</v>
      </c>
      <c r="BA337" s="187">
        <f t="shared" si="714"/>
        <v>7</v>
      </c>
      <c r="BB337" s="187">
        <f t="shared" si="715"/>
        <v>4</v>
      </c>
      <c r="BC337" s="187">
        <f t="shared" si="716"/>
        <v>0</v>
      </c>
      <c r="BD337" s="187">
        <f t="shared" si="717"/>
        <v>0</v>
      </c>
      <c r="BE337" s="187">
        <f t="shared" si="718"/>
        <v>0</v>
      </c>
      <c r="BF337" s="187">
        <f t="shared" si="719"/>
        <v>0</v>
      </c>
      <c r="BG337" s="187">
        <f t="shared" si="720"/>
        <v>0</v>
      </c>
      <c r="BH337" s="187">
        <f t="shared" si="721"/>
        <v>0</v>
      </c>
      <c r="BI337" s="187">
        <f t="shared" si="722"/>
        <v>1</v>
      </c>
      <c r="BJ337" s="187">
        <f t="shared" si="723"/>
        <v>0</v>
      </c>
      <c r="BK337" s="187">
        <f t="shared" si="724"/>
        <v>0</v>
      </c>
      <c r="BL337" s="187">
        <f t="shared" si="725"/>
        <v>0</v>
      </c>
      <c r="BM337" s="187">
        <f t="shared" si="726"/>
        <v>0</v>
      </c>
      <c r="BN337" s="188">
        <f t="shared" si="727"/>
        <v>0</v>
      </c>
      <c r="BO337" s="187">
        <f t="shared" si="728"/>
        <v>0</v>
      </c>
      <c r="BP337" s="187">
        <f t="shared" ref="BP337:BQ337" si="1244">IF(G337=1,1,0)</f>
        <v>0</v>
      </c>
      <c r="BQ337" s="187">
        <f t="shared" si="1244"/>
        <v>0</v>
      </c>
      <c r="BR337" s="187">
        <f t="shared" ref="BR337:BT337" si="1245">IF(K337=1,1,0)</f>
        <v>0</v>
      </c>
      <c r="BS337" s="187">
        <f t="shared" si="1245"/>
        <v>0</v>
      </c>
      <c r="BT337" s="187">
        <f t="shared" si="1245"/>
        <v>0</v>
      </c>
      <c r="BU337" s="187">
        <f t="shared" ref="BU337:BV337" si="1246">IF(P337=1,1,0)</f>
        <v>0</v>
      </c>
      <c r="BV337" s="187">
        <f t="shared" si="1246"/>
        <v>0</v>
      </c>
      <c r="BW337" s="187">
        <f t="shared" si="732"/>
        <v>0</v>
      </c>
      <c r="BX337" s="187">
        <f t="shared" si="733"/>
        <v>0</v>
      </c>
      <c r="BY337" s="187">
        <f t="shared" si="734"/>
        <v>0</v>
      </c>
      <c r="BZ337" s="187">
        <f t="shared" si="735"/>
        <v>0</v>
      </c>
      <c r="CA337" s="167">
        <f t="shared" si="736"/>
        <v>73</v>
      </c>
      <c r="CB337" s="167">
        <f t="shared" si="737"/>
        <v>84</v>
      </c>
      <c r="CC337" s="644">
        <f t="shared" si="738"/>
        <v>23</v>
      </c>
      <c r="CD337" s="644">
        <f t="shared" si="739"/>
        <v>0</v>
      </c>
      <c r="CE337" s="644">
        <f t="shared" si="740"/>
        <v>15</v>
      </c>
      <c r="CF337" s="644">
        <f t="shared" si="741"/>
        <v>15</v>
      </c>
      <c r="CG337" s="644">
        <f t="shared" si="742"/>
        <v>9</v>
      </c>
      <c r="CH337" s="644">
        <f>IF(D309=1,7,0)</f>
        <v>7</v>
      </c>
      <c r="CI337" s="644">
        <f t="shared" si="744"/>
        <v>7</v>
      </c>
      <c r="CJ337" s="644">
        <f t="shared" si="745"/>
        <v>5</v>
      </c>
      <c r="CK337" s="644">
        <f t="shared" si="746"/>
        <v>0</v>
      </c>
      <c r="CL337" s="644">
        <f t="shared" si="747"/>
        <v>0</v>
      </c>
      <c r="CM337" s="644">
        <f t="shared" si="748"/>
        <v>0</v>
      </c>
      <c r="CN337" s="644">
        <f t="shared" si="749"/>
        <v>0</v>
      </c>
      <c r="CO337" s="644">
        <f t="shared" si="750"/>
        <v>3</v>
      </c>
      <c r="CP337" s="644">
        <f t="shared" si="751"/>
        <v>0</v>
      </c>
      <c r="CQ337" s="644">
        <f t="shared" si="752"/>
        <v>0</v>
      </c>
      <c r="CR337" s="644">
        <f t="shared" si="753"/>
        <v>0</v>
      </c>
      <c r="CS337" s="644">
        <f t="shared" si="754"/>
        <v>2</v>
      </c>
      <c r="CT337" s="644">
        <f t="shared" si="755"/>
        <v>0</v>
      </c>
      <c r="CU337" s="644">
        <f t="shared" si="756"/>
        <v>0</v>
      </c>
      <c r="CV337" s="644">
        <f t="shared" si="757"/>
        <v>1</v>
      </c>
      <c r="CW337" s="644">
        <f t="shared" si="758"/>
        <v>0</v>
      </c>
      <c r="CX337" s="644">
        <f t="shared" si="759"/>
        <v>0</v>
      </c>
      <c r="CY337" s="644">
        <f t="shared" si="760"/>
        <v>0</v>
      </c>
      <c r="CZ337" s="624" t="s">
        <v>1097</v>
      </c>
    </row>
    <row r="338" spans="1:104">
      <c r="A338" s="283" t="s">
        <v>1364</v>
      </c>
      <c r="B338" s="641"/>
      <c r="C338" s="641"/>
      <c r="D338" s="284"/>
      <c r="E338" s="251">
        <v>1</v>
      </c>
      <c r="F338" s="251">
        <v>1</v>
      </c>
      <c r="G338" s="251"/>
      <c r="H338" s="251"/>
      <c r="I338" s="251">
        <v>1</v>
      </c>
      <c r="J338" s="251"/>
      <c r="K338" s="251"/>
      <c r="L338" s="251"/>
      <c r="M338" s="251"/>
      <c r="N338" s="251"/>
      <c r="O338" s="251"/>
      <c r="P338" s="251"/>
      <c r="Q338" s="251"/>
      <c r="R338" s="251">
        <v>1</v>
      </c>
      <c r="S338" s="251"/>
      <c r="T338" s="251"/>
      <c r="U338" s="251">
        <v>1</v>
      </c>
      <c r="V338" s="251"/>
      <c r="W338" s="251"/>
      <c r="X338" s="251"/>
      <c r="Y338" s="251"/>
      <c r="Z338" s="251"/>
      <c r="AA338" s="251"/>
      <c r="AB338" s="251"/>
      <c r="AC338" s="644">
        <v>1</v>
      </c>
      <c r="AD338" s="251">
        <v>1</v>
      </c>
      <c r="AE338" s="251"/>
      <c r="AF338" s="251"/>
      <c r="AG338" s="251"/>
      <c r="AH338" s="644">
        <v>1</v>
      </c>
      <c r="AI338" s="644"/>
      <c r="AJ338" s="644"/>
      <c r="AK338" s="644"/>
      <c r="AL338" s="167">
        <v>8</v>
      </c>
      <c r="AM338" s="191" t="str">
        <f>HYPERLINK("http://bit.ly/1xakbrX", "Twitter + BBWAA")</f>
        <v>Twitter + BBWAA</v>
      </c>
      <c r="AN338" s="192">
        <v>42014</v>
      </c>
      <c r="AO338" s="187"/>
      <c r="AP338" s="187">
        <f t="shared" si="703"/>
        <v>13</v>
      </c>
      <c r="AQ338" s="187">
        <f t="shared" si="704"/>
        <v>13</v>
      </c>
      <c r="AR338" s="187">
        <f t="shared" si="705"/>
        <v>13</v>
      </c>
      <c r="AS338" s="187">
        <f t="shared" si="706"/>
        <v>13</v>
      </c>
      <c r="AT338" s="187">
        <f t="shared" si="707"/>
        <v>0</v>
      </c>
      <c r="AU338" s="187">
        <f t="shared" si="708"/>
        <v>0</v>
      </c>
      <c r="AV338" s="187">
        <f t="shared" si="709"/>
        <v>9</v>
      </c>
      <c r="AW338" s="187">
        <f t="shared" si="710"/>
        <v>0</v>
      </c>
      <c r="AX338" s="187">
        <f t="shared" si="711"/>
        <v>7</v>
      </c>
      <c r="AY338" s="187">
        <f t="shared" si="712"/>
        <v>0</v>
      </c>
      <c r="AZ338" s="187">
        <f t="shared" si="713"/>
        <v>7</v>
      </c>
      <c r="BA338" s="187">
        <f t="shared" si="714"/>
        <v>7</v>
      </c>
      <c r="BB338" s="187">
        <f t="shared" si="715"/>
        <v>0</v>
      </c>
      <c r="BC338" s="187">
        <f t="shared" si="716"/>
        <v>0</v>
      </c>
      <c r="BD338" s="187">
        <f t="shared" si="717"/>
        <v>0</v>
      </c>
      <c r="BE338" s="187">
        <f t="shared" si="718"/>
        <v>0</v>
      </c>
      <c r="BF338" s="187">
        <f t="shared" si="719"/>
        <v>0</v>
      </c>
      <c r="BG338" s="187">
        <f t="shared" si="720"/>
        <v>0</v>
      </c>
      <c r="BH338" s="187">
        <f t="shared" si="721"/>
        <v>0</v>
      </c>
      <c r="BI338" s="187">
        <f t="shared" si="722"/>
        <v>0</v>
      </c>
      <c r="BJ338" s="187">
        <f t="shared" si="723"/>
        <v>0</v>
      </c>
      <c r="BK338" s="187">
        <f t="shared" si="724"/>
        <v>0</v>
      </c>
      <c r="BL338" s="187">
        <f t="shared" si="725"/>
        <v>0</v>
      </c>
      <c r="BM338" s="187">
        <f t="shared" si="726"/>
        <v>0</v>
      </c>
      <c r="BN338" s="188">
        <f t="shared" si="727"/>
        <v>2</v>
      </c>
      <c r="BO338" s="187">
        <f t="shared" si="728"/>
        <v>0</v>
      </c>
      <c r="BP338" s="187">
        <f t="shared" ref="BP338:BQ338" si="1247">IF(G338=1,1,0)</f>
        <v>0</v>
      </c>
      <c r="BQ338" s="187">
        <f t="shared" si="1247"/>
        <v>0</v>
      </c>
      <c r="BR338" s="187">
        <f t="shared" ref="BR338:BT338" si="1248">IF(K338=1,1,0)</f>
        <v>0</v>
      </c>
      <c r="BS338" s="187">
        <f t="shared" si="1248"/>
        <v>0</v>
      </c>
      <c r="BT338" s="187">
        <f t="shared" si="1248"/>
        <v>0</v>
      </c>
      <c r="BU338" s="187">
        <f t="shared" ref="BU338:BV338" si="1249">IF(P338=1,1,0)</f>
        <v>0</v>
      </c>
      <c r="BV338" s="187">
        <f t="shared" si="1249"/>
        <v>0</v>
      </c>
      <c r="BW338" s="187">
        <f t="shared" si="732"/>
        <v>0</v>
      </c>
      <c r="BX338" s="187">
        <f t="shared" si="733"/>
        <v>0</v>
      </c>
      <c r="BY338" s="187">
        <f t="shared" si="734"/>
        <v>2</v>
      </c>
      <c r="BZ338" s="187">
        <f t="shared" si="735"/>
        <v>-4</v>
      </c>
      <c r="CA338" s="167">
        <f t="shared" si="736"/>
        <v>78</v>
      </c>
      <c r="CB338" s="167">
        <f t="shared" si="737"/>
        <v>96</v>
      </c>
      <c r="CC338" s="644">
        <f t="shared" si="738"/>
        <v>23</v>
      </c>
      <c r="CD338" s="644">
        <f t="shared" si="739"/>
        <v>19</v>
      </c>
      <c r="CE338" s="644">
        <f t="shared" si="740"/>
        <v>15</v>
      </c>
      <c r="CF338" s="644">
        <f t="shared" si="741"/>
        <v>15</v>
      </c>
      <c r="CG338" s="644">
        <f t="shared" si="742"/>
        <v>0</v>
      </c>
      <c r="CH338" s="644">
        <f>IF(D309=1,7,0)</f>
        <v>7</v>
      </c>
      <c r="CI338" s="644">
        <f t="shared" si="744"/>
        <v>7</v>
      </c>
      <c r="CJ338" s="644">
        <f t="shared" si="745"/>
        <v>5</v>
      </c>
      <c r="CK338" s="644">
        <f t="shared" si="746"/>
        <v>5</v>
      </c>
      <c r="CL338" s="644">
        <f t="shared" si="747"/>
        <v>5</v>
      </c>
      <c r="CM338" s="644">
        <f t="shared" si="748"/>
        <v>0</v>
      </c>
      <c r="CN338" s="644">
        <f t="shared" si="749"/>
        <v>0</v>
      </c>
      <c r="CO338" s="644">
        <f t="shared" si="750"/>
        <v>0</v>
      </c>
      <c r="CP338" s="644">
        <f t="shared" si="751"/>
        <v>0</v>
      </c>
      <c r="CQ338" s="644">
        <f t="shared" si="752"/>
        <v>0</v>
      </c>
      <c r="CR338" s="644">
        <f t="shared" si="753"/>
        <v>0</v>
      </c>
      <c r="CS338" s="644">
        <f t="shared" si="754"/>
        <v>0</v>
      </c>
      <c r="CT338" s="644">
        <f t="shared" si="755"/>
        <v>0</v>
      </c>
      <c r="CU338" s="644">
        <f t="shared" si="756"/>
        <v>0</v>
      </c>
      <c r="CV338" s="644">
        <f t="shared" si="757"/>
        <v>0</v>
      </c>
      <c r="CW338" s="644">
        <f t="shared" si="758"/>
        <v>0</v>
      </c>
      <c r="CX338" s="644">
        <f t="shared" si="759"/>
        <v>0</v>
      </c>
      <c r="CY338" s="644">
        <f t="shared" si="760"/>
        <v>0</v>
      </c>
      <c r="CZ338" s="624" t="s">
        <v>754</v>
      </c>
    </row>
    <row r="339" spans="1:104">
      <c r="A339" s="283" t="s">
        <v>1365</v>
      </c>
      <c r="B339" s="641"/>
      <c r="C339" s="641"/>
      <c r="D339" s="284"/>
      <c r="E339" s="251">
        <v>1</v>
      </c>
      <c r="F339" s="251"/>
      <c r="G339" s="251"/>
      <c r="H339" s="251"/>
      <c r="I339" s="251"/>
      <c r="J339" s="251"/>
      <c r="K339" s="251"/>
      <c r="L339" s="251"/>
      <c r="M339" s="251"/>
      <c r="N339" s="251"/>
      <c r="O339" s="251"/>
      <c r="P339" s="251"/>
      <c r="Q339" s="251"/>
      <c r="R339" s="251">
        <v>1</v>
      </c>
      <c r="S339" s="251"/>
      <c r="T339" s="251"/>
      <c r="U339" s="251">
        <v>1</v>
      </c>
      <c r="V339" s="251"/>
      <c r="W339" s="251"/>
      <c r="X339" s="251"/>
      <c r="Y339" s="251"/>
      <c r="Z339" s="251"/>
      <c r="AA339" s="251"/>
      <c r="AB339" s="251"/>
      <c r="AC339" s="644">
        <v>1</v>
      </c>
      <c r="AD339" s="251"/>
      <c r="AE339" s="251"/>
      <c r="AF339" s="251"/>
      <c r="AG339" s="251"/>
      <c r="AH339" s="644">
        <v>1</v>
      </c>
      <c r="AI339" s="644"/>
      <c r="AJ339" s="644"/>
      <c r="AK339" s="644"/>
      <c r="AL339" s="167">
        <v>5</v>
      </c>
      <c r="AM339" s="191" t="s">
        <v>1366</v>
      </c>
      <c r="AN339" s="192">
        <v>42015</v>
      </c>
      <c r="AO339" s="187"/>
      <c r="AP339" s="187">
        <f t="shared" si="703"/>
        <v>0</v>
      </c>
      <c r="AQ339" s="187">
        <f t="shared" si="704"/>
        <v>0</v>
      </c>
      <c r="AR339" s="187">
        <f t="shared" si="705"/>
        <v>13</v>
      </c>
      <c r="AS339" s="187">
        <f t="shared" si="706"/>
        <v>13</v>
      </c>
      <c r="AT339" s="187">
        <f t="shared" si="707"/>
        <v>0</v>
      </c>
      <c r="AU339" s="187">
        <f t="shared" si="708"/>
        <v>0</v>
      </c>
      <c r="AV339" s="187">
        <f t="shared" si="709"/>
        <v>9</v>
      </c>
      <c r="AW339" s="187">
        <f t="shared" si="710"/>
        <v>0</v>
      </c>
      <c r="AX339" s="187">
        <f t="shared" si="711"/>
        <v>0</v>
      </c>
      <c r="AY339" s="187">
        <f t="shared" si="712"/>
        <v>0</v>
      </c>
      <c r="AZ339" s="187">
        <f t="shared" si="713"/>
        <v>7</v>
      </c>
      <c r="BA339" s="187">
        <f t="shared" si="714"/>
        <v>7</v>
      </c>
      <c r="BB339" s="187">
        <f t="shared" si="715"/>
        <v>0</v>
      </c>
      <c r="BC339" s="187">
        <f t="shared" si="716"/>
        <v>0</v>
      </c>
      <c r="BD339" s="187">
        <f t="shared" si="717"/>
        <v>0</v>
      </c>
      <c r="BE339" s="187">
        <f t="shared" si="718"/>
        <v>0</v>
      </c>
      <c r="BF339" s="187">
        <f t="shared" si="719"/>
        <v>0</v>
      </c>
      <c r="BG339" s="187">
        <f t="shared" si="720"/>
        <v>0</v>
      </c>
      <c r="BH339" s="187">
        <f t="shared" si="721"/>
        <v>0</v>
      </c>
      <c r="BI339" s="187">
        <f t="shared" si="722"/>
        <v>0</v>
      </c>
      <c r="BJ339" s="187">
        <f t="shared" si="723"/>
        <v>0</v>
      </c>
      <c r="BK339" s="187">
        <f t="shared" si="724"/>
        <v>0</v>
      </c>
      <c r="BL339" s="187">
        <f t="shared" si="725"/>
        <v>0</v>
      </c>
      <c r="BM339" s="187">
        <f t="shared" si="726"/>
        <v>0</v>
      </c>
      <c r="BN339" s="188">
        <f t="shared" si="727"/>
        <v>5</v>
      </c>
      <c r="BO339" s="187">
        <f t="shared" si="728"/>
        <v>0</v>
      </c>
      <c r="BP339" s="187">
        <f t="shared" ref="BP339:BQ339" si="1250">IF(G339=1,1,0)</f>
        <v>0</v>
      </c>
      <c r="BQ339" s="187">
        <f t="shared" si="1250"/>
        <v>0</v>
      </c>
      <c r="BR339" s="187">
        <f t="shared" ref="BR339:BT339" si="1251">IF(K339=1,1,0)</f>
        <v>0</v>
      </c>
      <c r="BS339" s="187">
        <f t="shared" si="1251"/>
        <v>0</v>
      </c>
      <c r="BT339" s="187">
        <f t="shared" si="1251"/>
        <v>0</v>
      </c>
      <c r="BU339" s="187">
        <f t="shared" ref="BU339:BV339" si="1252">IF(P339=1,1,0)</f>
        <v>0</v>
      </c>
      <c r="BV339" s="187">
        <f t="shared" si="1252"/>
        <v>0</v>
      </c>
      <c r="BW339" s="187">
        <f t="shared" si="732"/>
        <v>0</v>
      </c>
      <c r="BX339" s="187">
        <f t="shared" si="733"/>
        <v>0</v>
      </c>
      <c r="BY339" s="187">
        <f t="shared" si="734"/>
        <v>5</v>
      </c>
      <c r="BZ339" s="187">
        <f t="shared" si="735"/>
        <v>-25</v>
      </c>
      <c r="CA339" s="167">
        <f t="shared" si="736"/>
        <v>24</v>
      </c>
      <c r="CB339" s="167">
        <f t="shared" si="737"/>
        <v>79</v>
      </c>
      <c r="CC339" s="644">
        <f t="shared" si="738"/>
        <v>23</v>
      </c>
      <c r="CD339" s="644">
        <f t="shared" si="739"/>
        <v>19</v>
      </c>
      <c r="CE339" s="644">
        <f t="shared" si="740"/>
        <v>15</v>
      </c>
      <c r="CF339" s="644">
        <f t="shared" si="741"/>
        <v>15</v>
      </c>
      <c r="CG339" s="644">
        <f t="shared" si="742"/>
        <v>0</v>
      </c>
      <c r="CH339" s="644">
        <f>IF(D311=1,7,0)</f>
        <v>0</v>
      </c>
      <c r="CI339" s="644">
        <f t="shared" si="744"/>
        <v>7</v>
      </c>
      <c r="CJ339" s="644">
        <f t="shared" si="745"/>
        <v>0</v>
      </c>
      <c r="CK339" s="644">
        <f t="shared" si="746"/>
        <v>0</v>
      </c>
      <c r="CL339" s="644">
        <f t="shared" si="747"/>
        <v>0</v>
      </c>
      <c r="CM339" s="644">
        <f t="shared" si="748"/>
        <v>0</v>
      </c>
      <c r="CN339" s="644">
        <f t="shared" si="749"/>
        <v>0</v>
      </c>
      <c r="CO339" s="644">
        <f t="shared" si="750"/>
        <v>0</v>
      </c>
      <c r="CP339" s="644">
        <f t="shared" si="751"/>
        <v>0</v>
      </c>
      <c r="CQ339" s="644">
        <f t="shared" si="752"/>
        <v>0</v>
      </c>
      <c r="CR339" s="644">
        <f t="shared" si="753"/>
        <v>0</v>
      </c>
      <c r="CS339" s="644">
        <f t="shared" si="754"/>
        <v>0</v>
      </c>
      <c r="CT339" s="644">
        <f t="shared" si="755"/>
        <v>0</v>
      </c>
      <c r="CU339" s="644">
        <f t="shared" si="756"/>
        <v>0</v>
      </c>
      <c r="CV339" s="644">
        <f t="shared" si="757"/>
        <v>0</v>
      </c>
      <c r="CW339" s="644">
        <f t="shared" si="758"/>
        <v>0</v>
      </c>
      <c r="CX339" s="644">
        <f t="shared" si="759"/>
        <v>0</v>
      </c>
      <c r="CY339" s="644">
        <f t="shared" si="760"/>
        <v>0</v>
      </c>
      <c r="CZ339" s="624" t="s">
        <v>1367</v>
      </c>
    </row>
    <row r="340" spans="1:104">
      <c r="A340" s="283" t="s">
        <v>1368</v>
      </c>
      <c r="B340" s="641"/>
      <c r="C340" s="641"/>
      <c r="D340" s="284">
        <v>1</v>
      </c>
      <c r="E340" s="251">
        <v>1</v>
      </c>
      <c r="F340" s="251"/>
      <c r="G340" s="251"/>
      <c r="H340" s="251"/>
      <c r="I340" s="251"/>
      <c r="J340" s="251"/>
      <c r="K340" s="251"/>
      <c r="L340" s="251"/>
      <c r="M340" s="251"/>
      <c r="N340" s="251">
        <v>1</v>
      </c>
      <c r="O340" s="251"/>
      <c r="P340" s="251"/>
      <c r="Q340" s="251"/>
      <c r="R340" s="251">
        <v>1</v>
      </c>
      <c r="S340" s="251">
        <v>1</v>
      </c>
      <c r="T340" s="251"/>
      <c r="U340" s="251">
        <v>1</v>
      </c>
      <c r="V340" s="251"/>
      <c r="W340" s="251"/>
      <c r="X340" s="251"/>
      <c r="Y340" s="251"/>
      <c r="Z340" s="251"/>
      <c r="AA340" s="251"/>
      <c r="AB340" s="251">
        <v>1</v>
      </c>
      <c r="AC340" s="644"/>
      <c r="AD340" s="251"/>
      <c r="AE340" s="251"/>
      <c r="AF340" s="251"/>
      <c r="AG340" s="251">
        <v>1</v>
      </c>
      <c r="AH340" s="644"/>
      <c r="AI340" s="644"/>
      <c r="AJ340" s="644"/>
      <c r="AK340" s="644"/>
      <c r="AL340" s="167">
        <v>8</v>
      </c>
      <c r="AM340" s="191" t="str">
        <f t="shared" ref="AM340:AM341" si="1253">HYPERLINK("http://bbwaa.com/15-hof-ballots/", "BBWAA.com")</f>
        <v>BBWAA.com</v>
      </c>
      <c r="AN340" s="192">
        <v>42012</v>
      </c>
      <c r="AO340" s="187"/>
      <c r="AP340" s="187">
        <f t="shared" si="703"/>
        <v>0</v>
      </c>
      <c r="AQ340" s="187">
        <f t="shared" si="704"/>
        <v>0</v>
      </c>
      <c r="AR340" s="187">
        <f t="shared" si="705"/>
        <v>13</v>
      </c>
      <c r="AS340" s="187">
        <f t="shared" si="706"/>
        <v>13</v>
      </c>
      <c r="AT340" s="187">
        <f t="shared" si="707"/>
        <v>9</v>
      </c>
      <c r="AU340" s="187">
        <f t="shared" si="708"/>
        <v>9</v>
      </c>
      <c r="AV340" s="187">
        <f t="shared" si="709"/>
        <v>0</v>
      </c>
      <c r="AW340" s="187">
        <f t="shared" si="710"/>
        <v>0</v>
      </c>
      <c r="AX340" s="187">
        <f t="shared" si="711"/>
        <v>0</v>
      </c>
      <c r="AY340" s="187">
        <f t="shared" si="712"/>
        <v>0</v>
      </c>
      <c r="AZ340" s="187">
        <f t="shared" si="713"/>
        <v>0</v>
      </c>
      <c r="BA340" s="187">
        <f t="shared" si="714"/>
        <v>7</v>
      </c>
      <c r="BB340" s="187">
        <f t="shared" si="715"/>
        <v>0</v>
      </c>
      <c r="BC340" s="187">
        <f t="shared" si="716"/>
        <v>0</v>
      </c>
      <c r="BD340" s="187">
        <f t="shared" si="717"/>
        <v>0</v>
      </c>
      <c r="BE340" s="187">
        <f t="shared" si="718"/>
        <v>0</v>
      </c>
      <c r="BF340" s="187">
        <f t="shared" si="719"/>
        <v>0</v>
      </c>
      <c r="BG340" s="187">
        <f t="shared" si="720"/>
        <v>0</v>
      </c>
      <c r="BH340" s="187">
        <f t="shared" si="721"/>
        <v>2</v>
      </c>
      <c r="BI340" s="187">
        <f t="shared" si="722"/>
        <v>0</v>
      </c>
      <c r="BJ340" s="187">
        <f t="shared" si="723"/>
        <v>1</v>
      </c>
      <c r="BK340" s="187">
        <f t="shared" si="724"/>
        <v>0</v>
      </c>
      <c r="BL340" s="187">
        <f t="shared" si="725"/>
        <v>0</v>
      </c>
      <c r="BM340" s="187">
        <f t="shared" si="726"/>
        <v>1</v>
      </c>
      <c r="BN340" s="188">
        <f t="shared" si="727"/>
        <v>2</v>
      </c>
      <c r="BO340" s="187">
        <f t="shared" si="728"/>
        <v>0</v>
      </c>
      <c r="BP340" s="187">
        <f t="shared" ref="BP340:BQ340" si="1254">IF(G340=1,1,0)</f>
        <v>0</v>
      </c>
      <c r="BQ340" s="187">
        <f t="shared" si="1254"/>
        <v>0</v>
      </c>
      <c r="BR340" s="187">
        <f t="shared" ref="BR340:BT340" si="1255">IF(K340=1,1,0)</f>
        <v>0</v>
      </c>
      <c r="BS340" s="187">
        <f t="shared" si="1255"/>
        <v>0</v>
      </c>
      <c r="BT340" s="187">
        <f t="shared" si="1255"/>
        <v>0</v>
      </c>
      <c r="BU340" s="187">
        <f t="shared" ref="BU340:BV340" si="1256">IF(P340=1,1,0)</f>
        <v>0</v>
      </c>
      <c r="BV340" s="187">
        <f t="shared" si="1256"/>
        <v>0</v>
      </c>
      <c r="BW340" s="187">
        <f t="shared" si="732"/>
        <v>0</v>
      </c>
      <c r="BX340" s="187">
        <f t="shared" si="733"/>
        <v>0</v>
      </c>
      <c r="BY340" s="187">
        <f t="shared" si="734"/>
        <v>2</v>
      </c>
      <c r="BZ340" s="187">
        <f t="shared" si="735"/>
        <v>-4</v>
      </c>
      <c r="CA340" s="167">
        <f t="shared" si="736"/>
        <v>51</v>
      </c>
      <c r="CB340" s="167">
        <f t="shared" si="737"/>
        <v>79</v>
      </c>
      <c r="CC340" s="644">
        <f t="shared" si="738"/>
        <v>23</v>
      </c>
      <c r="CD340" s="644">
        <f t="shared" si="739"/>
        <v>19</v>
      </c>
      <c r="CE340" s="644">
        <f t="shared" si="740"/>
        <v>0</v>
      </c>
      <c r="CF340" s="644">
        <f t="shared" si="741"/>
        <v>15</v>
      </c>
      <c r="CG340" s="644">
        <f t="shared" si="742"/>
        <v>9</v>
      </c>
      <c r="CH340" s="644">
        <f>IF(D309=1,7,0)</f>
        <v>7</v>
      </c>
      <c r="CI340" s="644">
        <f t="shared" si="744"/>
        <v>0</v>
      </c>
      <c r="CJ340" s="644">
        <f t="shared" si="745"/>
        <v>0</v>
      </c>
      <c r="CK340" s="644">
        <f t="shared" si="746"/>
        <v>0</v>
      </c>
      <c r="CL340" s="644">
        <f t="shared" si="747"/>
        <v>0</v>
      </c>
      <c r="CM340" s="644">
        <f t="shared" si="748"/>
        <v>3</v>
      </c>
      <c r="CN340" s="644">
        <f t="shared" si="749"/>
        <v>0</v>
      </c>
      <c r="CO340" s="644">
        <f t="shared" si="750"/>
        <v>0</v>
      </c>
      <c r="CP340" s="644">
        <f t="shared" si="751"/>
        <v>0</v>
      </c>
      <c r="CQ340" s="644">
        <f t="shared" si="752"/>
        <v>2</v>
      </c>
      <c r="CR340" s="644">
        <f t="shared" si="753"/>
        <v>0</v>
      </c>
      <c r="CS340" s="644">
        <f t="shared" si="754"/>
        <v>0</v>
      </c>
      <c r="CT340" s="644">
        <f t="shared" si="755"/>
        <v>0</v>
      </c>
      <c r="CU340" s="644">
        <f t="shared" si="756"/>
        <v>0</v>
      </c>
      <c r="CV340" s="644">
        <f t="shared" si="757"/>
        <v>0</v>
      </c>
      <c r="CW340" s="644">
        <f t="shared" si="758"/>
        <v>0</v>
      </c>
      <c r="CX340" s="644">
        <f t="shared" si="759"/>
        <v>1</v>
      </c>
      <c r="CY340" s="644">
        <f t="shared" si="760"/>
        <v>0</v>
      </c>
      <c r="CZ340" s="624" t="s">
        <v>743</v>
      </c>
    </row>
    <row r="341" spans="1:104">
      <c r="A341" s="283" t="s">
        <v>1369</v>
      </c>
      <c r="B341" s="641"/>
      <c r="C341" s="641"/>
      <c r="D341" s="284">
        <v>1</v>
      </c>
      <c r="E341" s="251">
        <v>1</v>
      </c>
      <c r="F341" s="251"/>
      <c r="G341" s="251"/>
      <c r="H341" s="251"/>
      <c r="I341" s="251"/>
      <c r="J341" s="251"/>
      <c r="K341" s="251"/>
      <c r="L341" s="251"/>
      <c r="M341" s="251"/>
      <c r="N341" s="251"/>
      <c r="O341" s="251"/>
      <c r="P341" s="251"/>
      <c r="Q341" s="251"/>
      <c r="R341" s="251">
        <v>1</v>
      </c>
      <c r="S341" s="251"/>
      <c r="T341" s="251"/>
      <c r="U341" s="251">
        <v>1</v>
      </c>
      <c r="V341" s="251"/>
      <c r="W341" s="251"/>
      <c r="X341" s="251"/>
      <c r="Y341" s="251"/>
      <c r="Z341" s="251">
        <v>1</v>
      </c>
      <c r="AA341" s="251"/>
      <c r="AB341" s="251"/>
      <c r="AC341" s="644"/>
      <c r="AD341" s="251"/>
      <c r="AE341" s="251"/>
      <c r="AF341" s="251"/>
      <c r="AG341" s="251"/>
      <c r="AH341" s="644"/>
      <c r="AI341" s="644"/>
      <c r="AJ341" s="644"/>
      <c r="AK341" s="644"/>
      <c r="AL341" s="167">
        <v>5</v>
      </c>
      <c r="AM341" s="191" t="str">
        <f t="shared" si="1253"/>
        <v>BBWAA.com</v>
      </c>
      <c r="AN341" s="192">
        <v>42014</v>
      </c>
      <c r="AO341" s="187"/>
      <c r="AP341" s="187">
        <f t="shared" si="703"/>
        <v>0</v>
      </c>
      <c r="AQ341" s="187">
        <f t="shared" si="704"/>
        <v>0</v>
      </c>
      <c r="AR341" s="187">
        <f t="shared" si="705"/>
        <v>13</v>
      </c>
      <c r="AS341" s="187">
        <f t="shared" si="706"/>
        <v>13</v>
      </c>
      <c r="AT341" s="187">
        <f t="shared" si="707"/>
        <v>0</v>
      </c>
      <c r="AU341" s="187">
        <f t="shared" si="708"/>
        <v>9</v>
      </c>
      <c r="AV341" s="187">
        <f t="shared" si="709"/>
        <v>0</v>
      </c>
      <c r="AW341" s="187">
        <f t="shared" si="710"/>
        <v>0</v>
      </c>
      <c r="AX341" s="187">
        <f t="shared" si="711"/>
        <v>0</v>
      </c>
      <c r="AY341" s="187">
        <f t="shared" si="712"/>
        <v>7</v>
      </c>
      <c r="AZ341" s="187">
        <f t="shared" si="713"/>
        <v>0</v>
      </c>
      <c r="BA341" s="187">
        <f t="shared" si="714"/>
        <v>7</v>
      </c>
      <c r="BB341" s="187">
        <f t="shared" si="715"/>
        <v>0</v>
      </c>
      <c r="BC341" s="187">
        <f t="shared" si="716"/>
        <v>0</v>
      </c>
      <c r="BD341" s="187">
        <f t="shared" si="717"/>
        <v>0</v>
      </c>
      <c r="BE341" s="187">
        <f t="shared" si="718"/>
        <v>0</v>
      </c>
      <c r="BF341" s="187">
        <f t="shared" si="719"/>
        <v>0</v>
      </c>
      <c r="BG341" s="187">
        <f t="shared" si="720"/>
        <v>0</v>
      </c>
      <c r="BH341" s="187">
        <f t="shared" si="721"/>
        <v>0</v>
      </c>
      <c r="BI341" s="187">
        <f t="shared" si="722"/>
        <v>0</v>
      </c>
      <c r="BJ341" s="187">
        <f t="shared" si="723"/>
        <v>0</v>
      </c>
      <c r="BK341" s="187">
        <f t="shared" si="724"/>
        <v>0</v>
      </c>
      <c r="BL341" s="187">
        <f t="shared" si="725"/>
        <v>0</v>
      </c>
      <c r="BM341" s="187">
        <f t="shared" si="726"/>
        <v>0</v>
      </c>
      <c r="BN341" s="188">
        <f t="shared" si="727"/>
        <v>5</v>
      </c>
      <c r="BO341" s="187">
        <f t="shared" si="728"/>
        <v>0</v>
      </c>
      <c r="BP341" s="187">
        <f t="shared" ref="BP341:BQ341" si="1257">IF(G341=1,1,0)</f>
        <v>0</v>
      </c>
      <c r="BQ341" s="187">
        <f t="shared" si="1257"/>
        <v>0</v>
      </c>
      <c r="BR341" s="187">
        <f t="shared" ref="BR341:BT341" si="1258">IF(K341=1,1,0)</f>
        <v>0</v>
      </c>
      <c r="BS341" s="187">
        <f t="shared" si="1258"/>
        <v>0</v>
      </c>
      <c r="BT341" s="187">
        <f t="shared" si="1258"/>
        <v>0</v>
      </c>
      <c r="BU341" s="187">
        <f t="shared" ref="BU341:BV341" si="1259">IF(P341=1,1,0)</f>
        <v>0</v>
      </c>
      <c r="BV341" s="187">
        <f t="shared" si="1259"/>
        <v>0</v>
      </c>
      <c r="BW341" s="187">
        <f t="shared" si="732"/>
        <v>0</v>
      </c>
      <c r="BX341" s="187">
        <f t="shared" si="733"/>
        <v>0</v>
      </c>
      <c r="BY341" s="187">
        <f t="shared" si="734"/>
        <v>5</v>
      </c>
      <c r="BZ341" s="187">
        <f t="shared" si="735"/>
        <v>-25</v>
      </c>
      <c r="CA341" s="167">
        <f t="shared" si="736"/>
        <v>24</v>
      </c>
      <c r="CB341" s="167">
        <f t="shared" si="737"/>
        <v>60</v>
      </c>
      <c r="CC341" s="644">
        <f t="shared" si="738"/>
        <v>23</v>
      </c>
      <c r="CD341" s="644">
        <f t="shared" si="739"/>
        <v>19</v>
      </c>
      <c r="CE341" s="644">
        <f t="shared" si="740"/>
        <v>0</v>
      </c>
      <c r="CF341" s="644">
        <f t="shared" si="741"/>
        <v>15</v>
      </c>
      <c r="CG341" s="644">
        <f t="shared" si="742"/>
        <v>0</v>
      </c>
      <c r="CH341" s="644">
        <f>IF(D311=1,7,0)</f>
        <v>0</v>
      </c>
      <c r="CI341" s="644">
        <f t="shared" si="744"/>
        <v>0</v>
      </c>
      <c r="CJ341" s="644">
        <f t="shared" si="745"/>
        <v>0</v>
      </c>
      <c r="CK341" s="644">
        <f t="shared" si="746"/>
        <v>0</v>
      </c>
      <c r="CL341" s="644">
        <f t="shared" si="747"/>
        <v>0</v>
      </c>
      <c r="CM341" s="644">
        <f t="shared" si="748"/>
        <v>0</v>
      </c>
      <c r="CN341" s="644">
        <f t="shared" si="749"/>
        <v>0</v>
      </c>
      <c r="CO341" s="644">
        <f t="shared" si="750"/>
        <v>0</v>
      </c>
      <c r="CP341" s="644">
        <f t="shared" si="751"/>
        <v>3</v>
      </c>
      <c r="CQ341" s="644">
        <f t="shared" si="752"/>
        <v>0</v>
      </c>
      <c r="CR341" s="644">
        <f t="shared" si="753"/>
        <v>0</v>
      </c>
      <c r="CS341" s="644">
        <f t="shared" si="754"/>
        <v>0</v>
      </c>
      <c r="CT341" s="644">
        <f t="shared" si="755"/>
        <v>0</v>
      </c>
      <c r="CU341" s="644">
        <f t="shared" si="756"/>
        <v>0</v>
      </c>
      <c r="CV341" s="644">
        <f t="shared" si="757"/>
        <v>0</v>
      </c>
      <c r="CW341" s="644">
        <f t="shared" si="758"/>
        <v>0</v>
      </c>
      <c r="CX341" s="644">
        <f t="shared" si="759"/>
        <v>0</v>
      </c>
      <c r="CY341" s="644">
        <f t="shared" si="760"/>
        <v>0</v>
      </c>
      <c r="CZ341" s="624" t="s">
        <v>743</v>
      </c>
    </row>
    <row r="342" spans="1:104">
      <c r="A342" s="283" t="s">
        <v>653</v>
      </c>
      <c r="B342" s="641"/>
      <c r="C342" s="641"/>
      <c r="D342" s="284">
        <v>1</v>
      </c>
      <c r="E342" s="251">
        <v>1</v>
      </c>
      <c r="F342" s="251"/>
      <c r="G342" s="251"/>
      <c r="H342" s="251"/>
      <c r="I342" s="251"/>
      <c r="J342" s="251"/>
      <c r="K342" s="251"/>
      <c r="L342" s="251"/>
      <c r="M342" s="251"/>
      <c r="N342" s="251"/>
      <c r="O342" s="251"/>
      <c r="P342" s="251"/>
      <c r="Q342" s="251"/>
      <c r="R342" s="251">
        <v>1</v>
      </c>
      <c r="S342" s="251"/>
      <c r="T342" s="251">
        <v>1</v>
      </c>
      <c r="U342" s="251">
        <v>1</v>
      </c>
      <c r="V342" s="251"/>
      <c r="W342" s="251"/>
      <c r="X342" s="251"/>
      <c r="Y342" s="251"/>
      <c r="Z342" s="251"/>
      <c r="AA342" s="251"/>
      <c r="AB342" s="251">
        <v>1</v>
      </c>
      <c r="AC342" s="644"/>
      <c r="AD342" s="251">
        <v>1</v>
      </c>
      <c r="AE342" s="251"/>
      <c r="AF342" s="251"/>
      <c r="AG342" s="251">
        <v>1</v>
      </c>
      <c r="AH342" s="644">
        <v>1</v>
      </c>
      <c r="AI342" s="644"/>
      <c r="AJ342" s="644"/>
      <c r="AK342" s="644">
        <v>1</v>
      </c>
      <c r="AL342" s="167">
        <v>10</v>
      </c>
      <c r="AM342" s="191" t="s">
        <v>1370</v>
      </c>
      <c r="AN342" s="192">
        <v>42026</v>
      </c>
      <c r="AO342" s="187"/>
      <c r="AP342" s="187">
        <f t="shared" si="703"/>
        <v>0</v>
      </c>
      <c r="AQ342" s="187">
        <f t="shared" si="704"/>
        <v>0</v>
      </c>
      <c r="AR342" s="187">
        <f t="shared" si="705"/>
        <v>13</v>
      </c>
      <c r="AS342" s="187">
        <f t="shared" si="706"/>
        <v>13</v>
      </c>
      <c r="AT342" s="187">
        <f t="shared" si="707"/>
        <v>9</v>
      </c>
      <c r="AU342" s="187">
        <f t="shared" si="708"/>
        <v>9</v>
      </c>
      <c r="AV342" s="187">
        <f t="shared" si="709"/>
        <v>0</v>
      </c>
      <c r="AW342" s="187">
        <f t="shared" si="710"/>
        <v>0</v>
      </c>
      <c r="AX342" s="187">
        <f t="shared" si="711"/>
        <v>7</v>
      </c>
      <c r="AY342" s="187">
        <f t="shared" si="712"/>
        <v>0</v>
      </c>
      <c r="AZ342" s="187">
        <f t="shared" si="713"/>
        <v>7</v>
      </c>
      <c r="BA342" s="187">
        <f t="shared" si="714"/>
        <v>7</v>
      </c>
      <c r="BB342" s="187">
        <f t="shared" si="715"/>
        <v>4</v>
      </c>
      <c r="BC342" s="187">
        <f t="shared" si="716"/>
        <v>4</v>
      </c>
      <c r="BD342" s="187">
        <f t="shared" si="717"/>
        <v>0</v>
      </c>
      <c r="BE342" s="187">
        <f t="shared" si="718"/>
        <v>0</v>
      </c>
      <c r="BF342" s="187">
        <f t="shared" si="719"/>
        <v>0</v>
      </c>
      <c r="BG342" s="187">
        <f t="shared" si="720"/>
        <v>0</v>
      </c>
      <c r="BH342" s="187">
        <f t="shared" si="721"/>
        <v>0</v>
      </c>
      <c r="BI342" s="187">
        <f t="shared" si="722"/>
        <v>0</v>
      </c>
      <c r="BJ342" s="187">
        <f t="shared" si="723"/>
        <v>1</v>
      </c>
      <c r="BK342" s="187">
        <f t="shared" si="724"/>
        <v>0</v>
      </c>
      <c r="BL342" s="187">
        <f t="shared" si="725"/>
        <v>0</v>
      </c>
      <c r="BM342" s="187">
        <f t="shared" si="726"/>
        <v>0</v>
      </c>
      <c r="BN342" s="188">
        <f t="shared" si="727"/>
        <v>0</v>
      </c>
      <c r="BO342" s="187">
        <f t="shared" si="728"/>
        <v>0</v>
      </c>
      <c r="BP342" s="187">
        <f t="shared" ref="BP342:BQ342" si="1260">IF(G342=1,1,0)</f>
        <v>0</v>
      </c>
      <c r="BQ342" s="187">
        <f t="shared" si="1260"/>
        <v>0</v>
      </c>
      <c r="BR342" s="187">
        <f t="shared" ref="BR342:BT342" si="1261">IF(K342=1,1,0)</f>
        <v>0</v>
      </c>
      <c r="BS342" s="187">
        <f t="shared" si="1261"/>
        <v>0</v>
      </c>
      <c r="BT342" s="187">
        <f t="shared" si="1261"/>
        <v>0</v>
      </c>
      <c r="BU342" s="187">
        <f t="shared" ref="BU342:BV342" si="1262">IF(P342=1,1,0)</f>
        <v>0</v>
      </c>
      <c r="BV342" s="187">
        <f t="shared" si="1262"/>
        <v>0</v>
      </c>
      <c r="BW342" s="187">
        <f t="shared" si="732"/>
        <v>0</v>
      </c>
      <c r="BX342" s="187">
        <f t="shared" si="733"/>
        <v>0</v>
      </c>
      <c r="BY342" s="187">
        <f t="shared" si="734"/>
        <v>0</v>
      </c>
      <c r="BZ342" s="187">
        <f t="shared" si="735"/>
        <v>0</v>
      </c>
      <c r="CA342" s="167">
        <f t="shared" si="736"/>
        <v>74</v>
      </c>
      <c r="CB342" s="167">
        <f t="shared" si="737"/>
        <v>96</v>
      </c>
      <c r="CC342" s="644">
        <f t="shared" si="738"/>
        <v>23</v>
      </c>
      <c r="CD342" s="644">
        <f t="shared" si="739"/>
        <v>19</v>
      </c>
      <c r="CE342" s="644">
        <f t="shared" si="740"/>
        <v>15</v>
      </c>
      <c r="CF342" s="644">
        <f t="shared" si="741"/>
        <v>15</v>
      </c>
      <c r="CG342" s="644">
        <f t="shared" si="742"/>
        <v>9</v>
      </c>
      <c r="CH342" s="644">
        <f>IF(D312=1,7,0)</f>
        <v>7</v>
      </c>
      <c r="CI342" s="644">
        <f t="shared" si="744"/>
        <v>0</v>
      </c>
      <c r="CJ342" s="644">
        <f t="shared" si="745"/>
        <v>5</v>
      </c>
      <c r="CK342" s="644">
        <f t="shared" si="746"/>
        <v>0</v>
      </c>
      <c r="CL342" s="644">
        <f t="shared" si="747"/>
        <v>0</v>
      </c>
      <c r="CM342" s="644">
        <f t="shared" si="748"/>
        <v>3</v>
      </c>
      <c r="CN342" s="644">
        <f t="shared" si="749"/>
        <v>3</v>
      </c>
      <c r="CO342" s="644">
        <f t="shared" si="750"/>
        <v>0</v>
      </c>
      <c r="CP342" s="644">
        <f t="shared" si="751"/>
        <v>0</v>
      </c>
      <c r="CQ342" s="644">
        <f t="shared" si="752"/>
        <v>0</v>
      </c>
      <c r="CR342" s="644">
        <f t="shared" si="753"/>
        <v>0</v>
      </c>
      <c r="CS342" s="644">
        <f t="shared" si="754"/>
        <v>2</v>
      </c>
      <c r="CT342" s="644">
        <f t="shared" si="755"/>
        <v>0</v>
      </c>
      <c r="CU342" s="644">
        <f t="shared" si="756"/>
        <v>0</v>
      </c>
      <c r="CV342" s="644">
        <f t="shared" si="757"/>
        <v>0</v>
      </c>
      <c r="CW342" s="644">
        <f t="shared" si="758"/>
        <v>0</v>
      </c>
      <c r="CX342" s="644">
        <f t="shared" si="759"/>
        <v>0</v>
      </c>
      <c r="CY342" s="644">
        <f t="shared" si="760"/>
        <v>0</v>
      </c>
      <c r="CZ342" s="624" t="s">
        <v>1218</v>
      </c>
    </row>
    <row r="343" spans="1:104">
      <c r="A343" s="283" t="s">
        <v>689</v>
      </c>
      <c r="B343" s="641"/>
      <c r="C343" s="641"/>
      <c r="D343" s="284"/>
      <c r="E343" s="251">
        <v>1</v>
      </c>
      <c r="F343" s="251"/>
      <c r="G343" s="251"/>
      <c r="H343" s="251"/>
      <c r="I343" s="251"/>
      <c r="J343" s="251"/>
      <c r="K343" s="251"/>
      <c r="L343" s="251"/>
      <c r="M343" s="251"/>
      <c r="N343" s="251"/>
      <c r="O343" s="251"/>
      <c r="P343" s="251"/>
      <c r="Q343" s="251"/>
      <c r="R343" s="251">
        <v>1</v>
      </c>
      <c r="S343" s="251">
        <v>1</v>
      </c>
      <c r="T343" s="251"/>
      <c r="U343" s="251">
        <v>1</v>
      </c>
      <c r="V343" s="251"/>
      <c r="W343" s="251"/>
      <c r="X343" s="251"/>
      <c r="Y343" s="251"/>
      <c r="Z343" s="251"/>
      <c r="AA343" s="251"/>
      <c r="AB343" s="251"/>
      <c r="AC343" s="644"/>
      <c r="AD343" s="251"/>
      <c r="AE343" s="251"/>
      <c r="AF343" s="251"/>
      <c r="AG343" s="251">
        <v>1</v>
      </c>
      <c r="AH343" s="644"/>
      <c r="AI343" s="644"/>
      <c r="AJ343" s="644"/>
      <c r="AK343" s="644"/>
      <c r="AL343" s="167">
        <v>5</v>
      </c>
      <c r="AM343" s="191" t="str">
        <f t="shared" ref="AM343:AM345" si="1263">HYPERLINK("http://bbwaa.com/15-hof-ballots/", "BBWAA.com")</f>
        <v>BBWAA.com</v>
      </c>
      <c r="AN343" s="192">
        <v>42014</v>
      </c>
      <c r="AO343" s="187"/>
      <c r="AP343" s="187">
        <f t="shared" si="703"/>
        <v>0</v>
      </c>
      <c r="AQ343" s="187">
        <f t="shared" si="704"/>
        <v>0</v>
      </c>
      <c r="AR343" s="187">
        <f t="shared" si="705"/>
        <v>13</v>
      </c>
      <c r="AS343" s="187">
        <f t="shared" si="706"/>
        <v>13</v>
      </c>
      <c r="AT343" s="187">
        <f t="shared" si="707"/>
        <v>0</v>
      </c>
      <c r="AU343" s="187">
        <f t="shared" si="708"/>
        <v>0</v>
      </c>
      <c r="AV343" s="187">
        <f t="shared" si="709"/>
        <v>0</v>
      </c>
      <c r="AW343" s="187">
        <f t="shared" si="710"/>
        <v>0</v>
      </c>
      <c r="AX343" s="187">
        <f t="shared" si="711"/>
        <v>0</v>
      </c>
      <c r="AY343" s="187">
        <f t="shared" si="712"/>
        <v>0</v>
      </c>
      <c r="AZ343" s="187">
        <f t="shared" si="713"/>
        <v>0</v>
      </c>
      <c r="BA343" s="187">
        <f t="shared" si="714"/>
        <v>7</v>
      </c>
      <c r="BB343" s="187">
        <f t="shared" si="715"/>
        <v>0</v>
      </c>
      <c r="BC343" s="187">
        <f t="shared" si="716"/>
        <v>0</v>
      </c>
      <c r="BD343" s="187">
        <f t="shared" si="717"/>
        <v>0</v>
      </c>
      <c r="BE343" s="187">
        <f t="shared" si="718"/>
        <v>0</v>
      </c>
      <c r="BF343" s="187">
        <f t="shared" si="719"/>
        <v>0</v>
      </c>
      <c r="BG343" s="187">
        <f t="shared" si="720"/>
        <v>0</v>
      </c>
      <c r="BH343" s="187">
        <f t="shared" si="721"/>
        <v>2</v>
      </c>
      <c r="BI343" s="187">
        <f t="shared" si="722"/>
        <v>0</v>
      </c>
      <c r="BJ343" s="187">
        <f t="shared" si="723"/>
        <v>1</v>
      </c>
      <c r="BK343" s="187">
        <f t="shared" si="724"/>
        <v>0</v>
      </c>
      <c r="BL343" s="187">
        <f t="shared" si="725"/>
        <v>0</v>
      </c>
      <c r="BM343" s="187">
        <f t="shared" si="726"/>
        <v>0</v>
      </c>
      <c r="BN343" s="188">
        <f t="shared" si="727"/>
        <v>5</v>
      </c>
      <c r="BO343" s="187">
        <f t="shared" si="728"/>
        <v>0</v>
      </c>
      <c r="BP343" s="187">
        <f t="shared" ref="BP343:BQ343" si="1264">IF(G343=1,1,0)</f>
        <v>0</v>
      </c>
      <c r="BQ343" s="187">
        <f t="shared" si="1264"/>
        <v>0</v>
      </c>
      <c r="BR343" s="187">
        <f t="shared" ref="BR343:BT343" si="1265">IF(K343=1,1,0)</f>
        <v>0</v>
      </c>
      <c r="BS343" s="187">
        <f t="shared" si="1265"/>
        <v>0</v>
      </c>
      <c r="BT343" s="187">
        <f t="shared" si="1265"/>
        <v>0</v>
      </c>
      <c r="BU343" s="187">
        <f t="shared" ref="BU343:BV343" si="1266">IF(P343=1,1,0)</f>
        <v>0</v>
      </c>
      <c r="BV343" s="187">
        <f t="shared" si="1266"/>
        <v>0</v>
      </c>
      <c r="BW343" s="187">
        <f t="shared" si="732"/>
        <v>0</v>
      </c>
      <c r="BX343" s="187">
        <f t="shared" si="733"/>
        <v>0</v>
      </c>
      <c r="BY343" s="187">
        <f t="shared" si="734"/>
        <v>5</v>
      </c>
      <c r="BZ343" s="187">
        <f t="shared" si="735"/>
        <v>-25</v>
      </c>
      <c r="CA343" s="167">
        <f t="shared" si="736"/>
        <v>11</v>
      </c>
      <c r="CB343" s="167">
        <f t="shared" si="737"/>
        <v>62</v>
      </c>
      <c r="CC343" s="644">
        <f t="shared" si="738"/>
        <v>23</v>
      </c>
      <c r="CD343" s="644">
        <f t="shared" si="739"/>
        <v>19</v>
      </c>
      <c r="CE343" s="644">
        <f t="shared" si="740"/>
        <v>0</v>
      </c>
      <c r="CF343" s="644">
        <f t="shared" si="741"/>
        <v>15</v>
      </c>
      <c r="CG343" s="644">
        <f t="shared" si="742"/>
        <v>0</v>
      </c>
      <c r="CH343" s="644">
        <f>IF(D311=1,7,0)</f>
        <v>0</v>
      </c>
      <c r="CI343" s="644">
        <f t="shared" si="744"/>
        <v>0</v>
      </c>
      <c r="CJ343" s="644">
        <f t="shared" si="745"/>
        <v>0</v>
      </c>
      <c r="CK343" s="644">
        <f t="shared" si="746"/>
        <v>0</v>
      </c>
      <c r="CL343" s="644">
        <f t="shared" si="747"/>
        <v>0</v>
      </c>
      <c r="CM343" s="644">
        <f t="shared" si="748"/>
        <v>3</v>
      </c>
      <c r="CN343" s="644">
        <f t="shared" si="749"/>
        <v>0</v>
      </c>
      <c r="CO343" s="644">
        <f t="shared" si="750"/>
        <v>0</v>
      </c>
      <c r="CP343" s="644">
        <f t="shared" si="751"/>
        <v>0</v>
      </c>
      <c r="CQ343" s="644">
        <f t="shared" si="752"/>
        <v>2</v>
      </c>
      <c r="CR343" s="644">
        <f t="shared" si="753"/>
        <v>0</v>
      </c>
      <c r="CS343" s="644">
        <f t="shared" si="754"/>
        <v>0</v>
      </c>
      <c r="CT343" s="644">
        <f t="shared" si="755"/>
        <v>0</v>
      </c>
      <c r="CU343" s="644">
        <f t="shared" si="756"/>
        <v>0</v>
      </c>
      <c r="CV343" s="644">
        <f t="shared" si="757"/>
        <v>0</v>
      </c>
      <c r="CW343" s="644">
        <f t="shared" si="758"/>
        <v>0</v>
      </c>
      <c r="CX343" s="644">
        <f t="shared" si="759"/>
        <v>0</v>
      </c>
      <c r="CY343" s="644">
        <f t="shared" si="760"/>
        <v>0</v>
      </c>
      <c r="CZ343" s="624" t="s">
        <v>768</v>
      </c>
    </row>
    <row r="344" spans="1:104">
      <c r="A344" s="283" t="s">
        <v>1371</v>
      </c>
      <c r="B344" s="641"/>
      <c r="C344" s="641"/>
      <c r="D344" s="284"/>
      <c r="E344" s="251">
        <v>1</v>
      </c>
      <c r="F344" s="251">
        <v>1</v>
      </c>
      <c r="G344" s="251"/>
      <c r="H344" s="251"/>
      <c r="I344" s="251">
        <v>1</v>
      </c>
      <c r="J344" s="251"/>
      <c r="K344" s="251"/>
      <c r="L344" s="251"/>
      <c r="M344" s="251"/>
      <c r="N344" s="251"/>
      <c r="O344" s="251"/>
      <c r="P344" s="251"/>
      <c r="Q344" s="251"/>
      <c r="R344" s="251">
        <v>1</v>
      </c>
      <c r="S344" s="251"/>
      <c r="T344" s="251">
        <v>1</v>
      </c>
      <c r="U344" s="251">
        <v>1</v>
      </c>
      <c r="V344" s="251"/>
      <c r="W344" s="251"/>
      <c r="X344" s="251"/>
      <c r="Y344" s="251"/>
      <c r="Z344" s="251"/>
      <c r="AA344" s="251"/>
      <c r="AB344" s="251"/>
      <c r="AC344" s="644"/>
      <c r="AD344" s="251">
        <v>1</v>
      </c>
      <c r="AE344" s="251"/>
      <c r="AF344" s="251"/>
      <c r="AG344" s="251">
        <v>1</v>
      </c>
      <c r="AH344" s="644">
        <v>1</v>
      </c>
      <c r="AI344" s="644"/>
      <c r="AJ344" s="644"/>
      <c r="AK344" s="644"/>
      <c r="AL344" s="167">
        <v>9</v>
      </c>
      <c r="AM344" s="191" t="str">
        <f t="shared" si="1263"/>
        <v>BBWAA.com</v>
      </c>
      <c r="AN344" s="192">
        <v>42014</v>
      </c>
      <c r="AO344" s="187"/>
      <c r="AP344" s="187">
        <f t="shared" si="703"/>
        <v>13</v>
      </c>
      <c r="AQ344" s="187">
        <f t="shared" si="704"/>
        <v>13</v>
      </c>
      <c r="AR344" s="187">
        <f t="shared" si="705"/>
        <v>13</v>
      </c>
      <c r="AS344" s="187">
        <f t="shared" si="706"/>
        <v>13</v>
      </c>
      <c r="AT344" s="187">
        <f t="shared" si="707"/>
        <v>0</v>
      </c>
      <c r="AU344" s="187">
        <f t="shared" si="708"/>
        <v>0</v>
      </c>
      <c r="AV344" s="187">
        <f t="shared" si="709"/>
        <v>0</v>
      </c>
      <c r="AW344" s="187">
        <f t="shared" si="710"/>
        <v>0</v>
      </c>
      <c r="AX344" s="187">
        <f t="shared" si="711"/>
        <v>7</v>
      </c>
      <c r="AY344" s="187">
        <f t="shared" si="712"/>
        <v>0</v>
      </c>
      <c r="AZ344" s="187">
        <f t="shared" si="713"/>
        <v>7</v>
      </c>
      <c r="BA344" s="187">
        <f t="shared" si="714"/>
        <v>7</v>
      </c>
      <c r="BB344" s="187">
        <f t="shared" si="715"/>
        <v>0</v>
      </c>
      <c r="BC344" s="187">
        <f t="shared" si="716"/>
        <v>4</v>
      </c>
      <c r="BD344" s="187">
        <f t="shared" si="717"/>
        <v>0</v>
      </c>
      <c r="BE344" s="187">
        <f t="shared" si="718"/>
        <v>0</v>
      </c>
      <c r="BF344" s="187">
        <f t="shared" si="719"/>
        <v>0</v>
      </c>
      <c r="BG344" s="187">
        <f t="shared" si="720"/>
        <v>0</v>
      </c>
      <c r="BH344" s="187">
        <f t="shared" si="721"/>
        <v>0</v>
      </c>
      <c r="BI344" s="187">
        <f t="shared" si="722"/>
        <v>0</v>
      </c>
      <c r="BJ344" s="187">
        <f t="shared" si="723"/>
        <v>1</v>
      </c>
      <c r="BK344" s="187">
        <f t="shared" si="724"/>
        <v>0</v>
      </c>
      <c r="BL344" s="187">
        <f t="shared" si="725"/>
        <v>0</v>
      </c>
      <c r="BM344" s="187">
        <f t="shared" si="726"/>
        <v>0</v>
      </c>
      <c r="BN344" s="188">
        <f t="shared" si="727"/>
        <v>1</v>
      </c>
      <c r="BO344" s="187">
        <f t="shared" si="728"/>
        <v>0</v>
      </c>
      <c r="BP344" s="187">
        <f t="shared" ref="BP344:BQ344" si="1267">IF(G344=1,1,0)</f>
        <v>0</v>
      </c>
      <c r="BQ344" s="187">
        <f t="shared" si="1267"/>
        <v>0</v>
      </c>
      <c r="BR344" s="187">
        <f t="shared" ref="BR344:BT344" si="1268">IF(K344=1,1,0)</f>
        <v>0</v>
      </c>
      <c r="BS344" s="187">
        <f t="shared" si="1268"/>
        <v>0</v>
      </c>
      <c r="BT344" s="187">
        <f t="shared" si="1268"/>
        <v>0</v>
      </c>
      <c r="BU344" s="187">
        <f t="shared" ref="BU344:BV344" si="1269">IF(P344=1,1,0)</f>
        <v>0</v>
      </c>
      <c r="BV344" s="187">
        <f t="shared" si="1269"/>
        <v>0</v>
      </c>
      <c r="BW344" s="187">
        <f t="shared" si="732"/>
        <v>0</v>
      </c>
      <c r="BX344" s="187">
        <f t="shared" si="733"/>
        <v>0</v>
      </c>
      <c r="BY344" s="187">
        <f t="shared" si="734"/>
        <v>1</v>
      </c>
      <c r="BZ344" s="187">
        <f t="shared" si="735"/>
        <v>-1</v>
      </c>
      <c r="CA344" s="167">
        <f t="shared" si="736"/>
        <v>77</v>
      </c>
      <c r="CB344" s="167">
        <f t="shared" si="737"/>
        <v>94</v>
      </c>
      <c r="CC344" s="644">
        <f t="shared" si="738"/>
        <v>23</v>
      </c>
      <c r="CD344" s="644">
        <f t="shared" si="739"/>
        <v>19</v>
      </c>
      <c r="CE344" s="644">
        <f t="shared" si="740"/>
        <v>15</v>
      </c>
      <c r="CF344" s="644">
        <f t="shared" si="741"/>
        <v>15</v>
      </c>
      <c r="CG344" s="644">
        <f t="shared" si="742"/>
        <v>0</v>
      </c>
      <c r="CH344" s="644">
        <f>IF(D312=1,7,0)</f>
        <v>7</v>
      </c>
      <c r="CI344" s="644">
        <f t="shared" si="744"/>
        <v>0</v>
      </c>
      <c r="CJ344" s="644">
        <f t="shared" si="745"/>
        <v>5</v>
      </c>
      <c r="CK344" s="644">
        <f t="shared" si="746"/>
        <v>5</v>
      </c>
      <c r="CL344" s="644">
        <f t="shared" si="747"/>
        <v>5</v>
      </c>
      <c r="CM344" s="644">
        <f t="shared" si="748"/>
        <v>3</v>
      </c>
      <c r="CN344" s="644">
        <f t="shared" si="749"/>
        <v>3</v>
      </c>
      <c r="CO344" s="644">
        <f t="shared" si="750"/>
        <v>0</v>
      </c>
      <c r="CP344" s="644">
        <f t="shared" si="751"/>
        <v>0</v>
      </c>
      <c r="CQ344" s="644">
        <f t="shared" si="752"/>
        <v>0</v>
      </c>
      <c r="CR344" s="644">
        <f t="shared" si="753"/>
        <v>0</v>
      </c>
      <c r="CS344" s="644">
        <f t="shared" si="754"/>
        <v>0</v>
      </c>
      <c r="CT344" s="644">
        <f t="shared" si="755"/>
        <v>0</v>
      </c>
      <c r="CU344" s="644">
        <f t="shared" si="756"/>
        <v>0</v>
      </c>
      <c r="CV344" s="644">
        <f t="shared" si="757"/>
        <v>0</v>
      </c>
      <c r="CW344" s="644">
        <f t="shared" si="758"/>
        <v>0</v>
      </c>
      <c r="CX344" s="644">
        <f t="shared" si="759"/>
        <v>0</v>
      </c>
      <c r="CY344" s="644">
        <f t="shared" si="760"/>
        <v>0</v>
      </c>
      <c r="CZ344" s="624" t="s">
        <v>743</v>
      </c>
    </row>
    <row r="345" spans="1:104">
      <c r="A345" s="283" t="s">
        <v>473</v>
      </c>
      <c r="B345" s="641"/>
      <c r="C345" s="641"/>
      <c r="D345" s="284"/>
      <c r="E345" s="251">
        <v>1</v>
      </c>
      <c r="F345" s="251">
        <v>1</v>
      </c>
      <c r="G345" s="251"/>
      <c r="H345" s="251"/>
      <c r="I345" s="251">
        <v>1</v>
      </c>
      <c r="J345" s="251"/>
      <c r="K345" s="251"/>
      <c r="L345" s="251"/>
      <c r="M345" s="251"/>
      <c r="N345" s="251"/>
      <c r="O345" s="251"/>
      <c r="P345" s="251"/>
      <c r="Q345" s="251"/>
      <c r="R345" s="251">
        <v>1</v>
      </c>
      <c r="S345" s="251"/>
      <c r="T345" s="251"/>
      <c r="U345" s="251">
        <v>1</v>
      </c>
      <c r="V345" s="251"/>
      <c r="W345" s="251"/>
      <c r="X345" s="251">
        <v>1</v>
      </c>
      <c r="Y345" s="251"/>
      <c r="Z345" s="251">
        <v>1</v>
      </c>
      <c r="AA345" s="251"/>
      <c r="AB345" s="251">
        <v>1</v>
      </c>
      <c r="AC345" s="644"/>
      <c r="AD345" s="251"/>
      <c r="AE345" s="251"/>
      <c r="AF345" s="251">
        <v>1</v>
      </c>
      <c r="AG345" s="251"/>
      <c r="AH345" s="644">
        <v>1</v>
      </c>
      <c r="AI345" s="644"/>
      <c r="AJ345" s="644"/>
      <c r="AK345" s="644"/>
      <c r="AL345" s="167">
        <v>10</v>
      </c>
      <c r="AM345" s="191" t="str">
        <f t="shared" si="1263"/>
        <v>BBWAA.com</v>
      </c>
      <c r="AN345" s="192">
        <v>42014</v>
      </c>
      <c r="AO345" s="187"/>
      <c r="AP345" s="187">
        <f t="shared" si="703"/>
        <v>13</v>
      </c>
      <c r="AQ345" s="187">
        <f t="shared" si="704"/>
        <v>13</v>
      </c>
      <c r="AR345" s="187">
        <f t="shared" si="705"/>
        <v>13</v>
      </c>
      <c r="AS345" s="187">
        <f t="shared" si="706"/>
        <v>13</v>
      </c>
      <c r="AT345" s="187">
        <f t="shared" si="707"/>
        <v>9</v>
      </c>
      <c r="AU345" s="187">
        <f t="shared" si="708"/>
        <v>0</v>
      </c>
      <c r="AV345" s="187">
        <f t="shared" si="709"/>
        <v>0</v>
      </c>
      <c r="AW345" s="187">
        <f t="shared" si="710"/>
        <v>0</v>
      </c>
      <c r="AX345" s="187">
        <f t="shared" si="711"/>
        <v>0</v>
      </c>
      <c r="AY345" s="187">
        <f t="shared" si="712"/>
        <v>7</v>
      </c>
      <c r="AZ345" s="187">
        <f t="shared" si="713"/>
        <v>7</v>
      </c>
      <c r="BA345" s="187">
        <f t="shared" si="714"/>
        <v>7</v>
      </c>
      <c r="BB345" s="187">
        <f t="shared" si="715"/>
        <v>0</v>
      </c>
      <c r="BC345" s="187">
        <f t="shared" si="716"/>
        <v>0</v>
      </c>
      <c r="BD345" s="187">
        <f t="shared" si="717"/>
        <v>4</v>
      </c>
      <c r="BE345" s="187">
        <f t="shared" si="718"/>
        <v>3</v>
      </c>
      <c r="BF345" s="187">
        <f t="shared" si="719"/>
        <v>0</v>
      </c>
      <c r="BG345" s="187">
        <f t="shared" si="720"/>
        <v>0</v>
      </c>
      <c r="BH345" s="187">
        <f t="shared" si="721"/>
        <v>0</v>
      </c>
      <c r="BI345" s="187">
        <f t="shared" si="722"/>
        <v>0</v>
      </c>
      <c r="BJ345" s="187">
        <f t="shared" si="723"/>
        <v>0</v>
      </c>
      <c r="BK345" s="187">
        <f t="shared" si="724"/>
        <v>0</v>
      </c>
      <c r="BL345" s="187">
        <f t="shared" si="725"/>
        <v>0</v>
      </c>
      <c r="BM345" s="187">
        <f t="shared" si="726"/>
        <v>0</v>
      </c>
      <c r="BN345" s="188">
        <f t="shared" si="727"/>
        <v>0</v>
      </c>
      <c r="BO345" s="187">
        <f t="shared" si="728"/>
        <v>0</v>
      </c>
      <c r="BP345" s="187">
        <f t="shared" ref="BP345:BQ345" si="1270">IF(G345=1,1,0)</f>
        <v>0</v>
      </c>
      <c r="BQ345" s="187">
        <f t="shared" si="1270"/>
        <v>0</v>
      </c>
      <c r="BR345" s="187">
        <f t="shared" ref="BR345:BT345" si="1271">IF(K345=1,1,0)</f>
        <v>0</v>
      </c>
      <c r="BS345" s="187">
        <f t="shared" si="1271"/>
        <v>0</v>
      </c>
      <c r="BT345" s="187">
        <f t="shared" si="1271"/>
        <v>0</v>
      </c>
      <c r="BU345" s="187">
        <f t="shared" ref="BU345:BV345" si="1272">IF(P345=1,1,0)</f>
        <v>0</v>
      </c>
      <c r="BV345" s="187">
        <f t="shared" si="1272"/>
        <v>0</v>
      </c>
      <c r="BW345" s="187">
        <f t="shared" si="732"/>
        <v>0</v>
      </c>
      <c r="BX345" s="187">
        <f t="shared" si="733"/>
        <v>0</v>
      </c>
      <c r="BY345" s="187">
        <f t="shared" si="734"/>
        <v>0</v>
      </c>
      <c r="BZ345" s="187">
        <f t="shared" si="735"/>
        <v>0</v>
      </c>
      <c r="CA345" s="167">
        <f t="shared" si="736"/>
        <v>89</v>
      </c>
      <c r="CB345" s="167">
        <f t="shared" si="737"/>
        <v>98</v>
      </c>
      <c r="CC345" s="644">
        <f t="shared" si="738"/>
        <v>23</v>
      </c>
      <c r="CD345" s="644">
        <f t="shared" si="739"/>
        <v>19</v>
      </c>
      <c r="CE345" s="644">
        <f t="shared" si="740"/>
        <v>15</v>
      </c>
      <c r="CF345" s="644">
        <f t="shared" si="741"/>
        <v>15</v>
      </c>
      <c r="CG345" s="644">
        <f t="shared" si="742"/>
        <v>9</v>
      </c>
      <c r="CH345" s="644">
        <f>IF(D312=1,7,0)</f>
        <v>7</v>
      </c>
      <c r="CI345" s="644">
        <f t="shared" si="744"/>
        <v>0</v>
      </c>
      <c r="CJ345" s="644">
        <f t="shared" si="745"/>
        <v>0</v>
      </c>
      <c r="CK345" s="644">
        <f t="shared" si="746"/>
        <v>5</v>
      </c>
      <c r="CL345" s="644">
        <f t="shared" si="747"/>
        <v>5</v>
      </c>
      <c r="CM345" s="644">
        <f t="shared" si="748"/>
        <v>0</v>
      </c>
      <c r="CN345" s="644">
        <f t="shared" si="749"/>
        <v>0</v>
      </c>
      <c r="CO345" s="644">
        <f t="shared" si="750"/>
        <v>0</v>
      </c>
      <c r="CP345" s="644">
        <f t="shared" si="751"/>
        <v>3</v>
      </c>
      <c r="CQ345" s="644">
        <f t="shared" si="752"/>
        <v>0</v>
      </c>
      <c r="CR345" s="644">
        <f t="shared" si="753"/>
        <v>0</v>
      </c>
      <c r="CS345" s="644">
        <f t="shared" si="754"/>
        <v>0</v>
      </c>
      <c r="CT345" s="644">
        <f t="shared" si="755"/>
        <v>2</v>
      </c>
      <c r="CU345" s="644">
        <f t="shared" si="756"/>
        <v>1</v>
      </c>
      <c r="CV345" s="644">
        <f t="shared" si="757"/>
        <v>0</v>
      </c>
      <c r="CW345" s="644">
        <f t="shared" si="758"/>
        <v>0</v>
      </c>
      <c r="CX345" s="644">
        <f t="shared" si="759"/>
        <v>0</v>
      </c>
      <c r="CY345" s="644">
        <f t="shared" si="760"/>
        <v>0</v>
      </c>
      <c r="CZ345" s="624" t="s">
        <v>841</v>
      </c>
    </row>
    <row r="346" spans="1:104">
      <c r="A346" s="283" t="s">
        <v>401</v>
      </c>
      <c r="B346" s="641"/>
      <c r="C346" s="641"/>
      <c r="D346" s="284"/>
      <c r="E346" s="251">
        <v>1</v>
      </c>
      <c r="F346" s="251">
        <v>1</v>
      </c>
      <c r="G346" s="251"/>
      <c r="H346" s="251"/>
      <c r="I346" s="251">
        <v>1</v>
      </c>
      <c r="J346" s="251"/>
      <c r="K346" s="251"/>
      <c r="L346" s="251"/>
      <c r="M346" s="251"/>
      <c r="N346" s="251"/>
      <c r="O346" s="251"/>
      <c r="P346" s="251"/>
      <c r="Q346" s="251"/>
      <c r="R346" s="251">
        <v>1</v>
      </c>
      <c r="S346" s="251"/>
      <c r="T346" s="251"/>
      <c r="U346" s="251">
        <v>1</v>
      </c>
      <c r="V346" s="251"/>
      <c r="W346" s="251"/>
      <c r="X346" s="251">
        <v>1</v>
      </c>
      <c r="Y346" s="251"/>
      <c r="Z346" s="251"/>
      <c r="AA346" s="251"/>
      <c r="AB346" s="251"/>
      <c r="AC346" s="644">
        <v>1</v>
      </c>
      <c r="AD346" s="251"/>
      <c r="AE346" s="251"/>
      <c r="AF346" s="251"/>
      <c r="AG346" s="251"/>
      <c r="AH346" s="644">
        <v>1</v>
      </c>
      <c r="AI346" s="644">
        <v>1</v>
      </c>
      <c r="AJ346" s="644"/>
      <c r="AK346" s="644"/>
      <c r="AL346" s="167">
        <v>9</v>
      </c>
      <c r="AM346" s="641" t="s">
        <v>1137</v>
      </c>
      <c r="AN346" s="192">
        <v>42015</v>
      </c>
      <c r="AO346" s="187"/>
      <c r="AP346" s="187">
        <f t="shared" si="703"/>
        <v>13</v>
      </c>
      <c r="AQ346" s="187">
        <f t="shared" si="704"/>
        <v>13</v>
      </c>
      <c r="AR346" s="187">
        <f t="shared" si="705"/>
        <v>13</v>
      </c>
      <c r="AS346" s="187">
        <f t="shared" si="706"/>
        <v>13</v>
      </c>
      <c r="AT346" s="187">
        <f t="shared" si="707"/>
        <v>0</v>
      </c>
      <c r="AU346" s="187">
        <f t="shared" si="708"/>
        <v>0</v>
      </c>
      <c r="AV346" s="187">
        <f t="shared" si="709"/>
        <v>9</v>
      </c>
      <c r="AW346" s="187">
        <f t="shared" si="710"/>
        <v>0</v>
      </c>
      <c r="AX346" s="187">
        <f t="shared" si="711"/>
        <v>0</v>
      </c>
      <c r="AY346" s="187">
        <f t="shared" si="712"/>
        <v>0</v>
      </c>
      <c r="AZ346" s="187">
        <f t="shared" si="713"/>
        <v>7</v>
      </c>
      <c r="BA346" s="187">
        <f t="shared" si="714"/>
        <v>7</v>
      </c>
      <c r="BB346" s="187">
        <f t="shared" si="715"/>
        <v>0</v>
      </c>
      <c r="BC346" s="187">
        <f t="shared" si="716"/>
        <v>0</v>
      </c>
      <c r="BD346" s="187">
        <f t="shared" si="717"/>
        <v>4</v>
      </c>
      <c r="BE346" s="187">
        <f t="shared" si="718"/>
        <v>0</v>
      </c>
      <c r="BF346" s="187">
        <f t="shared" si="719"/>
        <v>0</v>
      </c>
      <c r="BG346" s="187">
        <f t="shared" si="720"/>
        <v>2</v>
      </c>
      <c r="BH346" s="187">
        <f t="shared" si="721"/>
        <v>0</v>
      </c>
      <c r="BI346" s="187">
        <f t="shared" si="722"/>
        <v>0</v>
      </c>
      <c r="BJ346" s="187">
        <f t="shared" si="723"/>
        <v>0</v>
      </c>
      <c r="BK346" s="187">
        <f t="shared" si="724"/>
        <v>0</v>
      </c>
      <c r="BL346" s="187">
        <f t="shared" si="725"/>
        <v>0</v>
      </c>
      <c r="BM346" s="187">
        <f t="shared" si="726"/>
        <v>0</v>
      </c>
      <c r="BN346" s="188">
        <f t="shared" si="727"/>
        <v>1</v>
      </c>
      <c r="BO346" s="187">
        <f t="shared" si="728"/>
        <v>0</v>
      </c>
      <c r="BP346" s="187">
        <f t="shared" ref="BP346:BQ346" si="1273">IF(G346=1,1,0)</f>
        <v>0</v>
      </c>
      <c r="BQ346" s="187">
        <f t="shared" si="1273"/>
        <v>0</v>
      </c>
      <c r="BR346" s="187">
        <f t="shared" ref="BR346:BT346" si="1274">IF(K346=1,1,0)</f>
        <v>0</v>
      </c>
      <c r="BS346" s="187">
        <f t="shared" si="1274"/>
        <v>0</v>
      </c>
      <c r="BT346" s="187">
        <f t="shared" si="1274"/>
        <v>0</v>
      </c>
      <c r="BU346" s="187">
        <f t="shared" ref="BU346:BV346" si="1275">IF(P346=1,1,0)</f>
        <v>0</v>
      </c>
      <c r="BV346" s="187">
        <f t="shared" si="1275"/>
        <v>0</v>
      </c>
      <c r="BW346" s="187">
        <f t="shared" si="732"/>
        <v>0</v>
      </c>
      <c r="BX346" s="187">
        <f t="shared" si="733"/>
        <v>0</v>
      </c>
      <c r="BY346" s="187">
        <f t="shared" si="734"/>
        <v>1</v>
      </c>
      <c r="BZ346" s="187">
        <f t="shared" si="735"/>
        <v>-1</v>
      </c>
      <c r="CA346" s="167">
        <f t="shared" si="736"/>
        <v>80</v>
      </c>
      <c r="CB346" s="167">
        <f t="shared" si="737"/>
        <v>96</v>
      </c>
      <c r="CC346" s="644">
        <f t="shared" si="738"/>
        <v>23</v>
      </c>
      <c r="CD346" s="644">
        <f t="shared" si="739"/>
        <v>19</v>
      </c>
      <c r="CE346" s="644">
        <f t="shared" si="740"/>
        <v>15</v>
      </c>
      <c r="CF346" s="644">
        <f t="shared" si="741"/>
        <v>15</v>
      </c>
      <c r="CG346" s="644">
        <f t="shared" si="742"/>
        <v>0</v>
      </c>
      <c r="CH346" s="644">
        <f>IF(D313=1,7,0)</f>
        <v>7</v>
      </c>
      <c r="CI346" s="644">
        <f t="shared" si="744"/>
        <v>7</v>
      </c>
      <c r="CJ346" s="644">
        <f t="shared" si="745"/>
        <v>0</v>
      </c>
      <c r="CK346" s="644">
        <f t="shared" si="746"/>
        <v>5</v>
      </c>
      <c r="CL346" s="644">
        <f t="shared" si="747"/>
        <v>5</v>
      </c>
      <c r="CM346" s="644">
        <f t="shared" si="748"/>
        <v>0</v>
      </c>
      <c r="CN346" s="644">
        <f t="shared" si="749"/>
        <v>0</v>
      </c>
      <c r="CO346" s="644">
        <f t="shared" si="750"/>
        <v>0</v>
      </c>
      <c r="CP346" s="644">
        <f t="shared" si="751"/>
        <v>0</v>
      </c>
      <c r="CQ346" s="644">
        <f t="shared" si="752"/>
        <v>0</v>
      </c>
      <c r="CR346" s="644">
        <f t="shared" si="753"/>
        <v>0</v>
      </c>
      <c r="CS346" s="644">
        <f t="shared" si="754"/>
        <v>0</v>
      </c>
      <c r="CT346" s="644">
        <f t="shared" si="755"/>
        <v>0</v>
      </c>
      <c r="CU346" s="644">
        <f t="shared" si="756"/>
        <v>1</v>
      </c>
      <c r="CV346" s="644">
        <f t="shared" si="757"/>
        <v>0</v>
      </c>
      <c r="CW346" s="644">
        <f t="shared" si="758"/>
        <v>1</v>
      </c>
      <c r="CX346" s="644">
        <f t="shared" si="759"/>
        <v>0</v>
      </c>
      <c r="CY346" s="644">
        <f t="shared" si="760"/>
        <v>0</v>
      </c>
      <c r="CZ346" s="624" t="s">
        <v>805</v>
      </c>
    </row>
    <row r="347" spans="1:104">
      <c r="A347" s="283" t="s">
        <v>1372</v>
      </c>
      <c r="B347" s="641"/>
      <c r="C347" s="641"/>
      <c r="D347" s="284">
        <v>1</v>
      </c>
      <c r="E347" s="251">
        <v>1</v>
      </c>
      <c r="F347" s="251"/>
      <c r="G347" s="251"/>
      <c r="H347" s="251"/>
      <c r="I347" s="251"/>
      <c r="J347" s="251">
        <v>1</v>
      </c>
      <c r="K347" s="251"/>
      <c r="L347" s="251"/>
      <c r="M347" s="251"/>
      <c r="N347" s="251"/>
      <c r="O347" s="251"/>
      <c r="P347" s="251"/>
      <c r="Q347" s="251"/>
      <c r="R347" s="251">
        <v>1</v>
      </c>
      <c r="S347" s="251"/>
      <c r="T347" s="251"/>
      <c r="U347" s="251">
        <v>1</v>
      </c>
      <c r="V347" s="251"/>
      <c r="W347" s="251"/>
      <c r="X347" s="251"/>
      <c r="Y347" s="251"/>
      <c r="Z347" s="251"/>
      <c r="AA347" s="251"/>
      <c r="AB347" s="251">
        <v>1</v>
      </c>
      <c r="AC347" s="644"/>
      <c r="AD347" s="251">
        <v>1</v>
      </c>
      <c r="AE347" s="251"/>
      <c r="AF347" s="251">
        <v>1</v>
      </c>
      <c r="AG347" s="251">
        <v>1</v>
      </c>
      <c r="AH347" s="644">
        <v>1</v>
      </c>
      <c r="AI347" s="644"/>
      <c r="AJ347" s="644"/>
      <c r="AK347" s="644"/>
      <c r="AL347" s="167">
        <v>10</v>
      </c>
      <c r="AM347" s="191" t="str">
        <f>HYPERLINK("http://bbwaa.com/15-hof-ballots/", "BBWAA.com")</f>
        <v>BBWAA.com</v>
      </c>
      <c r="AN347" s="192">
        <v>42016</v>
      </c>
      <c r="AO347" s="187"/>
      <c r="AP347" s="187">
        <f t="shared" si="703"/>
        <v>0</v>
      </c>
      <c r="AQ347" s="187">
        <f t="shared" si="704"/>
        <v>0</v>
      </c>
      <c r="AR347" s="187">
        <f t="shared" si="705"/>
        <v>13</v>
      </c>
      <c r="AS347" s="187">
        <f t="shared" si="706"/>
        <v>13</v>
      </c>
      <c r="AT347" s="187">
        <f t="shared" si="707"/>
        <v>9</v>
      </c>
      <c r="AU347" s="187">
        <f t="shared" si="708"/>
        <v>9</v>
      </c>
      <c r="AV347" s="187">
        <f t="shared" si="709"/>
        <v>0</v>
      </c>
      <c r="AW347" s="187">
        <f t="shared" si="710"/>
        <v>0</v>
      </c>
      <c r="AX347" s="187">
        <f t="shared" si="711"/>
        <v>7</v>
      </c>
      <c r="AY347" s="187">
        <f t="shared" si="712"/>
        <v>0</v>
      </c>
      <c r="AZ347" s="187">
        <f t="shared" si="713"/>
        <v>7</v>
      </c>
      <c r="BA347" s="187">
        <f t="shared" si="714"/>
        <v>7</v>
      </c>
      <c r="BB347" s="187">
        <f t="shared" si="715"/>
        <v>0</v>
      </c>
      <c r="BC347" s="187">
        <f t="shared" si="716"/>
        <v>0</v>
      </c>
      <c r="BD347" s="187">
        <f t="shared" si="717"/>
        <v>0</v>
      </c>
      <c r="BE347" s="187">
        <f t="shared" si="718"/>
        <v>3</v>
      </c>
      <c r="BF347" s="187">
        <f t="shared" si="719"/>
        <v>0</v>
      </c>
      <c r="BG347" s="187">
        <f t="shared" si="720"/>
        <v>0</v>
      </c>
      <c r="BH347" s="187">
        <f t="shared" si="721"/>
        <v>0</v>
      </c>
      <c r="BI347" s="187">
        <f t="shared" si="722"/>
        <v>0</v>
      </c>
      <c r="BJ347" s="187">
        <f t="shared" si="723"/>
        <v>1</v>
      </c>
      <c r="BK347" s="187">
        <f t="shared" si="724"/>
        <v>0</v>
      </c>
      <c r="BL347" s="187">
        <f t="shared" si="725"/>
        <v>1</v>
      </c>
      <c r="BM347" s="187">
        <f t="shared" si="726"/>
        <v>0</v>
      </c>
      <c r="BN347" s="188">
        <f t="shared" si="727"/>
        <v>0</v>
      </c>
      <c r="BO347" s="187">
        <f t="shared" si="728"/>
        <v>0</v>
      </c>
      <c r="BP347" s="187">
        <f t="shared" ref="BP347:BQ347" si="1276">IF(G347=1,1,0)</f>
        <v>0</v>
      </c>
      <c r="BQ347" s="187">
        <f t="shared" si="1276"/>
        <v>0</v>
      </c>
      <c r="BR347" s="187">
        <f t="shared" ref="BR347:BT347" si="1277">IF(K347=1,1,0)</f>
        <v>0</v>
      </c>
      <c r="BS347" s="187">
        <f t="shared" si="1277"/>
        <v>0</v>
      </c>
      <c r="BT347" s="187">
        <f t="shared" si="1277"/>
        <v>0</v>
      </c>
      <c r="BU347" s="187">
        <f t="shared" ref="BU347:BV347" si="1278">IF(P347=1,1,0)</f>
        <v>0</v>
      </c>
      <c r="BV347" s="187">
        <f t="shared" si="1278"/>
        <v>0</v>
      </c>
      <c r="BW347" s="187">
        <f t="shared" si="732"/>
        <v>0</v>
      </c>
      <c r="BX347" s="187">
        <f t="shared" si="733"/>
        <v>0</v>
      </c>
      <c r="BY347" s="187">
        <f t="shared" si="734"/>
        <v>0</v>
      </c>
      <c r="BZ347" s="187">
        <f t="shared" si="735"/>
        <v>0</v>
      </c>
      <c r="CA347" s="167">
        <f t="shared" si="736"/>
        <v>70</v>
      </c>
      <c r="CB347" s="167">
        <f t="shared" si="737"/>
        <v>91</v>
      </c>
      <c r="CC347" s="644">
        <f t="shared" si="738"/>
        <v>23</v>
      </c>
      <c r="CD347" s="644">
        <f t="shared" si="739"/>
        <v>19</v>
      </c>
      <c r="CE347" s="644">
        <f t="shared" si="740"/>
        <v>15</v>
      </c>
      <c r="CF347" s="644">
        <f t="shared" si="741"/>
        <v>15</v>
      </c>
      <c r="CG347" s="644">
        <f t="shared" si="742"/>
        <v>9</v>
      </c>
      <c r="CH347" s="644">
        <f>IF(D314=1,7,0)</f>
        <v>0</v>
      </c>
      <c r="CI347" s="644">
        <f t="shared" si="744"/>
        <v>0</v>
      </c>
      <c r="CJ347" s="644">
        <f t="shared" si="745"/>
        <v>5</v>
      </c>
      <c r="CK347" s="644">
        <f t="shared" si="746"/>
        <v>0</v>
      </c>
      <c r="CL347" s="644">
        <f t="shared" si="747"/>
        <v>0</v>
      </c>
      <c r="CM347" s="644">
        <f t="shared" si="748"/>
        <v>3</v>
      </c>
      <c r="CN347" s="644">
        <f t="shared" si="749"/>
        <v>0</v>
      </c>
      <c r="CO347" s="644">
        <f t="shared" si="750"/>
        <v>0</v>
      </c>
      <c r="CP347" s="644">
        <f t="shared" si="751"/>
        <v>0</v>
      </c>
      <c r="CQ347" s="644">
        <f t="shared" si="752"/>
        <v>0</v>
      </c>
      <c r="CR347" s="644">
        <f t="shared" si="753"/>
        <v>0</v>
      </c>
      <c r="CS347" s="644">
        <f t="shared" si="754"/>
        <v>0</v>
      </c>
      <c r="CT347" s="644">
        <f t="shared" si="755"/>
        <v>2</v>
      </c>
      <c r="CU347" s="644">
        <f t="shared" si="756"/>
        <v>0</v>
      </c>
      <c r="CV347" s="644">
        <f t="shared" si="757"/>
        <v>0</v>
      </c>
      <c r="CW347" s="644">
        <f t="shared" si="758"/>
        <v>0</v>
      </c>
      <c r="CX347" s="644">
        <f t="shared" si="759"/>
        <v>0</v>
      </c>
      <c r="CY347" s="644">
        <f t="shared" si="760"/>
        <v>1</v>
      </c>
      <c r="CZ347" s="624" t="s">
        <v>743</v>
      </c>
    </row>
    <row r="348" spans="1:104">
      <c r="A348" s="283" t="s">
        <v>1373</v>
      </c>
      <c r="B348" s="641"/>
      <c r="C348" s="641"/>
      <c r="D348" s="284"/>
      <c r="E348" s="251">
        <v>1</v>
      </c>
      <c r="F348" s="251"/>
      <c r="G348" s="251"/>
      <c r="H348" s="251"/>
      <c r="I348" s="251"/>
      <c r="J348" s="251"/>
      <c r="K348" s="251"/>
      <c r="L348" s="251"/>
      <c r="M348" s="251"/>
      <c r="N348" s="251"/>
      <c r="O348" s="251"/>
      <c r="P348" s="251"/>
      <c r="Q348" s="251"/>
      <c r="R348" s="251">
        <v>1</v>
      </c>
      <c r="S348" s="251"/>
      <c r="T348" s="251"/>
      <c r="U348" s="251">
        <v>1</v>
      </c>
      <c r="V348" s="251"/>
      <c r="W348" s="251"/>
      <c r="X348" s="251"/>
      <c r="Y348" s="251"/>
      <c r="Z348" s="251"/>
      <c r="AA348" s="251"/>
      <c r="AB348" s="251">
        <v>1</v>
      </c>
      <c r="AC348" s="644"/>
      <c r="AD348" s="251"/>
      <c r="AE348" s="251"/>
      <c r="AF348" s="251"/>
      <c r="AG348" s="251"/>
      <c r="AH348" s="644">
        <v>1</v>
      </c>
      <c r="AI348" s="644"/>
      <c r="AJ348" s="644"/>
      <c r="AK348" s="644"/>
      <c r="AL348" s="167">
        <v>5</v>
      </c>
      <c r="AM348" s="191" t="s">
        <v>1374</v>
      </c>
      <c r="AN348" s="192">
        <v>42014</v>
      </c>
      <c r="AO348" s="187"/>
      <c r="AP348" s="187">
        <f t="shared" si="703"/>
        <v>0</v>
      </c>
      <c r="AQ348" s="187">
        <f t="shared" si="704"/>
        <v>0</v>
      </c>
      <c r="AR348" s="187">
        <f t="shared" si="705"/>
        <v>13</v>
      </c>
      <c r="AS348" s="187">
        <f t="shared" si="706"/>
        <v>13</v>
      </c>
      <c r="AT348" s="187">
        <f t="shared" si="707"/>
        <v>9</v>
      </c>
      <c r="AU348" s="187">
        <f t="shared" si="708"/>
        <v>0</v>
      </c>
      <c r="AV348" s="187">
        <f t="shared" si="709"/>
        <v>0</v>
      </c>
      <c r="AW348" s="187">
        <f t="shared" si="710"/>
        <v>0</v>
      </c>
      <c r="AX348" s="187">
        <f t="shared" si="711"/>
        <v>0</v>
      </c>
      <c r="AY348" s="187">
        <f t="shared" si="712"/>
        <v>0</v>
      </c>
      <c r="AZ348" s="187">
        <f t="shared" si="713"/>
        <v>7</v>
      </c>
      <c r="BA348" s="187">
        <f t="shared" si="714"/>
        <v>7</v>
      </c>
      <c r="BB348" s="187">
        <f t="shared" si="715"/>
        <v>0</v>
      </c>
      <c r="BC348" s="187">
        <f t="shared" si="716"/>
        <v>0</v>
      </c>
      <c r="BD348" s="187">
        <f t="shared" si="717"/>
        <v>0</v>
      </c>
      <c r="BE348" s="187">
        <f t="shared" si="718"/>
        <v>0</v>
      </c>
      <c r="BF348" s="187">
        <f t="shared" si="719"/>
        <v>0</v>
      </c>
      <c r="BG348" s="187">
        <f t="shared" si="720"/>
        <v>0</v>
      </c>
      <c r="BH348" s="187">
        <f t="shared" si="721"/>
        <v>0</v>
      </c>
      <c r="BI348" s="187">
        <f t="shared" si="722"/>
        <v>0</v>
      </c>
      <c r="BJ348" s="187">
        <f t="shared" si="723"/>
        <v>0</v>
      </c>
      <c r="BK348" s="187">
        <f t="shared" si="724"/>
        <v>0</v>
      </c>
      <c r="BL348" s="187">
        <f t="shared" si="725"/>
        <v>0</v>
      </c>
      <c r="BM348" s="187">
        <f t="shared" si="726"/>
        <v>0</v>
      </c>
      <c r="BN348" s="188">
        <f t="shared" si="727"/>
        <v>5</v>
      </c>
      <c r="BO348" s="187">
        <f t="shared" si="728"/>
        <v>0</v>
      </c>
      <c r="BP348" s="187">
        <f t="shared" ref="BP348:BQ348" si="1279">IF(G348=1,1,0)</f>
        <v>0</v>
      </c>
      <c r="BQ348" s="187">
        <f t="shared" si="1279"/>
        <v>0</v>
      </c>
      <c r="BR348" s="187">
        <f t="shared" ref="BR348:BT348" si="1280">IF(K348=1,1,0)</f>
        <v>0</v>
      </c>
      <c r="BS348" s="187">
        <f t="shared" si="1280"/>
        <v>0</v>
      </c>
      <c r="BT348" s="187">
        <f t="shared" si="1280"/>
        <v>0</v>
      </c>
      <c r="BU348" s="187">
        <f t="shared" ref="BU348:BV348" si="1281">IF(P348=1,1,0)</f>
        <v>0</v>
      </c>
      <c r="BV348" s="187">
        <f t="shared" si="1281"/>
        <v>0</v>
      </c>
      <c r="BW348" s="187">
        <f t="shared" si="732"/>
        <v>0</v>
      </c>
      <c r="BX348" s="187">
        <f t="shared" si="733"/>
        <v>0</v>
      </c>
      <c r="BY348" s="187">
        <f t="shared" si="734"/>
        <v>5</v>
      </c>
      <c r="BZ348" s="187">
        <f t="shared" si="735"/>
        <v>-25</v>
      </c>
      <c r="CA348" s="167">
        <f t="shared" si="736"/>
        <v>24</v>
      </c>
      <c r="CB348" s="167">
        <f t="shared" si="737"/>
        <v>81</v>
      </c>
      <c r="CC348" s="644">
        <f t="shared" si="738"/>
        <v>23</v>
      </c>
      <c r="CD348" s="644">
        <f t="shared" si="739"/>
        <v>19</v>
      </c>
      <c r="CE348" s="644">
        <f t="shared" si="740"/>
        <v>15</v>
      </c>
      <c r="CF348" s="644">
        <f t="shared" si="741"/>
        <v>15</v>
      </c>
      <c r="CG348" s="644">
        <f t="shared" si="742"/>
        <v>9</v>
      </c>
      <c r="CH348" s="644">
        <f>IF(D311=1,7,0)</f>
        <v>0</v>
      </c>
      <c r="CI348" s="644">
        <f t="shared" si="744"/>
        <v>0</v>
      </c>
      <c r="CJ348" s="644">
        <f t="shared" si="745"/>
        <v>0</v>
      </c>
      <c r="CK348" s="644">
        <f t="shared" si="746"/>
        <v>0</v>
      </c>
      <c r="CL348" s="644">
        <f t="shared" si="747"/>
        <v>0</v>
      </c>
      <c r="CM348" s="644">
        <f t="shared" si="748"/>
        <v>0</v>
      </c>
      <c r="CN348" s="644">
        <f t="shared" si="749"/>
        <v>0</v>
      </c>
      <c r="CO348" s="644">
        <f t="shared" si="750"/>
        <v>0</v>
      </c>
      <c r="CP348" s="644">
        <f t="shared" si="751"/>
        <v>0</v>
      </c>
      <c r="CQ348" s="644">
        <f t="shared" si="752"/>
        <v>0</v>
      </c>
      <c r="CR348" s="644">
        <f t="shared" si="753"/>
        <v>0</v>
      </c>
      <c r="CS348" s="644">
        <f t="shared" si="754"/>
        <v>0</v>
      </c>
      <c r="CT348" s="644">
        <f t="shared" si="755"/>
        <v>0</v>
      </c>
      <c r="CU348" s="644">
        <f t="shared" si="756"/>
        <v>0</v>
      </c>
      <c r="CV348" s="644">
        <f t="shared" si="757"/>
        <v>0</v>
      </c>
      <c r="CW348" s="644">
        <f t="shared" si="758"/>
        <v>0</v>
      </c>
      <c r="CX348" s="644">
        <f t="shared" si="759"/>
        <v>0</v>
      </c>
      <c r="CY348" s="644">
        <f t="shared" si="760"/>
        <v>0</v>
      </c>
      <c r="CZ348" s="624" t="s">
        <v>750</v>
      </c>
    </row>
    <row r="349" spans="1:104">
      <c r="A349" s="283" t="s">
        <v>1011</v>
      </c>
      <c r="B349" s="641"/>
      <c r="C349" s="641"/>
      <c r="D349" s="284"/>
      <c r="E349" s="251">
        <v>1</v>
      </c>
      <c r="F349" s="251"/>
      <c r="G349" s="251"/>
      <c r="H349" s="251"/>
      <c r="I349" s="251"/>
      <c r="J349" s="251"/>
      <c r="K349" s="251"/>
      <c r="L349" s="251"/>
      <c r="M349" s="251"/>
      <c r="N349" s="251"/>
      <c r="O349" s="251"/>
      <c r="P349" s="251"/>
      <c r="Q349" s="251"/>
      <c r="R349" s="251">
        <v>1</v>
      </c>
      <c r="S349" s="251"/>
      <c r="T349" s="251">
        <v>1</v>
      </c>
      <c r="U349" s="251">
        <v>1</v>
      </c>
      <c r="V349" s="251"/>
      <c r="W349" s="251"/>
      <c r="X349" s="251"/>
      <c r="Y349" s="251"/>
      <c r="Z349" s="251">
        <v>1</v>
      </c>
      <c r="AA349" s="251"/>
      <c r="AB349" s="251"/>
      <c r="AC349" s="644"/>
      <c r="AD349" s="251"/>
      <c r="AE349" s="251"/>
      <c r="AF349" s="251"/>
      <c r="AG349" s="251"/>
      <c r="AH349" s="644">
        <v>1</v>
      </c>
      <c r="AI349" s="644"/>
      <c r="AJ349" s="644">
        <v>1</v>
      </c>
      <c r="AK349" s="644"/>
      <c r="AL349" s="167">
        <v>7</v>
      </c>
      <c r="AM349" s="191" t="str">
        <f t="shared" ref="AM349:AM350" si="1282">HYPERLINK("http://bbwaa.com/15-hof-ballots/", "BBWAA.com")</f>
        <v>BBWAA.com</v>
      </c>
      <c r="AN349" s="192">
        <v>42013</v>
      </c>
      <c r="AO349" s="187"/>
      <c r="AP349" s="187">
        <f t="shared" si="703"/>
        <v>0</v>
      </c>
      <c r="AQ349" s="187">
        <f t="shared" si="704"/>
        <v>0</v>
      </c>
      <c r="AR349" s="187">
        <f t="shared" si="705"/>
        <v>13</v>
      </c>
      <c r="AS349" s="187">
        <f t="shared" si="706"/>
        <v>13</v>
      </c>
      <c r="AT349" s="187">
        <f t="shared" si="707"/>
        <v>0</v>
      </c>
      <c r="AU349" s="187">
        <f t="shared" si="708"/>
        <v>0</v>
      </c>
      <c r="AV349" s="187">
        <f t="shared" si="709"/>
        <v>0</v>
      </c>
      <c r="AW349" s="187">
        <f t="shared" si="710"/>
        <v>7</v>
      </c>
      <c r="AX349" s="187">
        <f t="shared" si="711"/>
        <v>0</v>
      </c>
      <c r="AY349" s="187">
        <f t="shared" si="712"/>
        <v>7</v>
      </c>
      <c r="AZ349" s="187">
        <f t="shared" si="713"/>
        <v>7</v>
      </c>
      <c r="BA349" s="187">
        <f t="shared" si="714"/>
        <v>7</v>
      </c>
      <c r="BB349" s="187">
        <f t="shared" si="715"/>
        <v>0</v>
      </c>
      <c r="BC349" s="187">
        <f t="shared" si="716"/>
        <v>4</v>
      </c>
      <c r="BD349" s="187">
        <f t="shared" si="717"/>
        <v>0</v>
      </c>
      <c r="BE349" s="187">
        <f t="shared" si="718"/>
        <v>0</v>
      </c>
      <c r="BF349" s="187">
        <f t="shared" si="719"/>
        <v>0</v>
      </c>
      <c r="BG349" s="187">
        <f t="shared" si="720"/>
        <v>0</v>
      </c>
      <c r="BH349" s="187">
        <f t="shared" si="721"/>
        <v>0</v>
      </c>
      <c r="BI349" s="187">
        <f t="shared" si="722"/>
        <v>0</v>
      </c>
      <c r="BJ349" s="187">
        <f t="shared" si="723"/>
        <v>0</v>
      </c>
      <c r="BK349" s="187">
        <f t="shared" si="724"/>
        <v>0</v>
      </c>
      <c r="BL349" s="187">
        <f t="shared" si="725"/>
        <v>0</v>
      </c>
      <c r="BM349" s="187">
        <f t="shared" si="726"/>
        <v>0</v>
      </c>
      <c r="BN349" s="188">
        <f t="shared" si="727"/>
        <v>3</v>
      </c>
      <c r="BO349" s="187">
        <f t="shared" si="728"/>
        <v>0</v>
      </c>
      <c r="BP349" s="187">
        <f t="shared" ref="BP349:BQ349" si="1283">IF(G349=1,1,0)</f>
        <v>0</v>
      </c>
      <c r="BQ349" s="187">
        <f t="shared" si="1283"/>
        <v>0</v>
      </c>
      <c r="BR349" s="187">
        <f t="shared" ref="BR349:BT349" si="1284">IF(K349=1,1,0)</f>
        <v>0</v>
      </c>
      <c r="BS349" s="187">
        <f t="shared" si="1284"/>
        <v>0</v>
      </c>
      <c r="BT349" s="187">
        <f t="shared" si="1284"/>
        <v>0</v>
      </c>
      <c r="BU349" s="187">
        <f t="shared" ref="BU349:BV349" si="1285">IF(P349=1,1,0)</f>
        <v>0</v>
      </c>
      <c r="BV349" s="187">
        <f t="shared" si="1285"/>
        <v>0</v>
      </c>
      <c r="BW349" s="187">
        <f t="shared" si="732"/>
        <v>0</v>
      </c>
      <c r="BX349" s="187">
        <f t="shared" si="733"/>
        <v>0</v>
      </c>
      <c r="BY349" s="187">
        <f t="shared" si="734"/>
        <v>3</v>
      </c>
      <c r="BZ349" s="187">
        <f t="shared" si="735"/>
        <v>-9</v>
      </c>
      <c r="CA349" s="167">
        <f t="shared" si="736"/>
        <v>49</v>
      </c>
      <c r="CB349" s="167">
        <f t="shared" si="737"/>
        <v>81</v>
      </c>
      <c r="CC349" s="644">
        <f t="shared" si="738"/>
        <v>23</v>
      </c>
      <c r="CD349" s="644">
        <f t="shared" si="739"/>
        <v>19</v>
      </c>
      <c r="CE349" s="644">
        <f t="shared" si="740"/>
        <v>15</v>
      </c>
      <c r="CF349" s="644">
        <f t="shared" si="741"/>
        <v>15</v>
      </c>
      <c r="CG349" s="644">
        <f t="shared" si="742"/>
        <v>0</v>
      </c>
      <c r="CH349" s="644">
        <f>IF(D311=1,7,0)</f>
        <v>0</v>
      </c>
      <c r="CI349" s="644">
        <f t="shared" si="744"/>
        <v>0</v>
      </c>
      <c r="CJ349" s="644">
        <f t="shared" si="745"/>
        <v>0</v>
      </c>
      <c r="CK349" s="644">
        <f t="shared" si="746"/>
        <v>0</v>
      </c>
      <c r="CL349" s="644">
        <f t="shared" si="747"/>
        <v>0</v>
      </c>
      <c r="CM349" s="644">
        <f t="shared" si="748"/>
        <v>0</v>
      </c>
      <c r="CN349" s="644">
        <f t="shared" si="749"/>
        <v>3</v>
      </c>
      <c r="CO349" s="644">
        <f t="shared" si="750"/>
        <v>3</v>
      </c>
      <c r="CP349" s="644">
        <f t="shared" si="751"/>
        <v>3</v>
      </c>
      <c r="CQ349" s="644">
        <f t="shared" si="752"/>
        <v>0</v>
      </c>
      <c r="CR349" s="644">
        <f t="shared" si="753"/>
        <v>0</v>
      </c>
      <c r="CS349" s="644">
        <f t="shared" si="754"/>
        <v>0</v>
      </c>
      <c r="CT349" s="644">
        <f t="shared" si="755"/>
        <v>0</v>
      </c>
      <c r="CU349" s="644">
        <f t="shared" si="756"/>
        <v>0</v>
      </c>
      <c r="CV349" s="644">
        <f t="shared" si="757"/>
        <v>0</v>
      </c>
      <c r="CW349" s="644">
        <f t="shared" si="758"/>
        <v>0</v>
      </c>
      <c r="CX349" s="644">
        <f t="shared" si="759"/>
        <v>0</v>
      </c>
      <c r="CY349" s="644">
        <f t="shared" si="760"/>
        <v>0</v>
      </c>
      <c r="CZ349" s="624" t="s">
        <v>814</v>
      </c>
    </row>
    <row r="350" spans="1:104">
      <c r="A350" s="283" t="s">
        <v>691</v>
      </c>
      <c r="B350" s="641"/>
      <c r="C350" s="641"/>
      <c r="D350" s="284">
        <v>1</v>
      </c>
      <c r="E350" s="251">
        <v>1</v>
      </c>
      <c r="F350" s="251"/>
      <c r="G350" s="251"/>
      <c r="H350" s="251"/>
      <c r="I350" s="251"/>
      <c r="J350" s="251"/>
      <c r="K350" s="251"/>
      <c r="L350" s="251"/>
      <c r="M350" s="251"/>
      <c r="N350" s="251"/>
      <c r="O350" s="251"/>
      <c r="P350" s="251"/>
      <c r="Q350" s="251"/>
      <c r="R350" s="251">
        <v>1</v>
      </c>
      <c r="S350" s="251"/>
      <c r="T350" s="251"/>
      <c r="U350" s="251">
        <v>1</v>
      </c>
      <c r="V350" s="251"/>
      <c r="W350" s="251"/>
      <c r="X350" s="251"/>
      <c r="Y350" s="251"/>
      <c r="Z350" s="251"/>
      <c r="AA350" s="251"/>
      <c r="AB350" s="251">
        <v>1</v>
      </c>
      <c r="AC350" s="644">
        <v>1</v>
      </c>
      <c r="AD350" s="251">
        <v>1</v>
      </c>
      <c r="AE350" s="251"/>
      <c r="AF350" s="251">
        <v>1</v>
      </c>
      <c r="AG350" s="251">
        <v>1</v>
      </c>
      <c r="AH350" s="644">
        <v>1</v>
      </c>
      <c r="AI350" s="644"/>
      <c r="AJ350" s="644"/>
      <c r="AK350" s="644"/>
      <c r="AL350" s="167">
        <v>10</v>
      </c>
      <c r="AM350" s="191" t="str">
        <f t="shared" si="1282"/>
        <v>BBWAA.com</v>
      </c>
      <c r="AN350" s="192">
        <v>42012</v>
      </c>
      <c r="AO350" s="187"/>
      <c r="AP350" s="187">
        <f t="shared" si="703"/>
        <v>0</v>
      </c>
      <c r="AQ350" s="187">
        <f t="shared" si="704"/>
        <v>0</v>
      </c>
      <c r="AR350" s="187">
        <f t="shared" si="705"/>
        <v>13</v>
      </c>
      <c r="AS350" s="187">
        <f t="shared" si="706"/>
        <v>13</v>
      </c>
      <c r="AT350" s="187">
        <f t="shared" si="707"/>
        <v>9</v>
      </c>
      <c r="AU350" s="187">
        <f t="shared" si="708"/>
        <v>9</v>
      </c>
      <c r="AV350" s="187">
        <f t="shared" si="709"/>
        <v>9</v>
      </c>
      <c r="AW350" s="187">
        <f t="shared" si="710"/>
        <v>0</v>
      </c>
      <c r="AX350" s="187">
        <f t="shared" si="711"/>
        <v>7</v>
      </c>
      <c r="AY350" s="187">
        <f t="shared" si="712"/>
        <v>0</v>
      </c>
      <c r="AZ350" s="187">
        <f t="shared" si="713"/>
        <v>7</v>
      </c>
      <c r="BA350" s="187">
        <f t="shared" si="714"/>
        <v>7</v>
      </c>
      <c r="BB350" s="187">
        <f t="shared" si="715"/>
        <v>0</v>
      </c>
      <c r="BC350" s="187">
        <f t="shared" si="716"/>
        <v>0</v>
      </c>
      <c r="BD350" s="187">
        <f t="shared" si="717"/>
        <v>0</v>
      </c>
      <c r="BE350" s="187">
        <f t="shared" si="718"/>
        <v>3</v>
      </c>
      <c r="BF350" s="187">
        <f t="shared" si="719"/>
        <v>0</v>
      </c>
      <c r="BG350" s="187">
        <f t="shared" si="720"/>
        <v>0</v>
      </c>
      <c r="BH350" s="187">
        <f t="shared" si="721"/>
        <v>0</v>
      </c>
      <c r="BI350" s="187">
        <f t="shared" si="722"/>
        <v>0</v>
      </c>
      <c r="BJ350" s="187">
        <f t="shared" si="723"/>
        <v>1</v>
      </c>
      <c r="BK350" s="187">
        <f t="shared" si="724"/>
        <v>0</v>
      </c>
      <c r="BL350" s="187">
        <f t="shared" si="725"/>
        <v>0</v>
      </c>
      <c r="BM350" s="187">
        <f t="shared" si="726"/>
        <v>0</v>
      </c>
      <c r="BN350" s="188">
        <f t="shared" si="727"/>
        <v>0</v>
      </c>
      <c r="BO350" s="187">
        <f t="shared" si="728"/>
        <v>0</v>
      </c>
      <c r="BP350" s="187">
        <f t="shared" ref="BP350:BQ350" si="1286">IF(G350=1,1,0)</f>
        <v>0</v>
      </c>
      <c r="BQ350" s="187">
        <f t="shared" si="1286"/>
        <v>0</v>
      </c>
      <c r="BR350" s="187">
        <f t="shared" ref="BR350:BT350" si="1287">IF(K350=1,1,0)</f>
        <v>0</v>
      </c>
      <c r="BS350" s="187">
        <f t="shared" si="1287"/>
        <v>0</v>
      </c>
      <c r="BT350" s="187">
        <f t="shared" si="1287"/>
        <v>0</v>
      </c>
      <c r="BU350" s="187">
        <f t="shared" ref="BU350:BV350" si="1288">IF(P350=1,1,0)</f>
        <v>0</v>
      </c>
      <c r="BV350" s="187">
        <f t="shared" si="1288"/>
        <v>0</v>
      </c>
      <c r="BW350" s="187">
        <f t="shared" si="732"/>
        <v>0</v>
      </c>
      <c r="BX350" s="187">
        <f t="shared" si="733"/>
        <v>0</v>
      </c>
      <c r="BY350" s="187">
        <f t="shared" si="734"/>
        <v>0</v>
      </c>
      <c r="BZ350" s="187">
        <f t="shared" si="735"/>
        <v>0</v>
      </c>
      <c r="CA350" s="167">
        <f t="shared" si="736"/>
        <v>78</v>
      </c>
      <c r="CB350" s="167">
        <f t="shared" si="737"/>
        <v>100</v>
      </c>
      <c r="CC350" s="644">
        <f t="shared" si="738"/>
        <v>23</v>
      </c>
      <c r="CD350" s="644">
        <f t="shared" si="739"/>
        <v>19</v>
      </c>
      <c r="CE350" s="644">
        <f t="shared" si="740"/>
        <v>15</v>
      </c>
      <c r="CF350" s="644">
        <f t="shared" si="741"/>
        <v>15</v>
      </c>
      <c r="CG350" s="644">
        <f t="shared" si="742"/>
        <v>9</v>
      </c>
      <c r="CH350" s="644">
        <f>IF(D312=1,7,0)</f>
        <v>7</v>
      </c>
      <c r="CI350" s="644">
        <f t="shared" si="744"/>
        <v>7</v>
      </c>
      <c r="CJ350" s="644">
        <f t="shared" si="745"/>
        <v>5</v>
      </c>
      <c r="CK350" s="644">
        <f t="shared" si="746"/>
        <v>0</v>
      </c>
      <c r="CL350" s="644">
        <f t="shared" si="747"/>
        <v>0</v>
      </c>
      <c r="CM350" s="644">
        <f t="shared" si="748"/>
        <v>3</v>
      </c>
      <c r="CN350" s="644">
        <f t="shared" si="749"/>
        <v>0</v>
      </c>
      <c r="CO350" s="644">
        <f t="shared" si="750"/>
        <v>0</v>
      </c>
      <c r="CP350" s="644">
        <f t="shared" si="751"/>
        <v>0</v>
      </c>
      <c r="CQ350" s="644">
        <f t="shared" si="752"/>
        <v>0</v>
      </c>
      <c r="CR350" s="644">
        <f t="shared" si="753"/>
        <v>0</v>
      </c>
      <c r="CS350" s="644">
        <f t="shared" si="754"/>
        <v>0</v>
      </c>
      <c r="CT350" s="644">
        <f t="shared" si="755"/>
        <v>2</v>
      </c>
      <c r="CU350" s="644">
        <f t="shared" si="756"/>
        <v>0</v>
      </c>
      <c r="CV350" s="644">
        <f t="shared" si="757"/>
        <v>0</v>
      </c>
      <c r="CW350" s="644">
        <f t="shared" si="758"/>
        <v>0</v>
      </c>
      <c r="CX350" s="644">
        <f t="shared" si="759"/>
        <v>0</v>
      </c>
      <c r="CY350" s="644">
        <f t="shared" si="760"/>
        <v>0</v>
      </c>
      <c r="CZ350" s="624" t="s">
        <v>1375</v>
      </c>
    </row>
    <row r="351" spans="1:104">
      <c r="A351" s="283" t="s">
        <v>692</v>
      </c>
      <c r="B351" s="641"/>
      <c r="C351" s="641"/>
      <c r="D351" s="284">
        <v>1</v>
      </c>
      <c r="E351" s="251">
        <v>1</v>
      </c>
      <c r="F351" s="251"/>
      <c r="G351" s="251"/>
      <c r="H351" s="251"/>
      <c r="I351" s="251"/>
      <c r="J351" s="251"/>
      <c r="K351" s="251"/>
      <c r="L351" s="251"/>
      <c r="M351" s="251"/>
      <c r="N351" s="251"/>
      <c r="O351" s="251"/>
      <c r="P351" s="251"/>
      <c r="Q351" s="251"/>
      <c r="R351" s="251">
        <v>1</v>
      </c>
      <c r="S351" s="251"/>
      <c r="T351" s="251"/>
      <c r="U351" s="251">
        <v>1</v>
      </c>
      <c r="V351" s="251"/>
      <c r="W351" s="251"/>
      <c r="X351" s="251"/>
      <c r="Y351" s="251"/>
      <c r="Z351" s="251"/>
      <c r="AA351" s="251"/>
      <c r="AB351" s="251">
        <v>1</v>
      </c>
      <c r="AC351" s="258">
        <v>1</v>
      </c>
      <c r="AD351" s="251">
        <v>1</v>
      </c>
      <c r="AE351" s="251"/>
      <c r="AF351" s="251"/>
      <c r="AG351" s="251"/>
      <c r="AH351" s="644">
        <v>1</v>
      </c>
      <c r="AI351" s="644"/>
      <c r="AJ351" s="644"/>
      <c r="AK351" s="644"/>
      <c r="AL351" s="167">
        <v>8</v>
      </c>
      <c r="AM351" s="191" t="s">
        <v>1265</v>
      </c>
      <c r="AN351" s="192">
        <v>42010</v>
      </c>
      <c r="AO351" s="187"/>
      <c r="AP351" s="187">
        <f t="shared" si="703"/>
        <v>0</v>
      </c>
      <c r="AQ351" s="187">
        <f t="shared" si="704"/>
        <v>0</v>
      </c>
      <c r="AR351" s="187">
        <f t="shared" si="705"/>
        <v>13</v>
      </c>
      <c r="AS351" s="187">
        <f t="shared" si="706"/>
        <v>13</v>
      </c>
      <c r="AT351" s="187">
        <f t="shared" si="707"/>
        <v>9</v>
      </c>
      <c r="AU351" s="187">
        <f t="shared" si="708"/>
        <v>9</v>
      </c>
      <c r="AV351" s="187">
        <f t="shared" si="709"/>
        <v>9</v>
      </c>
      <c r="AW351" s="187">
        <f t="shared" si="710"/>
        <v>0</v>
      </c>
      <c r="AX351" s="187">
        <f t="shared" si="711"/>
        <v>7</v>
      </c>
      <c r="AY351" s="187">
        <f t="shared" si="712"/>
        <v>0</v>
      </c>
      <c r="AZ351" s="187">
        <f t="shared" si="713"/>
        <v>7</v>
      </c>
      <c r="BA351" s="187">
        <f t="shared" si="714"/>
        <v>7</v>
      </c>
      <c r="BB351" s="187">
        <f t="shared" si="715"/>
        <v>0</v>
      </c>
      <c r="BC351" s="187">
        <f t="shared" si="716"/>
        <v>0</v>
      </c>
      <c r="BD351" s="187">
        <f t="shared" si="717"/>
        <v>0</v>
      </c>
      <c r="BE351" s="187">
        <f t="shared" si="718"/>
        <v>0</v>
      </c>
      <c r="BF351" s="187">
        <f t="shared" si="719"/>
        <v>0</v>
      </c>
      <c r="BG351" s="187">
        <f t="shared" si="720"/>
        <v>0</v>
      </c>
      <c r="BH351" s="187">
        <f t="shared" si="721"/>
        <v>0</v>
      </c>
      <c r="BI351" s="187">
        <f t="shared" si="722"/>
        <v>0</v>
      </c>
      <c r="BJ351" s="187">
        <f t="shared" si="723"/>
        <v>0</v>
      </c>
      <c r="BK351" s="187">
        <f t="shared" si="724"/>
        <v>0</v>
      </c>
      <c r="BL351" s="187">
        <f t="shared" si="725"/>
        <v>0</v>
      </c>
      <c r="BM351" s="187">
        <f t="shared" si="726"/>
        <v>0</v>
      </c>
      <c r="BN351" s="188">
        <f t="shared" si="727"/>
        <v>2</v>
      </c>
      <c r="BO351" s="187">
        <f t="shared" si="728"/>
        <v>0</v>
      </c>
      <c r="BP351" s="187">
        <f t="shared" ref="BP351:BQ351" si="1289">IF(G351=1,1,0)</f>
        <v>0</v>
      </c>
      <c r="BQ351" s="187">
        <f t="shared" si="1289"/>
        <v>0</v>
      </c>
      <c r="BR351" s="187">
        <f t="shared" ref="BR351:BT351" si="1290">IF(K351=1,1,0)</f>
        <v>0</v>
      </c>
      <c r="BS351" s="187">
        <f t="shared" si="1290"/>
        <v>0</v>
      </c>
      <c r="BT351" s="187">
        <f t="shared" si="1290"/>
        <v>0</v>
      </c>
      <c r="BU351" s="187">
        <f t="shared" ref="BU351:BV351" si="1291">IF(P351=1,1,0)</f>
        <v>0</v>
      </c>
      <c r="BV351" s="187">
        <f t="shared" si="1291"/>
        <v>0</v>
      </c>
      <c r="BW351" s="187">
        <f t="shared" si="732"/>
        <v>0</v>
      </c>
      <c r="BX351" s="187">
        <f t="shared" si="733"/>
        <v>0</v>
      </c>
      <c r="BY351" s="187">
        <f t="shared" si="734"/>
        <v>2</v>
      </c>
      <c r="BZ351" s="187">
        <f t="shared" si="735"/>
        <v>-4</v>
      </c>
      <c r="CA351" s="167">
        <f t="shared" si="736"/>
        <v>70</v>
      </c>
      <c r="CB351" s="167">
        <f t="shared" si="737"/>
        <v>100</v>
      </c>
      <c r="CC351" s="644">
        <f t="shared" si="738"/>
        <v>23</v>
      </c>
      <c r="CD351" s="644">
        <f t="shared" si="739"/>
        <v>19</v>
      </c>
      <c r="CE351" s="644">
        <f t="shared" si="740"/>
        <v>15</v>
      </c>
      <c r="CF351" s="644">
        <f t="shared" si="741"/>
        <v>15</v>
      </c>
      <c r="CG351" s="644">
        <f t="shared" si="742"/>
        <v>9</v>
      </c>
      <c r="CH351" s="644">
        <f>IF(D313=1,7,0)</f>
        <v>7</v>
      </c>
      <c r="CI351" s="644">
        <f t="shared" si="744"/>
        <v>7</v>
      </c>
      <c r="CJ351" s="644">
        <f t="shared" si="745"/>
        <v>5</v>
      </c>
      <c r="CK351" s="644">
        <f t="shared" si="746"/>
        <v>0</v>
      </c>
      <c r="CL351" s="644">
        <f t="shared" si="747"/>
        <v>0</v>
      </c>
      <c r="CM351" s="644">
        <f t="shared" si="748"/>
        <v>0</v>
      </c>
      <c r="CN351" s="644">
        <f t="shared" si="749"/>
        <v>0</v>
      </c>
      <c r="CO351" s="644">
        <f t="shared" si="750"/>
        <v>0</v>
      </c>
      <c r="CP351" s="644">
        <f t="shared" si="751"/>
        <v>0</v>
      </c>
      <c r="CQ351" s="644">
        <f t="shared" si="752"/>
        <v>0</v>
      </c>
      <c r="CR351" s="644">
        <f t="shared" si="753"/>
        <v>0</v>
      </c>
      <c r="CS351" s="644">
        <f t="shared" si="754"/>
        <v>0</v>
      </c>
      <c r="CT351" s="644">
        <f t="shared" si="755"/>
        <v>0</v>
      </c>
      <c r="CU351" s="644">
        <f t="shared" si="756"/>
        <v>0</v>
      </c>
      <c r="CV351" s="644">
        <f t="shared" si="757"/>
        <v>0</v>
      </c>
      <c r="CW351" s="644">
        <f t="shared" si="758"/>
        <v>0</v>
      </c>
      <c r="CX351" s="644">
        <f t="shared" si="759"/>
        <v>0</v>
      </c>
      <c r="CY351" s="644">
        <f t="shared" si="760"/>
        <v>0</v>
      </c>
      <c r="CZ351" s="624" t="s">
        <v>740</v>
      </c>
    </row>
    <row r="352" spans="1:104">
      <c r="A352" s="283" t="s">
        <v>1376</v>
      </c>
      <c r="B352" s="641"/>
      <c r="C352" s="641"/>
      <c r="D352" s="284"/>
      <c r="E352" s="251">
        <v>1</v>
      </c>
      <c r="F352" s="251"/>
      <c r="G352" s="251"/>
      <c r="H352" s="251"/>
      <c r="I352" s="251"/>
      <c r="J352" s="251"/>
      <c r="K352" s="251"/>
      <c r="L352" s="251"/>
      <c r="M352" s="251"/>
      <c r="N352" s="251"/>
      <c r="O352" s="251"/>
      <c r="P352" s="251"/>
      <c r="Q352" s="251"/>
      <c r="R352" s="251">
        <v>1</v>
      </c>
      <c r="S352" s="251"/>
      <c r="T352" s="251"/>
      <c r="U352" s="251">
        <v>1</v>
      </c>
      <c r="V352" s="251"/>
      <c r="W352" s="251"/>
      <c r="X352" s="251"/>
      <c r="Y352" s="251"/>
      <c r="Z352" s="251"/>
      <c r="AA352" s="251"/>
      <c r="AB352" s="251">
        <v>1</v>
      </c>
      <c r="AC352" s="644"/>
      <c r="AD352" s="251"/>
      <c r="AE352" s="251"/>
      <c r="AF352" s="251"/>
      <c r="AG352" s="251"/>
      <c r="AH352" s="644">
        <v>1</v>
      </c>
      <c r="AI352" s="644"/>
      <c r="AJ352" s="644">
        <v>1</v>
      </c>
      <c r="AK352" s="644">
        <v>1</v>
      </c>
      <c r="AL352" s="167">
        <v>7</v>
      </c>
      <c r="AM352" s="191" t="str">
        <f>HYPERLINK("http://bbwaa.com/15-hof-ballots/", "BBWAA.com")</f>
        <v>BBWAA.com</v>
      </c>
      <c r="AN352" s="192">
        <v>42016</v>
      </c>
      <c r="AO352" s="187"/>
      <c r="AP352" s="187">
        <f t="shared" si="703"/>
        <v>0</v>
      </c>
      <c r="AQ352" s="187">
        <f t="shared" si="704"/>
        <v>0</v>
      </c>
      <c r="AR352" s="187">
        <f t="shared" si="705"/>
        <v>13</v>
      </c>
      <c r="AS352" s="187">
        <f t="shared" si="706"/>
        <v>13</v>
      </c>
      <c r="AT352" s="187">
        <f t="shared" si="707"/>
        <v>9</v>
      </c>
      <c r="AU352" s="187">
        <f t="shared" si="708"/>
        <v>0</v>
      </c>
      <c r="AV352" s="187">
        <f t="shared" si="709"/>
        <v>0</v>
      </c>
      <c r="AW352" s="187">
        <f t="shared" si="710"/>
        <v>7</v>
      </c>
      <c r="AX352" s="187">
        <f t="shared" si="711"/>
        <v>0</v>
      </c>
      <c r="AY352" s="187">
        <f t="shared" si="712"/>
        <v>0</v>
      </c>
      <c r="AZ352" s="187">
        <f t="shared" si="713"/>
        <v>7</v>
      </c>
      <c r="BA352" s="187">
        <f t="shared" si="714"/>
        <v>7</v>
      </c>
      <c r="BB352" s="187">
        <f t="shared" si="715"/>
        <v>4</v>
      </c>
      <c r="BC352" s="187">
        <f t="shared" si="716"/>
        <v>0</v>
      </c>
      <c r="BD352" s="187">
        <f t="shared" si="717"/>
        <v>0</v>
      </c>
      <c r="BE352" s="187">
        <f t="shared" si="718"/>
        <v>0</v>
      </c>
      <c r="BF352" s="187">
        <f t="shared" si="719"/>
        <v>0</v>
      </c>
      <c r="BG352" s="187">
        <f t="shared" si="720"/>
        <v>0</v>
      </c>
      <c r="BH352" s="187">
        <f t="shared" si="721"/>
        <v>0</v>
      </c>
      <c r="BI352" s="187">
        <f t="shared" si="722"/>
        <v>0</v>
      </c>
      <c r="BJ352" s="187">
        <f t="shared" si="723"/>
        <v>0</v>
      </c>
      <c r="BK352" s="187">
        <f t="shared" si="724"/>
        <v>0</v>
      </c>
      <c r="BL352" s="187">
        <f t="shared" si="725"/>
        <v>0</v>
      </c>
      <c r="BM352" s="187">
        <f t="shared" si="726"/>
        <v>0</v>
      </c>
      <c r="BN352" s="188">
        <f t="shared" si="727"/>
        <v>3</v>
      </c>
      <c r="BO352" s="187">
        <f t="shared" si="728"/>
        <v>0</v>
      </c>
      <c r="BP352" s="187">
        <f t="shared" ref="BP352:BQ352" si="1292">IF(G352=1,1,0)</f>
        <v>0</v>
      </c>
      <c r="BQ352" s="187">
        <f t="shared" si="1292"/>
        <v>0</v>
      </c>
      <c r="BR352" s="187">
        <f t="shared" ref="BR352:BT352" si="1293">IF(K352=1,1,0)</f>
        <v>0</v>
      </c>
      <c r="BS352" s="187">
        <f t="shared" si="1293"/>
        <v>0</v>
      </c>
      <c r="BT352" s="187">
        <f t="shared" si="1293"/>
        <v>0</v>
      </c>
      <c r="BU352" s="187">
        <f t="shared" ref="BU352:BV352" si="1294">IF(P352=1,1,0)</f>
        <v>0</v>
      </c>
      <c r="BV352" s="187">
        <f t="shared" si="1294"/>
        <v>0</v>
      </c>
      <c r="BW352" s="187">
        <f t="shared" si="732"/>
        <v>0</v>
      </c>
      <c r="BX352" s="187">
        <f t="shared" si="733"/>
        <v>0</v>
      </c>
      <c r="BY352" s="187">
        <f t="shared" si="734"/>
        <v>3</v>
      </c>
      <c r="BZ352" s="187">
        <f t="shared" si="735"/>
        <v>-9</v>
      </c>
      <c r="CA352" s="167">
        <f t="shared" si="736"/>
        <v>51</v>
      </c>
      <c r="CB352" s="167">
        <f t="shared" si="737"/>
        <v>86</v>
      </c>
      <c r="CC352" s="644">
        <f t="shared" si="738"/>
        <v>23</v>
      </c>
      <c r="CD352" s="644">
        <f t="shared" si="739"/>
        <v>19</v>
      </c>
      <c r="CE352" s="644">
        <f t="shared" si="740"/>
        <v>15</v>
      </c>
      <c r="CF352" s="644">
        <f t="shared" si="741"/>
        <v>15</v>
      </c>
      <c r="CG352" s="644">
        <f t="shared" si="742"/>
        <v>9</v>
      </c>
      <c r="CH352" s="644">
        <f>IF(D314=1,7,0)</f>
        <v>0</v>
      </c>
      <c r="CI352" s="644">
        <f t="shared" si="744"/>
        <v>0</v>
      </c>
      <c r="CJ352" s="644">
        <f t="shared" si="745"/>
        <v>0</v>
      </c>
      <c r="CK352" s="644">
        <f t="shared" si="746"/>
        <v>0</v>
      </c>
      <c r="CL352" s="644">
        <f t="shared" si="747"/>
        <v>0</v>
      </c>
      <c r="CM352" s="644">
        <f t="shared" si="748"/>
        <v>0</v>
      </c>
      <c r="CN352" s="644">
        <f t="shared" si="749"/>
        <v>0</v>
      </c>
      <c r="CO352" s="644">
        <f t="shared" si="750"/>
        <v>3</v>
      </c>
      <c r="CP352" s="644">
        <f t="shared" si="751"/>
        <v>0</v>
      </c>
      <c r="CQ352" s="644">
        <f t="shared" si="752"/>
        <v>0</v>
      </c>
      <c r="CR352" s="644">
        <f t="shared" si="753"/>
        <v>0</v>
      </c>
      <c r="CS352" s="644">
        <f t="shared" si="754"/>
        <v>2</v>
      </c>
      <c r="CT352" s="644">
        <f t="shared" si="755"/>
        <v>0</v>
      </c>
      <c r="CU352" s="644">
        <f t="shared" si="756"/>
        <v>0</v>
      </c>
      <c r="CV352" s="644">
        <f t="shared" si="757"/>
        <v>0</v>
      </c>
      <c r="CW352" s="644">
        <f t="shared" si="758"/>
        <v>0</v>
      </c>
      <c r="CX352" s="644">
        <f t="shared" si="759"/>
        <v>0</v>
      </c>
      <c r="CY352" s="644">
        <f t="shared" si="760"/>
        <v>0</v>
      </c>
      <c r="CZ352" s="624" t="s">
        <v>743</v>
      </c>
    </row>
    <row r="353" spans="1:104">
      <c r="A353" s="285" t="s">
        <v>475</v>
      </c>
      <c r="B353" s="286"/>
      <c r="C353" s="286"/>
      <c r="D353" s="287">
        <v>1</v>
      </c>
      <c r="E353" s="288">
        <v>1</v>
      </c>
      <c r="F353" s="288"/>
      <c r="G353" s="288"/>
      <c r="H353" s="288"/>
      <c r="I353" s="288"/>
      <c r="J353" s="288"/>
      <c r="K353" s="288"/>
      <c r="L353" s="288"/>
      <c r="M353" s="288"/>
      <c r="N353" s="288"/>
      <c r="O353" s="288"/>
      <c r="P353" s="288"/>
      <c r="Q353" s="289"/>
      <c r="R353" s="289">
        <v>1</v>
      </c>
      <c r="S353" s="289"/>
      <c r="T353" s="289">
        <v>1</v>
      </c>
      <c r="U353" s="289">
        <v>1</v>
      </c>
      <c r="V353" s="289"/>
      <c r="W353" s="289"/>
      <c r="X353" s="289"/>
      <c r="Y353" s="289"/>
      <c r="Z353" s="289"/>
      <c r="AA353" s="289"/>
      <c r="AB353" s="289">
        <v>1</v>
      </c>
      <c r="AC353" s="289">
        <v>1</v>
      </c>
      <c r="AD353" s="289">
        <v>1</v>
      </c>
      <c r="AE353" s="289"/>
      <c r="AF353" s="289"/>
      <c r="AG353" s="289"/>
      <c r="AH353" s="290">
        <v>1</v>
      </c>
      <c r="AI353" s="290"/>
      <c r="AJ353" s="290"/>
      <c r="AK353" s="290">
        <v>1</v>
      </c>
      <c r="AL353" s="291">
        <v>10</v>
      </c>
      <c r="AM353" s="292" t="s">
        <v>1377</v>
      </c>
      <c r="AN353" s="293">
        <v>42010</v>
      </c>
      <c r="AO353" s="294"/>
      <c r="AP353" s="294">
        <f t="shared" si="703"/>
        <v>0</v>
      </c>
      <c r="AQ353" s="294">
        <f t="shared" si="704"/>
        <v>0</v>
      </c>
      <c r="AR353" s="294">
        <f t="shared" si="705"/>
        <v>13</v>
      </c>
      <c r="AS353" s="294">
        <f t="shared" si="706"/>
        <v>13</v>
      </c>
      <c r="AT353" s="294">
        <f t="shared" si="707"/>
        <v>9</v>
      </c>
      <c r="AU353" s="294">
        <f t="shared" si="708"/>
        <v>9</v>
      </c>
      <c r="AV353" s="294">
        <f t="shared" si="709"/>
        <v>9</v>
      </c>
      <c r="AW353" s="294">
        <f t="shared" si="710"/>
        <v>0</v>
      </c>
      <c r="AX353" s="294">
        <f t="shared" si="711"/>
        <v>7</v>
      </c>
      <c r="AY353" s="294">
        <f t="shared" si="712"/>
        <v>0</v>
      </c>
      <c r="AZ353" s="294">
        <f t="shared" si="713"/>
        <v>7</v>
      </c>
      <c r="BA353" s="294">
        <f t="shared" si="714"/>
        <v>7</v>
      </c>
      <c r="BB353" s="294">
        <f t="shared" si="715"/>
        <v>4</v>
      </c>
      <c r="BC353" s="294">
        <f t="shared" si="716"/>
        <v>4</v>
      </c>
      <c r="BD353" s="294">
        <f t="shared" si="717"/>
        <v>0</v>
      </c>
      <c r="BE353" s="294">
        <f t="shared" si="718"/>
        <v>0</v>
      </c>
      <c r="BF353" s="294">
        <f t="shared" si="719"/>
        <v>0</v>
      </c>
      <c r="BG353" s="294">
        <f t="shared" si="720"/>
        <v>0</v>
      </c>
      <c r="BH353" s="294">
        <f t="shared" si="721"/>
        <v>0</v>
      </c>
      <c r="BI353" s="294">
        <f t="shared" si="722"/>
        <v>0</v>
      </c>
      <c r="BJ353" s="294">
        <f t="shared" si="723"/>
        <v>0</v>
      </c>
      <c r="BK353" s="294">
        <f t="shared" si="724"/>
        <v>0</v>
      </c>
      <c r="BL353" s="294">
        <f t="shared" si="725"/>
        <v>0</v>
      </c>
      <c r="BM353" s="294">
        <f t="shared" si="726"/>
        <v>0</v>
      </c>
      <c r="BN353" s="295">
        <f t="shared" si="727"/>
        <v>0</v>
      </c>
      <c r="BO353" s="294">
        <f t="shared" si="728"/>
        <v>0</v>
      </c>
      <c r="BP353" s="294">
        <f t="shared" ref="BP353:BQ353" si="1295">IF(G353=1,1,0)</f>
        <v>0</v>
      </c>
      <c r="BQ353" s="294">
        <f t="shared" si="1295"/>
        <v>0</v>
      </c>
      <c r="BR353" s="294">
        <f t="shared" ref="BR353:BT353" si="1296">IF(K353=1,1,0)</f>
        <v>0</v>
      </c>
      <c r="BS353" s="294">
        <f t="shared" si="1296"/>
        <v>0</v>
      </c>
      <c r="BT353" s="294">
        <f t="shared" si="1296"/>
        <v>0</v>
      </c>
      <c r="BU353" s="294">
        <f t="shared" ref="BU353:BV353" si="1297">IF(P353=1,1,0)</f>
        <v>0</v>
      </c>
      <c r="BV353" s="294">
        <f t="shared" si="1297"/>
        <v>0</v>
      </c>
      <c r="BW353" s="294">
        <f t="shared" si="732"/>
        <v>0</v>
      </c>
      <c r="BX353" s="294">
        <f t="shared" si="733"/>
        <v>0</v>
      </c>
      <c r="BY353" s="294">
        <f t="shared" si="734"/>
        <v>0</v>
      </c>
      <c r="BZ353" s="294">
        <f t="shared" si="735"/>
        <v>0</v>
      </c>
      <c r="CA353" s="291">
        <f t="shared" si="736"/>
        <v>82</v>
      </c>
      <c r="CB353" s="291">
        <f t="shared" si="737"/>
        <v>96</v>
      </c>
      <c r="CC353" s="290">
        <f t="shared" si="738"/>
        <v>23</v>
      </c>
      <c r="CD353" s="290">
        <f t="shared" si="739"/>
        <v>19</v>
      </c>
      <c r="CE353" s="290">
        <f t="shared" si="740"/>
        <v>15</v>
      </c>
      <c r="CF353" s="290">
        <f t="shared" si="741"/>
        <v>15</v>
      </c>
      <c r="CG353" s="290">
        <f t="shared" si="742"/>
        <v>9</v>
      </c>
      <c r="CH353" s="290">
        <f>IF(D314=1,7,0)</f>
        <v>0</v>
      </c>
      <c r="CI353" s="290">
        <f t="shared" si="744"/>
        <v>7</v>
      </c>
      <c r="CJ353" s="290">
        <f t="shared" si="745"/>
        <v>5</v>
      </c>
      <c r="CK353" s="290">
        <f t="shared" si="746"/>
        <v>0</v>
      </c>
      <c r="CL353" s="290">
        <f t="shared" si="747"/>
        <v>0</v>
      </c>
      <c r="CM353" s="290">
        <f t="shared" si="748"/>
        <v>0</v>
      </c>
      <c r="CN353" s="290">
        <f t="shared" si="749"/>
        <v>3</v>
      </c>
      <c r="CO353" s="290">
        <f t="shared" si="750"/>
        <v>0</v>
      </c>
      <c r="CP353" s="290">
        <f t="shared" si="751"/>
        <v>0</v>
      </c>
      <c r="CQ353" s="290">
        <f t="shared" si="752"/>
        <v>0</v>
      </c>
      <c r="CR353" s="290">
        <f t="shared" si="753"/>
        <v>0</v>
      </c>
      <c r="CS353" s="290">
        <f t="shared" si="754"/>
        <v>2</v>
      </c>
      <c r="CT353" s="290">
        <f t="shared" si="755"/>
        <v>0</v>
      </c>
      <c r="CU353" s="290">
        <f t="shared" si="756"/>
        <v>0</v>
      </c>
      <c r="CV353" s="290">
        <f t="shared" si="757"/>
        <v>0</v>
      </c>
      <c r="CW353" s="290">
        <f t="shared" si="758"/>
        <v>0</v>
      </c>
      <c r="CX353" s="290">
        <f t="shared" si="759"/>
        <v>0</v>
      </c>
      <c r="CY353" s="290">
        <f t="shared" si="760"/>
        <v>0</v>
      </c>
      <c r="CZ353" s="296" t="s">
        <v>749</v>
      </c>
    </row>
  </sheetData>
  <mergeCells count="22">
    <mergeCell ref="A1:A3"/>
    <mergeCell ref="N1:N2"/>
    <mergeCell ref="AM5:AN5"/>
    <mergeCell ref="AM1:AN2"/>
    <mergeCell ref="AH2:AK2"/>
    <mergeCell ref="AD1:AF2"/>
    <mergeCell ref="AH1:AK1"/>
    <mergeCell ref="D1:L2"/>
    <mergeCell ref="D223:AK223"/>
    <mergeCell ref="X1:AA1"/>
    <mergeCell ref="CA1:CZ2"/>
    <mergeCell ref="CA3:CZ7"/>
    <mergeCell ref="CA9:CA21"/>
    <mergeCell ref="CB9:CB21"/>
    <mergeCell ref="R1:T1"/>
    <mergeCell ref="U1:V1"/>
    <mergeCell ref="X2:AA2"/>
    <mergeCell ref="R2:V2"/>
    <mergeCell ref="AL16:AN20"/>
    <mergeCell ref="D21:AK21"/>
    <mergeCell ref="AM3:AN4"/>
    <mergeCell ref="AM8:AN8"/>
  </mergeCells>
  <hyperlinks>
    <hyperlink ref="A1" r:id="rId1" display="http://www.twitter.com/NotMrTibbs" xr:uid="{00000000-0004-0000-0300-000000000000}"/>
    <hyperlink ref="AD1" r:id="rId2" display="http://1drv.ms/1JDa1qL" xr:uid="{00000000-0004-0000-0300-000001000000}"/>
    <hyperlink ref="AM8" r:id="rId3" display="http://www.baseballthinkfactory.org/newsstand/discussion/the_2015_hof_ballot_collecting_gizmo" xr:uid="{00000000-0004-0000-0300-000002000000}"/>
    <hyperlink ref="CA9" r:id="rId4" display="http://tangotiger.com/index.php/site/article/tangotiger-readers-rank-the-hof-players" xr:uid="{00000000-0004-0000-0300-000003000000}"/>
    <hyperlink ref="CB9" r:id="rId5" location="7" display="http://tangotiger.com/index.php/site/comments/scoring-system-for-hof-ballots-2015 - 7" xr:uid="{00000000-0004-0000-0300-000004000000}"/>
    <hyperlink ref="AM22" r:id="rId6" xr:uid="{00000000-0004-0000-0300-000005000000}"/>
    <hyperlink ref="AM23" r:id="rId7" xr:uid="{00000000-0004-0000-0300-000006000000}"/>
    <hyperlink ref="AM24" r:id="rId8" xr:uid="{00000000-0004-0000-0300-000007000000}"/>
    <hyperlink ref="AM25" r:id="rId9" display="http://bit.ly/1D92yRr" xr:uid="{00000000-0004-0000-0300-000008000000}"/>
    <hyperlink ref="AM26" r:id="rId10" xr:uid="{00000000-0004-0000-0300-000009000000}"/>
    <hyperlink ref="AM27" r:id="rId11" xr:uid="{00000000-0004-0000-0300-00000A000000}"/>
    <hyperlink ref="AM28" r:id="rId12" xr:uid="{00000000-0004-0000-0300-00000B000000}"/>
    <hyperlink ref="AM29" r:id="rId13" xr:uid="{00000000-0004-0000-0300-00000C000000}"/>
    <hyperlink ref="AM30" r:id="rId14" xr:uid="{00000000-0004-0000-0300-00000D000000}"/>
    <hyperlink ref="AM31" r:id="rId15" xr:uid="{00000000-0004-0000-0300-00000E000000}"/>
    <hyperlink ref="AM32" r:id="rId16" xr:uid="{00000000-0004-0000-0300-00000F000000}"/>
    <hyperlink ref="AM33" r:id="rId17" xr:uid="{00000000-0004-0000-0300-000010000000}"/>
    <hyperlink ref="AM34" r:id="rId18" xr:uid="{00000000-0004-0000-0300-000011000000}"/>
    <hyperlink ref="AM36" r:id="rId19" xr:uid="{00000000-0004-0000-0300-000012000000}"/>
    <hyperlink ref="AM37" r:id="rId20" xr:uid="{00000000-0004-0000-0300-000013000000}"/>
    <hyperlink ref="AM38" r:id="rId21" xr:uid="{00000000-0004-0000-0300-000014000000}"/>
    <hyperlink ref="AM39" r:id="rId22" xr:uid="{00000000-0004-0000-0300-000015000000}"/>
    <hyperlink ref="AM40" r:id="rId23" xr:uid="{00000000-0004-0000-0300-000016000000}"/>
    <hyperlink ref="AM41" r:id="rId24" xr:uid="{00000000-0004-0000-0300-000017000000}"/>
    <hyperlink ref="AM42" r:id="rId25" xr:uid="{00000000-0004-0000-0300-000018000000}"/>
    <hyperlink ref="AM44" r:id="rId26" xr:uid="{00000000-0004-0000-0300-000019000000}"/>
    <hyperlink ref="AM45" r:id="rId27" xr:uid="{00000000-0004-0000-0300-00001A000000}"/>
    <hyperlink ref="AM46" r:id="rId28" xr:uid="{00000000-0004-0000-0300-00001B000000}"/>
    <hyperlink ref="AM47" r:id="rId29" xr:uid="{00000000-0004-0000-0300-00001C000000}"/>
    <hyperlink ref="AM48" r:id="rId30" xr:uid="{00000000-0004-0000-0300-00001D000000}"/>
    <hyperlink ref="AM49" r:id="rId31" xr:uid="{00000000-0004-0000-0300-00001E000000}"/>
    <hyperlink ref="AM50" r:id="rId32" xr:uid="{00000000-0004-0000-0300-00001F000000}"/>
    <hyperlink ref="AM51" r:id="rId33" xr:uid="{00000000-0004-0000-0300-000020000000}"/>
    <hyperlink ref="AM52" r:id="rId34" display="http://bit.ly/1K4vL1Z" xr:uid="{00000000-0004-0000-0300-000021000000}"/>
    <hyperlink ref="AM54" r:id="rId35" display="http://bit.ly/1DGrocH" xr:uid="{00000000-0004-0000-0300-000022000000}"/>
    <hyperlink ref="AM55" r:id="rId36" xr:uid="{00000000-0004-0000-0300-000023000000}"/>
    <hyperlink ref="AM56" r:id="rId37" xr:uid="{00000000-0004-0000-0300-000024000000}"/>
    <hyperlink ref="AM57" r:id="rId38" xr:uid="{00000000-0004-0000-0300-000025000000}"/>
    <hyperlink ref="AM58" r:id="rId39" xr:uid="{00000000-0004-0000-0300-000026000000}"/>
    <hyperlink ref="AM59" r:id="rId40" xr:uid="{00000000-0004-0000-0300-000027000000}"/>
    <hyperlink ref="AM60" r:id="rId41" xr:uid="{00000000-0004-0000-0300-000028000000}"/>
    <hyperlink ref="AM61" r:id="rId42" xr:uid="{00000000-0004-0000-0300-000029000000}"/>
    <hyperlink ref="AM62" r:id="rId43" xr:uid="{00000000-0004-0000-0300-00002A000000}"/>
    <hyperlink ref="AM63" r:id="rId44" xr:uid="{00000000-0004-0000-0300-00002B000000}"/>
    <hyperlink ref="AM64" r:id="rId45" xr:uid="{00000000-0004-0000-0300-00002C000000}"/>
    <hyperlink ref="AM65" r:id="rId46" xr:uid="{00000000-0004-0000-0300-00002D000000}"/>
    <hyperlink ref="AM66" r:id="rId47" xr:uid="{00000000-0004-0000-0300-00002E000000}"/>
    <hyperlink ref="AM67" r:id="rId48" xr:uid="{00000000-0004-0000-0300-00002F000000}"/>
    <hyperlink ref="AM68" r:id="rId49" xr:uid="{00000000-0004-0000-0300-000030000000}"/>
    <hyperlink ref="AM69" r:id="rId50" xr:uid="{00000000-0004-0000-0300-000031000000}"/>
    <hyperlink ref="AM70" r:id="rId51" xr:uid="{00000000-0004-0000-0300-000032000000}"/>
    <hyperlink ref="AM71" r:id="rId52" xr:uid="{00000000-0004-0000-0300-000033000000}"/>
    <hyperlink ref="AM72" r:id="rId53" xr:uid="{00000000-0004-0000-0300-000034000000}"/>
    <hyperlink ref="AM73" r:id="rId54" xr:uid="{00000000-0004-0000-0300-000035000000}"/>
    <hyperlink ref="AM75" r:id="rId55" xr:uid="{00000000-0004-0000-0300-000036000000}"/>
    <hyperlink ref="AM77" r:id="rId56" xr:uid="{00000000-0004-0000-0300-000037000000}"/>
    <hyperlink ref="AM78" r:id="rId57" xr:uid="{00000000-0004-0000-0300-000038000000}"/>
    <hyperlink ref="AM79" r:id="rId58" xr:uid="{00000000-0004-0000-0300-000039000000}"/>
    <hyperlink ref="AM80" r:id="rId59" xr:uid="{00000000-0004-0000-0300-00003A000000}"/>
    <hyperlink ref="AM81" r:id="rId60" xr:uid="{00000000-0004-0000-0300-00003B000000}"/>
    <hyperlink ref="AM82" r:id="rId61" xr:uid="{00000000-0004-0000-0300-00003C000000}"/>
    <hyperlink ref="AM83" r:id="rId62" xr:uid="{00000000-0004-0000-0300-00003D000000}"/>
    <hyperlink ref="AM84" r:id="rId63" xr:uid="{00000000-0004-0000-0300-00003E000000}"/>
    <hyperlink ref="AM85" r:id="rId64" xr:uid="{00000000-0004-0000-0300-00003F000000}"/>
    <hyperlink ref="AM86" r:id="rId65" xr:uid="{00000000-0004-0000-0300-000040000000}"/>
    <hyperlink ref="AM87" r:id="rId66" xr:uid="{00000000-0004-0000-0300-000041000000}"/>
    <hyperlink ref="AM89" r:id="rId67" xr:uid="{00000000-0004-0000-0300-000042000000}"/>
    <hyperlink ref="AM90" r:id="rId68" xr:uid="{00000000-0004-0000-0300-000043000000}"/>
    <hyperlink ref="AM91" r:id="rId69" xr:uid="{00000000-0004-0000-0300-000044000000}"/>
    <hyperlink ref="AM92" r:id="rId70" xr:uid="{00000000-0004-0000-0300-000045000000}"/>
    <hyperlink ref="AM93" r:id="rId71" xr:uid="{00000000-0004-0000-0300-000046000000}"/>
    <hyperlink ref="AM94" r:id="rId72" xr:uid="{00000000-0004-0000-0300-000047000000}"/>
    <hyperlink ref="AM95" r:id="rId73" display="http://bit.ly/14s082d" xr:uid="{00000000-0004-0000-0300-000048000000}"/>
    <hyperlink ref="AM96" r:id="rId74" xr:uid="{00000000-0004-0000-0300-000049000000}"/>
    <hyperlink ref="AM97" r:id="rId75" xr:uid="{00000000-0004-0000-0300-00004A000000}"/>
    <hyperlink ref="AM98" r:id="rId76" xr:uid="{00000000-0004-0000-0300-00004B000000}"/>
    <hyperlink ref="AM99" r:id="rId77" xr:uid="{00000000-0004-0000-0300-00004C000000}"/>
    <hyperlink ref="AM100" r:id="rId78" xr:uid="{00000000-0004-0000-0300-00004D000000}"/>
    <hyperlink ref="AM101" r:id="rId79" xr:uid="{00000000-0004-0000-0300-00004E000000}"/>
    <hyperlink ref="AM103" r:id="rId80" xr:uid="{00000000-0004-0000-0300-00004F000000}"/>
    <hyperlink ref="AM104" r:id="rId81" xr:uid="{00000000-0004-0000-0300-000050000000}"/>
    <hyperlink ref="AM105" r:id="rId82" xr:uid="{00000000-0004-0000-0300-000051000000}"/>
    <hyperlink ref="AM106" r:id="rId83" xr:uid="{00000000-0004-0000-0300-000052000000}"/>
    <hyperlink ref="AM107" r:id="rId84" xr:uid="{00000000-0004-0000-0300-000053000000}"/>
    <hyperlink ref="AM108" r:id="rId85" xr:uid="{00000000-0004-0000-0300-000054000000}"/>
    <hyperlink ref="AM109" r:id="rId86" display="http://bit.ly/13FPROq" xr:uid="{00000000-0004-0000-0300-000055000000}"/>
    <hyperlink ref="AM110" r:id="rId87" xr:uid="{00000000-0004-0000-0300-000056000000}"/>
    <hyperlink ref="AM111" r:id="rId88" xr:uid="{00000000-0004-0000-0300-000057000000}"/>
    <hyperlink ref="AM112" r:id="rId89" xr:uid="{00000000-0004-0000-0300-000058000000}"/>
    <hyperlink ref="AM113" r:id="rId90" xr:uid="{00000000-0004-0000-0300-000059000000}"/>
    <hyperlink ref="AM114" r:id="rId91" xr:uid="{00000000-0004-0000-0300-00005A000000}"/>
    <hyperlink ref="AM115" r:id="rId92" xr:uid="{00000000-0004-0000-0300-00005B000000}"/>
    <hyperlink ref="AM116" r:id="rId93" xr:uid="{00000000-0004-0000-0300-00005C000000}"/>
    <hyperlink ref="AM118" r:id="rId94" xr:uid="{00000000-0004-0000-0300-00005D000000}"/>
    <hyperlink ref="AM119" r:id="rId95" xr:uid="{00000000-0004-0000-0300-00005E000000}"/>
    <hyperlink ref="AM120" r:id="rId96" xr:uid="{00000000-0004-0000-0300-00005F000000}"/>
    <hyperlink ref="AM121" r:id="rId97" xr:uid="{00000000-0004-0000-0300-000060000000}"/>
    <hyperlink ref="AM122" r:id="rId98" xr:uid="{00000000-0004-0000-0300-000061000000}"/>
    <hyperlink ref="AM123" r:id="rId99" xr:uid="{00000000-0004-0000-0300-000062000000}"/>
    <hyperlink ref="AM124" r:id="rId100" xr:uid="{00000000-0004-0000-0300-000063000000}"/>
    <hyperlink ref="AM125" r:id="rId101" xr:uid="{00000000-0004-0000-0300-000064000000}"/>
    <hyperlink ref="AM126" r:id="rId102" xr:uid="{00000000-0004-0000-0300-000065000000}"/>
    <hyperlink ref="AM127" r:id="rId103" display="http://bit.ly/13Nycoy" xr:uid="{00000000-0004-0000-0300-000066000000}"/>
    <hyperlink ref="AM128" r:id="rId104" xr:uid="{00000000-0004-0000-0300-000067000000}"/>
    <hyperlink ref="AM129" r:id="rId105" xr:uid="{00000000-0004-0000-0300-000068000000}"/>
    <hyperlink ref="AM130" r:id="rId106" xr:uid="{00000000-0004-0000-0300-000069000000}"/>
    <hyperlink ref="AM131" r:id="rId107" xr:uid="{00000000-0004-0000-0300-00006A000000}"/>
    <hyperlink ref="AM132" r:id="rId108" xr:uid="{00000000-0004-0000-0300-00006B000000}"/>
    <hyperlink ref="AM133" r:id="rId109" xr:uid="{00000000-0004-0000-0300-00006C000000}"/>
    <hyperlink ref="AM134" r:id="rId110" xr:uid="{00000000-0004-0000-0300-00006D000000}"/>
    <hyperlink ref="AM135" r:id="rId111" display="http://bit.ly/1wzmkx2" xr:uid="{00000000-0004-0000-0300-00006E000000}"/>
    <hyperlink ref="AM136" r:id="rId112" display="http://bit.ly/1CHsLqd" xr:uid="{00000000-0004-0000-0300-00006F000000}"/>
    <hyperlink ref="AM137" r:id="rId113" xr:uid="{00000000-0004-0000-0300-000070000000}"/>
    <hyperlink ref="AM138" r:id="rId114" xr:uid="{00000000-0004-0000-0300-000071000000}"/>
    <hyperlink ref="AM139" r:id="rId115" xr:uid="{00000000-0004-0000-0300-000072000000}"/>
    <hyperlink ref="AM140" r:id="rId116" xr:uid="{00000000-0004-0000-0300-000073000000}"/>
    <hyperlink ref="AM141" r:id="rId117" xr:uid="{00000000-0004-0000-0300-000074000000}"/>
    <hyperlink ref="AM142" r:id="rId118" xr:uid="{00000000-0004-0000-0300-000075000000}"/>
    <hyperlink ref="AM143" r:id="rId119" xr:uid="{00000000-0004-0000-0300-000076000000}"/>
    <hyperlink ref="AM145" r:id="rId120" display="http://bit.ly/1yQcfAV" xr:uid="{00000000-0004-0000-0300-000077000000}"/>
    <hyperlink ref="AM146" r:id="rId121" xr:uid="{00000000-0004-0000-0300-000078000000}"/>
    <hyperlink ref="AM150" r:id="rId122" xr:uid="{00000000-0004-0000-0300-000079000000}"/>
    <hyperlink ref="AM152" r:id="rId123" xr:uid="{00000000-0004-0000-0300-00007A000000}"/>
    <hyperlink ref="AM153" r:id="rId124" xr:uid="{00000000-0004-0000-0300-00007B000000}"/>
    <hyperlink ref="AM154" r:id="rId125" xr:uid="{00000000-0004-0000-0300-00007C000000}"/>
    <hyperlink ref="AM155" r:id="rId126" xr:uid="{00000000-0004-0000-0300-00007D000000}"/>
    <hyperlink ref="AM156" r:id="rId127" xr:uid="{00000000-0004-0000-0300-00007E000000}"/>
    <hyperlink ref="AM157" r:id="rId128" xr:uid="{00000000-0004-0000-0300-00007F000000}"/>
    <hyperlink ref="AM158" r:id="rId129" xr:uid="{00000000-0004-0000-0300-000080000000}"/>
    <hyperlink ref="AM159" r:id="rId130" xr:uid="{00000000-0004-0000-0300-000081000000}"/>
    <hyperlink ref="AM160" r:id="rId131" xr:uid="{00000000-0004-0000-0300-000082000000}"/>
    <hyperlink ref="AM161" r:id="rId132" xr:uid="{00000000-0004-0000-0300-000083000000}"/>
    <hyperlink ref="AM162" r:id="rId133" xr:uid="{00000000-0004-0000-0300-000084000000}"/>
    <hyperlink ref="AM163" r:id="rId134" xr:uid="{00000000-0004-0000-0300-000085000000}"/>
    <hyperlink ref="AM164" r:id="rId135" xr:uid="{00000000-0004-0000-0300-000086000000}"/>
    <hyperlink ref="AM165" r:id="rId136" xr:uid="{00000000-0004-0000-0300-000087000000}"/>
    <hyperlink ref="AM166" r:id="rId137" xr:uid="{00000000-0004-0000-0300-000088000000}"/>
    <hyperlink ref="AM167" r:id="rId138" xr:uid="{00000000-0004-0000-0300-000089000000}"/>
    <hyperlink ref="AM168" r:id="rId139" xr:uid="{00000000-0004-0000-0300-00008A000000}"/>
    <hyperlink ref="AM170" r:id="rId140" xr:uid="{00000000-0004-0000-0300-00008B000000}"/>
    <hyperlink ref="AM171" r:id="rId141" xr:uid="{00000000-0004-0000-0300-00008C000000}"/>
    <hyperlink ref="AM172" r:id="rId142" xr:uid="{00000000-0004-0000-0300-00008D000000}"/>
    <hyperlink ref="AM173" r:id="rId143" xr:uid="{00000000-0004-0000-0300-00008E000000}"/>
    <hyperlink ref="AM174" r:id="rId144" xr:uid="{00000000-0004-0000-0300-00008F000000}"/>
    <hyperlink ref="AM175" r:id="rId145" xr:uid="{00000000-0004-0000-0300-000090000000}"/>
    <hyperlink ref="AM176" r:id="rId146" xr:uid="{00000000-0004-0000-0300-000091000000}"/>
    <hyperlink ref="AM177" r:id="rId147" xr:uid="{00000000-0004-0000-0300-000092000000}"/>
    <hyperlink ref="AM178" r:id="rId148" xr:uid="{00000000-0004-0000-0300-000093000000}"/>
    <hyperlink ref="AM179" r:id="rId149" xr:uid="{00000000-0004-0000-0300-000094000000}"/>
    <hyperlink ref="AM180" r:id="rId150" xr:uid="{00000000-0004-0000-0300-000095000000}"/>
    <hyperlink ref="AM181" r:id="rId151" xr:uid="{00000000-0004-0000-0300-000096000000}"/>
    <hyperlink ref="AM182" r:id="rId152" xr:uid="{00000000-0004-0000-0300-000097000000}"/>
    <hyperlink ref="AM183" r:id="rId153" xr:uid="{00000000-0004-0000-0300-000098000000}"/>
    <hyperlink ref="AM184" r:id="rId154" xr:uid="{00000000-0004-0000-0300-000099000000}"/>
    <hyperlink ref="AM185" r:id="rId155" xr:uid="{00000000-0004-0000-0300-00009A000000}"/>
    <hyperlink ref="AM186" r:id="rId156" xr:uid="{00000000-0004-0000-0300-00009B000000}"/>
    <hyperlink ref="A187" r:id="rId157" display="http://bit.ly/1CJv758" xr:uid="{00000000-0004-0000-0300-00009C000000}"/>
    <hyperlink ref="AM187" r:id="rId158" xr:uid="{00000000-0004-0000-0300-00009D000000}"/>
    <hyperlink ref="AM188" r:id="rId159" xr:uid="{00000000-0004-0000-0300-00009E000000}"/>
    <hyperlink ref="AM189" r:id="rId160" xr:uid="{00000000-0004-0000-0300-00009F000000}"/>
    <hyperlink ref="AM190" r:id="rId161" xr:uid="{00000000-0004-0000-0300-0000A0000000}"/>
    <hyperlink ref="AM191" r:id="rId162" xr:uid="{00000000-0004-0000-0300-0000A1000000}"/>
    <hyperlink ref="AM192" r:id="rId163" xr:uid="{00000000-0004-0000-0300-0000A2000000}"/>
    <hyperlink ref="AM193" r:id="rId164" xr:uid="{00000000-0004-0000-0300-0000A3000000}"/>
    <hyperlink ref="AM194" r:id="rId165" xr:uid="{00000000-0004-0000-0300-0000A4000000}"/>
    <hyperlink ref="AM195" r:id="rId166" xr:uid="{00000000-0004-0000-0300-0000A5000000}"/>
    <hyperlink ref="AM197" r:id="rId167" xr:uid="{00000000-0004-0000-0300-0000A6000000}"/>
    <hyperlink ref="AM198" r:id="rId168" xr:uid="{00000000-0004-0000-0300-0000A7000000}"/>
    <hyperlink ref="AM199" r:id="rId169" xr:uid="{00000000-0004-0000-0300-0000A8000000}"/>
    <hyperlink ref="AM200" r:id="rId170" xr:uid="{00000000-0004-0000-0300-0000A9000000}"/>
    <hyperlink ref="AM201" r:id="rId171" xr:uid="{00000000-0004-0000-0300-0000AA000000}"/>
    <hyperlink ref="AM202" r:id="rId172" xr:uid="{00000000-0004-0000-0300-0000AB000000}"/>
    <hyperlink ref="AM203" r:id="rId173" xr:uid="{00000000-0004-0000-0300-0000AC000000}"/>
    <hyperlink ref="AM204" r:id="rId174" xr:uid="{00000000-0004-0000-0300-0000AD000000}"/>
    <hyperlink ref="A205" r:id="rId175" display="https://twitter.com/NotMrTibbs/status/546387088707301376" xr:uid="{00000000-0004-0000-0300-0000AE000000}"/>
    <hyperlink ref="AM206" r:id="rId176" xr:uid="{00000000-0004-0000-0300-0000AF000000}"/>
    <hyperlink ref="AM207" r:id="rId177" xr:uid="{00000000-0004-0000-0300-0000B0000000}"/>
    <hyperlink ref="AM208" r:id="rId178" xr:uid="{00000000-0004-0000-0300-0000B1000000}"/>
    <hyperlink ref="AM209" r:id="rId179" xr:uid="{00000000-0004-0000-0300-0000B2000000}"/>
    <hyperlink ref="AM210" r:id="rId180" xr:uid="{00000000-0004-0000-0300-0000B3000000}"/>
    <hyperlink ref="AM211" r:id="rId181" xr:uid="{00000000-0004-0000-0300-0000B4000000}"/>
    <hyperlink ref="AM212" r:id="rId182" xr:uid="{00000000-0004-0000-0300-0000B5000000}"/>
    <hyperlink ref="AM213" r:id="rId183" display="http://bit.ly/1JSfxbZ" xr:uid="{00000000-0004-0000-0300-0000B6000000}"/>
    <hyperlink ref="AM214" r:id="rId184" xr:uid="{00000000-0004-0000-0300-0000B7000000}"/>
    <hyperlink ref="AM215" r:id="rId185" xr:uid="{00000000-0004-0000-0300-0000B8000000}"/>
    <hyperlink ref="AM217" r:id="rId186" xr:uid="{00000000-0004-0000-0300-0000B9000000}"/>
    <hyperlink ref="AM218" r:id="rId187" display="http://bit.ly/1xorSiY" xr:uid="{00000000-0004-0000-0300-0000BA000000}"/>
    <hyperlink ref="AM219" r:id="rId188" display="http://bit.ly/1xI0778" xr:uid="{00000000-0004-0000-0300-0000BB000000}"/>
    <hyperlink ref="AM220" r:id="rId189" xr:uid="{00000000-0004-0000-0300-0000BC000000}"/>
    <hyperlink ref="AM224" r:id="rId190" xr:uid="{00000000-0004-0000-0300-0000BD000000}"/>
    <hyperlink ref="AM225" r:id="rId191" xr:uid="{00000000-0004-0000-0300-0000BE000000}"/>
    <hyperlink ref="AM226" r:id="rId192" display="http://bbwaa.com/15-hof-ballots/" xr:uid="{00000000-0004-0000-0300-0000BF000000}"/>
    <hyperlink ref="AM227" r:id="rId193" xr:uid="{00000000-0004-0000-0300-0000C0000000}"/>
    <hyperlink ref="AM228" r:id="rId194" xr:uid="{00000000-0004-0000-0300-0000C1000000}"/>
    <hyperlink ref="AM229" r:id="rId195" display="http://bbwaa.com/15-hof-ballots/" xr:uid="{00000000-0004-0000-0300-0000C2000000}"/>
    <hyperlink ref="AM230" r:id="rId196" display="http://bbwaa.com/15-hof-ballots/" xr:uid="{00000000-0004-0000-0300-0000C3000000}"/>
    <hyperlink ref="AM232" r:id="rId197" display="http://bbwaa.com/15-hof-ballots/" xr:uid="{00000000-0004-0000-0300-0000C4000000}"/>
    <hyperlink ref="AM234" r:id="rId198" xr:uid="{00000000-0004-0000-0300-0000C5000000}"/>
    <hyperlink ref="AM235" r:id="rId199" display="http://bbwaa.com/15-hof-ballots/" xr:uid="{00000000-0004-0000-0300-0000C6000000}"/>
    <hyperlink ref="AM236" r:id="rId200" xr:uid="{00000000-0004-0000-0300-0000C7000000}"/>
    <hyperlink ref="AM237" r:id="rId201" display="http://bit.ly/1yww15i" xr:uid="{00000000-0004-0000-0300-0000C8000000}"/>
    <hyperlink ref="AM239" r:id="rId202" display="http://bit.ly/1Dhn16J" xr:uid="{00000000-0004-0000-0300-0000C9000000}"/>
    <hyperlink ref="AM240" r:id="rId203" display="http://bbwaa.com/15-hof-ballots/" xr:uid="{00000000-0004-0000-0300-0000CA000000}"/>
    <hyperlink ref="AM241" r:id="rId204" xr:uid="{00000000-0004-0000-0300-0000CB000000}"/>
    <hyperlink ref="AM243" r:id="rId205" display="http://bbwaa.com/15-hof-ballots/" xr:uid="{00000000-0004-0000-0300-0000CC000000}"/>
    <hyperlink ref="AM244" r:id="rId206" display="http://bbwaa.com/15-hof-ballots/" xr:uid="{00000000-0004-0000-0300-0000CD000000}"/>
    <hyperlink ref="AM245" r:id="rId207" display="http://bbwaa.com/15-hof-ballots/" xr:uid="{00000000-0004-0000-0300-0000CE000000}"/>
    <hyperlink ref="AM246" r:id="rId208" display="http://bbwaa.com/15-hof-ballots/" xr:uid="{00000000-0004-0000-0300-0000CF000000}"/>
    <hyperlink ref="AM247" r:id="rId209" display="http://bbwaa.com/15-hof-ballots/" xr:uid="{00000000-0004-0000-0300-0000D0000000}"/>
    <hyperlink ref="AM248" r:id="rId210" xr:uid="{00000000-0004-0000-0300-0000D1000000}"/>
    <hyperlink ref="AM249" r:id="rId211" display="http://bbwaa.com/15-hof-ballots/" xr:uid="{00000000-0004-0000-0300-0000D2000000}"/>
    <hyperlink ref="AM250" r:id="rId212" xr:uid="{00000000-0004-0000-0300-0000D3000000}"/>
    <hyperlink ref="AM251" r:id="rId213" display="http://imgur.com/SA8NTHB" xr:uid="{00000000-0004-0000-0300-0000D4000000}"/>
    <hyperlink ref="AM252" r:id="rId214" display="http://bbwaa.com/15-hof-ballots/" xr:uid="{00000000-0004-0000-0300-0000D5000000}"/>
    <hyperlink ref="AM253" r:id="rId215" xr:uid="{00000000-0004-0000-0300-0000D6000000}"/>
    <hyperlink ref="AM254" r:id="rId216" display="http://bbwaa.com/15-hof-ballots/" xr:uid="{00000000-0004-0000-0300-0000D7000000}"/>
    <hyperlink ref="AM255" r:id="rId217" display="http://bit.ly/1BccyUk" xr:uid="{00000000-0004-0000-0300-0000D8000000}"/>
    <hyperlink ref="AM256" r:id="rId218" xr:uid="{00000000-0004-0000-0300-0000D9000000}"/>
    <hyperlink ref="AM257" r:id="rId219" xr:uid="{00000000-0004-0000-0300-0000DA000000}"/>
    <hyperlink ref="AM258" r:id="rId220" xr:uid="{00000000-0004-0000-0300-0000DB000000}"/>
    <hyperlink ref="AM259" r:id="rId221" display="http://bbwaa.com/15-hof-ballots/" xr:uid="{00000000-0004-0000-0300-0000DC000000}"/>
    <hyperlink ref="AM260" r:id="rId222" xr:uid="{00000000-0004-0000-0300-0000DD000000}"/>
    <hyperlink ref="AM261" r:id="rId223" display="http://bbwaa.com/15-hof-ballots/" xr:uid="{00000000-0004-0000-0300-0000DE000000}"/>
    <hyperlink ref="AM262" r:id="rId224" xr:uid="{00000000-0004-0000-0300-0000DF000000}"/>
    <hyperlink ref="AM263" r:id="rId225" xr:uid="{00000000-0004-0000-0300-0000E0000000}"/>
    <hyperlink ref="AM264" r:id="rId226" display="http://bbwaa.com/15-hof-ballots/" xr:uid="{00000000-0004-0000-0300-0000E1000000}"/>
    <hyperlink ref="AM265" r:id="rId227" display="http://bit.ly/1xMjzxz" xr:uid="{00000000-0004-0000-0300-0000E2000000}"/>
    <hyperlink ref="AM266" r:id="rId228" display="http://bbwaa.com/15-hof-ballots/" xr:uid="{00000000-0004-0000-0300-0000E3000000}"/>
    <hyperlink ref="AM267" r:id="rId229" display="http://bbwaa.com/15-hof-ballots/" xr:uid="{00000000-0004-0000-0300-0000E4000000}"/>
    <hyperlink ref="AM268" r:id="rId230" display="http://bbwaa.com/15-hof-ballots/" xr:uid="{00000000-0004-0000-0300-0000E5000000}"/>
    <hyperlink ref="AM270" r:id="rId231" display="http://bbwaa.com/15-hof-ballots/" xr:uid="{00000000-0004-0000-0300-0000E6000000}"/>
    <hyperlink ref="AM271" r:id="rId232" xr:uid="{00000000-0004-0000-0300-0000E7000000}"/>
    <hyperlink ref="AM272" r:id="rId233" display="http://bbwaa.com/15-hof-ballots/" xr:uid="{00000000-0004-0000-0300-0000E8000000}"/>
    <hyperlink ref="AM273" r:id="rId234" display="http://bbwaa.com/15-hof-ballots/" xr:uid="{00000000-0004-0000-0300-0000E9000000}"/>
    <hyperlink ref="AM274" r:id="rId235" display="http://bbwaa.com/15-hof-ballots/" xr:uid="{00000000-0004-0000-0300-0000EA000000}"/>
    <hyperlink ref="AM275" r:id="rId236" display="http://bbwaa.com/15-hof-ballots/" xr:uid="{00000000-0004-0000-0300-0000EB000000}"/>
    <hyperlink ref="AM276" r:id="rId237" display="http://bbwaa.com/15-hof-ballots/" xr:uid="{00000000-0004-0000-0300-0000EC000000}"/>
    <hyperlink ref="AM277" r:id="rId238" display="http://bbwaa.com/15-hof-ballots/" xr:uid="{00000000-0004-0000-0300-0000ED000000}"/>
    <hyperlink ref="AM278" r:id="rId239" display="http://bbwaa.com/15-hof-ballots/" xr:uid="{00000000-0004-0000-0300-0000EE000000}"/>
    <hyperlink ref="AM279" r:id="rId240" display="http://bbwaa.com/15-hof-ballots/" xr:uid="{00000000-0004-0000-0300-0000EF000000}"/>
    <hyperlink ref="AM280" r:id="rId241" display="http://bbwaa.com/15-hof-ballots/" xr:uid="{00000000-0004-0000-0300-0000F0000000}"/>
    <hyperlink ref="AM282" r:id="rId242" display="http://bbwaa.com/15-hof-ballots/" xr:uid="{00000000-0004-0000-0300-0000F1000000}"/>
    <hyperlink ref="AM283" r:id="rId243" xr:uid="{00000000-0004-0000-0300-0000F2000000}"/>
    <hyperlink ref="AM284" r:id="rId244" xr:uid="{00000000-0004-0000-0300-0000F3000000}"/>
    <hyperlink ref="AM285" r:id="rId245" xr:uid="{00000000-0004-0000-0300-0000F4000000}"/>
    <hyperlink ref="AM286" r:id="rId246" xr:uid="{00000000-0004-0000-0300-0000F5000000}"/>
    <hyperlink ref="AM287" r:id="rId247" display="http://on.fb.me/1ySggql" xr:uid="{00000000-0004-0000-0300-0000F6000000}"/>
    <hyperlink ref="AM288" r:id="rId248" display="http://bbwaa.com/15-hof-ballots/" xr:uid="{00000000-0004-0000-0300-0000F7000000}"/>
    <hyperlink ref="AM289" r:id="rId249" xr:uid="{00000000-0004-0000-0300-0000F8000000}"/>
    <hyperlink ref="AM290" r:id="rId250" display="http://bbwaa.com/15-hof-ballots/" xr:uid="{00000000-0004-0000-0300-0000F9000000}"/>
    <hyperlink ref="AM292" r:id="rId251" display="http://bbwaa.com/15-hof-ballots/" xr:uid="{00000000-0004-0000-0300-0000FA000000}"/>
    <hyperlink ref="AM293" r:id="rId252" display="http://bbwaa.com/15-hof-ballots/" xr:uid="{00000000-0004-0000-0300-0000FB000000}"/>
    <hyperlink ref="AM294" r:id="rId253" xr:uid="{00000000-0004-0000-0300-0000FC000000}"/>
    <hyperlink ref="AM295" r:id="rId254" display="http://bbwaa.com/15-hof-ballots/" xr:uid="{00000000-0004-0000-0300-0000FD000000}"/>
    <hyperlink ref="AM296" r:id="rId255" display="http://bbwaa.com/15-hof-ballots/" xr:uid="{00000000-0004-0000-0300-0000FE000000}"/>
    <hyperlink ref="AM297" r:id="rId256" xr:uid="{00000000-0004-0000-0300-0000FF000000}"/>
    <hyperlink ref="AM298" r:id="rId257" display="http://bbwaa.com/15-hof-ballots/" xr:uid="{00000000-0004-0000-0300-000000010000}"/>
    <hyperlink ref="AM300" r:id="rId258" display="http://bbwaa.com/15-hof-ballots/" xr:uid="{00000000-0004-0000-0300-000001010000}"/>
    <hyperlink ref="AM302" r:id="rId259" xr:uid="{00000000-0004-0000-0300-000002010000}"/>
    <hyperlink ref="AM303" r:id="rId260" display="http://bbwaa.com/15-hof-ballots/" xr:uid="{00000000-0004-0000-0300-000003010000}"/>
    <hyperlink ref="AM304" r:id="rId261" xr:uid="{00000000-0004-0000-0300-000004010000}"/>
    <hyperlink ref="AM305" r:id="rId262" display="http://bbwaa.com/15-hof-ballots/" xr:uid="{00000000-0004-0000-0300-000005010000}"/>
    <hyperlink ref="AM307" r:id="rId263" display="http://bbwaa.com/15-hof-ballots/" xr:uid="{00000000-0004-0000-0300-000006010000}"/>
    <hyperlink ref="AM309" r:id="rId264" xr:uid="{00000000-0004-0000-0300-000007010000}"/>
    <hyperlink ref="AM311" r:id="rId265" display="http://bbwaa.com/15-hof-ballots/" xr:uid="{00000000-0004-0000-0300-000008010000}"/>
    <hyperlink ref="AM312" r:id="rId266" display="http://bbwaa.com/15-hof-ballots/" xr:uid="{00000000-0004-0000-0300-000009010000}"/>
    <hyperlink ref="AM313" r:id="rId267" xr:uid="{00000000-0004-0000-0300-00000A010000}"/>
    <hyperlink ref="AM314" r:id="rId268" display="http://bbwaa.com/15-hof-ballots/" xr:uid="{00000000-0004-0000-0300-00000B010000}"/>
    <hyperlink ref="AM315" r:id="rId269" display="http://bbwaa.com/15-hof-ballots/" xr:uid="{00000000-0004-0000-0300-00000C010000}"/>
    <hyperlink ref="AM316" r:id="rId270" display="http://bbwaa.com/15-hof-ballots/" xr:uid="{00000000-0004-0000-0300-00000D010000}"/>
    <hyperlink ref="AM317" r:id="rId271" xr:uid="{00000000-0004-0000-0300-00000E010000}"/>
    <hyperlink ref="AM318" r:id="rId272" display="http://bbwaa.com/15-hof-ballots/" xr:uid="{00000000-0004-0000-0300-00000F010000}"/>
    <hyperlink ref="AM319" r:id="rId273" display="http://bbwaa.com/15-hof-ballots/" xr:uid="{00000000-0004-0000-0300-000010010000}"/>
    <hyperlink ref="AM321" r:id="rId274" display="http://bbwaa.com/15-hof-ballots/" xr:uid="{00000000-0004-0000-0300-000011010000}"/>
    <hyperlink ref="AM322" r:id="rId275" display="http://bbwaa.com/15-hof-ballots/" xr:uid="{00000000-0004-0000-0300-000012010000}"/>
    <hyperlink ref="AM323" r:id="rId276" xr:uid="{00000000-0004-0000-0300-000013010000}"/>
    <hyperlink ref="AM324" r:id="rId277" xr:uid="{00000000-0004-0000-0300-000014010000}"/>
    <hyperlink ref="AM325" r:id="rId278" display="http://bbwaa.com/15-hof-ballots/" xr:uid="{00000000-0004-0000-0300-000015010000}"/>
    <hyperlink ref="AM326" r:id="rId279" display="http://bbwaa.com/15-hof-ballots/" xr:uid="{00000000-0004-0000-0300-000016010000}"/>
    <hyperlink ref="AM327" r:id="rId280" display="http://bbwaa.com/15-hof-ballots/" xr:uid="{00000000-0004-0000-0300-000017010000}"/>
    <hyperlink ref="AM328" r:id="rId281" xr:uid="{00000000-0004-0000-0300-000018010000}"/>
    <hyperlink ref="AM329" r:id="rId282" display="http://bbwaa.com/15-hof-ballots/" xr:uid="{00000000-0004-0000-0300-000019010000}"/>
    <hyperlink ref="AM330" r:id="rId283" xr:uid="{00000000-0004-0000-0300-00001A010000}"/>
    <hyperlink ref="AM331" r:id="rId284" display="http://bbwaa.com/15-hof-ballots/" xr:uid="{00000000-0004-0000-0300-00001B010000}"/>
    <hyperlink ref="AM332" r:id="rId285" display="http://bbwaa.com/15-hof-ballots/" xr:uid="{00000000-0004-0000-0300-00001C010000}"/>
    <hyperlink ref="AM333" r:id="rId286" display="http://bbwaa.com/15-hof-ballots/" xr:uid="{00000000-0004-0000-0300-00001D010000}"/>
    <hyperlink ref="AM334" r:id="rId287" display="http://bbwaa.com/15-hof-ballots/" xr:uid="{00000000-0004-0000-0300-00001E010000}"/>
    <hyperlink ref="AM335" r:id="rId288" xr:uid="{00000000-0004-0000-0300-00001F010000}"/>
    <hyperlink ref="AM336" r:id="rId289" xr:uid="{00000000-0004-0000-0300-000020010000}"/>
    <hyperlink ref="AM337" r:id="rId290" display="http://bbwaa.com/15-hof-ballots/" xr:uid="{00000000-0004-0000-0300-000021010000}"/>
    <hyperlink ref="AM338" r:id="rId291" display="http://bit.ly/1xakbrX" xr:uid="{00000000-0004-0000-0300-000022010000}"/>
    <hyperlink ref="AM339" r:id="rId292" xr:uid="{00000000-0004-0000-0300-000023010000}"/>
    <hyperlink ref="AM340" r:id="rId293" display="http://bbwaa.com/15-hof-ballots/" xr:uid="{00000000-0004-0000-0300-000024010000}"/>
    <hyperlink ref="AM341" r:id="rId294" display="http://bbwaa.com/15-hof-ballots/" xr:uid="{00000000-0004-0000-0300-000025010000}"/>
    <hyperlink ref="AM342" r:id="rId295" xr:uid="{00000000-0004-0000-0300-000026010000}"/>
    <hyperlink ref="AM343" r:id="rId296" display="http://bbwaa.com/15-hof-ballots/" xr:uid="{00000000-0004-0000-0300-000027010000}"/>
    <hyperlink ref="AM344" r:id="rId297" display="http://bbwaa.com/15-hof-ballots/" xr:uid="{00000000-0004-0000-0300-000028010000}"/>
    <hyperlink ref="AM345" r:id="rId298" display="http://bbwaa.com/15-hof-ballots/" xr:uid="{00000000-0004-0000-0300-000029010000}"/>
    <hyperlink ref="AM347" r:id="rId299" display="http://bbwaa.com/15-hof-ballots/" xr:uid="{00000000-0004-0000-0300-00002A010000}"/>
    <hyperlink ref="AM348" r:id="rId300" xr:uid="{00000000-0004-0000-0300-00002B010000}"/>
    <hyperlink ref="AM349" r:id="rId301" display="http://bbwaa.com/15-hof-ballots/" xr:uid="{00000000-0004-0000-0300-00002C010000}"/>
    <hyperlink ref="AM350" r:id="rId302" display="http://bbwaa.com/15-hof-ballots/" xr:uid="{00000000-0004-0000-0300-00002D010000}"/>
    <hyperlink ref="AM351" r:id="rId303" xr:uid="{00000000-0004-0000-0300-00002E010000}"/>
    <hyperlink ref="AM352" r:id="rId304" display="http://bbwaa.com/15-hof-ballots/" xr:uid="{00000000-0004-0000-0300-00002F010000}"/>
    <hyperlink ref="AM353" r:id="rId305" xr:uid="{00000000-0004-0000-0300-000030010000}"/>
  </hyperlinks>
  <pageMargins left="0.7" right="0.7" top="0.75" bottom="0.75" header="0.3" footer="0.3"/>
  <pageSetup orientation="portrait" r:id="rId30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L387"/>
  <sheetViews>
    <sheetView workbookViewId="0" xr3:uid="{F9CF3CF3-643B-5BE6-8B46-32C596A47465}">
      <pane xSplit="1" ySplit="7" topLeftCell="C8" activePane="bottomRight" state="frozen"/>
      <selection pane="bottomRight" activeCell="C11" sqref="C11:Y13"/>
      <selection pane="bottomLeft" activeCell="A8" sqref="A8"/>
      <selection pane="topRight" activeCell="B1" sqref="B1"/>
    </sheetView>
  </sheetViews>
  <sheetFormatPr defaultColWidth="14.42578125" defaultRowHeight="12.75" customHeight="1"/>
  <cols>
    <col min="1" max="1" width="29.28515625" customWidth="1"/>
    <col min="2" max="2" width="14.85546875" hidden="1" customWidth="1"/>
    <col min="3" max="3" width="7.7109375" customWidth="1"/>
    <col min="4" max="4" width="7.28515625" customWidth="1"/>
    <col min="5" max="5" width="6.85546875" customWidth="1"/>
    <col min="6" max="6" width="17.28515625" hidden="1" customWidth="1"/>
    <col min="7" max="7" width="8.42578125" customWidth="1"/>
    <col min="8" max="8" width="17.28515625" hidden="1" customWidth="1"/>
    <col min="9" max="9" width="1.85546875" hidden="1" customWidth="1"/>
    <col min="10" max="10" width="7.42578125" customWidth="1"/>
    <col min="11" max="13" width="17.28515625" hidden="1" customWidth="1"/>
    <col min="14" max="14" width="6.85546875" customWidth="1"/>
    <col min="15" max="15" width="17.28515625" hidden="1" customWidth="1"/>
    <col min="16" max="16" width="7.7109375" customWidth="1"/>
    <col min="17" max="18" width="8.42578125" customWidth="1"/>
    <col min="19" max="19" width="8.140625" customWidth="1"/>
    <col min="20" max="20" width="8.28515625" customWidth="1"/>
    <col min="21" max="21" width="6.85546875" customWidth="1"/>
    <col min="22" max="22" width="8.42578125" customWidth="1"/>
    <col min="23" max="23" width="3.42578125" customWidth="1"/>
    <col min="24" max="24" width="8.42578125" customWidth="1"/>
    <col min="25" max="25" width="7.140625" customWidth="1"/>
    <col min="26" max="26" width="7.7109375" customWidth="1"/>
    <col min="27" max="27" width="8" hidden="1" customWidth="1"/>
    <col min="28" max="28" width="8" customWidth="1"/>
    <col min="29" max="29" width="0.42578125" hidden="1" customWidth="1"/>
    <col min="30" max="30" width="6.85546875" customWidth="1"/>
    <col min="31" max="31" width="25" hidden="1" customWidth="1"/>
    <col min="32" max="32" width="7.28515625" customWidth="1"/>
    <col min="33" max="33" width="7.42578125" customWidth="1"/>
    <col min="34" max="34" width="0.42578125" hidden="1" customWidth="1"/>
    <col min="35" max="35" width="9.140625" customWidth="1"/>
    <col min="36" max="36" width="7.42578125" customWidth="1"/>
    <col min="37" max="37" width="8.7109375" customWidth="1"/>
    <col min="38" max="38" width="30.42578125" customWidth="1"/>
    <col min="39" max="40" width="9" customWidth="1"/>
    <col min="41" max="62" width="1.85546875" hidden="1" customWidth="1"/>
    <col min="63" max="63" width="11.7109375" hidden="1" customWidth="1"/>
    <col min="64" max="64" width="4.42578125" customWidth="1"/>
  </cols>
  <sheetData>
    <row r="1" spans="1:40" ht="26.25" customHeight="1">
      <c r="A1" s="845"/>
      <c r="B1" s="645"/>
      <c r="C1" s="645"/>
      <c r="D1" s="850" t="s">
        <v>1378</v>
      </c>
      <c r="E1" s="844"/>
      <c r="F1" s="844"/>
      <c r="G1" s="844"/>
      <c r="H1" s="844"/>
      <c r="I1" s="844"/>
      <c r="J1" s="844"/>
      <c r="K1" s="14"/>
      <c r="L1" s="14"/>
      <c r="M1" s="14"/>
      <c r="N1" s="849">
        <f>(COUNTA($A20:$A322))</f>
        <v>302</v>
      </c>
      <c r="O1" s="844"/>
      <c r="P1" s="844"/>
      <c r="Q1" s="16">
        <f>571-N1</f>
        <v>269</v>
      </c>
      <c r="R1" s="850" t="s">
        <v>1379</v>
      </c>
      <c r="S1" s="844"/>
      <c r="T1" s="844"/>
      <c r="U1" s="844"/>
      <c r="V1" s="851">
        <f>AL2/571</f>
        <v>0.52889667250437833</v>
      </c>
      <c r="W1" s="852"/>
      <c r="X1" s="19"/>
      <c r="Y1" s="21"/>
      <c r="Z1" s="853"/>
      <c r="AA1" s="844"/>
      <c r="AB1" s="844"/>
      <c r="AC1" s="23"/>
      <c r="AD1" s="847"/>
      <c r="AE1" s="844"/>
      <c r="AF1" s="844"/>
      <c r="AG1" s="844"/>
      <c r="AH1" s="844"/>
      <c r="AI1" s="844"/>
      <c r="AJ1" s="844"/>
      <c r="AK1" s="34"/>
      <c r="AL1" s="39"/>
      <c r="AM1" s="117"/>
      <c r="AN1" s="645"/>
    </row>
    <row r="2" spans="1:40" ht="47.25" customHeight="1">
      <c r="A2" s="846"/>
      <c r="B2" s="484" t="s">
        <v>1023</v>
      </c>
      <c r="C2" s="40" t="s">
        <v>1025</v>
      </c>
      <c r="D2" s="40" t="s">
        <v>1026</v>
      </c>
      <c r="E2" s="40" t="s">
        <v>1027</v>
      </c>
      <c r="F2" s="40" t="s">
        <v>1380</v>
      </c>
      <c r="G2" s="40" t="s">
        <v>1030</v>
      </c>
      <c r="H2" s="40" t="s">
        <v>1381</v>
      </c>
      <c r="I2" s="40" t="s">
        <v>1382</v>
      </c>
      <c r="J2" s="41" t="s">
        <v>1383</v>
      </c>
      <c r="K2" s="40" t="s">
        <v>1384</v>
      </c>
      <c r="L2" s="40" t="s">
        <v>1385</v>
      </c>
      <c r="M2" s="40" t="s">
        <v>1386</v>
      </c>
      <c r="N2" s="40" t="s">
        <v>1040</v>
      </c>
      <c r="O2" s="40" t="s">
        <v>1387</v>
      </c>
      <c r="P2" s="41" t="s">
        <v>1388</v>
      </c>
      <c r="Q2" s="40" t="s">
        <v>1041</v>
      </c>
      <c r="R2" s="40" t="s">
        <v>1043</v>
      </c>
      <c r="S2" s="40" t="s">
        <v>1044</v>
      </c>
      <c r="T2" s="40" t="s">
        <v>1045</v>
      </c>
      <c r="U2" s="43" t="s">
        <v>1046</v>
      </c>
      <c r="V2" s="40" t="s">
        <v>1047</v>
      </c>
      <c r="W2" s="43" t="s">
        <v>1389</v>
      </c>
      <c r="X2" s="43" t="s">
        <v>1390</v>
      </c>
      <c r="Y2" s="40" t="s">
        <v>1049</v>
      </c>
      <c r="Z2" s="40" t="s">
        <v>1050</v>
      </c>
      <c r="AA2" s="40" t="s">
        <v>1391</v>
      </c>
      <c r="AB2" s="40" t="s">
        <v>1051</v>
      </c>
      <c r="AC2" s="40" t="s">
        <v>1392</v>
      </c>
      <c r="AD2" s="40" t="s">
        <v>1054</v>
      </c>
      <c r="AE2" s="40" t="s">
        <v>1393</v>
      </c>
      <c r="AF2" s="40" t="s">
        <v>1056</v>
      </c>
      <c r="AG2" s="41" t="s">
        <v>1394</v>
      </c>
      <c r="AH2" s="40" t="s">
        <v>1395</v>
      </c>
      <c r="AI2" s="40" t="s">
        <v>1057</v>
      </c>
      <c r="AJ2" s="40" t="s">
        <v>1058</v>
      </c>
      <c r="AK2" s="44" t="s">
        <v>730</v>
      </c>
      <c r="AL2" s="46">
        <f>COUNTA($A20:$A322)</f>
        <v>302</v>
      </c>
      <c r="AM2" s="117"/>
      <c r="AN2" s="48">
        <f>SUM(AK212:AK322,AK20:AK210)</f>
        <v>2600</v>
      </c>
    </row>
    <row r="3" spans="1:40" ht="17.25" customHeight="1">
      <c r="A3" s="50" t="s">
        <v>1396</v>
      </c>
      <c r="B3" s="51"/>
      <c r="C3" s="55">
        <f t="shared" ref="C3:AJ3" si="0">COUNTIF(C20:C322,"1")/COUNTA($A20:$A322)</f>
        <v>0.54966887417218546</v>
      </c>
      <c r="D3" s="55">
        <f t="shared" si="0"/>
        <v>0.76158940397350994</v>
      </c>
      <c r="E3" s="55">
        <f t="shared" si="0"/>
        <v>0.41059602649006621</v>
      </c>
      <c r="F3" s="55">
        <f t="shared" si="0"/>
        <v>0</v>
      </c>
      <c r="G3" s="55">
        <f t="shared" si="0"/>
        <v>0.39072847682119205</v>
      </c>
      <c r="H3" s="55">
        <f t="shared" si="0"/>
        <v>0</v>
      </c>
      <c r="I3" s="55">
        <f t="shared" si="0"/>
        <v>0</v>
      </c>
      <c r="J3" s="55">
        <f t="shared" si="0"/>
        <v>0.94701986754966883</v>
      </c>
      <c r="K3" s="55">
        <f t="shared" si="0"/>
        <v>0</v>
      </c>
      <c r="L3" s="55">
        <f t="shared" si="0"/>
        <v>0</v>
      </c>
      <c r="M3" s="55">
        <f t="shared" si="0"/>
        <v>0</v>
      </c>
      <c r="N3" s="55">
        <f t="shared" si="0"/>
        <v>0.14238410596026491</v>
      </c>
      <c r="O3" s="55">
        <f t="shared" si="0"/>
        <v>0</v>
      </c>
      <c r="P3" s="55">
        <f t="shared" si="0"/>
        <v>0.99006622516556286</v>
      </c>
      <c r="Q3" s="55">
        <f t="shared" si="0"/>
        <v>0.22847682119205298</v>
      </c>
      <c r="R3" s="55">
        <f t="shared" si="0"/>
        <v>4.3046357615894038E-2</v>
      </c>
      <c r="S3" s="55">
        <f t="shared" si="0"/>
        <v>0.11920529801324503</v>
      </c>
      <c r="T3" s="55">
        <f t="shared" si="0"/>
        <v>9.9337748344370855E-2</v>
      </c>
      <c r="U3" s="55">
        <f t="shared" si="0"/>
        <v>0.58609271523178808</v>
      </c>
      <c r="V3" s="55">
        <f t="shared" si="0"/>
        <v>0.22847682119205298</v>
      </c>
      <c r="W3" s="58">
        <f t="shared" si="0"/>
        <v>3.3112582781456954E-3</v>
      </c>
      <c r="X3" s="55">
        <f t="shared" si="0"/>
        <v>4.9668874172185427E-2</v>
      </c>
      <c r="Y3" s="55">
        <f t="shared" si="0"/>
        <v>0.66556291390728473</v>
      </c>
      <c r="Z3" s="55">
        <f t="shared" si="0"/>
        <v>0.53642384105960261</v>
      </c>
      <c r="AA3" s="55">
        <f t="shared" si="0"/>
        <v>0</v>
      </c>
      <c r="AB3" s="55">
        <f t="shared" si="0"/>
        <v>0.35430463576158938</v>
      </c>
      <c r="AC3" s="55">
        <f t="shared" si="0"/>
        <v>0</v>
      </c>
      <c r="AD3" s="55">
        <f t="shared" si="0"/>
        <v>0.24503311258278146</v>
      </c>
      <c r="AE3" s="55">
        <f t="shared" si="0"/>
        <v>0</v>
      </c>
      <c r="AF3" s="55">
        <f t="shared" si="0"/>
        <v>6.2913907284768214E-2</v>
      </c>
      <c r="AG3" s="55">
        <f t="shared" si="0"/>
        <v>0.89735099337748347</v>
      </c>
      <c r="AH3" s="55">
        <f t="shared" si="0"/>
        <v>0</v>
      </c>
      <c r="AI3" s="55">
        <f t="shared" si="0"/>
        <v>0.20529801324503311</v>
      </c>
      <c r="AJ3" s="59">
        <f t="shared" si="0"/>
        <v>7.6158940397350994E-2</v>
      </c>
      <c r="AK3" s="854" t="str">
        <f>HYPERLINK("www.twitter.com/NotMrTibbs", "Follow @NotMrTibbs on Twitter")</f>
        <v>Follow @NotMrTibbs on Twitter</v>
      </c>
      <c r="AL3" s="855"/>
      <c r="AM3" s="117"/>
      <c r="AN3" s="83">
        <f>AN2/(N1)</f>
        <v>8.6092715231788084</v>
      </c>
    </row>
    <row r="4" spans="1:40" ht="17.25" customHeight="1">
      <c r="A4" s="60" t="s">
        <v>1397</v>
      </c>
      <c r="B4" s="61">
        <f>SUM(B211:B491)</f>
        <v>0</v>
      </c>
      <c r="C4" s="62">
        <f t="shared" ref="C4:E4" si="1">SUM(C20:C491)</f>
        <v>166</v>
      </c>
      <c r="D4" s="62">
        <f t="shared" si="1"/>
        <v>230</v>
      </c>
      <c r="E4" s="62">
        <f t="shared" si="1"/>
        <v>124</v>
      </c>
      <c r="F4" s="62">
        <f>SUM(F211:F491)</f>
        <v>0</v>
      </c>
      <c r="G4" s="62">
        <f>SUM(G20:G491)</f>
        <v>118</v>
      </c>
      <c r="H4" s="62">
        <f t="shared" ref="H4:I4" si="2">SUM(H211:H491)</f>
        <v>0</v>
      </c>
      <c r="I4" s="62">
        <f t="shared" si="2"/>
        <v>0</v>
      </c>
      <c r="J4" s="62">
        <f>SUM(J20:J491)</f>
        <v>286</v>
      </c>
      <c r="K4" s="62">
        <f t="shared" ref="K4:M4" si="3">SUM(K211:K491)</f>
        <v>0</v>
      </c>
      <c r="L4" s="62">
        <f t="shared" si="3"/>
        <v>0</v>
      </c>
      <c r="M4" s="62">
        <f t="shared" si="3"/>
        <v>0</v>
      </c>
      <c r="N4" s="62">
        <f>SUM(N20:N491)</f>
        <v>43</v>
      </c>
      <c r="O4" s="62">
        <f>SUM(O176:O491)</f>
        <v>0</v>
      </c>
      <c r="P4" s="62">
        <f t="shared" ref="P4:V4" si="4">SUM(P20:P491)</f>
        <v>299</v>
      </c>
      <c r="Q4" s="62">
        <f t="shared" si="4"/>
        <v>69</v>
      </c>
      <c r="R4" s="62">
        <f t="shared" si="4"/>
        <v>13</v>
      </c>
      <c r="S4" s="62">
        <f t="shared" si="4"/>
        <v>36</v>
      </c>
      <c r="T4" s="62">
        <f t="shared" si="4"/>
        <v>30</v>
      </c>
      <c r="U4" s="62">
        <f t="shared" si="4"/>
        <v>177</v>
      </c>
      <c r="V4" s="62">
        <f t="shared" si="4"/>
        <v>69</v>
      </c>
      <c r="W4" s="62">
        <f>SUM(W176:W491)</f>
        <v>1</v>
      </c>
      <c r="X4" s="62">
        <f t="shared" ref="X4:Z4" si="5">SUM(X20:X491)</f>
        <v>15</v>
      </c>
      <c r="Y4" s="62">
        <f t="shared" si="5"/>
        <v>201</v>
      </c>
      <c r="Z4" s="62">
        <f t="shared" si="5"/>
        <v>162</v>
      </c>
      <c r="AA4" s="62">
        <f>SUM(AA211:AA491)</f>
        <v>0</v>
      </c>
      <c r="AB4" s="62">
        <f>SUM(AB20:AB491)</f>
        <v>107</v>
      </c>
      <c r="AC4" s="62">
        <f>SUM(AC211:AC491)</f>
        <v>0</v>
      </c>
      <c r="AD4" s="62">
        <f>SUM(AD20:AD491)</f>
        <v>74</v>
      </c>
      <c r="AE4" s="62">
        <f>SUM(AE176:AE491)</f>
        <v>0</v>
      </c>
      <c r="AF4" s="62">
        <f t="shared" ref="AF4:AG4" si="6">SUM(AF20:AF491)</f>
        <v>19</v>
      </c>
      <c r="AG4" s="62">
        <f t="shared" si="6"/>
        <v>271</v>
      </c>
      <c r="AH4" s="62">
        <f>SUM(AH211:AH491)</f>
        <v>0</v>
      </c>
      <c r="AI4" s="62">
        <f t="shared" ref="AI4:AJ4" si="7">SUM(AI20:AI491)</f>
        <v>62</v>
      </c>
      <c r="AJ4" s="63">
        <f t="shared" si="7"/>
        <v>23</v>
      </c>
      <c r="AK4" s="842"/>
      <c r="AL4" s="844"/>
      <c r="AM4" s="646"/>
      <c r="AN4" s="64">
        <f>4793-AN2</f>
        <v>2193</v>
      </c>
    </row>
    <row r="5" spans="1:40" ht="17.25" hidden="1" customHeight="1">
      <c r="A5" s="65" t="s">
        <v>1064</v>
      </c>
      <c r="B5" s="66"/>
      <c r="C5" s="67">
        <v>0.55649999999999999</v>
      </c>
      <c r="D5" s="67">
        <v>0.77426923076923104</v>
      </c>
      <c r="E5" s="67">
        <v>0.33107692307692299</v>
      </c>
      <c r="F5" s="67"/>
      <c r="G5" s="67">
        <v>0.34165384615384597</v>
      </c>
      <c r="H5" s="67"/>
      <c r="I5" s="67"/>
      <c r="J5" s="68" t="s">
        <v>1065</v>
      </c>
      <c r="K5" s="68"/>
      <c r="L5" s="68"/>
      <c r="M5" s="68"/>
      <c r="N5" s="68" t="s">
        <v>1065</v>
      </c>
      <c r="O5" s="68"/>
      <c r="P5" s="68" t="s">
        <v>1065</v>
      </c>
      <c r="Q5" s="67">
        <v>0.25580769230769201</v>
      </c>
      <c r="R5" s="67">
        <v>0.118076923076923</v>
      </c>
      <c r="S5" s="67">
        <v>0.115192307692308</v>
      </c>
      <c r="T5" s="67">
        <v>7.9769230769230801E-2</v>
      </c>
      <c r="U5" s="67">
        <v>0.67938461538461603</v>
      </c>
      <c r="V5" s="68" t="s">
        <v>1065</v>
      </c>
      <c r="W5" s="68" t="s">
        <v>1065</v>
      </c>
      <c r="X5" s="67">
        <v>3.2692307692307701E-2</v>
      </c>
      <c r="Y5" s="67">
        <v>0.65288461538461495</v>
      </c>
      <c r="Z5" s="67">
        <v>0.44326923076923103</v>
      </c>
      <c r="AA5" s="67"/>
      <c r="AB5" s="67">
        <v>0.36238461538461503</v>
      </c>
      <c r="AC5" s="67"/>
      <c r="AD5" s="67">
        <v>0.31138461538461498</v>
      </c>
      <c r="AE5" s="67"/>
      <c r="AF5" s="67">
        <v>6.3115384615384601E-2</v>
      </c>
      <c r="AG5" s="68" t="s">
        <v>1065</v>
      </c>
      <c r="AH5" s="67"/>
      <c r="AI5" s="67">
        <v>0.19715384615384601</v>
      </c>
      <c r="AJ5" s="69">
        <v>0.13473076923076899</v>
      </c>
      <c r="AK5" s="842"/>
      <c r="AL5" s="844"/>
      <c r="AM5" s="646"/>
      <c r="AN5" s="64">
        <f>AN4/(571-N1)</f>
        <v>8.1524163568773229</v>
      </c>
    </row>
    <row r="6" spans="1:40" ht="17.25" customHeight="1">
      <c r="A6" s="72" t="s">
        <v>1066</v>
      </c>
      <c r="B6" s="73"/>
      <c r="C6" s="74">
        <v>0.54300000000000004</v>
      </c>
      <c r="D6" s="74">
        <v>0.748</v>
      </c>
      <c r="E6" s="74">
        <v>0.34699999999999998</v>
      </c>
      <c r="F6" s="74"/>
      <c r="G6" s="74">
        <v>0.35399999999999998</v>
      </c>
      <c r="H6" s="74"/>
      <c r="I6" s="74"/>
      <c r="J6" s="74">
        <v>0.91900000000000004</v>
      </c>
      <c r="K6" s="74"/>
      <c r="L6" s="74"/>
      <c r="M6" s="74"/>
      <c r="N6" s="74">
        <v>0.152</v>
      </c>
      <c r="O6" s="74"/>
      <c r="P6" s="74">
        <v>0.97199999999999998</v>
      </c>
      <c r="Q6" s="74">
        <v>0.252</v>
      </c>
      <c r="R6" s="74">
        <v>8.2000000000000003E-2</v>
      </c>
      <c r="S6" s="74">
        <v>0.11700000000000001</v>
      </c>
      <c r="T6" s="74">
        <v>0.11</v>
      </c>
      <c r="U6" s="74">
        <v>0.61499999999999999</v>
      </c>
      <c r="V6" s="74">
        <v>0.20300000000000001</v>
      </c>
      <c r="W6" s="75">
        <v>1.0999999999999999E-2</v>
      </c>
      <c r="X6" s="74">
        <v>4.3999999999999997E-2</v>
      </c>
      <c r="Y6" s="74">
        <v>0.622</v>
      </c>
      <c r="Z6" s="74">
        <v>0.46100000000000002</v>
      </c>
      <c r="AA6" s="74"/>
      <c r="AB6" s="74">
        <v>0.29199999999999998</v>
      </c>
      <c r="AC6" s="74"/>
      <c r="AD6" s="74">
        <v>0.29899999999999999</v>
      </c>
      <c r="AE6" s="74"/>
      <c r="AF6" s="74">
        <v>7.1999999999999995E-2</v>
      </c>
      <c r="AG6" s="74">
        <v>0.83699999999999997</v>
      </c>
      <c r="AH6" s="74"/>
      <c r="AI6" s="74">
        <v>0.20799999999999999</v>
      </c>
      <c r="AJ6" s="76">
        <v>0.10199999999999999</v>
      </c>
      <c r="AK6" s="842"/>
      <c r="AL6" s="844"/>
      <c r="AM6" s="646"/>
      <c r="AN6" s="77">
        <f>4793/571</f>
        <v>8.3940455341506137</v>
      </c>
    </row>
    <row r="7" spans="1:40" ht="17.25" customHeight="1">
      <c r="A7" s="72" t="s">
        <v>1067</v>
      </c>
      <c r="B7" s="73"/>
      <c r="C7" s="78">
        <v>310</v>
      </c>
      <c r="D7" s="78">
        <v>427</v>
      </c>
      <c r="E7" s="78">
        <v>198</v>
      </c>
      <c r="F7" s="78"/>
      <c r="G7" s="78">
        <v>202</v>
      </c>
      <c r="H7" s="78"/>
      <c r="I7" s="78"/>
      <c r="J7" s="78">
        <v>525</v>
      </c>
      <c r="K7" s="78"/>
      <c r="L7" s="78"/>
      <c r="M7" s="78"/>
      <c r="N7" s="78">
        <v>87</v>
      </c>
      <c r="O7" s="78"/>
      <c r="P7" s="78">
        <v>555</v>
      </c>
      <c r="Q7" s="78">
        <v>144</v>
      </c>
      <c r="R7" s="78">
        <v>47</v>
      </c>
      <c r="S7" s="78">
        <v>67</v>
      </c>
      <c r="T7" s="78">
        <v>63</v>
      </c>
      <c r="U7" s="78">
        <v>351</v>
      </c>
      <c r="V7" s="78">
        <v>116</v>
      </c>
      <c r="W7" s="79">
        <v>6</v>
      </c>
      <c r="X7" s="78">
        <v>25</v>
      </c>
      <c r="Y7" s="78">
        <v>355</v>
      </c>
      <c r="Z7" s="78">
        <v>263</v>
      </c>
      <c r="AA7" s="78"/>
      <c r="AB7" s="78">
        <v>167</v>
      </c>
      <c r="AC7" s="78"/>
      <c r="AD7" s="78">
        <v>171</v>
      </c>
      <c r="AE7" s="78"/>
      <c r="AF7" s="78">
        <v>41</v>
      </c>
      <c r="AG7" s="78">
        <v>478</v>
      </c>
      <c r="AH7" s="78"/>
      <c r="AI7" s="78">
        <v>119</v>
      </c>
      <c r="AJ7" s="81">
        <v>58</v>
      </c>
      <c r="AK7" s="856"/>
      <c r="AL7" s="857"/>
      <c r="AM7" s="117"/>
      <c r="AN7" s="83"/>
    </row>
    <row r="8" spans="1:40" ht="15" customHeight="1">
      <c r="A8" s="84" t="s">
        <v>1398</v>
      </c>
      <c r="B8" s="85"/>
      <c r="C8" s="86">
        <f t="shared" ref="C8:AJ8" si="8">COUNTIF(C20:C210,"1")/COUNTA($A20:$A210)</f>
        <v>0.55497382198952883</v>
      </c>
      <c r="D8" s="86">
        <f t="shared" si="8"/>
        <v>0.78010471204188481</v>
      </c>
      <c r="E8" s="86">
        <f t="shared" si="8"/>
        <v>0.42408376963350786</v>
      </c>
      <c r="F8" s="86">
        <f t="shared" si="8"/>
        <v>0</v>
      </c>
      <c r="G8" s="86">
        <f t="shared" si="8"/>
        <v>0.40837696335078533</v>
      </c>
      <c r="H8" s="86">
        <f t="shared" si="8"/>
        <v>0</v>
      </c>
      <c r="I8" s="86">
        <f t="shared" si="8"/>
        <v>0</v>
      </c>
      <c r="J8" s="86">
        <f t="shared" si="8"/>
        <v>0.95287958115183247</v>
      </c>
      <c r="K8" s="86">
        <f t="shared" si="8"/>
        <v>0</v>
      </c>
      <c r="L8" s="86">
        <f t="shared" si="8"/>
        <v>0</v>
      </c>
      <c r="M8" s="86">
        <f t="shared" si="8"/>
        <v>0</v>
      </c>
      <c r="N8" s="86">
        <f t="shared" si="8"/>
        <v>0.14659685863874344</v>
      </c>
      <c r="O8" s="86">
        <f t="shared" si="8"/>
        <v>0</v>
      </c>
      <c r="P8" s="86">
        <f t="shared" si="8"/>
        <v>0.99476439790575921</v>
      </c>
      <c r="Q8" s="86">
        <f t="shared" si="8"/>
        <v>0.26178010471204188</v>
      </c>
      <c r="R8" s="86">
        <f t="shared" si="8"/>
        <v>4.1884816753926704E-2</v>
      </c>
      <c r="S8" s="86">
        <f t="shared" si="8"/>
        <v>0.12041884816753927</v>
      </c>
      <c r="T8" s="86">
        <f t="shared" si="8"/>
        <v>9.947643979057591E-2</v>
      </c>
      <c r="U8" s="86">
        <f t="shared" si="8"/>
        <v>0.61780104712041883</v>
      </c>
      <c r="V8" s="86">
        <f t="shared" si="8"/>
        <v>0.24607329842931938</v>
      </c>
      <c r="W8" s="86">
        <f t="shared" si="8"/>
        <v>0</v>
      </c>
      <c r="X8" s="86">
        <f t="shared" si="8"/>
        <v>5.7591623036649213E-2</v>
      </c>
      <c r="Y8" s="86">
        <f t="shared" si="8"/>
        <v>0.68062827225130895</v>
      </c>
      <c r="Z8" s="86">
        <f t="shared" si="8"/>
        <v>0.54450261780104714</v>
      </c>
      <c r="AA8" s="86">
        <f t="shared" si="8"/>
        <v>0</v>
      </c>
      <c r="AB8" s="86">
        <f t="shared" si="8"/>
        <v>0.37696335078534032</v>
      </c>
      <c r="AC8" s="86">
        <f t="shared" si="8"/>
        <v>0</v>
      </c>
      <c r="AD8" s="86">
        <f t="shared" si="8"/>
        <v>0.2356020942408377</v>
      </c>
      <c r="AE8" s="86">
        <f t="shared" si="8"/>
        <v>0</v>
      </c>
      <c r="AF8" s="86">
        <f t="shared" si="8"/>
        <v>6.8062827225130892E-2</v>
      </c>
      <c r="AG8" s="86">
        <f t="shared" si="8"/>
        <v>0.90052356020942403</v>
      </c>
      <c r="AH8" s="86">
        <f t="shared" si="8"/>
        <v>0</v>
      </c>
      <c r="AI8" s="86">
        <f t="shared" si="8"/>
        <v>0.21465968586387435</v>
      </c>
      <c r="AJ8" s="87">
        <f t="shared" si="8"/>
        <v>7.3298429319371722E-2</v>
      </c>
      <c r="AK8" s="88"/>
      <c r="AL8" s="89"/>
      <c r="AM8" s="117"/>
      <c r="AN8" s="645"/>
    </row>
    <row r="9" spans="1:40">
      <c r="A9" s="84" t="s">
        <v>1399</v>
      </c>
      <c r="B9" s="90"/>
      <c r="C9" s="91">
        <f t="shared" ref="C9:AJ9" si="9">COUNTIF(C212:C322,"1")/COUNTA($A212:$A322)</f>
        <v>0.54054054054054057</v>
      </c>
      <c r="D9" s="91">
        <f t="shared" si="9"/>
        <v>0.72972972972972971</v>
      </c>
      <c r="E9" s="91">
        <f t="shared" si="9"/>
        <v>0.38738738738738737</v>
      </c>
      <c r="F9" s="91">
        <f t="shared" si="9"/>
        <v>0</v>
      </c>
      <c r="G9" s="91">
        <f t="shared" si="9"/>
        <v>0.36036036036036034</v>
      </c>
      <c r="H9" s="91">
        <f t="shared" si="9"/>
        <v>0</v>
      </c>
      <c r="I9" s="91">
        <f t="shared" si="9"/>
        <v>0</v>
      </c>
      <c r="J9" s="91">
        <f t="shared" si="9"/>
        <v>0.93693693693693691</v>
      </c>
      <c r="K9" s="91">
        <f t="shared" si="9"/>
        <v>0</v>
      </c>
      <c r="L9" s="91">
        <f t="shared" si="9"/>
        <v>0</v>
      </c>
      <c r="M9" s="91">
        <f t="shared" si="9"/>
        <v>0</v>
      </c>
      <c r="N9" s="91">
        <f t="shared" si="9"/>
        <v>0.13513513513513514</v>
      </c>
      <c r="O9" s="91">
        <f t="shared" si="9"/>
        <v>0</v>
      </c>
      <c r="P9" s="91">
        <f t="shared" si="9"/>
        <v>0.98198198198198194</v>
      </c>
      <c r="Q9" s="91">
        <f t="shared" si="9"/>
        <v>0.17117117117117117</v>
      </c>
      <c r="R9" s="91">
        <f t="shared" si="9"/>
        <v>4.5045045045045043E-2</v>
      </c>
      <c r="S9" s="91">
        <f t="shared" si="9"/>
        <v>0.11711711711711711</v>
      </c>
      <c r="T9" s="91">
        <f t="shared" si="9"/>
        <v>9.90990990990991E-2</v>
      </c>
      <c r="U9" s="91">
        <f t="shared" si="9"/>
        <v>0.53153153153153154</v>
      </c>
      <c r="V9" s="91">
        <f t="shared" si="9"/>
        <v>0.1981981981981982</v>
      </c>
      <c r="W9" s="91">
        <f t="shared" si="9"/>
        <v>9.0090090090090089E-3</v>
      </c>
      <c r="X9" s="91">
        <f t="shared" si="9"/>
        <v>3.6036036036036036E-2</v>
      </c>
      <c r="Y9" s="91">
        <f t="shared" si="9"/>
        <v>0.63963963963963966</v>
      </c>
      <c r="Z9" s="91">
        <f t="shared" si="9"/>
        <v>0.52252252252252251</v>
      </c>
      <c r="AA9" s="91">
        <f t="shared" si="9"/>
        <v>0</v>
      </c>
      <c r="AB9" s="91">
        <f t="shared" si="9"/>
        <v>0.31531531531531531</v>
      </c>
      <c r="AC9" s="91">
        <f t="shared" si="9"/>
        <v>0</v>
      </c>
      <c r="AD9" s="91">
        <f t="shared" si="9"/>
        <v>0.26126126126126126</v>
      </c>
      <c r="AE9" s="91">
        <f t="shared" si="9"/>
        <v>0</v>
      </c>
      <c r="AF9" s="91">
        <f t="shared" si="9"/>
        <v>5.4054054054054057E-2</v>
      </c>
      <c r="AG9" s="91">
        <f t="shared" si="9"/>
        <v>0.89189189189189189</v>
      </c>
      <c r="AH9" s="91">
        <f t="shared" si="9"/>
        <v>0</v>
      </c>
      <c r="AI9" s="91">
        <f t="shared" si="9"/>
        <v>0.1891891891891892</v>
      </c>
      <c r="AJ9" s="92">
        <f t="shared" si="9"/>
        <v>8.1081081081081086E-2</v>
      </c>
      <c r="AK9" s="93">
        <f>COUNTA(A20:A210)</f>
        <v>191</v>
      </c>
      <c r="AL9" s="94"/>
      <c r="AM9" s="841" t="s">
        <v>1400</v>
      </c>
      <c r="AN9" s="843" t="s">
        <v>1401</v>
      </c>
    </row>
    <row r="10" spans="1:40" ht="13.5" thickBot="1">
      <c r="A10" s="95" t="s">
        <v>1402</v>
      </c>
      <c r="B10" s="96"/>
      <c r="C10" s="97">
        <f t="shared" ref="C10:AJ10" si="10">C15/$Q$1</f>
        <v>0.53551301115241634</v>
      </c>
      <c r="D10" s="97">
        <f t="shared" si="10"/>
        <v>0.73274349442379183</v>
      </c>
      <c r="E10" s="97">
        <f t="shared" si="10"/>
        <v>0.27560223048327126</v>
      </c>
      <c r="F10" s="97">
        <f t="shared" si="10"/>
        <v>0</v>
      </c>
      <c r="G10" s="97">
        <f t="shared" si="10"/>
        <v>0.31276579925650555</v>
      </c>
      <c r="H10" s="97">
        <f t="shared" si="10"/>
        <v>0</v>
      </c>
      <c r="I10" s="97">
        <f t="shared" si="10"/>
        <v>0</v>
      </c>
      <c r="J10" s="97">
        <f t="shared" si="10"/>
        <v>0.88754275092936807</v>
      </c>
      <c r="K10" s="97">
        <f t="shared" si="10"/>
        <v>0</v>
      </c>
      <c r="L10" s="97">
        <f t="shared" si="10"/>
        <v>0</v>
      </c>
      <c r="M10" s="97">
        <f t="shared" si="10"/>
        <v>0</v>
      </c>
      <c r="N10" s="97">
        <f t="shared" si="10"/>
        <v>0.16279553903345725</v>
      </c>
      <c r="O10" s="97">
        <f t="shared" si="10"/>
        <v>0</v>
      </c>
      <c r="P10" s="97">
        <f t="shared" si="10"/>
        <v>0.95171747211895885</v>
      </c>
      <c r="Q10" s="97">
        <f t="shared" si="10"/>
        <v>0.27840892193308547</v>
      </c>
      <c r="R10" s="97">
        <f t="shared" si="10"/>
        <v>0.12573234200743497</v>
      </c>
      <c r="S10" s="97">
        <f t="shared" si="10"/>
        <v>0.11452416356877325</v>
      </c>
      <c r="T10" s="97">
        <f t="shared" si="10"/>
        <v>0.12197026022304834</v>
      </c>
      <c r="U10" s="97">
        <f t="shared" si="10"/>
        <v>0.64745353159851304</v>
      </c>
      <c r="V10" s="97">
        <f t="shared" si="10"/>
        <v>0.17439776951672867</v>
      </c>
      <c r="W10" s="97">
        <f t="shared" si="10"/>
        <v>1.9631970260223047E-2</v>
      </c>
      <c r="X10" s="97">
        <f t="shared" si="10"/>
        <v>3.7635687732342001E-2</v>
      </c>
      <c r="Y10" s="97">
        <f t="shared" si="10"/>
        <v>0.57309293680297391</v>
      </c>
      <c r="Z10" s="97">
        <f t="shared" si="10"/>
        <v>0.37632342007434944</v>
      </c>
      <c r="AA10" s="97">
        <f t="shared" si="10"/>
        <v>0</v>
      </c>
      <c r="AB10" s="97">
        <f t="shared" si="10"/>
        <v>0.22205204460966543</v>
      </c>
      <c r="AC10" s="97">
        <f t="shared" si="10"/>
        <v>0</v>
      </c>
      <c r="AD10" s="97">
        <f t="shared" si="10"/>
        <v>0.35958736059479546</v>
      </c>
      <c r="AE10" s="97">
        <f t="shared" si="10"/>
        <v>0</v>
      </c>
      <c r="AF10" s="97">
        <f t="shared" si="10"/>
        <v>8.2200743494423772E-2</v>
      </c>
      <c r="AG10" s="97">
        <f t="shared" si="10"/>
        <v>0.76924535315985121</v>
      </c>
      <c r="AH10" s="97">
        <f t="shared" si="10"/>
        <v>0</v>
      </c>
      <c r="AI10" s="97">
        <f t="shared" si="10"/>
        <v>0.21103345724907063</v>
      </c>
      <c r="AJ10" s="98">
        <f t="shared" si="10"/>
        <v>0.13101115241635686</v>
      </c>
      <c r="AK10" s="104"/>
      <c r="AL10" s="105"/>
      <c r="AM10" s="842"/>
      <c r="AN10" s="844"/>
    </row>
    <row r="11" spans="1:40" s="580" customFormat="1">
      <c r="A11" s="582" t="s">
        <v>73</v>
      </c>
      <c r="B11" s="583"/>
      <c r="C11" s="584"/>
      <c r="D11" s="584"/>
      <c r="E11" s="585"/>
      <c r="F11" s="584"/>
      <c r="G11" s="584"/>
      <c r="H11" s="584"/>
      <c r="I11" s="584"/>
      <c r="J11" s="584"/>
      <c r="K11" s="584"/>
      <c r="L11" s="584"/>
      <c r="M11" s="584"/>
      <c r="N11" s="584"/>
      <c r="O11" s="586"/>
      <c r="P11" s="584"/>
      <c r="Q11" s="584"/>
      <c r="R11" s="584"/>
      <c r="S11" s="584"/>
      <c r="T11" s="584"/>
      <c r="U11" s="584"/>
      <c r="V11" s="584"/>
      <c r="W11" s="584"/>
      <c r="X11" s="584"/>
      <c r="Y11" s="584"/>
      <c r="Z11" s="585"/>
      <c r="AA11" s="584"/>
      <c r="AB11" s="584"/>
      <c r="AC11" s="584"/>
      <c r="AD11" s="584"/>
      <c r="AE11" s="584"/>
      <c r="AF11" s="584"/>
      <c r="AG11" s="584"/>
      <c r="AH11" s="584"/>
      <c r="AI11" s="584"/>
      <c r="AJ11" s="584"/>
      <c r="AK11" s="581"/>
      <c r="AL11" s="105"/>
      <c r="AM11" s="842"/>
      <c r="AN11" s="844"/>
    </row>
    <row r="12" spans="1:40" s="580" customFormat="1">
      <c r="A12" s="587" t="s">
        <v>75</v>
      </c>
      <c r="B12" s="583"/>
      <c r="C12" s="588"/>
      <c r="D12" s="588"/>
      <c r="E12" s="589"/>
      <c r="F12" s="588"/>
      <c r="G12" s="588"/>
      <c r="H12" s="588"/>
      <c r="I12" s="588"/>
      <c r="J12" s="588"/>
      <c r="K12" s="588"/>
      <c r="L12" s="588"/>
      <c r="M12" s="588"/>
      <c r="N12" s="588"/>
      <c r="O12" s="589"/>
      <c r="P12" s="588"/>
      <c r="Q12" s="588"/>
      <c r="R12" s="588"/>
      <c r="S12" s="588"/>
      <c r="T12" s="588"/>
      <c r="U12" s="588"/>
      <c r="V12" s="588"/>
      <c r="W12" s="588"/>
      <c r="X12" s="588"/>
      <c r="Y12" s="588"/>
      <c r="Z12" s="589"/>
      <c r="AA12" s="588"/>
      <c r="AB12" s="588"/>
      <c r="AC12" s="588"/>
      <c r="AD12" s="588"/>
      <c r="AE12" s="588"/>
      <c r="AF12" s="588"/>
      <c r="AG12" s="588"/>
      <c r="AH12" s="588"/>
      <c r="AI12" s="588"/>
      <c r="AJ12" s="588"/>
      <c r="AK12" s="581"/>
      <c r="AL12" s="105"/>
      <c r="AM12" s="842"/>
      <c r="AN12" s="844"/>
    </row>
    <row r="13" spans="1:40" s="580" customFormat="1">
      <c r="A13" s="590" t="s">
        <v>77</v>
      </c>
      <c r="B13" s="583"/>
      <c r="C13" s="591"/>
      <c r="D13" s="591"/>
      <c r="E13" s="591"/>
      <c r="F13" s="591"/>
      <c r="G13" s="591"/>
      <c r="H13" s="591"/>
      <c r="I13" s="591"/>
      <c r="J13" s="591"/>
      <c r="K13" s="591"/>
      <c r="L13" s="591"/>
      <c r="M13" s="591"/>
      <c r="N13" s="591"/>
      <c r="O13" s="591"/>
      <c r="P13" s="591"/>
      <c r="Q13" s="591"/>
      <c r="R13" s="591"/>
      <c r="S13" s="591"/>
      <c r="T13" s="591"/>
      <c r="U13" s="591"/>
      <c r="V13" s="591"/>
      <c r="W13" s="591"/>
      <c r="X13" s="591"/>
      <c r="Y13" s="591"/>
      <c r="Z13" s="591"/>
      <c r="AA13" s="591"/>
      <c r="AB13" s="591"/>
      <c r="AC13" s="591"/>
      <c r="AD13" s="591"/>
      <c r="AE13" s="591"/>
      <c r="AF13" s="591"/>
      <c r="AG13" s="591"/>
      <c r="AH13" s="591"/>
      <c r="AI13" s="591"/>
      <c r="AJ13" s="591"/>
      <c r="AK13" s="581"/>
      <c r="AL13" s="105"/>
      <c r="AM13" s="842"/>
      <c r="AN13" s="844"/>
    </row>
    <row r="14" spans="1:40" hidden="1">
      <c r="A14" s="99"/>
      <c r="B14" s="100"/>
      <c r="C14" s="100">
        <f t="shared" ref="C14:AJ14" si="11">C6*571</f>
        <v>310.053</v>
      </c>
      <c r="D14" s="100">
        <f t="shared" si="11"/>
        <v>427.108</v>
      </c>
      <c r="E14" s="100">
        <f t="shared" si="11"/>
        <v>198.13699999999997</v>
      </c>
      <c r="F14" s="100">
        <f t="shared" si="11"/>
        <v>0</v>
      </c>
      <c r="G14" s="100">
        <f t="shared" si="11"/>
        <v>202.13399999999999</v>
      </c>
      <c r="H14" s="100">
        <f t="shared" si="11"/>
        <v>0</v>
      </c>
      <c r="I14" s="100">
        <f t="shared" si="11"/>
        <v>0</v>
      </c>
      <c r="J14" s="100">
        <f t="shared" si="11"/>
        <v>524.74900000000002</v>
      </c>
      <c r="K14" s="100">
        <f t="shared" si="11"/>
        <v>0</v>
      </c>
      <c r="L14" s="100">
        <f t="shared" si="11"/>
        <v>0</v>
      </c>
      <c r="M14" s="100">
        <f t="shared" si="11"/>
        <v>0</v>
      </c>
      <c r="N14" s="100">
        <f t="shared" si="11"/>
        <v>86.792000000000002</v>
      </c>
      <c r="O14" s="100">
        <f t="shared" si="11"/>
        <v>0</v>
      </c>
      <c r="P14" s="100">
        <f t="shared" si="11"/>
        <v>555.01199999999994</v>
      </c>
      <c r="Q14" s="100">
        <f t="shared" si="11"/>
        <v>143.892</v>
      </c>
      <c r="R14" s="100">
        <f t="shared" si="11"/>
        <v>46.822000000000003</v>
      </c>
      <c r="S14" s="100">
        <f t="shared" si="11"/>
        <v>66.807000000000002</v>
      </c>
      <c r="T14" s="100">
        <f t="shared" si="11"/>
        <v>62.81</v>
      </c>
      <c r="U14" s="100">
        <f t="shared" si="11"/>
        <v>351.16500000000002</v>
      </c>
      <c r="V14" s="100">
        <f t="shared" si="11"/>
        <v>115.91300000000001</v>
      </c>
      <c r="W14" s="100">
        <f t="shared" si="11"/>
        <v>6.2809999999999997</v>
      </c>
      <c r="X14" s="100">
        <f t="shared" si="11"/>
        <v>25.123999999999999</v>
      </c>
      <c r="Y14" s="100">
        <f t="shared" si="11"/>
        <v>355.16199999999998</v>
      </c>
      <c r="Z14" s="100">
        <f t="shared" si="11"/>
        <v>263.23099999999999</v>
      </c>
      <c r="AA14" s="100">
        <f t="shared" si="11"/>
        <v>0</v>
      </c>
      <c r="AB14" s="100">
        <f t="shared" si="11"/>
        <v>166.732</v>
      </c>
      <c r="AC14" s="100">
        <f t="shared" si="11"/>
        <v>0</v>
      </c>
      <c r="AD14" s="100">
        <f t="shared" si="11"/>
        <v>170.72899999999998</v>
      </c>
      <c r="AE14" s="100">
        <f t="shared" si="11"/>
        <v>0</v>
      </c>
      <c r="AF14" s="100">
        <f t="shared" si="11"/>
        <v>41.111999999999995</v>
      </c>
      <c r="AG14" s="100">
        <f t="shared" si="11"/>
        <v>477.92699999999996</v>
      </c>
      <c r="AH14" s="100">
        <f t="shared" si="11"/>
        <v>0</v>
      </c>
      <c r="AI14" s="100">
        <f t="shared" si="11"/>
        <v>118.768</v>
      </c>
      <c r="AJ14" s="100">
        <f t="shared" si="11"/>
        <v>58.241999999999997</v>
      </c>
      <c r="AK14" s="645"/>
      <c r="AL14" s="101"/>
      <c r="AM14" s="842"/>
      <c r="AN14" s="844"/>
    </row>
    <row r="15" spans="1:40" hidden="1">
      <c r="A15" s="102"/>
      <c r="B15" s="645"/>
      <c r="C15" s="8">
        <f t="shared" ref="C15:AJ15" si="12">C14-C4</f>
        <v>144.053</v>
      </c>
      <c r="D15" s="8">
        <f t="shared" si="12"/>
        <v>197.108</v>
      </c>
      <c r="E15" s="8">
        <f t="shared" si="12"/>
        <v>74.136999999999972</v>
      </c>
      <c r="F15" s="8">
        <f t="shared" si="12"/>
        <v>0</v>
      </c>
      <c r="G15" s="8">
        <f t="shared" si="12"/>
        <v>84.133999999999986</v>
      </c>
      <c r="H15" s="8">
        <f t="shared" si="12"/>
        <v>0</v>
      </c>
      <c r="I15" s="8">
        <f t="shared" si="12"/>
        <v>0</v>
      </c>
      <c r="J15" s="8">
        <f t="shared" si="12"/>
        <v>238.74900000000002</v>
      </c>
      <c r="K15" s="8">
        <f t="shared" si="12"/>
        <v>0</v>
      </c>
      <c r="L15" s="8">
        <f t="shared" si="12"/>
        <v>0</v>
      </c>
      <c r="M15" s="8">
        <f t="shared" si="12"/>
        <v>0</v>
      </c>
      <c r="N15" s="8">
        <f t="shared" si="12"/>
        <v>43.792000000000002</v>
      </c>
      <c r="O15" s="8">
        <f t="shared" si="12"/>
        <v>0</v>
      </c>
      <c r="P15" s="8">
        <f t="shared" si="12"/>
        <v>256.01199999999994</v>
      </c>
      <c r="Q15" s="8">
        <f t="shared" si="12"/>
        <v>74.891999999999996</v>
      </c>
      <c r="R15" s="8">
        <f t="shared" si="12"/>
        <v>33.822000000000003</v>
      </c>
      <c r="S15" s="8">
        <f t="shared" si="12"/>
        <v>30.807000000000002</v>
      </c>
      <c r="T15" s="8">
        <f t="shared" si="12"/>
        <v>32.81</v>
      </c>
      <c r="U15" s="8">
        <f t="shared" si="12"/>
        <v>174.16500000000002</v>
      </c>
      <c r="V15" s="8">
        <f t="shared" si="12"/>
        <v>46.913000000000011</v>
      </c>
      <c r="W15" s="8">
        <f t="shared" si="12"/>
        <v>5.2809999999999997</v>
      </c>
      <c r="X15" s="8">
        <f t="shared" si="12"/>
        <v>10.123999999999999</v>
      </c>
      <c r="Y15" s="8">
        <f t="shared" si="12"/>
        <v>154.16199999999998</v>
      </c>
      <c r="Z15" s="8">
        <f t="shared" si="12"/>
        <v>101.23099999999999</v>
      </c>
      <c r="AA15" s="8">
        <f t="shared" si="12"/>
        <v>0</v>
      </c>
      <c r="AB15" s="8">
        <f t="shared" si="12"/>
        <v>59.731999999999999</v>
      </c>
      <c r="AC15" s="8">
        <f t="shared" si="12"/>
        <v>0</v>
      </c>
      <c r="AD15" s="8">
        <f t="shared" si="12"/>
        <v>96.728999999999985</v>
      </c>
      <c r="AE15" s="8">
        <f t="shared" si="12"/>
        <v>0</v>
      </c>
      <c r="AF15" s="8">
        <f t="shared" si="12"/>
        <v>22.111999999999995</v>
      </c>
      <c r="AG15" s="8">
        <f t="shared" si="12"/>
        <v>206.92699999999996</v>
      </c>
      <c r="AH15" s="8">
        <f t="shared" si="12"/>
        <v>0</v>
      </c>
      <c r="AI15" s="8">
        <f t="shared" si="12"/>
        <v>56.768000000000001</v>
      </c>
      <c r="AJ15" s="8">
        <f t="shared" si="12"/>
        <v>35.241999999999997</v>
      </c>
      <c r="AK15" s="645"/>
      <c r="AL15" s="101"/>
      <c r="AM15" s="842"/>
      <c r="AN15" s="844"/>
    </row>
    <row r="16" spans="1:40" hidden="1">
      <c r="A16" s="103"/>
      <c r="B16" s="484"/>
      <c r="C16" s="484"/>
      <c r="D16" s="484"/>
      <c r="E16" s="484"/>
      <c r="F16" s="484"/>
      <c r="G16" s="484"/>
      <c r="H16" s="484"/>
      <c r="I16" s="484"/>
      <c r="J16" s="484"/>
      <c r="K16" s="484"/>
      <c r="L16" s="484"/>
      <c r="M16" s="484"/>
      <c r="N16" s="484"/>
      <c r="O16" s="484"/>
      <c r="P16" s="484"/>
      <c r="Q16" s="484"/>
      <c r="R16" s="484"/>
      <c r="S16" s="484"/>
      <c r="T16" s="484"/>
      <c r="U16" s="484"/>
      <c r="V16" s="484"/>
      <c r="W16" s="484"/>
      <c r="X16" s="484"/>
      <c r="Y16" s="484"/>
      <c r="Z16" s="484"/>
      <c r="AA16" s="484"/>
      <c r="AB16" s="484"/>
      <c r="AC16" s="484"/>
      <c r="AD16" s="484"/>
      <c r="AE16" s="484"/>
      <c r="AF16" s="484"/>
      <c r="AG16" s="484"/>
      <c r="AH16" s="484"/>
      <c r="AI16" s="484"/>
      <c r="AJ16" s="484"/>
      <c r="AK16" s="645"/>
      <c r="AL16" s="101"/>
      <c r="AM16" s="842"/>
      <c r="AN16" s="844"/>
    </row>
    <row r="17" spans="1:64" hidden="1">
      <c r="A17" s="100"/>
      <c r="B17" s="100"/>
      <c r="C17" s="100">
        <f t="shared" ref="C17:AJ17" si="13">427-C4</f>
        <v>261</v>
      </c>
      <c r="D17" s="100">
        <f t="shared" si="13"/>
        <v>197</v>
      </c>
      <c r="E17" s="100">
        <f t="shared" si="13"/>
        <v>303</v>
      </c>
      <c r="F17" s="100">
        <f t="shared" si="13"/>
        <v>427</v>
      </c>
      <c r="G17" s="100">
        <f t="shared" si="13"/>
        <v>309</v>
      </c>
      <c r="H17" s="100">
        <f t="shared" si="13"/>
        <v>427</v>
      </c>
      <c r="I17" s="100">
        <f t="shared" si="13"/>
        <v>427</v>
      </c>
      <c r="J17" s="100">
        <f t="shared" si="13"/>
        <v>141</v>
      </c>
      <c r="K17" s="100">
        <f t="shared" si="13"/>
        <v>427</v>
      </c>
      <c r="L17" s="100">
        <f t="shared" si="13"/>
        <v>427</v>
      </c>
      <c r="M17" s="100">
        <f t="shared" si="13"/>
        <v>427</v>
      </c>
      <c r="N17" s="100">
        <f t="shared" si="13"/>
        <v>384</v>
      </c>
      <c r="O17" s="100">
        <f t="shared" si="13"/>
        <v>427</v>
      </c>
      <c r="P17" s="100">
        <f t="shared" si="13"/>
        <v>128</v>
      </c>
      <c r="Q17" s="100">
        <f t="shared" si="13"/>
        <v>358</v>
      </c>
      <c r="R17" s="100">
        <f t="shared" si="13"/>
        <v>414</v>
      </c>
      <c r="S17" s="100">
        <f t="shared" si="13"/>
        <v>391</v>
      </c>
      <c r="T17" s="100">
        <f t="shared" si="13"/>
        <v>397</v>
      </c>
      <c r="U17" s="100">
        <f t="shared" si="13"/>
        <v>250</v>
      </c>
      <c r="V17" s="100">
        <f t="shared" si="13"/>
        <v>358</v>
      </c>
      <c r="W17" s="100">
        <f t="shared" si="13"/>
        <v>426</v>
      </c>
      <c r="X17" s="100">
        <f t="shared" si="13"/>
        <v>412</v>
      </c>
      <c r="Y17" s="100">
        <f t="shared" si="13"/>
        <v>226</v>
      </c>
      <c r="Z17" s="100">
        <f t="shared" si="13"/>
        <v>265</v>
      </c>
      <c r="AA17" s="100">
        <f t="shared" si="13"/>
        <v>427</v>
      </c>
      <c r="AB17" s="100">
        <f t="shared" si="13"/>
        <v>320</v>
      </c>
      <c r="AC17" s="100">
        <f t="shared" si="13"/>
        <v>427</v>
      </c>
      <c r="AD17" s="100">
        <f t="shared" si="13"/>
        <v>353</v>
      </c>
      <c r="AE17" s="100">
        <f t="shared" si="13"/>
        <v>427</v>
      </c>
      <c r="AF17" s="100">
        <f t="shared" si="13"/>
        <v>408</v>
      </c>
      <c r="AG17" s="100">
        <f t="shared" si="13"/>
        <v>156</v>
      </c>
      <c r="AH17" s="100">
        <f t="shared" si="13"/>
        <v>427</v>
      </c>
      <c r="AI17" s="100">
        <f t="shared" si="13"/>
        <v>365</v>
      </c>
      <c r="AJ17" s="100">
        <f t="shared" si="13"/>
        <v>404</v>
      </c>
      <c r="AK17" s="645"/>
      <c r="AL17" s="101"/>
      <c r="AM17" s="842"/>
      <c r="AN17" s="844"/>
      <c r="AO17" s="645"/>
      <c r="AP17" s="645"/>
      <c r="AQ17" s="645"/>
      <c r="AR17" s="645"/>
      <c r="AS17" s="645"/>
      <c r="AT17" s="645"/>
      <c r="AU17" s="645"/>
      <c r="AV17" s="645"/>
      <c r="AW17" s="645"/>
      <c r="AX17" s="645"/>
      <c r="AY17" s="645"/>
      <c r="AZ17" s="645"/>
      <c r="BA17" s="645"/>
      <c r="BB17" s="645"/>
      <c r="BC17" s="645"/>
      <c r="BD17" s="645"/>
      <c r="BE17" s="645"/>
      <c r="BF17" s="645"/>
      <c r="BG17" s="645"/>
      <c r="BH17" s="645"/>
      <c r="BI17" s="645"/>
      <c r="BJ17" s="645"/>
      <c r="BK17" s="645"/>
      <c r="BL17" s="645"/>
    </row>
    <row r="18" spans="1:64" hidden="1">
      <c r="A18" s="645"/>
      <c r="B18" s="645"/>
      <c r="C18" s="8">
        <f t="shared" ref="C18:AJ18" si="14">569-(COUNTA($A18:$A210))</f>
        <v>378</v>
      </c>
      <c r="D18" s="8">
        <f t="shared" si="14"/>
        <v>378</v>
      </c>
      <c r="E18" s="8">
        <f t="shared" si="14"/>
        <v>378</v>
      </c>
      <c r="F18" s="8">
        <f t="shared" si="14"/>
        <v>378</v>
      </c>
      <c r="G18" s="8">
        <f t="shared" si="14"/>
        <v>378</v>
      </c>
      <c r="H18" s="8">
        <f t="shared" si="14"/>
        <v>378</v>
      </c>
      <c r="I18" s="8">
        <f t="shared" si="14"/>
        <v>378</v>
      </c>
      <c r="J18" s="8">
        <f t="shared" si="14"/>
        <v>378</v>
      </c>
      <c r="K18" s="8">
        <f t="shared" si="14"/>
        <v>378</v>
      </c>
      <c r="L18" s="8">
        <f t="shared" si="14"/>
        <v>378</v>
      </c>
      <c r="M18" s="8">
        <f t="shared" si="14"/>
        <v>378</v>
      </c>
      <c r="N18" s="8">
        <f t="shared" si="14"/>
        <v>378</v>
      </c>
      <c r="O18" s="8">
        <f t="shared" si="14"/>
        <v>378</v>
      </c>
      <c r="P18" s="8">
        <f t="shared" si="14"/>
        <v>378</v>
      </c>
      <c r="Q18" s="8">
        <f t="shared" si="14"/>
        <v>378</v>
      </c>
      <c r="R18" s="8">
        <f t="shared" si="14"/>
        <v>378</v>
      </c>
      <c r="S18" s="8">
        <f t="shared" si="14"/>
        <v>378</v>
      </c>
      <c r="T18" s="8">
        <f t="shared" si="14"/>
        <v>378</v>
      </c>
      <c r="U18" s="8">
        <f t="shared" si="14"/>
        <v>378</v>
      </c>
      <c r="V18" s="8">
        <f t="shared" si="14"/>
        <v>378</v>
      </c>
      <c r="W18" s="8">
        <f t="shared" si="14"/>
        <v>378</v>
      </c>
      <c r="X18" s="8">
        <f t="shared" si="14"/>
        <v>378</v>
      </c>
      <c r="Y18" s="8">
        <f t="shared" si="14"/>
        <v>378</v>
      </c>
      <c r="Z18" s="8">
        <f t="shared" si="14"/>
        <v>378</v>
      </c>
      <c r="AA18" s="8">
        <f t="shared" si="14"/>
        <v>378</v>
      </c>
      <c r="AB18" s="8">
        <f t="shared" si="14"/>
        <v>378</v>
      </c>
      <c r="AC18" s="8">
        <f t="shared" si="14"/>
        <v>378</v>
      </c>
      <c r="AD18" s="8">
        <f t="shared" si="14"/>
        <v>378</v>
      </c>
      <c r="AE18" s="8">
        <f t="shared" si="14"/>
        <v>378</v>
      </c>
      <c r="AF18" s="8">
        <f t="shared" si="14"/>
        <v>378</v>
      </c>
      <c r="AG18" s="8">
        <f t="shared" si="14"/>
        <v>378</v>
      </c>
      <c r="AH18" s="8">
        <f t="shared" si="14"/>
        <v>378</v>
      </c>
      <c r="AI18" s="8">
        <f t="shared" si="14"/>
        <v>378</v>
      </c>
      <c r="AJ18" s="8">
        <f t="shared" si="14"/>
        <v>378</v>
      </c>
      <c r="AK18" s="645"/>
      <c r="AL18" s="101"/>
      <c r="AM18" s="842"/>
      <c r="AN18" s="844"/>
      <c r="AO18" s="645"/>
      <c r="AP18" s="645"/>
      <c r="AQ18" s="645"/>
      <c r="AR18" s="645"/>
      <c r="AS18" s="645"/>
      <c r="AT18" s="645"/>
      <c r="AU18" s="645"/>
      <c r="AV18" s="645"/>
      <c r="AW18" s="645"/>
      <c r="AX18" s="645"/>
      <c r="AY18" s="645"/>
      <c r="AZ18" s="645"/>
      <c r="BA18" s="645"/>
      <c r="BB18" s="645"/>
      <c r="BC18" s="645"/>
      <c r="BD18" s="645"/>
      <c r="BE18" s="645"/>
      <c r="BF18" s="645"/>
      <c r="BG18" s="645"/>
      <c r="BH18" s="645"/>
      <c r="BI18" s="645"/>
      <c r="BJ18" s="645"/>
      <c r="BK18" s="645"/>
      <c r="BL18" s="645"/>
    </row>
    <row r="19" spans="1:64">
      <c r="A19" s="645"/>
      <c r="B19" s="645"/>
      <c r="C19" s="848" t="s">
        <v>1403</v>
      </c>
      <c r="D19" s="844"/>
      <c r="E19" s="844"/>
      <c r="F19" s="844"/>
      <c r="G19" s="844"/>
      <c r="H19" s="844"/>
      <c r="I19" s="844"/>
      <c r="J19" s="844"/>
      <c r="K19" s="844"/>
      <c r="L19" s="844"/>
      <c r="M19" s="844"/>
      <c r="N19" s="844"/>
      <c r="O19" s="844"/>
      <c r="P19" s="844"/>
      <c r="Q19" s="844"/>
      <c r="R19" s="844"/>
      <c r="S19" s="844"/>
      <c r="T19" s="844"/>
      <c r="U19" s="844"/>
      <c r="V19" s="844"/>
      <c r="W19" s="844"/>
      <c r="X19" s="844"/>
      <c r="Y19" s="844"/>
      <c r="Z19" s="844"/>
      <c r="AA19" s="844"/>
      <c r="AB19" s="844"/>
      <c r="AC19" s="844"/>
      <c r="AD19" s="844"/>
      <c r="AE19" s="844"/>
      <c r="AF19" s="844"/>
      <c r="AG19" s="844"/>
      <c r="AH19" s="844"/>
      <c r="AI19" s="844"/>
      <c r="AJ19" s="844"/>
      <c r="AK19" s="104" t="s">
        <v>95</v>
      </c>
      <c r="AL19" s="105" t="s">
        <v>96</v>
      </c>
      <c r="AM19" s="842"/>
      <c r="AN19" s="844"/>
      <c r="AO19" s="645"/>
      <c r="AP19" s="645"/>
      <c r="AQ19" s="645"/>
      <c r="AR19" s="645"/>
      <c r="AS19" s="645"/>
      <c r="AT19" s="645"/>
      <c r="AU19" s="645"/>
      <c r="AV19" s="645"/>
      <c r="AW19" s="645"/>
      <c r="AX19" s="645"/>
      <c r="AY19" s="645"/>
      <c r="AZ19" s="645"/>
      <c r="BA19" s="645"/>
      <c r="BB19" s="645"/>
      <c r="BC19" s="645"/>
      <c r="BD19" s="645"/>
      <c r="BE19" s="645"/>
      <c r="BF19" s="645"/>
      <c r="BG19" s="645"/>
      <c r="BH19" s="645"/>
      <c r="BI19" s="645"/>
      <c r="BJ19" s="645"/>
      <c r="BK19" s="645"/>
      <c r="BL19" s="645"/>
    </row>
    <row r="20" spans="1:64" ht="15" customHeight="1">
      <c r="A20" s="106" t="s">
        <v>1404</v>
      </c>
      <c r="B20" s="115"/>
      <c r="C20" s="107">
        <v>1</v>
      </c>
      <c r="D20" s="107">
        <v>1</v>
      </c>
      <c r="E20" s="107"/>
      <c r="F20" s="107"/>
      <c r="G20" s="107">
        <v>1</v>
      </c>
      <c r="H20" s="107"/>
      <c r="I20" s="107"/>
      <c r="J20" s="107">
        <v>1</v>
      </c>
      <c r="K20" s="107"/>
      <c r="L20" s="107"/>
      <c r="M20" s="107"/>
      <c r="N20" s="107"/>
      <c r="O20" s="107"/>
      <c r="P20" s="107">
        <v>1</v>
      </c>
      <c r="Q20" s="107"/>
      <c r="R20" s="107"/>
      <c r="S20" s="107"/>
      <c r="T20" s="107"/>
      <c r="U20" s="107"/>
      <c r="V20" s="107">
        <v>1</v>
      </c>
      <c r="W20" s="107"/>
      <c r="X20" s="107"/>
      <c r="Y20" s="107">
        <v>1</v>
      </c>
      <c r="Z20" s="107">
        <v>1</v>
      </c>
      <c r="AA20" s="107"/>
      <c r="AB20" s="107">
        <v>1</v>
      </c>
      <c r="AC20" s="107"/>
      <c r="AD20" s="107"/>
      <c r="AE20" s="107"/>
      <c r="AF20" s="107"/>
      <c r="AG20" s="107">
        <v>1</v>
      </c>
      <c r="AH20" s="107"/>
      <c r="AI20" s="107"/>
      <c r="AJ20" s="107"/>
      <c r="AK20" s="107">
        <f t="shared" ref="AK20:AK21" si="15">SUM(B20:AJ20)</f>
        <v>10</v>
      </c>
      <c r="AL20" s="303" t="s">
        <v>1405</v>
      </c>
      <c r="AM20" s="108">
        <f t="shared" ref="AM20:AM210" si="16">(9*C20+7*D20+14*E20+14*G20+7*J20+3*N20+14*P20+5*Q20+1*R20+2*S20+5*T20+1*U20+5*V20+2*X20+9*Y20+9*Z20+5*AB20+1*AD20+3*AF20+12*AG20+5*AI20+3*AJ20)-BK20</f>
        <v>91</v>
      </c>
      <c r="AN20" s="108">
        <f t="shared" ref="AN20:AN210" si="17">LARGE(AO20:BI20,1)+LARGE(AO20:BI20,2)+LARGE(AO20:BI20,3)+LARGE(AO20:BI20,4)+LARGE(AO20:BI20,5)+LARGE(AO20:BI20,6)+LARGE(AO20:BI20,7)+LARGE(AO20:BI20,8)</f>
        <v>96</v>
      </c>
      <c r="AO20" s="115">
        <f t="shared" ref="AO20:AO210" si="18">IF(C20=1,9,0)</f>
        <v>9</v>
      </c>
      <c r="AP20" s="115">
        <f t="shared" ref="AP20:AP210" si="19">IF(D20=1,13,0)</f>
        <v>13</v>
      </c>
      <c r="AQ20" s="115">
        <f t="shared" ref="AQ20:AQ210" si="20">IF(E20=1,6,0)</f>
        <v>0</v>
      </c>
      <c r="AR20" s="115">
        <f t="shared" ref="AR20:AR210" si="21">IF(G20=1,6,0)</f>
        <v>6</v>
      </c>
      <c r="AS20" s="115">
        <f t="shared" ref="AS20:AS210" si="22">IF(J20=1,17,0)</f>
        <v>17</v>
      </c>
      <c r="AT20" s="115">
        <f t="shared" ref="AT20:AT210" si="23">IF(N20=1,2,0)</f>
        <v>0</v>
      </c>
      <c r="AU20" s="115">
        <f t="shared" ref="AU20:AU210" si="24">IF(P20=1,18,0)</f>
        <v>18</v>
      </c>
      <c r="AV20" s="115">
        <f t="shared" ref="AV20:AV210" si="25">IF(Q20=1,4,0)</f>
        <v>0</v>
      </c>
      <c r="AW20" s="115">
        <f t="shared" ref="AW20:AW210" si="26">IF(R20=1,1,0)</f>
        <v>0</v>
      </c>
      <c r="AX20" s="115">
        <f t="shared" ref="AX20:AY20" si="27">IF(S20=1,2,0)</f>
        <v>0</v>
      </c>
      <c r="AY20" s="115">
        <f t="shared" si="27"/>
        <v>0</v>
      </c>
      <c r="AZ20" s="115">
        <f t="shared" ref="AZ20:AZ210" si="28">IF(U20=1,10,0)</f>
        <v>0</v>
      </c>
      <c r="BA20" s="115">
        <f t="shared" ref="BA20:BA210" si="29">IF(V20=1,3,0)</f>
        <v>3</v>
      </c>
      <c r="BB20" s="115">
        <f t="shared" ref="BB20:BB210" si="30">IF(Y20=1,10,0)</f>
        <v>10</v>
      </c>
      <c r="BC20" s="115">
        <f t="shared" ref="BC20:BC210" si="31">IF(Z20=1,8,0)</f>
        <v>8</v>
      </c>
      <c r="BD20" s="115">
        <f t="shared" ref="BD20:BD210" si="32">IF(AB20=1,5,0)</f>
        <v>5</v>
      </c>
      <c r="BE20" s="115">
        <f t="shared" ref="BE20:BE210" si="33">IF(AD20=1,5,0)</f>
        <v>0</v>
      </c>
      <c r="BF20" s="115">
        <f t="shared" ref="BF20:BF210" si="34">IF(AF20=1,1,0)</f>
        <v>0</v>
      </c>
      <c r="BG20" s="115">
        <f t="shared" ref="BG20:BG210" si="35">IF(AG20=1,15,0)</f>
        <v>15</v>
      </c>
      <c r="BH20" s="115">
        <f t="shared" ref="BH20:BH210" si="36">IF(AI20=1,3,0)</f>
        <v>0</v>
      </c>
      <c r="BI20" s="115">
        <f t="shared" ref="BI20:BI210" si="37">IF(AJ20=1,2,0)</f>
        <v>0</v>
      </c>
      <c r="BJ20" s="115"/>
      <c r="BK20" s="115">
        <f t="shared" ref="BK20:BK210" si="38">IF(AK20=10,0,IF(AK20=9,1,IF(AK20=8,4,IF(AK20=7,9,IF(AK20=6,16,IF(AK20=5,25,IF(AK20=4,36,IF(AK20=3,49,IF(AK20=2,64,IF(AK20=1,81,IF(AK20=10,100)))))))))))</f>
        <v>0</v>
      </c>
      <c r="BL20" s="109"/>
    </row>
    <row r="21" spans="1:64" ht="15" customHeight="1">
      <c r="A21" s="110" t="s">
        <v>110</v>
      </c>
      <c r="B21" s="114"/>
      <c r="C21" s="111">
        <v>1</v>
      </c>
      <c r="D21" s="111">
        <v>1</v>
      </c>
      <c r="E21" s="111"/>
      <c r="F21" s="111"/>
      <c r="G21" s="111"/>
      <c r="H21" s="111"/>
      <c r="I21" s="111"/>
      <c r="J21" s="111">
        <v>1</v>
      </c>
      <c r="K21" s="111"/>
      <c r="L21" s="111"/>
      <c r="M21" s="111"/>
      <c r="N21" s="111"/>
      <c r="O21" s="111"/>
      <c r="P21" s="111">
        <v>1</v>
      </c>
      <c r="Q21" s="111"/>
      <c r="R21" s="111"/>
      <c r="S21" s="111"/>
      <c r="T21" s="111"/>
      <c r="U21" s="111">
        <v>1</v>
      </c>
      <c r="V21" s="111">
        <v>1</v>
      </c>
      <c r="W21" s="111"/>
      <c r="X21" s="111"/>
      <c r="Y21" s="111">
        <v>1</v>
      </c>
      <c r="Z21" s="111">
        <v>1</v>
      </c>
      <c r="AA21" s="111"/>
      <c r="AB21" s="111"/>
      <c r="AC21" s="111"/>
      <c r="AD21" s="111"/>
      <c r="AE21" s="111"/>
      <c r="AF21" s="111"/>
      <c r="AG21" s="111">
        <v>1</v>
      </c>
      <c r="AH21" s="111"/>
      <c r="AI21" s="111">
        <v>1</v>
      </c>
      <c r="AJ21" s="111"/>
      <c r="AK21" s="111">
        <f t="shared" si="15"/>
        <v>10</v>
      </c>
      <c r="AL21" s="304" t="s">
        <v>1082</v>
      </c>
      <c r="AM21" s="112">
        <f t="shared" si="16"/>
        <v>78</v>
      </c>
      <c r="AN21" s="112">
        <f t="shared" si="17"/>
        <v>100</v>
      </c>
      <c r="AO21" s="114">
        <f t="shared" si="18"/>
        <v>9</v>
      </c>
      <c r="AP21" s="114">
        <f t="shared" si="19"/>
        <v>13</v>
      </c>
      <c r="AQ21" s="114">
        <f t="shared" si="20"/>
        <v>0</v>
      </c>
      <c r="AR21" s="114">
        <f t="shared" si="21"/>
        <v>0</v>
      </c>
      <c r="AS21" s="114">
        <f t="shared" si="22"/>
        <v>17</v>
      </c>
      <c r="AT21" s="114">
        <f t="shared" si="23"/>
        <v>0</v>
      </c>
      <c r="AU21" s="114">
        <f t="shared" si="24"/>
        <v>18</v>
      </c>
      <c r="AV21" s="114">
        <f t="shared" si="25"/>
        <v>0</v>
      </c>
      <c r="AW21" s="114">
        <f t="shared" si="26"/>
        <v>0</v>
      </c>
      <c r="AX21" s="114">
        <f t="shared" ref="AX21:AY21" si="39">IF(S21=1,2,0)</f>
        <v>0</v>
      </c>
      <c r="AY21" s="114">
        <f t="shared" si="39"/>
        <v>0</v>
      </c>
      <c r="AZ21" s="114">
        <f t="shared" si="28"/>
        <v>10</v>
      </c>
      <c r="BA21" s="114">
        <f t="shared" si="29"/>
        <v>3</v>
      </c>
      <c r="BB21" s="114">
        <f t="shared" si="30"/>
        <v>10</v>
      </c>
      <c r="BC21" s="114">
        <f t="shared" si="31"/>
        <v>8</v>
      </c>
      <c r="BD21" s="114">
        <f t="shared" si="32"/>
        <v>0</v>
      </c>
      <c r="BE21" s="114">
        <f t="shared" si="33"/>
        <v>0</v>
      </c>
      <c r="BF21" s="114">
        <f t="shared" si="34"/>
        <v>0</v>
      </c>
      <c r="BG21" s="114">
        <f t="shared" si="35"/>
        <v>15</v>
      </c>
      <c r="BH21" s="114">
        <f t="shared" si="36"/>
        <v>3</v>
      </c>
      <c r="BI21" s="114">
        <f t="shared" si="37"/>
        <v>0</v>
      </c>
      <c r="BJ21" s="114"/>
      <c r="BK21" s="114">
        <f t="shared" si="38"/>
        <v>0</v>
      </c>
      <c r="BL21" s="113"/>
    </row>
    <row r="22" spans="1:64" ht="15" customHeight="1">
      <c r="A22" s="106" t="s">
        <v>111</v>
      </c>
      <c r="B22" s="115"/>
      <c r="C22" s="107">
        <v>1</v>
      </c>
      <c r="D22" s="107">
        <v>1</v>
      </c>
      <c r="E22" s="107"/>
      <c r="F22" s="107"/>
      <c r="G22" s="107"/>
      <c r="H22" s="107"/>
      <c r="I22" s="107"/>
      <c r="J22" s="107">
        <v>1</v>
      </c>
      <c r="K22" s="107"/>
      <c r="L22" s="107"/>
      <c r="M22" s="107"/>
      <c r="N22" s="107"/>
      <c r="O22" s="107"/>
      <c r="P22" s="107">
        <v>1</v>
      </c>
      <c r="Q22" s="107">
        <v>1</v>
      </c>
      <c r="R22" s="107"/>
      <c r="S22" s="107"/>
      <c r="T22" s="107"/>
      <c r="U22" s="107">
        <v>1</v>
      </c>
      <c r="V22" s="107"/>
      <c r="W22" s="107"/>
      <c r="X22" s="107"/>
      <c r="Y22" s="107">
        <v>1</v>
      </c>
      <c r="Z22" s="107">
        <v>1</v>
      </c>
      <c r="AA22" s="107"/>
      <c r="AB22" s="107">
        <v>1</v>
      </c>
      <c r="AC22" s="107"/>
      <c r="AD22" s="107"/>
      <c r="AE22" s="107"/>
      <c r="AF22" s="107"/>
      <c r="AG22" s="107">
        <v>1</v>
      </c>
      <c r="AH22" s="107"/>
      <c r="AI22" s="107"/>
      <c r="AJ22" s="107"/>
      <c r="AK22" s="107">
        <v>10</v>
      </c>
      <c r="AL22" s="303" t="s">
        <v>1406</v>
      </c>
      <c r="AM22" s="108">
        <f t="shared" si="16"/>
        <v>78</v>
      </c>
      <c r="AN22" s="108">
        <f t="shared" si="17"/>
        <v>100</v>
      </c>
      <c r="AO22" s="115">
        <f t="shared" si="18"/>
        <v>9</v>
      </c>
      <c r="AP22" s="115">
        <f t="shared" si="19"/>
        <v>13</v>
      </c>
      <c r="AQ22" s="115">
        <f t="shared" si="20"/>
        <v>0</v>
      </c>
      <c r="AR22" s="115">
        <f t="shared" si="21"/>
        <v>0</v>
      </c>
      <c r="AS22" s="115">
        <f t="shared" si="22"/>
        <v>17</v>
      </c>
      <c r="AT22" s="115">
        <f t="shared" si="23"/>
        <v>0</v>
      </c>
      <c r="AU22" s="115">
        <f t="shared" si="24"/>
        <v>18</v>
      </c>
      <c r="AV22" s="115">
        <f t="shared" si="25"/>
        <v>4</v>
      </c>
      <c r="AW22" s="115">
        <f t="shared" si="26"/>
        <v>0</v>
      </c>
      <c r="AX22" s="115">
        <f t="shared" ref="AX22:AY22" si="40">IF(S22=1,2,0)</f>
        <v>0</v>
      </c>
      <c r="AY22" s="115">
        <f t="shared" si="40"/>
        <v>0</v>
      </c>
      <c r="AZ22" s="115">
        <f t="shared" si="28"/>
        <v>10</v>
      </c>
      <c r="BA22" s="115">
        <f t="shared" si="29"/>
        <v>0</v>
      </c>
      <c r="BB22" s="115">
        <f t="shared" si="30"/>
        <v>10</v>
      </c>
      <c r="BC22" s="115">
        <f t="shared" si="31"/>
        <v>8</v>
      </c>
      <c r="BD22" s="115">
        <f t="shared" si="32"/>
        <v>5</v>
      </c>
      <c r="BE22" s="115">
        <f t="shared" si="33"/>
        <v>0</v>
      </c>
      <c r="BF22" s="115">
        <f t="shared" si="34"/>
        <v>0</v>
      </c>
      <c r="BG22" s="115">
        <f t="shared" si="35"/>
        <v>15</v>
      </c>
      <c r="BH22" s="115">
        <f t="shared" si="36"/>
        <v>0</v>
      </c>
      <c r="BI22" s="115">
        <f t="shared" si="37"/>
        <v>0</v>
      </c>
      <c r="BJ22" s="115"/>
      <c r="BK22" s="115">
        <f t="shared" si="38"/>
        <v>0</v>
      </c>
      <c r="BL22" s="109"/>
    </row>
    <row r="23" spans="1:64" ht="15" customHeight="1">
      <c r="A23" s="110" t="s">
        <v>1407</v>
      </c>
      <c r="B23" s="114"/>
      <c r="C23" s="111">
        <v>1</v>
      </c>
      <c r="D23" s="111">
        <v>1</v>
      </c>
      <c r="E23" s="111"/>
      <c r="F23" s="111"/>
      <c r="G23" s="111"/>
      <c r="H23" s="111"/>
      <c r="I23" s="111"/>
      <c r="J23" s="111">
        <v>1</v>
      </c>
      <c r="K23" s="111"/>
      <c r="L23" s="111"/>
      <c r="M23" s="111"/>
      <c r="N23" s="111"/>
      <c r="O23" s="111"/>
      <c r="P23" s="111">
        <v>1</v>
      </c>
      <c r="Q23" s="111">
        <v>1</v>
      </c>
      <c r="R23" s="111"/>
      <c r="S23" s="111"/>
      <c r="T23" s="111"/>
      <c r="U23" s="111">
        <v>1</v>
      </c>
      <c r="V23" s="111"/>
      <c r="W23" s="111"/>
      <c r="X23" s="111"/>
      <c r="Y23" s="111">
        <v>1</v>
      </c>
      <c r="Z23" s="111">
        <v>1</v>
      </c>
      <c r="AA23" s="111"/>
      <c r="AB23" s="111"/>
      <c r="AC23" s="111"/>
      <c r="AD23" s="111">
        <v>1</v>
      </c>
      <c r="AE23" s="111"/>
      <c r="AF23" s="111"/>
      <c r="AG23" s="111">
        <v>1</v>
      </c>
      <c r="AH23" s="111"/>
      <c r="AI23" s="111"/>
      <c r="AJ23" s="111"/>
      <c r="AK23" s="111">
        <f>SUM(B23:AJ23)</f>
        <v>10</v>
      </c>
      <c r="AL23" s="304" t="s">
        <v>1408</v>
      </c>
      <c r="AM23" s="112">
        <f t="shared" si="16"/>
        <v>74</v>
      </c>
      <c r="AN23" s="112">
        <f t="shared" si="17"/>
        <v>100</v>
      </c>
      <c r="AO23" s="114">
        <f t="shared" si="18"/>
        <v>9</v>
      </c>
      <c r="AP23" s="114">
        <f t="shared" si="19"/>
        <v>13</v>
      </c>
      <c r="AQ23" s="114">
        <f t="shared" si="20"/>
        <v>0</v>
      </c>
      <c r="AR23" s="114">
        <f t="shared" si="21"/>
        <v>0</v>
      </c>
      <c r="AS23" s="114">
        <f t="shared" si="22"/>
        <v>17</v>
      </c>
      <c r="AT23" s="114">
        <f t="shared" si="23"/>
        <v>0</v>
      </c>
      <c r="AU23" s="114">
        <f t="shared" si="24"/>
        <v>18</v>
      </c>
      <c r="AV23" s="114">
        <f t="shared" si="25"/>
        <v>4</v>
      </c>
      <c r="AW23" s="114">
        <f t="shared" si="26"/>
        <v>0</v>
      </c>
      <c r="AX23" s="114">
        <f t="shared" ref="AX23:AY23" si="41">IF(S23=1,2,0)</f>
        <v>0</v>
      </c>
      <c r="AY23" s="114">
        <f t="shared" si="41"/>
        <v>0</v>
      </c>
      <c r="AZ23" s="114">
        <f t="shared" si="28"/>
        <v>10</v>
      </c>
      <c r="BA23" s="114">
        <f t="shared" si="29"/>
        <v>0</v>
      </c>
      <c r="BB23" s="114">
        <f t="shared" si="30"/>
        <v>10</v>
      </c>
      <c r="BC23" s="114">
        <f t="shared" si="31"/>
        <v>8</v>
      </c>
      <c r="BD23" s="114">
        <f t="shared" si="32"/>
        <v>0</v>
      </c>
      <c r="BE23" s="114">
        <f t="shared" si="33"/>
        <v>5</v>
      </c>
      <c r="BF23" s="114">
        <f t="shared" si="34"/>
        <v>0</v>
      </c>
      <c r="BG23" s="114">
        <f t="shared" si="35"/>
        <v>15</v>
      </c>
      <c r="BH23" s="114">
        <f t="shared" si="36"/>
        <v>0</v>
      </c>
      <c r="BI23" s="114">
        <f t="shared" si="37"/>
        <v>0</v>
      </c>
      <c r="BJ23" s="114"/>
      <c r="BK23" s="114">
        <f t="shared" si="38"/>
        <v>0</v>
      </c>
      <c r="BL23" s="113"/>
    </row>
    <row r="24" spans="1:64" ht="15" customHeight="1">
      <c r="A24" s="106" t="s">
        <v>1084</v>
      </c>
      <c r="B24" s="115"/>
      <c r="C24" s="107"/>
      <c r="D24" s="107">
        <v>1</v>
      </c>
      <c r="E24" s="107"/>
      <c r="F24" s="107"/>
      <c r="G24" s="107"/>
      <c r="H24" s="107"/>
      <c r="I24" s="107"/>
      <c r="J24" s="107">
        <v>1</v>
      </c>
      <c r="K24" s="107"/>
      <c r="L24" s="107"/>
      <c r="M24" s="107"/>
      <c r="N24" s="107"/>
      <c r="O24" s="107"/>
      <c r="P24" s="107">
        <v>1</v>
      </c>
      <c r="Q24" s="107"/>
      <c r="R24" s="107"/>
      <c r="S24" s="107"/>
      <c r="T24" s="107"/>
      <c r="U24" s="107">
        <v>1</v>
      </c>
      <c r="V24" s="107"/>
      <c r="W24" s="107"/>
      <c r="X24" s="107"/>
      <c r="Y24" s="107"/>
      <c r="Z24" s="107">
        <v>1</v>
      </c>
      <c r="AA24" s="107"/>
      <c r="AB24" s="107"/>
      <c r="AC24" s="107"/>
      <c r="AD24" s="107">
        <v>1</v>
      </c>
      <c r="AE24" s="107"/>
      <c r="AF24" s="107"/>
      <c r="AG24" s="107">
        <v>1</v>
      </c>
      <c r="AH24" s="107"/>
      <c r="AI24" s="107">
        <v>1</v>
      </c>
      <c r="AJ24" s="107"/>
      <c r="AK24" s="107">
        <v>8</v>
      </c>
      <c r="AL24" s="303" t="s">
        <v>1409</v>
      </c>
      <c r="AM24" s="108">
        <f t="shared" si="16"/>
        <v>52</v>
      </c>
      <c r="AN24" s="108">
        <f t="shared" si="17"/>
        <v>89</v>
      </c>
      <c r="AO24" s="115">
        <f t="shared" si="18"/>
        <v>0</v>
      </c>
      <c r="AP24" s="115">
        <f t="shared" si="19"/>
        <v>13</v>
      </c>
      <c r="AQ24" s="115">
        <f t="shared" si="20"/>
        <v>0</v>
      </c>
      <c r="AR24" s="115">
        <f t="shared" si="21"/>
        <v>0</v>
      </c>
      <c r="AS24" s="115">
        <f t="shared" si="22"/>
        <v>17</v>
      </c>
      <c r="AT24" s="115">
        <f t="shared" si="23"/>
        <v>0</v>
      </c>
      <c r="AU24" s="115">
        <f t="shared" si="24"/>
        <v>18</v>
      </c>
      <c r="AV24" s="115">
        <f t="shared" si="25"/>
        <v>0</v>
      </c>
      <c r="AW24" s="115">
        <f t="shared" si="26"/>
        <v>0</v>
      </c>
      <c r="AX24" s="115">
        <f t="shared" ref="AX24:AY24" si="42">IF(S24=1,2,0)</f>
        <v>0</v>
      </c>
      <c r="AY24" s="115">
        <f t="shared" si="42"/>
        <v>0</v>
      </c>
      <c r="AZ24" s="115">
        <f t="shared" si="28"/>
        <v>10</v>
      </c>
      <c r="BA24" s="115">
        <f t="shared" si="29"/>
        <v>0</v>
      </c>
      <c r="BB24" s="115">
        <f t="shared" si="30"/>
        <v>0</v>
      </c>
      <c r="BC24" s="115">
        <f t="shared" si="31"/>
        <v>8</v>
      </c>
      <c r="BD24" s="115">
        <f t="shared" si="32"/>
        <v>0</v>
      </c>
      <c r="BE24" s="115">
        <f t="shared" si="33"/>
        <v>5</v>
      </c>
      <c r="BF24" s="115">
        <f t="shared" si="34"/>
        <v>0</v>
      </c>
      <c r="BG24" s="115">
        <f t="shared" si="35"/>
        <v>15</v>
      </c>
      <c r="BH24" s="115">
        <f t="shared" si="36"/>
        <v>3</v>
      </c>
      <c r="BI24" s="115">
        <f t="shared" si="37"/>
        <v>0</v>
      </c>
      <c r="BJ24" s="115"/>
      <c r="BK24" s="115">
        <f t="shared" si="38"/>
        <v>4</v>
      </c>
      <c r="BL24" s="109"/>
    </row>
    <row r="25" spans="1:64" ht="15" customHeight="1">
      <c r="A25" s="110" t="s">
        <v>114</v>
      </c>
      <c r="B25" s="114"/>
      <c r="C25" s="111"/>
      <c r="D25" s="111">
        <v>1</v>
      </c>
      <c r="E25" s="111"/>
      <c r="F25" s="111"/>
      <c r="G25" s="111"/>
      <c r="H25" s="111"/>
      <c r="I25" s="111"/>
      <c r="J25" s="111">
        <v>1</v>
      </c>
      <c r="K25" s="111"/>
      <c r="L25" s="111"/>
      <c r="M25" s="111"/>
      <c r="N25" s="111"/>
      <c r="O25" s="111"/>
      <c r="P25" s="111">
        <v>1</v>
      </c>
      <c r="Q25" s="111"/>
      <c r="R25" s="111">
        <v>1</v>
      </c>
      <c r="S25" s="111"/>
      <c r="T25" s="111"/>
      <c r="U25" s="111"/>
      <c r="V25" s="111"/>
      <c r="W25" s="111"/>
      <c r="X25" s="111"/>
      <c r="Y25" s="111">
        <v>1</v>
      </c>
      <c r="Z25" s="111"/>
      <c r="AA25" s="111"/>
      <c r="AB25" s="111"/>
      <c r="AC25" s="111"/>
      <c r="AD25" s="111">
        <v>1</v>
      </c>
      <c r="AE25" s="111"/>
      <c r="AF25" s="111"/>
      <c r="AG25" s="111">
        <v>1</v>
      </c>
      <c r="AH25" s="111"/>
      <c r="AI25" s="111"/>
      <c r="AJ25" s="111"/>
      <c r="AK25" s="111">
        <v>7</v>
      </c>
      <c r="AL25" s="304" t="s">
        <v>1410</v>
      </c>
      <c r="AM25" s="112">
        <f t="shared" si="16"/>
        <v>42</v>
      </c>
      <c r="AN25" s="112">
        <f t="shared" si="17"/>
        <v>79</v>
      </c>
      <c r="AO25" s="114">
        <f t="shared" si="18"/>
        <v>0</v>
      </c>
      <c r="AP25" s="114">
        <f t="shared" si="19"/>
        <v>13</v>
      </c>
      <c r="AQ25" s="114">
        <f t="shared" si="20"/>
        <v>0</v>
      </c>
      <c r="AR25" s="114">
        <f t="shared" si="21"/>
        <v>0</v>
      </c>
      <c r="AS25" s="114">
        <f t="shared" si="22"/>
        <v>17</v>
      </c>
      <c r="AT25" s="114">
        <f t="shared" si="23"/>
        <v>0</v>
      </c>
      <c r="AU25" s="114">
        <f t="shared" si="24"/>
        <v>18</v>
      </c>
      <c r="AV25" s="114">
        <f t="shared" si="25"/>
        <v>0</v>
      </c>
      <c r="AW25" s="114">
        <f t="shared" si="26"/>
        <v>1</v>
      </c>
      <c r="AX25" s="114">
        <f t="shared" ref="AX25:AY25" si="43">IF(S25=1,2,0)</f>
        <v>0</v>
      </c>
      <c r="AY25" s="114">
        <f t="shared" si="43"/>
        <v>0</v>
      </c>
      <c r="AZ25" s="114">
        <f t="shared" si="28"/>
        <v>0</v>
      </c>
      <c r="BA25" s="114">
        <f t="shared" si="29"/>
        <v>0</v>
      </c>
      <c r="BB25" s="114">
        <f t="shared" si="30"/>
        <v>10</v>
      </c>
      <c r="BC25" s="114">
        <f t="shared" si="31"/>
        <v>0</v>
      </c>
      <c r="BD25" s="114">
        <f t="shared" si="32"/>
        <v>0</v>
      </c>
      <c r="BE25" s="114">
        <f t="shared" si="33"/>
        <v>5</v>
      </c>
      <c r="BF25" s="114">
        <f t="shared" si="34"/>
        <v>0</v>
      </c>
      <c r="BG25" s="114">
        <f t="shared" si="35"/>
        <v>15</v>
      </c>
      <c r="BH25" s="114">
        <f t="shared" si="36"/>
        <v>0</v>
      </c>
      <c r="BI25" s="114">
        <f t="shared" si="37"/>
        <v>0</v>
      </c>
      <c r="BJ25" s="114"/>
      <c r="BK25" s="114">
        <f t="shared" si="38"/>
        <v>9</v>
      </c>
      <c r="BL25" s="113"/>
    </row>
    <row r="26" spans="1:64" ht="15" customHeight="1">
      <c r="A26" s="106" t="s">
        <v>116</v>
      </c>
      <c r="B26" s="115"/>
      <c r="C26" s="107">
        <v>1</v>
      </c>
      <c r="D26" s="107">
        <v>1</v>
      </c>
      <c r="E26" s="107">
        <v>1</v>
      </c>
      <c r="F26" s="107"/>
      <c r="G26" s="107">
        <v>1</v>
      </c>
      <c r="H26" s="107"/>
      <c r="I26" s="107"/>
      <c r="J26" s="107">
        <v>1</v>
      </c>
      <c r="K26" s="107"/>
      <c r="L26" s="107"/>
      <c r="M26" s="107"/>
      <c r="N26" s="107"/>
      <c r="O26" s="107"/>
      <c r="P26" s="107">
        <v>1</v>
      </c>
      <c r="Q26" s="107">
        <v>1</v>
      </c>
      <c r="R26" s="107"/>
      <c r="S26" s="107"/>
      <c r="T26" s="107"/>
      <c r="U26" s="107"/>
      <c r="V26" s="107"/>
      <c r="W26" s="107"/>
      <c r="X26" s="107"/>
      <c r="Y26" s="107">
        <v>1</v>
      </c>
      <c r="Z26" s="107">
        <v>1</v>
      </c>
      <c r="AA26" s="107"/>
      <c r="AB26" s="107"/>
      <c r="AC26" s="107"/>
      <c r="AD26" s="107"/>
      <c r="AE26" s="107"/>
      <c r="AF26" s="107"/>
      <c r="AG26" s="107">
        <v>1</v>
      </c>
      <c r="AH26" s="107"/>
      <c r="AI26" s="107"/>
      <c r="AJ26" s="107"/>
      <c r="AK26" s="107">
        <v>10</v>
      </c>
      <c r="AL26" s="303" t="s">
        <v>1411</v>
      </c>
      <c r="AM26" s="108">
        <f t="shared" si="16"/>
        <v>100</v>
      </c>
      <c r="AN26" s="108">
        <f t="shared" si="17"/>
        <v>96</v>
      </c>
      <c r="AO26" s="115">
        <f t="shared" si="18"/>
        <v>9</v>
      </c>
      <c r="AP26" s="115">
        <f t="shared" si="19"/>
        <v>13</v>
      </c>
      <c r="AQ26" s="115">
        <f t="shared" si="20"/>
        <v>6</v>
      </c>
      <c r="AR26" s="115">
        <f t="shared" si="21"/>
        <v>6</v>
      </c>
      <c r="AS26" s="115">
        <f t="shared" si="22"/>
        <v>17</v>
      </c>
      <c r="AT26" s="115">
        <f t="shared" si="23"/>
        <v>0</v>
      </c>
      <c r="AU26" s="115">
        <f t="shared" si="24"/>
        <v>18</v>
      </c>
      <c r="AV26" s="115">
        <f t="shared" si="25"/>
        <v>4</v>
      </c>
      <c r="AW26" s="115">
        <f t="shared" si="26"/>
        <v>0</v>
      </c>
      <c r="AX26" s="115">
        <f t="shared" ref="AX26:AY26" si="44">IF(S26=1,2,0)</f>
        <v>0</v>
      </c>
      <c r="AY26" s="115">
        <f t="shared" si="44"/>
        <v>0</v>
      </c>
      <c r="AZ26" s="115">
        <f t="shared" si="28"/>
        <v>0</v>
      </c>
      <c r="BA26" s="115">
        <f t="shared" si="29"/>
        <v>0</v>
      </c>
      <c r="BB26" s="115">
        <f t="shared" si="30"/>
        <v>10</v>
      </c>
      <c r="BC26" s="115">
        <f t="shared" si="31"/>
        <v>8</v>
      </c>
      <c r="BD26" s="115">
        <f t="shared" si="32"/>
        <v>0</v>
      </c>
      <c r="BE26" s="115">
        <f t="shared" si="33"/>
        <v>0</v>
      </c>
      <c r="BF26" s="115">
        <f t="shared" si="34"/>
        <v>0</v>
      </c>
      <c r="BG26" s="115">
        <f t="shared" si="35"/>
        <v>15</v>
      </c>
      <c r="BH26" s="115">
        <f t="shared" si="36"/>
        <v>0</v>
      </c>
      <c r="BI26" s="115">
        <f t="shared" si="37"/>
        <v>0</v>
      </c>
      <c r="BJ26" s="115"/>
      <c r="BK26" s="115">
        <f t="shared" si="38"/>
        <v>0</v>
      </c>
      <c r="BL26" s="109"/>
    </row>
    <row r="27" spans="1:64" ht="15" customHeight="1">
      <c r="A27" s="110" t="s">
        <v>117</v>
      </c>
      <c r="B27" s="114"/>
      <c r="C27" s="111">
        <v>1</v>
      </c>
      <c r="D27" s="111">
        <v>1</v>
      </c>
      <c r="E27" s="111"/>
      <c r="F27" s="111"/>
      <c r="G27" s="111"/>
      <c r="H27" s="111"/>
      <c r="I27" s="111"/>
      <c r="J27" s="111">
        <v>1</v>
      </c>
      <c r="K27" s="111"/>
      <c r="L27" s="111"/>
      <c r="M27" s="111"/>
      <c r="N27" s="111"/>
      <c r="O27" s="111"/>
      <c r="P27" s="111">
        <v>1</v>
      </c>
      <c r="Q27" s="111">
        <v>1</v>
      </c>
      <c r="R27" s="111"/>
      <c r="S27" s="111"/>
      <c r="T27" s="111"/>
      <c r="U27" s="111"/>
      <c r="V27" s="111"/>
      <c r="W27" s="111"/>
      <c r="X27" s="111"/>
      <c r="Y27" s="111">
        <v>1</v>
      </c>
      <c r="Z27" s="111">
        <v>1</v>
      </c>
      <c r="AA27" s="111"/>
      <c r="AB27" s="111">
        <v>1</v>
      </c>
      <c r="AC27" s="111"/>
      <c r="AD27" s="111">
        <v>1</v>
      </c>
      <c r="AE27" s="111"/>
      <c r="AF27" s="111"/>
      <c r="AG27" s="111">
        <v>1</v>
      </c>
      <c r="AH27" s="111"/>
      <c r="AI27" s="111"/>
      <c r="AJ27" s="111"/>
      <c r="AK27" s="111">
        <v>10</v>
      </c>
      <c r="AL27" s="304" t="s">
        <v>1412</v>
      </c>
      <c r="AM27" s="112">
        <f t="shared" si="16"/>
        <v>78</v>
      </c>
      <c r="AN27" s="112">
        <f t="shared" si="17"/>
        <v>95</v>
      </c>
      <c r="AO27" s="114">
        <f t="shared" si="18"/>
        <v>9</v>
      </c>
      <c r="AP27" s="114">
        <f t="shared" si="19"/>
        <v>13</v>
      </c>
      <c r="AQ27" s="114">
        <f t="shared" si="20"/>
        <v>0</v>
      </c>
      <c r="AR27" s="114">
        <f t="shared" si="21"/>
        <v>0</v>
      </c>
      <c r="AS27" s="114">
        <f t="shared" si="22"/>
        <v>17</v>
      </c>
      <c r="AT27" s="114">
        <f t="shared" si="23"/>
        <v>0</v>
      </c>
      <c r="AU27" s="114">
        <f t="shared" si="24"/>
        <v>18</v>
      </c>
      <c r="AV27" s="114">
        <f t="shared" si="25"/>
        <v>4</v>
      </c>
      <c r="AW27" s="114">
        <f t="shared" si="26"/>
        <v>0</v>
      </c>
      <c r="AX27" s="114">
        <f t="shared" ref="AX27:AY27" si="45">IF(S27=1,2,0)</f>
        <v>0</v>
      </c>
      <c r="AY27" s="114">
        <f t="shared" si="45"/>
        <v>0</v>
      </c>
      <c r="AZ27" s="114">
        <f t="shared" si="28"/>
        <v>0</v>
      </c>
      <c r="BA27" s="114">
        <f t="shared" si="29"/>
        <v>0</v>
      </c>
      <c r="BB27" s="114">
        <f t="shared" si="30"/>
        <v>10</v>
      </c>
      <c r="BC27" s="114">
        <f t="shared" si="31"/>
        <v>8</v>
      </c>
      <c r="BD27" s="114">
        <f t="shared" si="32"/>
        <v>5</v>
      </c>
      <c r="BE27" s="114">
        <f t="shared" si="33"/>
        <v>5</v>
      </c>
      <c r="BF27" s="114">
        <f t="shared" si="34"/>
        <v>0</v>
      </c>
      <c r="BG27" s="114">
        <f t="shared" si="35"/>
        <v>15</v>
      </c>
      <c r="BH27" s="114">
        <f t="shared" si="36"/>
        <v>0</v>
      </c>
      <c r="BI27" s="114">
        <f t="shared" si="37"/>
        <v>0</v>
      </c>
      <c r="BJ27" s="114"/>
      <c r="BK27" s="114">
        <f t="shared" si="38"/>
        <v>0</v>
      </c>
      <c r="BL27" s="113"/>
    </row>
    <row r="28" spans="1:64" ht="15" customHeight="1">
      <c r="A28" s="106" t="s">
        <v>1269</v>
      </c>
      <c r="B28" s="115"/>
      <c r="C28" s="107">
        <v>1</v>
      </c>
      <c r="D28" s="107">
        <v>1</v>
      </c>
      <c r="E28" s="107"/>
      <c r="F28" s="107"/>
      <c r="G28" s="107"/>
      <c r="H28" s="107"/>
      <c r="I28" s="107"/>
      <c r="J28" s="107">
        <v>1</v>
      </c>
      <c r="K28" s="107"/>
      <c r="L28" s="107"/>
      <c r="M28" s="107"/>
      <c r="N28" s="107"/>
      <c r="O28" s="107"/>
      <c r="P28" s="107">
        <v>1</v>
      </c>
      <c r="Q28" s="107"/>
      <c r="R28" s="107"/>
      <c r="S28" s="107"/>
      <c r="T28" s="107"/>
      <c r="U28" s="107">
        <v>1</v>
      </c>
      <c r="V28" s="107"/>
      <c r="W28" s="107"/>
      <c r="X28" s="107"/>
      <c r="Y28" s="107"/>
      <c r="Z28" s="107">
        <v>1</v>
      </c>
      <c r="AA28" s="107"/>
      <c r="AB28" s="107">
        <v>1</v>
      </c>
      <c r="AC28" s="107"/>
      <c r="AD28" s="107"/>
      <c r="AE28" s="107"/>
      <c r="AF28" s="107"/>
      <c r="AG28" s="107">
        <v>1</v>
      </c>
      <c r="AH28" s="107"/>
      <c r="AI28" s="107"/>
      <c r="AJ28" s="107"/>
      <c r="AK28" s="107">
        <v>8</v>
      </c>
      <c r="AL28" s="303" t="s">
        <v>1413</v>
      </c>
      <c r="AM28" s="108">
        <f t="shared" si="16"/>
        <v>60</v>
      </c>
      <c r="AN28" s="108">
        <f t="shared" si="17"/>
        <v>95</v>
      </c>
      <c r="AO28" s="115">
        <f t="shared" si="18"/>
        <v>9</v>
      </c>
      <c r="AP28" s="115">
        <f t="shared" si="19"/>
        <v>13</v>
      </c>
      <c r="AQ28" s="115">
        <f t="shared" si="20"/>
        <v>0</v>
      </c>
      <c r="AR28" s="115">
        <f t="shared" si="21"/>
        <v>0</v>
      </c>
      <c r="AS28" s="115">
        <f t="shared" si="22"/>
        <v>17</v>
      </c>
      <c r="AT28" s="115">
        <f t="shared" si="23"/>
        <v>0</v>
      </c>
      <c r="AU28" s="115">
        <f t="shared" si="24"/>
        <v>18</v>
      </c>
      <c r="AV28" s="115">
        <f t="shared" si="25"/>
        <v>0</v>
      </c>
      <c r="AW28" s="115">
        <f t="shared" si="26"/>
        <v>0</v>
      </c>
      <c r="AX28" s="115">
        <f t="shared" ref="AX28:AY28" si="46">IF(S28=1,2,0)</f>
        <v>0</v>
      </c>
      <c r="AY28" s="115">
        <f t="shared" si="46"/>
        <v>0</v>
      </c>
      <c r="AZ28" s="115">
        <f t="shared" si="28"/>
        <v>10</v>
      </c>
      <c r="BA28" s="115">
        <f t="shared" si="29"/>
        <v>0</v>
      </c>
      <c r="BB28" s="115">
        <f t="shared" si="30"/>
        <v>0</v>
      </c>
      <c r="BC28" s="115">
        <f t="shared" si="31"/>
        <v>8</v>
      </c>
      <c r="BD28" s="115">
        <f t="shared" si="32"/>
        <v>5</v>
      </c>
      <c r="BE28" s="115">
        <f t="shared" si="33"/>
        <v>0</v>
      </c>
      <c r="BF28" s="115">
        <f t="shared" si="34"/>
        <v>0</v>
      </c>
      <c r="BG28" s="115">
        <f t="shared" si="35"/>
        <v>15</v>
      </c>
      <c r="BH28" s="115">
        <f t="shared" si="36"/>
        <v>0</v>
      </c>
      <c r="BI28" s="115">
        <f t="shared" si="37"/>
        <v>0</v>
      </c>
      <c r="BJ28" s="115"/>
      <c r="BK28" s="115">
        <f t="shared" si="38"/>
        <v>4</v>
      </c>
      <c r="BL28" s="109"/>
    </row>
    <row r="29" spans="1:64" ht="15" customHeight="1">
      <c r="A29" s="110" t="s">
        <v>1414</v>
      </c>
      <c r="B29" s="114"/>
      <c r="C29" s="111">
        <v>1</v>
      </c>
      <c r="D29" s="111"/>
      <c r="E29" s="111">
        <v>1</v>
      </c>
      <c r="F29" s="111"/>
      <c r="G29" s="111">
        <v>1</v>
      </c>
      <c r="H29" s="111"/>
      <c r="I29" s="111"/>
      <c r="J29" s="111">
        <v>1</v>
      </c>
      <c r="K29" s="111"/>
      <c r="L29" s="111"/>
      <c r="M29" s="111"/>
      <c r="N29" s="111"/>
      <c r="O29" s="111"/>
      <c r="P29" s="111">
        <v>1</v>
      </c>
      <c r="Q29" s="111"/>
      <c r="R29" s="111"/>
      <c r="S29" s="111"/>
      <c r="T29" s="111">
        <v>1</v>
      </c>
      <c r="U29" s="111"/>
      <c r="V29" s="111"/>
      <c r="W29" s="111"/>
      <c r="X29" s="111"/>
      <c r="Y29" s="111">
        <v>1</v>
      </c>
      <c r="Z29" s="111"/>
      <c r="AA29" s="111"/>
      <c r="AB29" s="111"/>
      <c r="AC29" s="111"/>
      <c r="AD29" s="111"/>
      <c r="AE29" s="111"/>
      <c r="AF29" s="111"/>
      <c r="AG29" s="111">
        <v>1</v>
      </c>
      <c r="AH29" s="111"/>
      <c r="AI29" s="111"/>
      <c r="AJ29" s="111"/>
      <c r="AK29" s="111">
        <v>8</v>
      </c>
      <c r="AL29" s="114" t="s">
        <v>1415</v>
      </c>
      <c r="AM29" s="112">
        <f t="shared" si="16"/>
        <v>80</v>
      </c>
      <c r="AN29" s="112">
        <f t="shared" si="17"/>
        <v>83</v>
      </c>
      <c r="AO29" s="114">
        <f t="shared" si="18"/>
        <v>9</v>
      </c>
      <c r="AP29" s="114">
        <f t="shared" si="19"/>
        <v>0</v>
      </c>
      <c r="AQ29" s="114">
        <f t="shared" si="20"/>
        <v>6</v>
      </c>
      <c r="AR29" s="114">
        <f t="shared" si="21"/>
        <v>6</v>
      </c>
      <c r="AS29" s="114">
        <f t="shared" si="22"/>
        <v>17</v>
      </c>
      <c r="AT29" s="114">
        <f t="shared" si="23"/>
        <v>0</v>
      </c>
      <c r="AU29" s="114">
        <f t="shared" si="24"/>
        <v>18</v>
      </c>
      <c r="AV29" s="114">
        <f t="shared" si="25"/>
        <v>0</v>
      </c>
      <c r="AW29" s="114">
        <f t="shared" si="26"/>
        <v>0</v>
      </c>
      <c r="AX29" s="114">
        <f t="shared" ref="AX29:AY29" si="47">IF(S29=1,2,0)</f>
        <v>0</v>
      </c>
      <c r="AY29" s="114">
        <f t="shared" si="47"/>
        <v>2</v>
      </c>
      <c r="AZ29" s="114">
        <f t="shared" si="28"/>
        <v>0</v>
      </c>
      <c r="BA29" s="114">
        <f t="shared" si="29"/>
        <v>0</v>
      </c>
      <c r="BB29" s="114">
        <f t="shared" si="30"/>
        <v>10</v>
      </c>
      <c r="BC29" s="114">
        <f t="shared" si="31"/>
        <v>0</v>
      </c>
      <c r="BD29" s="114">
        <f t="shared" si="32"/>
        <v>0</v>
      </c>
      <c r="BE29" s="114">
        <f t="shared" si="33"/>
        <v>0</v>
      </c>
      <c r="BF29" s="114">
        <f t="shared" si="34"/>
        <v>0</v>
      </c>
      <c r="BG29" s="114">
        <f t="shared" si="35"/>
        <v>15</v>
      </c>
      <c r="BH29" s="114">
        <f t="shared" si="36"/>
        <v>0</v>
      </c>
      <c r="BI29" s="114">
        <f t="shared" si="37"/>
        <v>0</v>
      </c>
      <c r="BJ29" s="114"/>
      <c r="BK29" s="114">
        <f t="shared" si="38"/>
        <v>4</v>
      </c>
      <c r="BL29" s="113"/>
    </row>
    <row r="30" spans="1:64" ht="15" customHeight="1">
      <c r="A30" s="106" t="s">
        <v>120</v>
      </c>
      <c r="B30" s="115"/>
      <c r="C30" s="107">
        <v>1</v>
      </c>
      <c r="D30" s="107">
        <v>1</v>
      </c>
      <c r="E30" s="107"/>
      <c r="F30" s="107"/>
      <c r="G30" s="107"/>
      <c r="H30" s="107"/>
      <c r="I30" s="107"/>
      <c r="J30" s="107">
        <v>1</v>
      </c>
      <c r="K30" s="107"/>
      <c r="L30" s="107"/>
      <c r="M30" s="107"/>
      <c r="N30" s="107">
        <v>1</v>
      </c>
      <c r="O30" s="107"/>
      <c r="P30" s="107">
        <v>1</v>
      </c>
      <c r="Q30" s="107">
        <v>1</v>
      </c>
      <c r="R30" s="107"/>
      <c r="S30" s="107"/>
      <c r="T30" s="107"/>
      <c r="U30" s="107">
        <v>1</v>
      </c>
      <c r="V30" s="107"/>
      <c r="W30" s="107"/>
      <c r="X30" s="107"/>
      <c r="Y30" s="107">
        <v>1</v>
      </c>
      <c r="Z30" s="107"/>
      <c r="AA30" s="107"/>
      <c r="AB30" s="107">
        <v>1</v>
      </c>
      <c r="AC30" s="107"/>
      <c r="AD30" s="107"/>
      <c r="AE30" s="107"/>
      <c r="AF30" s="107"/>
      <c r="AG30" s="107">
        <v>1</v>
      </c>
      <c r="AH30" s="107"/>
      <c r="AI30" s="107"/>
      <c r="AJ30" s="107"/>
      <c r="AK30" s="107">
        <v>10</v>
      </c>
      <c r="AL30" s="303" t="s">
        <v>1416</v>
      </c>
      <c r="AM30" s="108">
        <f t="shared" si="16"/>
        <v>72</v>
      </c>
      <c r="AN30" s="108">
        <f t="shared" si="17"/>
        <v>97</v>
      </c>
      <c r="AO30" s="115">
        <f t="shared" si="18"/>
        <v>9</v>
      </c>
      <c r="AP30" s="115">
        <f t="shared" si="19"/>
        <v>13</v>
      </c>
      <c r="AQ30" s="115">
        <f t="shared" si="20"/>
        <v>0</v>
      </c>
      <c r="AR30" s="115">
        <f t="shared" si="21"/>
        <v>0</v>
      </c>
      <c r="AS30" s="115">
        <f t="shared" si="22"/>
        <v>17</v>
      </c>
      <c r="AT30" s="115">
        <f t="shared" si="23"/>
        <v>2</v>
      </c>
      <c r="AU30" s="115">
        <f t="shared" si="24"/>
        <v>18</v>
      </c>
      <c r="AV30" s="115">
        <f t="shared" si="25"/>
        <v>4</v>
      </c>
      <c r="AW30" s="115">
        <f t="shared" si="26"/>
        <v>0</v>
      </c>
      <c r="AX30" s="115">
        <f t="shared" ref="AX30:AY30" si="48">IF(S30=1,2,0)</f>
        <v>0</v>
      </c>
      <c r="AY30" s="115">
        <f t="shared" si="48"/>
        <v>0</v>
      </c>
      <c r="AZ30" s="115">
        <f t="shared" si="28"/>
        <v>10</v>
      </c>
      <c r="BA30" s="115">
        <f t="shared" si="29"/>
        <v>0</v>
      </c>
      <c r="BB30" s="115">
        <f t="shared" si="30"/>
        <v>10</v>
      </c>
      <c r="BC30" s="115">
        <f t="shared" si="31"/>
        <v>0</v>
      </c>
      <c r="BD30" s="115">
        <f t="shared" si="32"/>
        <v>5</v>
      </c>
      <c r="BE30" s="115">
        <f t="shared" si="33"/>
        <v>0</v>
      </c>
      <c r="BF30" s="115">
        <f t="shared" si="34"/>
        <v>0</v>
      </c>
      <c r="BG30" s="115">
        <f t="shared" si="35"/>
        <v>15</v>
      </c>
      <c r="BH30" s="115">
        <f t="shared" si="36"/>
        <v>0</v>
      </c>
      <c r="BI30" s="115">
        <f t="shared" si="37"/>
        <v>0</v>
      </c>
      <c r="BJ30" s="115"/>
      <c r="BK30" s="115">
        <f t="shared" si="38"/>
        <v>0</v>
      </c>
      <c r="BL30" s="109"/>
    </row>
    <row r="31" spans="1:64" ht="15" customHeight="1">
      <c r="A31" s="110" t="s">
        <v>759</v>
      </c>
      <c r="B31" s="114"/>
      <c r="C31" s="111">
        <v>1</v>
      </c>
      <c r="D31" s="111">
        <v>1</v>
      </c>
      <c r="E31" s="111"/>
      <c r="F31" s="111"/>
      <c r="G31" s="111"/>
      <c r="H31" s="111"/>
      <c r="I31" s="111"/>
      <c r="J31" s="111">
        <v>1</v>
      </c>
      <c r="K31" s="111"/>
      <c r="L31" s="111"/>
      <c r="M31" s="111"/>
      <c r="N31" s="111"/>
      <c r="O31" s="111"/>
      <c r="P31" s="111">
        <v>1</v>
      </c>
      <c r="Q31" s="111"/>
      <c r="R31" s="111"/>
      <c r="S31" s="111"/>
      <c r="T31" s="111"/>
      <c r="U31" s="111"/>
      <c r="V31" s="111"/>
      <c r="W31" s="111"/>
      <c r="X31" s="111"/>
      <c r="Y31" s="111">
        <v>1</v>
      </c>
      <c r="Z31" s="111"/>
      <c r="AA31" s="111"/>
      <c r="AB31" s="111"/>
      <c r="AC31" s="111"/>
      <c r="AD31" s="111">
        <v>1</v>
      </c>
      <c r="AE31" s="111"/>
      <c r="AF31" s="111"/>
      <c r="AG31" s="111">
        <v>1</v>
      </c>
      <c r="AH31" s="111"/>
      <c r="AI31" s="111"/>
      <c r="AJ31" s="111"/>
      <c r="AK31" s="111">
        <v>7</v>
      </c>
      <c r="AL31" s="304" t="s">
        <v>1417</v>
      </c>
      <c r="AM31" s="112">
        <f t="shared" si="16"/>
        <v>50</v>
      </c>
      <c r="AN31" s="112">
        <f t="shared" si="17"/>
        <v>87</v>
      </c>
      <c r="AO31" s="114">
        <f t="shared" si="18"/>
        <v>9</v>
      </c>
      <c r="AP31" s="114">
        <f t="shared" si="19"/>
        <v>13</v>
      </c>
      <c r="AQ31" s="114">
        <f t="shared" si="20"/>
        <v>0</v>
      </c>
      <c r="AR31" s="114">
        <f t="shared" si="21"/>
        <v>0</v>
      </c>
      <c r="AS31" s="114">
        <f t="shared" si="22"/>
        <v>17</v>
      </c>
      <c r="AT31" s="114">
        <f t="shared" si="23"/>
        <v>0</v>
      </c>
      <c r="AU31" s="114">
        <f t="shared" si="24"/>
        <v>18</v>
      </c>
      <c r="AV31" s="114">
        <f t="shared" si="25"/>
        <v>0</v>
      </c>
      <c r="AW31" s="114">
        <f t="shared" si="26"/>
        <v>0</v>
      </c>
      <c r="AX31" s="114">
        <f t="shared" ref="AX31:AY31" si="49">IF(S31=1,2,0)</f>
        <v>0</v>
      </c>
      <c r="AY31" s="114">
        <f t="shared" si="49"/>
        <v>0</v>
      </c>
      <c r="AZ31" s="114">
        <f t="shared" si="28"/>
        <v>0</v>
      </c>
      <c r="BA31" s="114">
        <f t="shared" si="29"/>
        <v>0</v>
      </c>
      <c r="BB31" s="114">
        <f t="shared" si="30"/>
        <v>10</v>
      </c>
      <c r="BC31" s="114">
        <f t="shared" si="31"/>
        <v>0</v>
      </c>
      <c r="BD31" s="114">
        <f t="shared" si="32"/>
        <v>0</v>
      </c>
      <c r="BE31" s="114">
        <f t="shared" si="33"/>
        <v>5</v>
      </c>
      <c r="BF31" s="114">
        <f t="shared" si="34"/>
        <v>0</v>
      </c>
      <c r="BG31" s="114">
        <f t="shared" si="35"/>
        <v>15</v>
      </c>
      <c r="BH31" s="114">
        <f t="shared" si="36"/>
        <v>0</v>
      </c>
      <c r="BI31" s="114">
        <f t="shared" si="37"/>
        <v>0</v>
      </c>
      <c r="BJ31" s="114"/>
      <c r="BK31" s="114">
        <f t="shared" si="38"/>
        <v>9</v>
      </c>
      <c r="BL31" s="113"/>
    </row>
    <row r="32" spans="1:64" ht="15" customHeight="1">
      <c r="A32" s="106" t="s">
        <v>1418</v>
      </c>
      <c r="B32" s="115"/>
      <c r="C32" s="107">
        <v>1</v>
      </c>
      <c r="D32" s="107">
        <v>1</v>
      </c>
      <c r="E32" s="107">
        <v>1</v>
      </c>
      <c r="F32" s="107"/>
      <c r="G32" s="107">
        <v>1</v>
      </c>
      <c r="H32" s="107"/>
      <c r="I32" s="107"/>
      <c r="J32" s="107">
        <v>1</v>
      </c>
      <c r="K32" s="107"/>
      <c r="L32" s="107"/>
      <c r="M32" s="107"/>
      <c r="N32" s="107"/>
      <c r="O32" s="107"/>
      <c r="P32" s="107">
        <v>1</v>
      </c>
      <c r="Q32" s="107"/>
      <c r="R32" s="107"/>
      <c r="S32" s="107"/>
      <c r="T32" s="107"/>
      <c r="U32" s="107">
        <v>1</v>
      </c>
      <c r="V32" s="107"/>
      <c r="W32" s="107"/>
      <c r="X32" s="107"/>
      <c r="Y32" s="107">
        <v>1</v>
      </c>
      <c r="Z32" s="107">
        <v>1</v>
      </c>
      <c r="AA32" s="107"/>
      <c r="AB32" s="107"/>
      <c r="AC32" s="107"/>
      <c r="AD32" s="107"/>
      <c r="AE32" s="107"/>
      <c r="AF32" s="107"/>
      <c r="AG32" s="107">
        <v>1</v>
      </c>
      <c r="AH32" s="107"/>
      <c r="AI32" s="107"/>
      <c r="AJ32" s="107"/>
      <c r="AK32" s="107">
        <v>10</v>
      </c>
      <c r="AL32" s="303" t="s">
        <v>1419</v>
      </c>
      <c r="AM32" s="108">
        <f t="shared" si="16"/>
        <v>96</v>
      </c>
      <c r="AN32" s="108">
        <f t="shared" si="17"/>
        <v>100</v>
      </c>
      <c r="AO32" s="115">
        <f t="shared" si="18"/>
        <v>9</v>
      </c>
      <c r="AP32" s="115">
        <f t="shared" si="19"/>
        <v>13</v>
      </c>
      <c r="AQ32" s="115">
        <f t="shared" si="20"/>
        <v>6</v>
      </c>
      <c r="AR32" s="115">
        <f t="shared" si="21"/>
        <v>6</v>
      </c>
      <c r="AS32" s="115">
        <f t="shared" si="22"/>
        <v>17</v>
      </c>
      <c r="AT32" s="115">
        <f t="shared" si="23"/>
        <v>0</v>
      </c>
      <c r="AU32" s="115">
        <f t="shared" si="24"/>
        <v>18</v>
      </c>
      <c r="AV32" s="115">
        <f t="shared" si="25"/>
        <v>0</v>
      </c>
      <c r="AW32" s="115">
        <f t="shared" si="26"/>
        <v>0</v>
      </c>
      <c r="AX32" s="115">
        <f t="shared" ref="AX32:AY32" si="50">IF(S32=1,2,0)</f>
        <v>0</v>
      </c>
      <c r="AY32" s="115">
        <f t="shared" si="50"/>
        <v>0</v>
      </c>
      <c r="AZ32" s="115">
        <f t="shared" si="28"/>
        <v>10</v>
      </c>
      <c r="BA32" s="115">
        <f t="shared" si="29"/>
        <v>0</v>
      </c>
      <c r="BB32" s="115">
        <f t="shared" si="30"/>
        <v>10</v>
      </c>
      <c r="BC32" s="115">
        <f t="shared" si="31"/>
        <v>8</v>
      </c>
      <c r="BD32" s="115">
        <f t="shared" si="32"/>
        <v>0</v>
      </c>
      <c r="BE32" s="115">
        <f t="shared" si="33"/>
        <v>0</v>
      </c>
      <c r="BF32" s="115">
        <f t="shared" si="34"/>
        <v>0</v>
      </c>
      <c r="BG32" s="115">
        <f t="shared" si="35"/>
        <v>15</v>
      </c>
      <c r="BH32" s="115">
        <f t="shared" si="36"/>
        <v>0</v>
      </c>
      <c r="BI32" s="115">
        <f t="shared" si="37"/>
        <v>0</v>
      </c>
      <c r="BJ32" s="115"/>
      <c r="BK32" s="115">
        <f t="shared" si="38"/>
        <v>0</v>
      </c>
      <c r="BL32" s="109"/>
    </row>
    <row r="33" spans="1:64" ht="15" customHeight="1">
      <c r="A33" s="110" t="s">
        <v>1420</v>
      </c>
      <c r="B33" s="114"/>
      <c r="C33" s="111">
        <v>1</v>
      </c>
      <c r="D33" s="111"/>
      <c r="E33" s="111">
        <v>1</v>
      </c>
      <c r="F33" s="111"/>
      <c r="G33" s="111">
        <v>1</v>
      </c>
      <c r="H33" s="111"/>
      <c r="I33" s="111"/>
      <c r="J33" s="111">
        <v>1</v>
      </c>
      <c r="K33" s="111"/>
      <c r="L33" s="111"/>
      <c r="M33" s="111"/>
      <c r="N33" s="111"/>
      <c r="O33" s="111"/>
      <c r="P33" s="111">
        <v>1</v>
      </c>
      <c r="Q33" s="111"/>
      <c r="R33" s="111"/>
      <c r="S33" s="111"/>
      <c r="T33" s="111"/>
      <c r="U33" s="111"/>
      <c r="V33" s="111"/>
      <c r="W33" s="111"/>
      <c r="X33" s="111"/>
      <c r="Y33" s="111">
        <v>1</v>
      </c>
      <c r="Z33" s="111">
        <v>1</v>
      </c>
      <c r="AA33" s="111"/>
      <c r="AB33" s="111"/>
      <c r="AC33" s="111"/>
      <c r="AD33" s="111"/>
      <c r="AE33" s="111"/>
      <c r="AF33" s="111"/>
      <c r="AG33" s="111">
        <v>1</v>
      </c>
      <c r="AH33" s="111"/>
      <c r="AI33" s="111">
        <v>1</v>
      </c>
      <c r="AJ33" s="111">
        <v>1</v>
      </c>
      <c r="AK33" s="111">
        <v>10</v>
      </c>
      <c r="AL33" s="304" t="s">
        <v>1421</v>
      </c>
      <c r="AM33" s="112">
        <f t="shared" si="16"/>
        <v>96</v>
      </c>
      <c r="AN33" s="112">
        <f t="shared" si="17"/>
        <v>89</v>
      </c>
      <c r="AO33" s="114">
        <f t="shared" si="18"/>
        <v>9</v>
      </c>
      <c r="AP33" s="114">
        <f t="shared" si="19"/>
        <v>0</v>
      </c>
      <c r="AQ33" s="114">
        <f t="shared" si="20"/>
        <v>6</v>
      </c>
      <c r="AR33" s="114">
        <f t="shared" si="21"/>
        <v>6</v>
      </c>
      <c r="AS33" s="114">
        <f t="shared" si="22"/>
        <v>17</v>
      </c>
      <c r="AT33" s="114">
        <f t="shared" si="23"/>
        <v>0</v>
      </c>
      <c r="AU33" s="114">
        <f t="shared" si="24"/>
        <v>18</v>
      </c>
      <c r="AV33" s="114">
        <f t="shared" si="25"/>
        <v>0</v>
      </c>
      <c r="AW33" s="114">
        <f t="shared" si="26"/>
        <v>0</v>
      </c>
      <c r="AX33" s="114">
        <f t="shared" ref="AX33:AY33" si="51">IF(S33=1,2,0)</f>
        <v>0</v>
      </c>
      <c r="AY33" s="114">
        <f t="shared" si="51"/>
        <v>0</v>
      </c>
      <c r="AZ33" s="114">
        <f t="shared" si="28"/>
        <v>0</v>
      </c>
      <c r="BA33" s="114">
        <f t="shared" si="29"/>
        <v>0</v>
      </c>
      <c r="BB33" s="114">
        <f t="shared" si="30"/>
        <v>10</v>
      </c>
      <c r="BC33" s="114">
        <f t="shared" si="31"/>
        <v>8</v>
      </c>
      <c r="BD33" s="114">
        <f t="shared" si="32"/>
        <v>0</v>
      </c>
      <c r="BE33" s="114">
        <f t="shared" si="33"/>
        <v>0</v>
      </c>
      <c r="BF33" s="114">
        <f t="shared" si="34"/>
        <v>0</v>
      </c>
      <c r="BG33" s="114">
        <f t="shared" si="35"/>
        <v>15</v>
      </c>
      <c r="BH33" s="114">
        <f t="shared" si="36"/>
        <v>3</v>
      </c>
      <c r="BI33" s="114">
        <f t="shared" si="37"/>
        <v>2</v>
      </c>
      <c r="BJ33" s="114"/>
      <c r="BK33" s="114">
        <f t="shared" si="38"/>
        <v>0</v>
      </c>
      <c r="BL33" s="113"/>
    </row>
    <row r="34" spans="1:64" ht="15" customHeight="1">
      <c r="A34" s="106" t="s">
        <v>123</v>
      </c>
      <c r="B34" s="115"/>
      <c r="C34" s="107">
        <v>1</v>
      </c>
      <c r="D34" s="107">
        <v>1</v>
      </c>
      <c r="E34" s="107"/>
      <c r="F34" s="107"/>
      <c r="G34" s="107"/>
      <c r="H34" s="107"/>
      <c r="I34" s="107"/>
      <c r="J34" s="107">
        <v>1</v>
      </c>
      <c r="K34" s="107"/>
      <c r="L34" s="107"/>
      <c r="M34" s="107"/>
      <c r="N34" s="107"/>
      <c r="O34" s="107"/>
      <c r="P34" s="107">
        <v>1</v>
      </c>
      <c r="Q34" s="107">
        <v>1</v>
      </c>
      <c r="R34" s="107"/>
      <c r="S34" s="107"/>
      <c r="T34" s="107"/>
      <c r="U34" s="107"/>
      <c r="V34" s="107">
        <v>1</v>
      </c>
      <c r="W34" s="107"/>
      <c r="X34" s="107"/>
      <c r="Y34" s="107"/>
      <c r="Z34" s="107">
        <v>1</v>
      </c>
      <c r="AA34" s="107"/>
      <c r="AB34" s="107">
        <v>1</v>
      </c>
      <c r="AC34" s="107"/>
      <c r="AD34" s="107"/>
      <c r="AE34" s="107"/>
      <c r="AF34" s="107"/>
      <c r="AG34" s="107">
        <v>1</v>
      </c>
      <c r="AH34" s="107"/>
      <c r="AI34" s="107">
        <v>1</v>
      </c>
      <c r="AJ34" s="107"/>
      <c r="AK34" s="107">
        <v>10</v>
      </c>
      <c r="AL34" s="303" t="s">
        <v>1416</v>
      </c>
      <c r="AM34" s="108">
        <f t="shared" si="16"/>
        <v>78</v>
      </c>
      <c r="AN34" s="108">
        <f t="shared" si="17"/>
        <v>89</v>
      </c>
      <c r="AO34" s="115">
        <f t="shared" si="18"/>
        <v>9</v>
      </c>
      <c r="AP34" s="115">
        <f t="shared" si="19"/>
        <v>13</v>
      </c>
      <c r="AQ34" s="115">
        <f t="shared" si="20"/>
        <v>0</v>
      </c>
      <c r="AR34" s="115">
        <f t="shared" si="21"/>
        <v>0</v>
      </c>
      <c r="AS34" s="115">
        <f t="shared" si="22"/>
        <v>17</v>
      </c>
      <c r="AT34" s="115">
        <f t="shared" si="23"/>
        <v>0</v>
      </c>
      <c r="AU34" s="115">
        <f t="shared" si="24"/>
        <v>18</v>
      </c>
      <c r="AV34" s="115">
        <f t="shared" si="25"/>
        <v>4</v>
      </c>
      <c r="AW34" s="115">
        <f t="shared" si="26"/>
        <v>0</v>
      </c>
      <c r="AX34" s="115">
        <f t="shared" ref="AX34:AY34" si="52">IF(S34=1,2,0)</f>
        <v>0</v>
      </c>
      <c r="AY34" s="115">
        <f t="shared" si="52"/>
        <v>0</v>
      </c>
      <c r="AZ34" s="115">
        <f t="shared" si="28"/>
        <v>0</v>
      </c>
      <c r="BA34" s="115">
        <f t="shared" si="29"/>
        <v>3</v>
      </c>
      <c r="BB34" s="115">
        <f t="shared" si="30"/>
        <v>0</v>
      </c>
      <c r="BC34" s="115">
        <f t="shared" si="31"/>
        <v>8</v>
      </c>
      <c r="BD34" s="115">
        <f t="shared" si="32"/>
        <v>5</v>
      </c>
      <c r="BE34" s="115">
        <f t="shared" si="33"/>
        <v>0</v>
      </c>
      <c r="BF34" s="115">
        <f t="shared" si="34"/>
        <v>0</v>
      </c>
      <c r="BG34" s="115">
        <f t="shared" si="35"/>
        <v>15</v>
      </c>
      <c r="BH34" s="115">
        <f t="shared" si="36"/>
        <v>3</v>
      </c>
      <c r="BI34" s="115">
        <f t="shared" si="37"/>
        <v>0</v>
      </c>
      <c r="BJ34" s="115"/>
      <c r="BK34" s="115">
        <f t="shared" si="38"/>
        <v>0</v>
      </c>
      <c r="BL34" s="109"/>
    </row>
    <row r="35" spans="1:64" ht="15" customHeight="1">
      <c r="A35" s="110" t="s">
        <v>124</v>
      </c>
      <c r="B35" s="114"/>
      <c r="C35" s="111"/>
      <c r="D35" s="111">
        <v>1</v>
      </c>
      <c r="E35" s="111"/>
      <c r="F35" s="111"/>
      <c r="G35" s="111"/>
      <c r="H35" s="111"/>
      <c r="I35" s="111"/>
      <c r="J35" s="111">
        <v>1</v>
      </c>
      <c r="K35" s="111"/>
      <c r="L35" s="111"/>
      <c r="M35" s="111"/>
      <c r="N35" s="111"/>
      <c r="O35" s="111"/>
      <c r="P35" s="111">
        <v>1</v>
      </c>
      <c r="Q35" s="111"/>
      <c r="R35" s="111"/>
      <c r="S35" s="111"/>
      <c r="T35" s="111"/>
      <c r="U35" s="111">
        <v>1</v>
      </c>
      <c r="V35" s="111"/>
      <c r="W35" s="111"/>
      <c r="X35" s="111"/>
      <c r="Y35" s="111"/>
      <c r="Z35" s="111"/>
      <c r="AA35" s="111"/>
      <c r="AB35" s="111"/>
      <c r="AC35" s="111"/>
      <c r="AD35" s="111">
        <v>1</v>
      </c>
      <c r="AE35" s="111"/>
      <c r="AF35" s="111"/>
      <c r="AG35" s="111">
        <v>1</v>
      </c>
      <c r="AH35" s="111"/>
      <c r="AI35" s="111"/>
      <c r="AJ35" s="111"/>
      <c r="AK35" s="111">
        <v>6</v>
      </c>
      <c r="AL35" s="304" t="s">
        <v>1422</v>
      </c>
      <c r="AM35" s="112">
        <f t="shared" si="16"/>
        <v>26</v>
      </c>
      <c r="AN35" s="112">
        <f t="shared" si="17"/>
        <v>78</v>
      </c>
      <c r="AO35" s="114">
        <f t="shared" si="18"/>
        <v>0</v>
      </c>
      <c r="AP35" s="114">
        <f t="shared" si="19"/>
        <v>13</v>
      </c>
      <c r="AQ35" s="114">
        <f t="shared" si="20"/>
        <v>0</v>
      </c>
      <c r="AR35" s="114">
        <f t="shared" si="21"/>
        <v>0</v>
      </c>
      <c r="AS35" s="114">
        <f t="shared" si="22"/>
        <v>17</v>
      </c>
      <c r="AT35" s="114">
        <f t="shared" si="23"/>
        <v>0</v>
      </c>
      <c r="AU35" s="114">
        <f t="shared" si="24"/>
        <v>18</v>
      </c>
      <c r="AV35" s="114">
        <f t="shared" si="25"/>
        <v>0</v>
      </c>
      <c r="AW35" s="114">
        <f t="shared" si="26"/>
        <v>0</v>
      </c>
      <c r="AX35" s="114">
        <f t="shared" ref="AX35:AY35" si="53">IF(S35=1,2,0)</f>
        <v>0</v>
      </c>
      <c r="AY35" s="114">
        <f t="shared" si="53"/>
        <v>0</v>
      </c>
      <c r="AZ35" s="114">
        <f t="shared" si="28"/>
        <v>10</v>
      </c>
      <c r="BA35" s="114">
        <f t="shared" si="29"/>
        <v>0</v>
      </c>
      <c r="BB35" s="114">
        <f t="shared" si="30"/>
        <v>0</v>
      </c>
      <c r="BC35" s="114">
        <f t="shared" si="31"/>
        <v>0</v>
      </c>
      <c r="BD35" s="114">
        <f t="shared" si="32"/>
        <v>0</v>
      </c>
      <c r="BE35" s="114">
        <f t="shared" si="33"/>
        <v>5</v>
      </c>
      <c r="BF35" s="114">
        <f t="shared" si="34"/>
        <v>0</v>
      </c>
      <c r="BG35" s="114">
        <f t="shared" si="35"/>
        <v>15</v>
      </c>
      <c r="BH35" s="114">
        <f t="shared" si="36"/>
        <v>0</v>
      </c>
      <c r="BI35" s="114">
        <f t="shared" si="37"/>
        <v>0</v>
      </c>
      <c r="BJ35" s="114"/>
      <c r="BK35" s="114">
        <f t="shared" si="38"/>
        <v>16</v>
      </c>
      <c r="BL35" s="113"/>
    </row>
    <row r="36" spans="1:64" ht="15" customHeight="1">
      <c r="A36" s="106" t="s">
        <v>125</v>
      </c>
      <c r="B36" s="115"/>
      <c r="C36" s="107"/>
      <c r="D36" s="107"/>
      <c r="E36" s="107">
        <v>1</v>
      </c>
      <c r="F36" s="107"/>
      <c r="G36" s="107">
        <v>1</v>
      </c>
      <c r="H36" s="107"/>
      <c r="I36" s="107"/>
      <c r="J36" s="107">
        <v>1</v>
      </c>
      <c r="K36" s="107"/>
      <c r="L36" s="107"/>
      <c r="M36" s="107"/>
      <c r="N36" s="107"/>
      <c r="O36" s="107"/>
      <c r="P36" s="107">
        <v>1</v>
      </c>
      <c r="Q36" s="107"/>
      <c r="R36" s="107"/>
      <c r="S36" s="107"/>
      <c r="T36" s="107">
        <v>1</v>
      </c>
      <c r="U36" s="107">
        <v>1</v>
      </c>
      <c r="V36" s="107"/>
      <c r="W36" s="107"/>
      <c r="X36" s="107"/>
      <c r="Y36" s="107">
        <v>1</v>
      </c>
      <c r="Z36" s="107">
        <v>1</v>
      </c>
      <c r="AA36" s="107"/>
      <c r="AB36" s="107"/>
      <c r="AC36" s="107"/>
      <c r="AD36" s="107"/>
      <c r="AE36" s="107"/>
      <c r="AF36" s="107"/>
      <c r="AG36" s="107">
        <v>1</v>
      </c>
      <c r="AH36" s="107"/>
      <c r="AI36" s="107"/>
      <c r="AJ36" s="107"/>
      <c r="AK36" s="107">
        <v>9</v>
      </c>
      <c r="AL36" s="303" t="s">
        <v>1423</v>
      </c>
      <c r="AM36" s="108">
        <f t="shared" si="16"/>
        <v>84</v>
      </c>
      <c r="AN36" s="108">
        <f t="shared" si="17"/>
        <v>90</v>
      </c>
      <c r="AO36" s="115">
        <f t="shared" si="18"/>
        <v>0</v>
      </c>
      <c r="AP36" s="115">
        <f t="shared" si="19"/>
        <v>0</v>
      </c>
      <c r="AQ36" s="115">
        <f t="shared" si="20"/>
        <v>6</v>
      </c>
      <c r="AR36" s="115">
        <f t="shared" si="21"/>
        <v>6</v>
      </c>
      <c r="AS36" s="115">
        <f t="shared" si="22"/>
        <v>17</v>
      </c>
      <c r="AT36" s="115">
        <f t="shared" si="23"/>
        <v>0</v>
      </c>
      <c r="AU36" s="115">
        <f t="shared" si="24"/>
        <v>18</v>
      </c>
      <c r="AV36" s="115">
        <f t="shared" si="25"/>
        <v>0</v>
      </c>
      <c r="AW36" s="115">
        <f t="shared" si="26"/>
        <v>0</v>
      </c>
      <c r="AX36" s="115">
        <f t="shared" ref="AX36:AY36" si="54">IF(S36=1,2,0)</f>
        <v>0</v>
      </c>
      <c r="AY36" s="115">
        <f t="shared" si="54"/>
        <v>2</v>
      </c>
      <c r="AZ36" s="115">
        <f t="shared" si="28"/>
        <v>10</v>
      </c>
      <c r="BA36" s="115">
        <f t="shared" si="29"/>
        <v>0</v>
      </c>
      <c r="BB36" s="115">
        <f t="shared" si="30"/>
        <v>10</v>
      </c>
      <c r="BC36" s="115">
        <f t="shared" si="31"/>
        <v>8</v>
      </c>
      <c r="BD36" s="115">
        <f t="shared" si="32"/>
        <v>0</v>
      </c>
      <c r="BE36" s="115">
        <f t="shared" si="33"/>
        <v>0</v>
      </c>
      <c r="BF36" s="115">
        <f t="shared" si="34"/>
        <v>0</v>
      </c>
      <c r="BG36" s="115">
        <f t="shared" si="35"/>
        <v>15</v>
      </c>
      <c r="BH36" s="115">
        <f t="shared" si="36"/>
        <v>0</v>
      </c>
      <c r="BI36" s="115">
        <f t="shared" si="37"/>
        <v>0</v>
      </c>
      <c r="BJ36" s="115"/>
      <c r="BK36" s="115">
        <f t="shared" si="38"/>
        <v>1</v>
      </c>
      <c r="BL36" s="109"/>
    </row>
    <row r="37" spans="1:64" ht="15" customHeight="1">
      <c r="A37" s="110" t="s">
        <v>1424</v>
      </c>
      <c r="B37" s="114"/>
      <c r="C37" s="111">
        <v>1</v>
      </c>
      <c r="D37" s="111">
        <v>1</v>
      </c>
      <c r="E37" s="111">
        <v>1</v>
      </c>
      <c r="F37" s="111"/>
      <c r="G37" s="111">
        <v>1</v>
      </c>
      <c r="H37" s="111"/>
      <c r="I37" s="111"/>
      <c r="J37" s="111">
        <v>1</v>
      </c>
      <c r="K37" s="111"/>
      <c r="L37" s="111"/>
      <c r="M37" s="111"/>
      <c r="N37" s="111">
        <v>1</v>
      </c>
      <c r="O37" s="111"/>
      <c r="P37" s="111">
        <v>1</v>
      </c>
      <c r="Q37" s="111"/>
      <c r="R37" s="111"/>
      <c r="S37" s="111"/>
      <c r="T37" s="111"/>
      <c r="U37" s="111">
        <v>1</v>
      </c>
      <c r="V37" s="111"/>
      <c r="W37" s="111"/>
      <c r="X37" s="111"/>
      <c r="Y37" s="111">
        <v>1</v>
      </c>
      <c r="Z37" s="111"/>
      <c r="AA37" s="111"/>
      <c r="AB37" s="111"/>
      <c r="AC37" s="111"/>
      <c r="AD37" s="111"/>
      <c r="AE37" s="111"/>
      <c r="AF37" s="111"/>
      <c r="AG37" s="111">
        <v>1</v>
      </c>
      <c r="AH37" s="111"/>
      <c r="AI37" s="111"/>
      <c r="AJ37" s="111"/>
      <c r="AK37" s="111">
        <v>10</v>
      </c>
      <c r="AL37" s="304" t="s">
        <v>1425</v>
      </c>
      <c r="AM37" s="112">
        <f t="shared" si="16"/>
        <v>90</v>
      </c>
      <c r="AN37" s="112">
        <f t="shared" si="17"/>
        <v>98</v>
      </c>
      <c r="AO37" s="114">
        <f t="shared" si="18"/>
        <v>9</v>
      </c>
      <c r="AP37" s="114">
        <f t="shared" si="19"/>
        <v>13</v>
      </c>
      <c r="AQ37" s="114">
        <f t="shared" si="20"/>
        <v>6</v>
      </c>
      <c r="AR37" s="114">
        <f t="shared" si="21"/>
        <v>6</v>
      </c>
      <c r="AS37" s="114">
        <f t="shared" si="22"/>
        <v>17</v>
      </c>
      <c r="AT37" s="114">
        <f t="shared" si="23"/>
        <v>2</v>
      </c>
      <c r="AU37" s="114">
        <f t="shared" si="24"/>
        <v>18</v>
      </c>
      <c r="AV37" s="114">
        <f t="shared" si="25"/>
        <v>0</v>
      </c>
      <c r="AW37" s="114">
        <f t="shared" si="26"/>
        <v>0</v>
      </c>
      <c r="AX37" s="114">
        <f t="shared" ref="AX37:AY37" si="55">IF(S37=1,2,0)</f>
        <v>0</v>
      </c>
      <c r="AY37" s="114">
        <f t="shared" si="55"/>
        <v>0</v>
      </c>
      <c r="AZ37" s="114">
        <f t="shared" si="28"/>
        <v>10</v>
      </c>
      <c r="BA37" s="114">
        <f t="shared" si="29"/>
        <v>0</v>
      </c>
      <c r="BB37" s="114">
        <f t="shared" si="30"/>
        <v>10</v>
      </c>
      <c r="BC37" s="114">
        <f t="shared" si="31"/>
        <v>0</v>
      </c>
      <c r="BD37" s="114">
        <f t="shared" si="32"/>
        <v>0</v>
      </c>
      <c r="BE37" s="114">
        <f t="shared" si="33"/>
        <v>0</v>
      </c>
      <c r="BF37" s="114">
        <f t="shared" si="34"/>
        <v>0</v>
      </c>
      <c r="BG37" s="114">
        <f t="shared" si="35"/>
        <v>15</v>
      </c>
      <c r="BH37" s="114">
        <f t="shared" si="36"/>
        <v>0</v>
      </c>
      <c r="BI37" s="114">
        <f t="shared" si="37"/>
        <v>0</v>
      </c>
      <c r="BJ37" s="114"/>
      <c r="BK37" s="114">
        <f t="shared" si="38"/>
        <v>0</v>
      </c>
      <c r="BL37" s="113"/>
    </row>
    <row r="38" spans="1:64" ht="15" customHeight="1">
      <c r="A38" s="106" t="s">
        <v>1426</v>
      </c>
      <c r="B38" s="115"/>
      <c r="C38" s="107"/>
      <c r="D38" s="107"/>
      <c r="E38" s="107">
        <v>1</v>
      </c>
      <c r="F38" s="107"/>
      <c r="G38" s="107">
        <v>1</v>
      </c>
      <c r="H38" s="107"/>
      <c r="I38" s="107"/>
      <c r="J38" s="107">
        <v>1</v>
      </c>
      <c r="K38" s="107"/>
      <c r="L38" s="107"/>
      <c r="M38" s="107"/>
      <c r="N38" s="107"/>
      <c r="O38" s="107"/>
      <c r="P38" s="107">
        <v>1</v>
      </c>
      <c r="Q38" s="107"/>
      <c r="R38" s="107"/>
      <c r="S38" s="107"/>
      <c r="T38" s="107">
        <v>1</v>
      </c>
      <c r="U38" s="107">
        <v>1</v>
      </c>
      <c r="V38" s="107"/>
      <c r="W38" s="107"/>
      <c r="X38" s="107"/>
      <c r="Y38" s="107">
        <v>1</v>
      </c>
      <c r="Z38" s="107"/>
      <c r="AA38" s="107"/>
      <c r="AB38" s="107"/>
      <c r="AC38" s="107"/>
      <c r="AD38" s="107"/>
      <c r="AE38" s="107"/>
      <c r="AF38" s="107">
        <v>1</v>
      </c>
      <c r="AG38" s="107">
        <v>1</v>
      </c>
      <c r="AH38" s="107"/>
      <c r="AI38" s="107"/>
      <c r="AJ38" s="107"/>
      <c r="AK38" s="107">
        <v>9</v>
      </c>
      <c r="AL38" s="303" t="s">
        <v>1427</v>
      </c>
      <c r="AM38" s="108">
        <f t="shared" si="16"/>
        <v>78</v>
      </c>
      <c r="AN38" s="108">
        <f t="shared" si="17"/>
        <v>84</v>
      </c>
      <c r="AO38" s="115">
        <f t="shared" si="18"/>
        <v>0</v>
      </c>
      <c r="AP38" s="115">
        <f t="shared" si="19"/>
        <v>0</v>
      </c>
      <c r="AQ38" s="115">
        <f t="shared" si="20"/>
        <v>6</v>
      </c>
      <c r="AR38" s="115">
        <f t="shared" si="21"/>
        <v>6</v>
      </c>
      <c r="AS38" s="115">
        <f t="shared" si="22"/>
        <v>17</v>
      </c>
      <c r="AT38" s="115">
        <f t="shared" si="23"/>
        <v>0</v>
      </c>
      <c r="AU38" s="115">
        <f t="shared" si="24"/>
        <v>18</v>
      </c>
      <c r="AV38" s="115">
        <f t="shared" si="25"/>
        <v>0</v>
      </c>
      <c r="AW38" s="115">
        <f t="shared" si="26"/>
        <v>0</v>
      </c>
      <c r="AX38" s="115">
        <f t="shared" ref="AX38:AY38" si="56">IF(S38=1,2,0)</f>
        <v>0</v>
      </c>
      <c r="AY38" s="115">
        <f t="shared" si="56"/>
        <v>2</v>
      </c>
      <c r="AZ38" s="115">
        <f t="shared" si="28"/>
        <v>10</v>
      </c>
      <c r="BA38" s="115">
        <f t="shared" si="29"/>
        <v>0</v>
      </c>
      <c r="BB38" s="115">
        <f t="shared" si="30"/>
        <v>10</v>
      </c>
      <c r="BC38" s="115">
        <f t="shared" si="31"/>
        <v>0</v>
      </c>
      <c r="BD38" s="115">
        <f t="shared" si="32"/>
        <v>0</v>
      </c>
      <c r="BE38" s="115">
        <f t="shared" si="33"/>
        <v>0</v>
      </c>
      <c r="BF38" s="115">
        <f t="shared" si="34"/>
        <v>1</v>
      </c>
      <c r="BG38" s="115">
        <f t="shared" si="35"/>
        <v>15</v>
      </c>
      <c r="BH38" s="115">
        <f t="shared" si="36"/>
        <v>0</v>
      </c>
      <c r="BI38" s="115">
        <f t="shared" si="37"/>
        <v>0</v>
      </c>
      <c r="BJ38" s="115"/>
      <c r="BK38" s="115">
        <f t="shared" si="38"/>
        <v>1</v>
      </c>
      <c r="BL38" s="109"/>
    </row>
    <row r="39" spans="1:64" ht="15" customHeight="1">
      <c r="A39" s="110" t="s">
        <v>542</v>
      </c>
      <c r="B39" s="114"/>
      <c r="C39" s="111"/>
      <c r="D39" s="111"/>
      <c r="E39" s="111"/>
      <c r="F39" s="111"/>
      <c r="G39" s="111"/>
      <c r="H39" s="111"/>
      <c r="I39" s="111"/>
      <c r="J39" s="111">
        <v>1</v>
      </c>
      <c r="K39" s="111"/>
      <c r="L39" s="111"/>
      <c r="M39" s="111"/>
      <c r="N39" s="111"/>
      <c r="O39" s="111"/>
      <c r="P39" s="111">
        <v>1</v>
      </c>
      <c r="Q39" s="111"/>
      <c r="R39" s="111"/>
      <c r="S39" s="111"/>
      <c r="T39" s="111"/>
      <c r="U39" s="111">
        <v>1</v>
      </c>
      <c r="V39" s="111"/>
      <c r="W39" s="111"/>
      <c r="X39" s="111"/>
      <c r="Y39" s="111"/>
      <c r="Z39" s="111"/>
      <c r="AA39" s="111"/>
      <c r="AB39" s="111"/>
      <c r="AC39" s="111"/>
      <c r="AD39" s="111"/>
      <c r="AE39" s="111"/>
      <c r="AF39" s="111"/>
      <c r="AG39" s="111">
        <v>1</v>
      </c>
      <c r="AH39" s="111"/>
      <c r="AI39" s="111"/>
      <c r="AJ39" s="111"/>
      <c r="AK39" s="111">
        <v>4</v>
      </c>
      <c r="AL39" s="304" t="s">
        <v>1417</v>
      </c>
      <c r="AM39" s="112">
        <f t="shared" si="16"/>
        <v>-2</v>
      </c>
      <c r="AN39" s="112">
        <f t="shared" si="17"/>
        <v>60</v>
      </c>
      <c r="AO39" s="114">
        <f t="shared" si="18"/>
        <v>0</v>
      </c>
      <c r="AP39" s="114">
        <f t="shared" si="19"/>
        <v>0</v>
      </c>
      <c r="AQ39" s="114">
        <f t="shared" si="20"/>
        <v>0</v>
      </c>
      <c r="AR39" s="114">
        <f t="shared" si="21"/>
        <v>0</v>
      </c>
      <c r="AS39" s="114">
        <f t="shared" si="22"/>
        <v>17</v>
      </c>
      <c r="AT39" s="114">
        <f t="shared" si="23"/>
        <v>0</v>
      </c>
      <c r="AU39" s="114">
        <f t="shared" si="24"/>
        <v>18</v>
      </c>
      <c r="AV39" s="114">
        <f t="shared" si="25"/>
        <v>0</v>
      </c>
      <c r="AW39" s="114">
        <f t="shared" si="26"/>
        <v>0</v>
      </c>
      <c r="AX39" s="114">
        <f t="shared" ref="AX39:AY39" si="57">IF(S39=1,2,0)</f>
        <v>0</v>
      </c>
      <c r="AY39" s="114">
        <f t="shared" si="57"/>
        <v>0</v>
      </c>
      <c r="AZ39" s="114">
        <f t="shared" si="28"/>
        <v>10</v>
      </c>
      <c r="BA39" s="114">
        <f t="shared" si="29"/>
        <v>0</v>
      </c>
      <c r="BB39" s="114">
        <f t="shared" si="30"/>
        <v>0</v>
      </c>
      <c r="BC39" s="114">
        <f t="shared" si="31"/>
        <v>0</v>
      </c>
      <c r="BD39" s="114">
        <f t="shared" si="32"/>
        <v>0</v>
      </c>
      <c r="BE39" s="114">
        <f t="shared" si="33"/>
        <v>0</v>
      </c>
      <c r="BF39" s="114">
        <f t="shared" si="34"/>
        <v>0</v>
      </c>
      <c r="BG39" s="114">
        <f t="shared" si="35"/>
        <v>15</v>
      </c>
      <c r="BH39" s="114">
        <f t="shared" si="36"/>
        <v>0</v>
      </c>
      <c r="BI39" s="114">
        <f t="shared" si="37"/>
        <v>0</v>
      </c>
      <c r="BJ39" s="114"/>
      <c r="BK39" s="114">
        <f t="shared" si="38"/>
        <v>36</v>
      </c>
      <c r="BL39" s="113"/>
    </row>
    <row r="40" spans="1:64" ht="15" customHeight="1">
      <c r="A40" s="106" t="s">
        <v>1428</v>
      </c>
      <c r="B40" s="115"/>
      <c r="C40" s="107">
        <v>1</v>
      </c>
      <c r="D40" s="107"/>
      <c r="E40" s="107"/>
      <c r="F40" s="107"/>
      <c r="G40" s="107"/>
      <c r="H40" s="107"/>
      <c r="I40" s="107"/>
      <c r="J40" s="107">
        <v>1</v>
      </c>
      <c r="K40" s="107"/>
      <c r="L40" s="107"/>
      <c r="M40" s="107"/>
      <c r="N40" s="107">
        <v>1</v>
      </c>
      <c r="O40" s="107"/>
      <c r="P40" s="107">
        <v>1</v>
      </c>
      <c r="Q40" s="107"/>
      <c r="R40" s="107"/>
      <c r="S40" s="107">
        <v>1</v>
      </c>
      <c r="T40" s="107"/>
      <c r="U40" s="107">
        <v>1</v>
      </c>
      <c r="V40" s="107"/>
      <c r="W40" s="107"/>
      <c r="X40" s="107"/>
      <c r="Y40" s="107">
        <v>1</v>
      </c>
      <c r="Z40" s="107">
        <v>1</v>
      </c>
      <c r="AA40" s="107"/>
      <c r="AB40" s="107">
        <v>1</v>
      </c>
      <c r="AC40" s="107"/>
      <c r="AD40" s="107"/>
      <c r="AE40" s="107"/>
      <c r="AF40" s="107"/>
      <c r="AG40" s="107">
        <v>1</v>
      </c>
      <c r="AH40" s="107"/>
      <c r="AI40" s="107"/>
      <c r="AJ40" s="107"/>
      <c r="AK40" s="107">
        <v>10</v>
      </c>
      <c r="AL40" s="303" t="s">
        <v>1429</v>
      </c>
      <c r="AM40" s="108">
        <f t="shared" si="16"/>
        <v>71</v>
      </c>
      <c r="AN40" s="108">
        <f t="shared" si="17"/>
        <v>92</v>
      </c>
      <c r="AO40" s="115">
        <f t="shared" si="18"/>
        <v>9</v>
      </c>
      <c r="AP40" s="115">
        <f t="shared" si="19"/>
        <v>0</v>
      </c>
      <c r="AQ40" s="115">
        <f t="shared" si="20"/>
        <v>0</v>
      </c>
      <c r="AR40" s="115">
        <f t="shared" si="21"/>
        <v>0</v>
      </c>
      <c r="AS40" s="115">
        <f t="shared" si="22"/>
        <v>17</v>
      </c>
      <c r="AT40" s="115">
        <f t="shared" si="23"/>
        <v>2</v>
      </c>
      <c r="AU40" s="115">
        <f t="shared" si="24"/>
        <v>18</v>
      </c>
      <c r="AV40" s="115">
        <f t="shared" si="25"/>
        <v>0</v>
      </c>
      <c r="AW40" s="115">
        <f t="shared" si="26"/>
        <v>0</v>
      </c>
      <c r="AX40" s="115">
        <f t="shared" ref="AX40:AY40" si="58">IF(S40=1,2,0)</f>
        <v>2</v>
      </c>
      <c r="AY40" s="115">
        <f t="shared" si="58"/>
        <v>0</v>
      </c>
      <c r="AZ40" s="115">
        <f t="shared" si="28"/>
        <v>10</v>
      </c>
      <c r="BA40" s="115">
        <f t="shared" si="29"/>
        <v>0</v>
      </c>
      <c r="BB40" s="115">
        <f t="shared" si="30"/>
        <v>10</v>
      </c>
      <c r="BC40" s="115">
        <f t="shared" si="31"/>
        <v>8</v>
      </c>
      <c r="BD40" s="115">
        <f t="shared" si="32"/>
        <v>5</v>
      </c>
      <c r="BE40" s="115">
        <f t="shared" si="33"/>
        <v>0</v>
      </c>
      <c r="BF40" s="115">
        <f t="shared" si="34"/>
        <v>0</v>
      </c>
      <c r="BG40" s="115">
        <f t="shared" si="35"/>
        <v>15</v>
      </c>
      <c r="BH40" s="115">
        <f t="shared" si="36"/>
        <v>0</v>
      </c>
      <c r="BI40" s="115">
        <f t="shared" si="37"/>
        <v>0</v>
      </c>
      <c r="BJ40" s="115"/>
      <c r="BK40" s="115">
        <f t="shared" si="38"/>
        <v>0</v>
      </c>
      <c r="BL40" s="109"/>
    </row>
    <row r="41" spans="1:64" ht="15" customHeight="1">
      <c r="A41" s="110" t="s">
        <v>137</v>
      </c>
      <c r="B41" s="114"/>
      <c r="C41" s="111">
        <v>1</v>
      </c>
      <c r="D41" s="111">
        <v>1</v>
      </c>
      <c r="E41" s="111">
        <v>1</v>
      </c>
      <c r="F41" s="111"/>
      <c r="G41" s="111">
        <v>1</v>
      </c>
      <c r="H41" s="111"/>
      <c r="I41" s="111"/>
      <c r="J41" s="111">
        <v>1</v>
      </c>
      <c r="K41" s="111"/>
      <c r="L41" s="111"/>
      <c r="M41" s="111"/>
      <c r="N41" s="111"/>
      <c r="O41" s="111"/>
      <c r="P41" s="111">
        <v>1</v>
      </c>
      <c r="Q41" s="111">
        <v>1</v>
      </c>
      <c r="R41" s="111"/>
      <c r="S41" s="111"/>
      <c r="T41" s="111"/>
      <c r="U41" s="111"/>
      <c r="V41" s="111"/>
      <c r="W41" s="111"/>
      <c r="X41" s="111"/>
      <c r="Y41" s="111">
        <v>1</v>
      </c>
      <c r="Z41" s="111"/>
      <c r="AA41" s="111"/>
      <c r="AB41" s="111"/>
      <c r="AC41" s="111"/>
      <c r="AD41" s="111"/>
      <c r="AE41" s="111"/>
      <c r="AF41" s="111"/>
      <c r="AG41" s="111">
        <v>1</v>
      </c>
      <c r="AH41" s="111"/>
      <c r="AI41" s="111"/>
      <c r="AJ41" s="111"/>
      <c r="AK41" s="111">
        <v>9</v>
      </c>
      <c r="AL41" s="304" t="s">
        <v>1430</v>
      </c>
      <c r="AM41" s="112">
        <f t="shared" si="16"/>
        <v>90</v>
      </c>
      <c r="AN41" s="112">
        <f t="shared" si="17"/>
        <v>94</v>
      </c>
      <c r="AO41" s="114">
        <f t="shared" si="18"/>
        <v>9</v>
      </c>
      <c r="AP41" s="114">
        <f t="shared" si="19"/>
        <v>13</v>
      </c>
      <c r="AQ41" s="114">
        <f t="shared" si="20"/>
        <v>6</v>
      </c>
      <c r="AR41" s="114">
        <f t="shared" si="21"/>
        <v>6</v>
      </c>
      <c r="AS41" s="114">
        <f t="shared" si="22"/>
        <v>17</v>
      </c>
      <c r="AT41" s="114">
        <f t="shared" si="23"/>
        <v>0</v>
      </c>
      <c r="AU41" s="114">
        <f t="shared" si="24"/>
        <v>18</v>
      </c>
      <c r="AV41" s="114">
        <f t="shared" si="25"/>
        <v>4</v>
      </c>
      <c r="AW41" s="114">
        <f t="shared" si="26"/>
        <v>0</v>
      </c>
      <c r="AX41" s="114">
        <f t="shared" ref="AX41:AY41" si="59">IF(S41=1,2,0)</f>
        <v>0</v>
      </c>
      <c r="AY41" s="114">
        <f t="shared" si="59"/>
        <v>0</v>
      </c>
      <c r="AZ41" s="114">
        <f t="shared" si="28"/>
        <v>0</v>
      </c>
      <c r="BA41" s="114">
        <f t="shared" si="29"/>
        <v>0</v>
      </c>
      <c r="BB41" s="114">
        <f t="shared" si="30"/>
        <v>10</v>
      </c>
      <c r="BC41" s="114">
        <f t="shared" si="31"/>
        <v>0</v>
      </c>
      <c r="BD41" s="114">
        <f t="shared" si="32"/>
        <v>0</v>
      </c>
      <c r="BE41" s="114">
        <f t="shared" si="33"/>
        <v>0</v>
      </c>
      <c r="BF41" s="114">
        <f t="shared" si="34"/>
        <v>0</v>
      </c>
      <c r="BG41" s="114">
        <f t="shared" si="35"/>
        <v>15</v>
      </c>
      <c r="BH41" s="114">
        <f t="shared" si="36"/>
        <v>0</v>
      </c>
      <c r="BI41" s="114">
        <f t="shared" si="37"/>
        <v>0</v>
      </c>
      <c r="BJ41" s="114"/>
      <c r="BK41" s="114">
        <f t="shared" si="38"/>
        <v>1</v>
      </c>
      <c r="BL41" s="113"/>
    </row>
    <row r="42" spans="1:64" ht="15" customHeight="1">
      <c r="A42" s="106" t="s">
        <v>140</v>
      </c>
      <c r="B42" s="115"/>
      <c r="C42" s="107">
        <v>1</v>
      </c>
      <c r="D42" s="107">
        <v>1</v>
      </c>
      <c r="E42" s="107"/>
      <c r="F42" s="107"/>
      <c r="G42" s="107"/>
      <c r="H42" s="107"/>
      <c r="I42" s="107"/>
      <c r="J42" s="107">
        <v>1</v>
      </c>
      <c r="K42" s="107"/>
      <c r="L42" s="107"/>
      <c r="M42" s="107"/>
      <c r="N42" s="107"/>
      <c r="O42" s="107"/>
      <c r="P42" s="107">
        <v>1</v>
      </c>
      <c r="Q42" s="107">
        <v>1</v>
      </c>
      <c r="R42" s="107"/>
      <c r="S42" s="107"/>
      <c r="T42" s="107"/>
      <c r="U42" s="107">
        <v>1</v>
      </c>
      <c r="V42" s="107"/>
      <c r="W42" s="107"/>
      <c r="X42" s="107"/>
      <c r="Y42" s="107">
        <v>1</v>
      </c>
      <c r="Z42" s="107">
        <v>1</v>
      </c>
      <c r="AA42" s="107"/>
      <c r="AB42" s="107">
        <v>1</v>
      </c>
      <c r="AC42" s="107"/>
      <c r="AD42" s="107"/>
      <c r="AE42" s="107"/>
      <c r="AF42" s="107"/>
      <c r="AG42" s="107"/>
      <c r="AH42" s="107"/>
      <c r="AI42" s="107"/>
      <c r="AJ42" s="107"/>
      <c r="AK42" s="107">
        <v>9</v>
      </c>
      <c r="AL42" s="303" t="s">
        <v>1431</v>
      </c>
      <c r="AM42" s="108">
        <f t="shared" si="16"/>
        <v>65</v>
      </c>
      <c r="AN42" s="108">
        <f t="shared" si="17"/>
        <v>90</v>
      </c>
      <c r="AO42" s="115">
        <f t="shared" si="18"/>
        <v>9</v>
      </c>
      <c r="AP42" s="115">
        <f t="shared" si="19"/>
        <v>13</v>
      </c>
      <c r="AQ42" s="115">
        <f t="shared" si="20"/>
        <v>0</v>
      </c>
      <c r="AR42" s="115">
        <f t="shared" si="21"/>
        <v>0</v>
      </c>
      <c r="AS42" s="115">
        <f t="shared" si="22"/>
        <v>17</v>
      </c>
      <c r="AT42" s="115">
        <f t="shared" si="23"/>
        <v>0</v>
      </c>
      <c r="AU42" s="115">
        <f t="shared" si="24"/>
        <v>18</v>
      </c>
      <c r="AV42" s="115">
        <f t="shared" si="25"/>
        <v>4</v>
      </c>
      <c r="AW42" s="115">
        <f t="shared" si="26"/>
        <v>0</v>
      </c>
      <c r="AX42" s="115">
        <f t="shared" ref="AX42:AY42" si="60">IF(S42=1,2,0)</f>
        <v>0</v>
      </c>
      <c r="AY42" s="115">
        <f t="shared" si="60"/>
        <v>0</v>
      </c>
      <c r="AZ42" s="115">
        <f t="shared" si="28"/>
        <v>10</v>
      </c>
      <c r="BA42" s="115">
        <f t="shared" si="29"/>
        <v>0</v>
      </c>
      <c r="BB42" s="115">
        <f t="shared" si="30"/>
        <v>10</v>
      </c>
      <c r="BC42" s="115">
        <f t="shared" si="31"/>
        <v>8</v>
      </c>
      <c r="BD42" s="115">
        <f t="shared" si="32"/>
        <v>5</v>
      </c>
      <c r="BE42" s="115">
        <f t="shared" si="33"/>
        <v>0</v>
      </c>
      <c r="BF42" s="115">
        <f t="shared" si="34"/>
        <v>0</v>
      </c>
      <c r="BG42" s="115">
        <f t="shared" si="35"/>
        <v>0</v>
      </c>
      <c r="BH42" s="115">
        <f t="shared" si="36"/>
        <v>0</v>
      </c>
      <c r="BI42" s="115">
        <f t="shared" si="37"/>
        <v>0</v>
      </c>
      <c r="BJ42" s="115"/>
      <c r="BK42" s="115">
        <f t="shared" si="38"/>
        <v>1</v>
      </c>
      <c r="BL42" s="109"/>
    </row>
    <row r="43" spans="1:64" ht="15" customHeight="1">
      <c r="A43" s="110" t="s">
        <v>1432</v>
      </c>
      <c r="B43" s="114"/>
      <c r="C43" s="111">
        <v>1</v>
      </c>
      <c r="D43" s="111">
        <v>1</v>
      </c>
      <c r="E43" s="111"/>
      <c r="F43" s="111"/>
      <c r="G43" s="111"/>
      <c r="H43" s="111"/>
      <c r="I43" s="111"/>
      <c r="J43" s="111">
        <v>1</v>
      </c>
      <c r="K43" s="111"/>
      <c r="L43" s="111"/>
      <c r="M43" s="111"/>
      <c r="N43" s="111">
        <v>1</v>
      </c>
      <c r="O43" s="111"/>
      <c r="P43" s="111">
        <v>1</v>
      </c>
      <c r="Q43" s="111"/>
      <c r="R43" s="111"/>
      <c r="S43" s="111"/>
      <c r="T43" s="111"/>
      <c r="U43" s="111"/>
      <c r="V43" s="111">
        <v>1</v>
      </c>
      <c r="W43" s="111"/>
      <c r="X43" s="111"/>
      <c r="Y43" s="111">
        <v>1</v>
      </c>
      <c r="Z43" s="111">
        <v>1</v>
      </c>
      <c r="AA43" s="111"/>
      <c r="AB43" s="111">
        <v>1</v>
      </c>
      <c r="AC43" s="111"/>
      <c r="AD43" s="111"/>
      <c r="AE43" s="111"/>
      <c r="AF43" s="111"/>
      <c r="AG43" s="111">
        <v>1</v>
      </c>
      <c r="AH43" s="111"/>
      <c r="AI43" s="111"/>
      <c r="AJ43" s="111"/>
      <c r="AK43" s="111">
        <v>10</v>
      </c>
      <c r="AL43" s="304" t="s">
        <v>1433</v>
      </c>
      <c r="AM43" s="112">
        <f t="shared" si="16"/>
        <v>80</v>
      </c>
      <c r="AN43" s="112">
        <f t="shared" si="17"/>
        <v>95</v>
      </c>
      <c r="AO43" s="114">
        <f t="shared" si="18"/>
        <v>9</v>
      </c>
      <c r="AP43" s="114">
        <f t="shared" si="19"/>
        <v>13</v>
      </c>
      <c r="AQ43" s="114">
        <f t="shared" si="20"/>
        <v>0</v>
      </c>
      <c r="AR43" s="114">
        <f t="shared" si="21"/>
        <v>0</v>
      </c>
      <c r="AS43" s="114">
        <f t="shared" si="22"/>
        <v>17</v>
      </c>
      <c r="AT43" s="114">
        <f t="shared" si="23"/>
        <v>2</v>
      </c>
      <c r="AU43" s="114">
        <f t="shared" si="24"/>
        <v>18</v>
      </c>
      <c r="AV43" s="114">
        <f t="shared" si="25"/>
        <v>0</v>
      </c>
      <c r="AW43" s="114">
        <f t="shared" si="26"/>
        <v>0</v>
      </c>
      <c r="AX43" s="114">
        <f t="shared" ref="AX43:AY43" si="61">IF(S43=1,2,0)</f>
        <v>0</v>
      </c>
      <c r="AY43" s="114">
        <f t="shared" si="61"/>
        <v>0</v>
      </c>
      <c r="AZ43" s="114">
        <f t="shared" si="28"/>
        <v>0</v>
      </c>
      <c r="BA43" s="114">
        <f t="shared" si="29"/>
        <v>3</v>
      </c>
      <c r="BB43" s="114">
        <f t="shared" si="30"/>
        <v>10</v>
      </c>
      <c r="BC43" s="114">
        <f t="shared" si="31"/>
        <v>8</v>
      </c>
      <c r="BD43" s="114">
        <f t="shared" si="32"/>
        <v>5</v>
      </c>
      <c r="BE43" s="114">
        <f t="shared" si="33"/>
        <v>0</v>
      </c>
      <c r="BF43" s="114">
        <f t="shared" si="34"/>
        <v>0</v>
      </c>
      <c r="BG43" s="114">
        <f t="shared" si="35"/>
        <v>15</v>
      </c>
      <c r="BH43" s="114">
        <f t="shared" si="36"/>
        <v>0</v>
      </c>
      <c r="BI43" s="114">
        <f t="shared" si="37"/>
        <v>0</v>
      </c>
      <c r="BJ43" s="114"/>
      <c r="BK43" s="114">
        <f t="shared" si="38"/>
        <v>0</v>
      </c>
      <c r="BL43" s="113"/>
    </row>
    <row r="44" spans="1:64" ht="15" customHeight="1">
      <c r="A44" s="106" t="s">
        <v>778</v>
      </c>
      <c r="B44" s="115"/>
      <c r="C44" s="107"/>
      <c r="D44" s="107"/>
      <c r="E44" s="107"/>
      <c r="F44" s="107"/>
      <c r="G44" s="107"/>
      <c r="H44" s="107"/>
      <c r="I44" s="107"/>
      <c r="J44" s="107">
        <v>1</v>
      </c>
      <c r="K44" s="107"/>
      <c r="L44" s="107"/>
      <c r="M44" s="107"/>
      <c r="N44" s="107"/>
      <c r="O44" s="107"/>
      <c r="P44" s="107">
        <v>1</v>
      </c>
      <c r="Q44" s="107"/>
      <c r="R44" s="107"/>
      <c r="S44" s="107"/>
      <c r="T44" s="107"/>
      <c r="U44" s="107">
        <v>1</v>
      </c>
      <c r="V44" s="107"/>
      <c r="W44" s="107"/>
      <c r="X44" s="107"/>
      <c r="Y44" s="107"/>
      <c r="Z44" s="107"/>
      <c r="AA44" s="107"/>
      <c r="AB44" s="107"/>
      <c r="AC44" s="107"/>
      <c r="AD44" s="107"/>
      <c r="AE44" s="107"/>
      <c r="AF44" s="107"/>
      <c r="AG44" s="107">
        <v>1</v>
      </c>
      <c r="AH44" s="107"/>
      <c r="AI44" s="107"/>
      <c r="AJ44" s="107"/>
      <c r="AK44" s="107">
        <v>4</v>
      </c>
      <c r="AL44" s="303" t="s">
        <v>1434</v>
      </c>
      <c r="AM44" s="108">
        <f t="shared" si="16"/>
        <v>-2</v>
      </c>
      <c r="AN44" s="108">
        <f t="shared" si="17"/>
        <v>60</v>
      </c>
      <c r="AO44" s="115">
        <f t="shared" si="18"/>
        <v>0</v>
      </c>
      <c r="AP44" s="115">
        <f t="shared" si="19"/>
        <v>0</v>
      </c>
      <c r="AQ44" s="115">
        <f t="shared" si="20"/>
        <v>0</v>
      </c>
      <c r="AR44" s="115">
        <f t="shared" si="21"/>
        <v>0</v>
      </c>
      <c r="AS44" s="115">
        <f t="shared" si="22"/>
        <v>17</v>
      </c>
      <c r="AT44" s="115">
        <f t="shared" si="23"/>
        <v>0</v>
      </c>
      <c r="AU44" s="115">
        <f t="shared" si="24"/>
        <v>18</v>
      </c>
      <c r="AV44" s="115">
        <f t="shared" si="25"/>
        <v>0</v>
      </c>
      <c r="AW44" s="115">
        <f t="shared" si="26"/>
        <v>0</v>
      </c>
      <c r="AX44" s="115">
        <f t="shared" ref="AX44:AY44" si="62">IF(S44=1,2,0)</f>
        <v>0</v>
      </c>
      <c r="AY44" s="115">
        <f t="shared" si="62"/>
        <v>0</v>
      </c>
      <c r="AZ44" s="115">
        <f t="shared" si="28"/>
        <v>10</v>
      </c>
      <c r="BA44" s="115">
        <f t="shared" si="29"/>
        <v>0</v>
      </c>
      <c r="BB44" s="115">
        <f t="shared" si="30"/>
        <v>0</v>
      </c>
      <c r="BC44" s="115">
        <f t="shared" si="31"/>
        <v>0</v>
      </c>
      <c r="BD44" s="115">
        <f t="shared" si="32"/>
        <v>0</v>
      </c>
      <c r="BE44" s="115">
        <f t="shared" si="33"/>
        <v>0</v>
      </c>
      <c r="BF44" s="115">
        <f t="shared" si="34"/>
        <v>0</v>
      </c>
      <c r="BG44" s="115">
        <f t="shared" si="35"/>
        <v>15</v>
      </c>
      <c r="BH44" s="115">
        <f t="shared" si="36"/>
        <v>0</v>
      </c>
      <c r="BI44" s="115">
        <f t="shared" si="37"/>
        <v>0</v>
      </c>
      <c r="BJ44" s="115"/>
      <c r="BK44" s="115">
        <f t="shared" si="38"/>
        <v>36</v>
      </c>
      <c r="BL44" s="109"/>
    </row>
    <row r="45" spans="1:64" ht="15" customHeight="1">
      <c r="A45" s="110" t="s">
        <v>142</v>
      </c>
      <c r="B45" s="114"/>
      <c r="C45" s="111">
        <v>1</v>
      </c>
      <c r="D45" s="111">
        <v>1</v>
      </c>
      <c r="E45" s="111"/>
      <c r="F45" s="111"/>
      <c r="G45" s="111"/>
      <c r="H45" s="111"/>
      <c r="I45" s="111"/>
      <c r="J45" s="111">
        <v>1</v>
      </c>
      <c r="K45" s="111"/>
      <c r="L45" s="111"/>
      <c r="M45" s="111"/>
      <c r="N45" s="111"/>
      <c r="O45" s="111"/>
      <c r="P45" s="111">
        <v>1</v>
      </c>
      <c r="Q45" s="111">
        <v>1</v>
      </c>
      <c r="R45" s="111"/>
      <c r="S45" s="111"/>
      <c r="T45" s="111"/>
      <c r="U45" s="111">
        <v>1</v>
      </c>
      <c r="V45" s="111"/>
      <c r="W45" s="111"/>
      <c r="X45" s="111"/>
      <c r="Y45" s="111">
        <v>1</v>
      </c>
      <c r="Z45" s="111">
        <v>1</v>
      </c>
      <c r="AA45" s="111"/>
      <c r="AB45" s="111">
        <v>1</v>
      </c>
      <c r="AC45" s="111"/>
      <c r="AD45" s="111"/>
      <c r="AE45" s="111"/>
      <c r="AF45" s="111"/>
      <c r="AG45" s="111">
        <v>1</v>
      </c>
      <c r="AH45" s="111"/>
      <c r="AI45" s="111"/>
      <c r="AJ45" s="111"/>
      <c r="AK45" s="111">
        <v>10</v>
      </c>
      <c r="AL45" s="304" t="s">
        <v>1435</v>
      </c>
      <c r="AM45" s="112">
        <f t="shared" si="16"/>
        <v>78</v>
      </c>
      <c r="AN45" s="112">
        <f t="shared" si="17"/>
        <v>100</v>
      </c>
      <c r="AO45" s="114">
        <f t="shared" si="18"/>
        <v>9</v>
      </c>
      <c r="AP45" s="114">
        <f t="shared" si="19"/>
        <v>13</v>
      </c>
      <c r="AQ45" s="114">
        <f t="shared" si="20"/>
        <v>0</v>
      </c>
      <c r="AR45" s="114">
        <f t="shared" si="21"/>
        <v>0</v>
      </c>
      <c r="AS45" s="114">
        <f t="shared" si="22"/>
        <v>17</v>
      </c>
      <c r="AT45" s="114">
        <f t="shared" si="23"/>
        <v>0</v>
      </c>
      <c r="AU45" s="114">
        <f t="shared" si="24"/>
        <v>18</v>
      </c>
      <c r="AV45" s="114">
        <f t="shared" si="25"/>
        <v>4</v>
      </c>
      <c r="AW45" s="114">
        <f t="shared" si="26"/>
        <v>0</v>
      </c>
      <c r="AX45" s="114">
        <f t="shared" ref="AX45:AY45" si="63">IF(S45=1,2,0)</f>
        <v>0</v>
      </c>
      <c r="AY45" s="114">
        <f t="shared" si="63"/>
        <v>0</v>
      </c>
      <c r="AZ45" s="114">
        <f t="shared" si="28"/>
        <v>10</v>
      </c>
      <c r="BA45" s="114">
        <f t="shared" si="29"/>
        <v>0</v>
      </c>
      <c r="BB45" s="114">
        <f t="shared" si="30"/>
        <v>10</v>
      </c>
      <c r="BC45" s="114">
        <f t="shared" si="31"/>
        <v>8</v>
      </c>
      <c r="BD45" s="114">
        <f t="shared" si="32"/>
        <v>5</v>
      </c>
      <c r="BE45" s="114">
        <f t="shared" si="33"/>
        <v>0</v>
      </c>
      <c r="BF45" s="114">
        <f t="shared" si="34"/>
        <v>0</v>
      </c>
      <c r="BG45" s="114">
        <f t="shared" si="35"/>
        <v>15</v>
      </c>
      <c r="BH45" s="114">
        <f t="shared" si="36"/>
        <v>0</v>
      </c>
      <c r="BI45" s="114">
        <f t="shared" si="37"/>
        <v>0</v>
      </c>
      <c r="BJ45" s="114"/>
      <c r="BK45" s="114">
        <f t="shared" si="38"/>
        <v>0</v>
      </c>
      <c r="BL45" s="113"/>
    </row>
    <row r="46" spans="1:64" ht="15" customHeight="1">
      <c r="A46" s="106" t="s">
        <v>143</v>
      </c>
      <c r="B46" s="115"/>
      <c r="C46" s="107">
        <v>1</v>
      </c>
      <c r="D46" s="107">
        <v>1</v>
      </c>
      <c r="E46" s="107"/>
      <c r="F46" s="107"/>
      <c r="G46" s="107"/>
      <c r="H46" s="107"/>
      <c r="I46" s="107"/>
      <c r="J46" s="107">
        <v>1</v>
      </c>
      <c r="K46" s="107"/>
      <c r="L46" s="107"/>
      <c r="M46" s="107"/>
      <c r="N46" s="107">
        <v>1</v>
      </c>
      <c r="O46" s="107"/>
      <c r="P46" s="107">
        <v>1</v>
      </c>
      <c r="Q46" s="107">
        <v>1</v>
      </c>
      <c r="R46" s="107">
        <v>1</v>
      </c>
      <c r="S46" s="107"/>
      <c r="T46" s="107"/>
      <c r="U46" s="107"/>
      <c r="V46" s="107"/>
      <c r="W46" s="107"/>
      <c r="X46" s="107"/>
      <c r="Y46" s="107">
        <v>1</v>
      </c>
      <c r="Z46" s="107">
        <v>1</v>
      </c>
      <c r="AA46" s="107"/>
      <c r="AB46" s="107"/>
      <c r="AC46" s="107"/>
      <c r="AD46" s="107"/>
      <c r="AE46" s="107"/>
      <c r="AF46" s="107"/>
      <c r="AG46" s="107">
        <v>1</v>
      </c>
      <c r="AH46" s="107"/>
      <c r="AI46" s="107"/>
      <c r="AJ46" s="107"/>
      <c r="AK46" s="107">
        <v>10</v>
      </c>
      <c r="AL46" s="303" t="s">
        <v>1436</v>
      </c>
      <c r="AM46" s="108">
        <f t="shared" si="16"/>
        <v>76</v>
      </c>
      <c r="AN46" s="108">
        <f t="shared" si="17"/>
        <v>94</v>
      </c>
      <c r="AO46" s="115">
        <f t="shared" si="18"/>
        <v>9</v>
      </c>
      <c r="AP46" s="115">
        <f t="shared" si="19"/>
        <v>13</v>
      </c>
      <c r="AQ46" s="115">
        <f t="shared" si="20"/>
        <v>0</v>
      </c>
      <c r="AR46" s="115">
        <f t="shared" si="21"/>
        <v>0</v>
      </c>
      <c r="AS46" s="115">
        <f t="shared" si="22"/>
        <v>17</v>
      </c>
      <c r="AT46" s="115">
        <f t="shared" si="23"/>
        <v>2</v>
      </c>
      <c r="AU46" s="115">
        <f t="shared" si="24"/>
        <v>18</v>
      </c>
      <c r="AV46" s="115">
        <f t="shared" si="25"/>
        <v>4</v>
      </c>
      <c r="AW46" s="115">
        <f t="shared" si="26"/>
        <v>1</v>
      </c>
      <c r="AX46" s="115">
        <f t="shared" ref="AX46:AY46" si="64">IF(S46=1,2,0)</f>
        <v>0</v>
      </c>
      <c r="AY46" s="115">
        <f t="shared" si="64"/>
        <v>0</v>
      </c>
      <c r="AZ46" s="115">
        <f t="shared" si="28"/>
        <v>0</v>
      </c>
      <c r="BA46" s="115">
        <f t="shared" si="29"/>
        <v>0</v>
      </c>
      <c r="BB46" s="115">
        <f t="shared" si="30"/>
        <v>10</v>
      </c>
      <c r="BC46" s="115">
        <f t="shared" si="31"/>
        <v>8</v>
      </c>
      <c r="BD46" s="115">
        <f t="shared" si="32"/>
        <v>0</v>
      </c>
      <c r="BE46" s="115">
        <f t="shared" si="33"/>
        <v>0</v>
      </c>
      <c r="BF46" s="115">
        <f t="shared" si="34"/>
        <v>0</v>
      </c>
      <c r="BG46" s="115">
        <f t="shared" si="35"/>
        <v>15</v>
      </c>
      <c r="BH46" s="115">
        <f t="shared" si="36"/>
        <v>0</v>
      </c>
      <c r="BI46" s="115">
        <f t="shared" si="37"/>
        <v>0</v>
      </c>
      <c r="BJ46" s="115"/>
      <c r="BK46" s="115">
        <f t="shared" si="38"/>
        <v>0</v>
      </c>
      <c r="BL46" s="109"/>
    </row>
    <row r="47" spans="1:64" ht="15" customHeight="1">
      <c r="A47" s="110" t="s">
        <v>144</v>
      </c>
      <c r="B47" s="114"/>
      <c r="C47" s="111"/>
      <c r="D47" s="111">
        <v>1</v>
      </c>
      <c r="E47" s="111">
        <v>1</v>
      </c>
      <c r="F47" s="111"/>
      <c r="G47" s="111">
        <v>1</v>
      </c>
      <c r="H47" s="111"/>
      <c r="I47" s="111"/>
      <c r="J47" s="111">
        <v>1</v>
      </c>
      <c r="K47" s="111"/>
      <c r="L47" s="111"/>
      <c r="M47" s="111"/>
      <c r="N47" s="111">
        <v>1</v>
      </c>
      <c r="O47" s="111"/>
      <c r="P47" s="111">
        <v>1</v>
      </c>
      <c r="Q47" s="111"/>
      <c r="R47" s="111"/>
      <c r="S47" s="111"/>
      <c r="T47" s="111"/>
      <c r="U47" s="111">
        <v>1</v>
      </c>
      <c r="V47" s="111"/>
      <c r="W47" s="111"/>
      <c r="X47" s="111"/>
      <c r="Y47" s="111">
        <v>1</v>
      </c>
      <c r="Z47" s="111"/>
      <c r="AA47" s="111"/>
      <c r="AB47" s="111"/>
      <c r="AC47" s="111"/>
      <c r="AD47" s="111"/>
      <c r="AE47" s="111"/>
      <c r="AF47" s="111"/>
      <c r="AG47" s="111">
        <v>1</v>
      </c>
      <c r="AH47" s="111"/>
      <c r="AI47" s="111">
        <v>1</v>
      </c>
      <c r="AJ47" s="111"/>
      <c r="AK47" s="111">
        <f>SUM(B47:AJ47)</f>
        <v>10</v>
      </c>
      <c r="AL47" s="304" t="s">
        <v>1437</v>
      </c>
      <c r="AM47" s="112">
        <f t="shared" si="16"/>
        <v>86</v>
      </c>
      <c r="AN47" s="112">
        <f t="shared" si="17"/>
        <v>95</v>
      </c>
      <c r="AO47" s="114">
        <f t="shared" si="18"/>
        <v>0</v>
      </c>
      <c r="AP47" s="114">
        <f t="shared" si="19"/>
        <v>13</v>
      </c>
      <c r="AQ47" s="114">
        <f t="shared" si="20"/>
        <v>6</v>
      </c>
      <c r="AR47" s="114">
        <f t="shared" si="21"/>
        <v>6</v>
      </c>
      <c r="AS47" s="114">
        <f t="shared" si="22"/>
        <v>17</v>
      </c>
      <c r="AT47" s="114">
        <f t="shared" si="23"/>
        <v>2</v>
      </c>
      <c r="AU47" s="114">
        <f t="shared" si="24"/>
        <v>18</v>
      </c>
      <c r="AV47" s="114">
        <f t="shared" si="25"/>
        <v>0</v>
      </c>
      <c r="AW47" s="114">
        <f t="shared" si="26"/>
        <v>0</v>
      </c>
      <c r="AX47" s="114">
        <f t="shared" ref="AX47:AY47" si="65">IF(S47=1,2,0)</f>
        <v>0</v>
      </c>
      <c r="AY47" s="114">
        <f t="shared" si="65"/>
        <v>0</v>
      </c>
      <c r="AZ47" s="114">
        <f t="shared" si="28"/>
        <v>10</v>
      </c>
      <c r="BA47" s="114">
        <f t="shared" si="29"/>
        <v>0</v>
      </c>
      <c r="BB47" s="114">
        <f t="shared" si="30"/>
        <v>10</v>
      </c>
      <c r="BC47" s="114">
        <f t="shared" si="31"/>
        <v>0</v>
      </c>
      <c r="BD47" s="114">
        <f t="shared" si="32"/>
        <v>0</v>
      </c>
      <c r="BE47" s="114">
        <f t="shared" si="33"/>
        <v>0</v>
      </c>
      <c r="BF47" s="114">
        <f t="shared" si="34"/>
        <v>0</v>
      </c>
      <c r="BG47" s="114">
        <f t="shared" si="35"/>
        <v>15</v>
      </c>
      <c r="BH47" s="114">
        <f t="shared" si="36"/>
        <v>3</v>
      </c>
      <c r="BI47" s="114">
        <f t="shared" si="37"/>
        <v>0</v>
      </c>
      <c r="BJ47" s="114"/>
      <c r="BK47" s="114">
        <f t="shared" si="38"/>
        <v>0</v>
      </c>
      <c r="BL47" s="113"/>
    </row>
    <row r="48" spans="1:64" ht="15" customHeight="1">
      <c r="A48" s="106" t="s">
        <v>146</v>
      </c>
      <c r="B48" s="115"/>
      <c r="C48" s="107">
        <v>1</v>
      </c>
      <c r="D48" s="107">
        <v>1</v>
      </c>
      <c r="E48" s="107">
        <v>1</v>
      </c>
      <c r="F48" s="107"/>
      <c r="G48" s="107">
        <v>1</v>
      </c>
      <c r="H48" s="107"/>
      <c r="I48" s="107"/>
      <c r="J48" s="107">
        <v>1</v>
      </c>
      <c r="K48" s="107"/>
      <c r="L48" s="107"/>
      <c r="M48" s="107"/>
      <c r="N48" s="107"/>
      <c r="O48" s="107"/>
      <c r="P48" s="107">
        <v>1</v>
      </c>
      <c r="Q48" s="107"/>
      <c r="R48" s="107"/>
      <c r="S48" s="107"/>
      <c r="T48" s="107"/>
      <c r="U48" s="107">
        <v>1</v>
      </c>
      <c r="V48" s="107"/>
      <c r="W48" s="107"/>
      <c r="X48" s="107"/>
      <c r="Y48" s="107">
        <v>1</v>
      </c>
      <c r="Z48" s="107"/>
      <c r="AA48" s="107"/>
      <c r="AB48" s="107">
        <v>1</v>
      </c>
      <c r="AC48" s="107"/>
      <c r="AD48" s="107"/>
      <c r="AE48" s="107"/>
      <c r="AF48" s="107"/>
      <c r="AG48" s="107">
        <v>1</v>
      </c>
      <c r="AH48" s="107"/>
      <c r="AI48" s="107"/>
      <c r="AJ48" s="107"/>
      <c r="AK48" s="107">
        <v>10</v>
      </c>
      <c r="AL48" s="303" t="s">
        <v>1438</v>
      </c>
      <c r="AM48" s="108">
        <f t="shared" si="16"/>
        <v>92</v>
      </c>
      <c r="AN48" s="108">
        <f t="shared" si="17"/>
        <v>98</v>
      </c>
      <c r="AO48" s="115">
        <f t="shared" si="18"/>
        <v>9</v>
      </c>
      <c r="AP48" s="115">
        <f t="shared" si="19"/>
        <v>13</v>
      </c>
      <c r="AQ48" s="115">
        <f t="shared" si="20"/>
        <v>6</v>
      </c>
      <c r="AR48" s="115">
        <f t="shared" si="21"/>
        <v>6</v>
      </c>
      <c r="AS48" s="115">
        <f t="shared" si="22"/>
        <v>17</v>
      </c>
      <c r="AT48" s="115">
        <f t="shared" si="23"/>
        <v>0</v>
      </c>
      <c r="AU48" s="115">
        <f t="shared" si="24"/>
        <v>18</v>
      </c>
      <c r="AV48" s="115">
        <f t="shared" si="25"/>
        <v>0</v>
      </c>
      <c r="AW48" s="115">
        <f t="shared" si="26"/>
        <v>0</v>
      </c>
      <c r="AX48" s="115">
        <f t="shared" ref="AX48:AY48" si="66">IF(S48=1,2,0)</f>
        <v>0</v>
      </c>
      <c r="AY48" s="115">
        <f t="shared" si="66"/>
        <v>0</v>
      </c>
      <c r="AZ48" s="115">
        <f t="shared" si="28"/>
        <v>10</v>
      </c>
      <c r="BA48" s="115">
        <f t="shared" si="29"/>
        <v>0</v>
      </c>
      <c r="BB48" s="115">
        <f t="shared" si="30"/>
        <v>10</v>
      </c>
      <c r="BC48" s="115">
        <f t="shared" si="31"/>
        <v>0</v>
      </c>
      <c r="BD48" s="115">
        <f t="shared" si="32"/>
        <v>5</v>
      </c>
      <c r="BE48" s="115">
        <f t="shared" si="33"/>
        <v>0</v>
      </c>
      <c r="BF48" s="115">
        <f t="shared" si="34"/>
        <v>0</v>
      </c>
      <c r="BG48" s="115">
        <f t="shared" si="35"/>
        <v>15</v>
      </c>
      <c r="BH48" s="115">
        <f t="shared" si="36"/>
        <v>0</v>
      </c>
      <c r="BI48" s="115">
        <f t="shared" si="37"/>
        <v>0</v>
      </c>
      <c r="BJ48" s="115"/>
      <c r="BK48" s="115">
        <f t="shared" si="38"/>
        <v>0</v>
      </c>
      <c r="BL48" s="109"/>
    </row>
    <row r="49" spans="1:64" ht="15" customHeight="1">
      <c r="A49" s="110" t="s">
        <v>412</v>
      </c>
      <c r="B49" s="114"/>
      <c r="C49" s="111"/>
      <c r="D49" s="111">
        <v>1</v>
      </c>
      <c r="E49" s="111"/>
      <c r="F49" s="111"/>
      <c r="G49" s="111"/>
      <c r="H49" s="111"/>
      <c r="I49" s="111"/>
      <c r="J49" s="111">
        <v>1</v>
      </c>
      <c r="K49" s="111"/>
      <c r="L49" s="111"/>
      <c r="M49" s="111"/>
      <c r="N49" s="111"/>
      <c r="O49" s="111"/>
      <c r="P49" s="111">
        <v>1</v>
      </c>
      <c r="Q49" s="111"/>
      <c r="R49" s="111"/>
      <c r="S49" s="111"/>
      <c r="T49" s="111"/>
      <c r="U49" s="111">
        <v>1</v>
      </c>
      <c r="V49" s="111"/>
      <c r="W49" s="111"/>
      <c r="X49" s="111"/>
      <c r="Y49" s="111"/>
      <c r="Z49" s="111">
        <v>1</v>
      </c>
      <c r="AA49" s="111"/>
      <c r="AB49" s="111"/>
      <c r="AC49" s="111"/>
      <c r="AD49" s="111">
        <v>1</v>
      </c>
      <c r="AE49" s="111"/>
      <c r="AF49" s="111"/>
      <c r="AG49" s="111">
        <v>1</v>
      </c>
      <c r="AH49" s="111"/>
      <c r="AI49" s="111">
        <v>1</v>
      </c>
      <c r="AJ49" s="111"/>
      <c r="AK49" s="111">
        <v>8</v>
      </c>
      <c r="AL49" s="304" t="s">
        <v>1439</v>
      </c>
      <c r="AM49" s="112">
        <f t="shared" si="16"/>
        <v>52</v>
      </c>
      <c r="AN49" s="112">
        <f t="shared" si="17"/>
        <v>89</v>
      </c>
      <c r="AO49" s="114">
        <f t="shared" si="18"/>
        <v>0</v>
      </c>
      <c r="AP49" s="114">
        <f t="shared" si="19"/>
        <v>13</v>
      </c>
      <c r="AQ49" s="114">
        <f t="shared" si="20"/>
        <v>0</v>
      </c>
      <c r="AR49" s="114">
        <f t="shared" si="21"/>
        <v>0</v>
      </c>
      <c r="AS49" s="114">
        <f t="shared" si="22"/>
        <v>17</v>
      </c>
      <c r="AT49" s="114">
        <f t="shared" si="23"/>
        <v>0</v>
      </c>
      <c r="AU49" s="114">
        <f t="shared" si="24"/>
        <v>18</v>
      </c>
      <c r="AV49" s="114">
        <f t="shared" si="25"/>
        <v>0</v>
      </c>
      <c r="AW49" s="114">
        <f t="shared" si="26"/>
        <v>0</v>
      </c>
      <c r="AX49" s="114">
        <f t="shared" ref="AX49:AY49" si="67">IF(S49=1,2,0)</f>
        <v>0</v>
      </c>
      <c r="AY49" s="114">
        <f t="shared" si="67"/>
        <v>0</v>
      </c>
      <c r="AZ49" s="114">
        <f t="shared" si="28"/>
        <v>10</v>
      </c>
      <c r="BA49" s="114">
        <f t="shared" si="29"/>
        <v>0</v>
      </c>
      <c r="BB49" s="114">
        <f t="shared" si="30"/>
        <v>0</v>
      </c>
      <c r="BC49" s="114">
        <f t="shared" si="31"/>
        <v>8</v>
      </c>
      <c r="BD49" s="114">
        <f t="shared" si="32"/>
        <v>0</v>
      </c>
      <c r="BE49" s="114">
        <f t="shared" si="33"/>
        <v>5</v>
      </c>
      <c r="BF49" s="114">
        <f t="shared" si="34"/>
        <v>0</v>
      </c>
      <c r="BG49" s="114">
        <f t="shared" si="35"/>
        <v>15</v>
      </c>
      <c r="BH49" s="114">
        <f t="shared" si="36"/>
        <v>3</v>
      </c>
      <c r="BI49" s="114">
        <f t="shared" si="37"/>
        <v>0</v>
      </c>
      <c r="BJ49" s="114"/>
      <c r="BK49" s="114">
        <f t="shared" si="38"/>
        <v>4</v>
      </c>
      <c r="BL49" s="113"/>
    </row>
    <row r="50" spans="1:64" ht="15" customHeight="1">
      <c r="A50" s="106" t="s">
        <v>149</v>
      </c>
      <c r="B50" s="115"/>
      <c r="C50" s="107"/>
      <c r="D50" s="107">
        <v>1</v>
      </c>
      <c r="E50" s="107">
        <v>1</v>
      </c>
      <c r="F50" s="107"/>
      <c r="G50" s="107">
        <v>1</v>
      </c>
      <c r="H50" s="107"/>
      <c r="I50" s="107"/>
      <c r="J50" s="107">
        <v>1</v>
      </c>
      <c r="K50" s="107"/>
      <c r="L50" s="107"/>
      <c r="M50" s="107"/>
      <c r="N50" s="107"/>
      <c r="O50" s="107"/>
      <c r="P50" s="107">
        <v>1</v>
      </c>
      <c r="Q50" s="107">
        <v>1</v>
      </c>
      <c r="R50" s="107"/>
      <c r="S50" s="107"/>
      <c r="T50" s="107"/>
      <c r="U50" s="107">
        <v>1</v>
      </c>
      <c r="V50" s="107"/>
      <c r="W50" s="107"/>
      <c r="X50" s="107"/>
      <c r="Y50" s="107"/>
      <c r="Z50" s="107">
        <v>1</v>
      </c>
      <c r="AA50" s="107"/>
      <c r="AB50" s="107"/>
      <c r="AC50" s="107"/>
      <c r="AD50" s="107"/>
      <c r="AE50" s="107"/>
      <c r="AF50" s="107"/>
      <c r="AG50" s="107">
        <v>1</v>
      </c>
      <c r="AH50" s="107"/>
      <c r="AI50" s="107">
        <v>1</v>
      </c>
      <c r="AJ50" s="107"/>
      <c r="AK50" s="107">
        <v>10</v>
      </c>
      <c r="AL50" s="303" t="s">
        <v>1440</v>
      </c>
      <c r="AM50" s="108">
        <f t="shared" si="16"/>
        <v>88</v>
      </c>
      <c r="AN50" s="108">
        <f t="shared" si="17"/>
        <v>93</v>
      </c>
      <c r="AO50" s="115">
        <f t="shared" si="18"/>
        <v>0</v>
      </c>
      <c r="AP50" s="115">
        <f t="shared" si="19"/>
        <v>13</v>
      </c>
      <c r="AQ50" s="115">
        <f t="shared" si="20"/>
        <v>6</v>
      </c>
      <c r="AR50" s="115">
        <f t="shared" si="21"/>
        <v>6</v>
      </c>
      <c r="AS50" s="115">
        <f t="shared" si="22"/>
        <v>17</v>
      </c>
      <c r="AT50" s="115">
        <f t="shared" si="23"/>
        <v>0</v>
      </c>
      <c r="AU50" s="115">
        <f t="shared" si="24"/>
        <v>18</v>
      </c>
      <c r="AV50" s="115">
        <f t="shared" si="25"/>
        <v>4</v>
      </c>
      <c r="AW50" s="115">
        <f t="shared" si="26"/>
        <v>0</v>
      </c>
      <c r="AX50" s="115">
        <f t="shared" ref="AX50:AY50" si="68">IF(S50=1,2,0)</f>
        <v>0</v>
      </c>
      <c r="AY50" s="115">
        <f t="shared" si="68"/>
        <v>0</v>
      </c>
      <c r="AZ50" s="115">
        <f t="shared" si="28"/>
        <v>10</v>
      </c>
      <c r="BA50" s="115">
        <f t="shared" si="29"/>
        <v>0</v>
      </c>
      <c r="BB50" s="115">
        <f t="shared" si="30"/>
        <v>0</v>
      </c>
      <c r="BC50" s="115">
        <f t="shared" si="31"/>
        <v>8</v>
      </c>
      <c r="BD50" s="115">
        <f t="shared" si="32"/>
        <v>0</v>
      </c>
      <c r="BE50" s="115">
        <f t="shared" si="33"/>
        <v>0</v>
      </c>
      <c r="BF50" s="115">
        <f t="shared" si="34"/>
        <v>0</v>
      </c>
      <c r="BG50" s="115">
        <f t="shared" si="35"/>
        <v>15</v>
      </c>
      <c r="BH50" s="115">
        <f t="shared" si="36"/>
        <v>3</v>
      </c>
      <c r="BI50" s="115">
        <f t="shared" si="37"/>
        <v>0</v>
      </c>
      <c r="BJ50" s="115"/>
      <c r="BK50" s="115">
        <f t="shared" si="38"/>
        <v>0</v>
      </c>
      <c r="BL50" s="109"/>
    </row>
    <row r="51" spans="1:64" ht="15" customHeight="1">
      <c r="A51" s="110" t="s">
        <v>150</v>
      </c>
      <c r="B51" s="114"/>
      <c r="C51" s="111"/>
      <c r="D51" s="111"/>
      <c r="E51" s="111"/>
      <c r="F51" s="111"/>
      <c r="G51" s="111"/>
      <c r="H51" s="111"/>
      <c r="I51" s="111"/>
      <c r="J51" s="111">
        <v>1</v>
      </c>
      <c r="K51" s="111"/>
      <c r="L51" s="111"/>
      <c r="M51" s="111"/>
      <c r="N51" s="111"/>
      <c r="O51" s="111"/>
      <c r="P51" s="111">
        <v>1</v>
      </c>
      <c r="Q51" s="111"/>
      <c r="R51" s="111"/>
      <c r="S51" s="111">
        <v>1</v>
      </c>
      <c r="T51" s="111"/>
      <c r="U51" s="111">
        <v>1</v>
      </c>
      <c r="V51" s="111"/>
      <c r="W51" s="111"/>
      <c r="X51" s="111"/>
      <c r="Y51" s="111"/>
      <c r="Z51" s="111">
        <v>1</v>
      </c>
      <c r="AA51" s="111"/>
      <c r="AB51" s="111"/>
      <c r="AC51" s="111"/>
      <c r="AD51" s="111">
        <v>1</v>
      </c>
      <c r="AE51" s="111"/>
      <c r="AF51" s="111"/>
      <c r="AG51" s="111">
        <v>1</v>
      </c>
      <c r="AH51" s="111"/>
      <c r="AI51" s="111">
        <v>1</v>
      </c>
      <c r="AJ51" s="111"/>
      <c r="AK51" s="111">
        <f>SUM(B51:AJ51)</f>
        <v>8</v>
      </c>
      <c r="AL51" s="304" t="s">
        <v>1441</v>
      </c>
      <c r="AM51" s="112">
        <f t="shared" si="16"/>
        <v>47</v>
      </c>
      <c r="AN51" s="112">
        <f t="shared" si="17"/>
        <v>78</v>
      </c>
      <c r="AO51" s="114">
        <f t="shared" si="18"/>
        <v>0</v>
      </c>
      <c r="AP51" s="114">
        <f t="shared" si="19"/>
        <v>0</v>
      </c>
      <c r="AQ51" s="114">
        <f t="shared" si="20"/>
        <v>0</v>
      </c>
      <c r="AR51" s="114">
        <f t="shared" si="21"/>
        <v>0</v>
      </c>
      <c r="AS51" s="114">
        <f t="shared" si="22"/>
        <v>17</v>
      </c>
      <c r="AT51" s="114">
        <f t="shared" si="23"/>
        <v>0</v>
      </c>
      <c r="AU51" s="114">
        <f t="shared" si="24"/>
        <v>18</v>
      </c>
      <c r="AV51" s="114">
        <f t="shared" si="25"/>
        <v>0</v>
      </c>
      <c r="AW51" s="114">
        <f t="shared" si="26"/>
        <v>0</v>
      </c>
      <c r="AX51" s="114">
        <f t="shared" ref="AX51:AY51" si="69">IF(S51=1,2,0)</f>
        <v>2</v>
      </c>
      <c r="AY51" s="114">
        <f t="shared" si="69"/>
        <v>0</v>
      </c>
      <c r="AZ51" s="114">
        <f t="shared" si="28"/>
        <v>10</v>
      </c>
      <c r="BA51" s="114">
        <f t="shared" si="29"/>
        <v>0</v>
      </c>
      <c r="BB51" s="114">
        <f t="shared" si="30"/>
        <v>0</v>
      </c>
      <c r="BC51" s="114">
        <f t="shared" si="31"/>
        <v>8</v>
      </c>
      <c r="BD51" s="114">
        <f t="shared" si="32"/>
        <v>0</v>
      </c>
      <c r="BE51" s="114">
        <f t="shared" si="33"/>
        <v>5</v>
      </c>
      <c r="BF51" s="114">
        <f t="shared" si="34"/>
        <v>0</v>
      </c>
      <c r="BG51" s="114">
        <f t="shared" si="35"/>
        <v>15</v>
      </c>
      <c r="BH51" s="114">
        <f t="shared" si="36"/>
        <v>3</v>
      </c>
      <c r="BI51" s="114">
        <f t="shared" si="37"/>
        <v>0</v>
      </c>
      <c r="BJ51" s="114"/>
      <c r="BK51" s="114">
        <f t="shared" si="38"/>
        <v>4</v>
      </c>
      <c r="BL51" s="113"/>
    </row>
    <row r="52" spans="1:64" ht="15" customHeight="1">
      <c r="A52" s="106" t="s">
        <v>1442</v>
      </c>
      <c r="B52" s="115"/>
      <c r="C52" s="107"/>
      <c r="D52" s="107"/>
      <c r="E52" s="107"/>
      <c r="F52" s="107"/>
      <c r="G52" s="107"/>
      <c r="H52" s="107"/>
      <c r="I52" s="107"/>
      <c r="J52" s="107">
        <v>1</v>
      </c>
      <c r="K52" s="107"/>
      <c r="L52" s="107"/>
      <c r="M52" s="107"/>
      <c r="N52" s="107"/>
      <c r="O52" s="107"/>
      <c r="P52" s="107">
        <v>1</v>
      </c>
      <c r="Q52" s="107"/>
      <c r="R52" s="107"/>
      <c r="S52" s="107"/>
      <c r="T52" s="107"/>
      <c r="U52" s="107">
        <v>1</v>
      </c>
      <c r="V52" s="107"/>
      <c r="W52" s="107"/>
      <c r="X52" s="107"/>
      <c r="Y52" s="107"/>
      <c r="Z52" s="107"/>
      <c r="AA52" s="107"/>
      <c r="AB52" s="107"/>
      <c r="AC52" s="107"/>
      <c r="AD52" s="107"/>
      <c r="AE52" s="107"/>
      <c r="AF52" s="107"/>
      <c r="AG52" s="107">
        <v>1</v>
      </c>
      <c r="AH52" s="107"/>
      <c r="AI52" s="107"/>
      <c r="AJ52" s="107"/>
      <c r="AK52" s="107">
        <v>4</v>
      </c>
      <c r="AL52" s="115" t="s">
        <v>1443</v>
      </c>
      <c r="AM52" s="108">
        <f t="shared" si="16"/>
        <v>-2</v>
      </c>
      <c r="AN52" s="108">
        <f t="shared" si="17"/>
        <v>60</v>
      </c>
      <c r="AO52" s="115">
        <f t="shared" si="18"/>
        <v>0</v>
      </c>
      <c r="AP52" s="115">
        <f t="shared" si="19"/>
        <v>0</v>
      </c>
      <c r="AQ52" s="115">
        <f t="shared" si="20"/>
        <v>0</v>
      </c>
      <c r="AR52" s="115">
        <f t="shared" si="21"/>
        <v>0</v>
      </c>
      <c r="AS52" s="115">
        <f t="shared" si="22"/>
        <v>17</v>
      </c>
      <c r="AT52" s="115">
        <f t="shared" si="23"/>
        <v>0</v>
      </c>
      <c r="AU52" s="115">
        <f t="shared" si="24"/>
        <v>18</v>
      </c>
      <c r="AV52" s="115">
        <f t="shared" si="25"/>
        <v>0</v>
      </c>
      <c r="AW52" s="115">
        <f t="shared" si="26"/>
        <v>0</v>
      </c>
      <c r="AX52" s="115">
        <f t="shared" ref="AX52:AY52" si="70">IF(S52=1,2,0)</f>
        <v>0</v>
      </c>
      <c r="AY52" s="115">
        <f t="shared" si="70"/>
        <v>0</v>
      </c>
      <c r="AZ52" s="115">
        <f t="shared" si="28"/>
        <v>10</v>
      </c>
      <c r="BA52" s="115">
        <f t="shared" si="29"/>
        <v>0</v>
      </c>
      <c r="BB52" s="115">
        <f t="shared" si="30"/>
        <v>0</v>
      </c>
      <c r="BC52" s="115">
        <f t="shared" si="31"/>
        <v>0</v>
      </c>
      <c r="BD52" s="115">
        <f t="shared" si="32"/>
        <v>0</v>
      </c>
      <c r="BE52" s="115">
        <f t="shared" si="33"/>
        <v>0</v>
      </c>
      <c r="BF52" s="115">
        <f t="shared" si="34"/>
        <v>0</v>
      </c>
      <c r="BG52" s="115">
        <f t="shared" si="35"/>
        <v>15</v>
      </c>
      <c r="BH52" s="115">
        <f t="shared" si="36"/>
        <v>0</v>
      </c>
      <c r="BI52" s="115">
        <f t="shared" si="37"/>
        <v>0</v>
      </c>
      <c r="BJ52" s="115"/>
      <c r="BK52" s="115">
        <f t="shared" si="38"/>
        <v>36</v>
      </c>
      <c r="BL52" s="109"/>
    </row>
    <row r="53" spans="1:64" ht="15" customHeight="1">
      <c r="A53" s="110" t="s">
        <v>1281</v>
      </c>
      <c r="B53" s="114"/>
      <c r="C53" s="111"/>
      <c r="D53" s="111">
        <v>1</v>
      </c>
      <c r="E53" s="111"/>
      <c r="F53" s="111"/>
      <c r="G53" s="111"/>
      <c r="H53" s="111"/>
      <c r="I53" s="111"/>
      <c r="J53" s="111">
        <v>1</v>
      </c>
      <c r="K53" s="111"/>
      <c r="L53" s="111"/>
      <c r="M53" s="111"/>
      <c r="N53" s="111">
        <v>1</v>
      </c>
      <c r="O53" s="111"/>
      <c r="P53" s="111">
        <v>1</v>
      </c>
      <c r="Q53" s="111"/>
      <c r="R53" s="111"/>
      <c r="S53" s="111"/>
      <c r="T53" s="111"/>
      <c r="U53" s="111">
        <v>1</v>
      </c>
      <c r="V53" s="111"/>
      <c r="W53" s="111"/>
      <c r="X53" s="111"/>
      <c r="Y53" s="111">
        <v>1</v>
      </c>
      <c r="Z53" s="111"/>
      <c r="AA53" s="111"/>
      <c r="AB53" s="111"/>
      <c r="AC53" s="111"/>
      <c r="AD53" s="111"/>
      <c r="AE53" s="111"/>
      <c r="AF53" s="111"/>
      <c r="AG53" s="111">
        <v>1</v>
      </c>
      <c r="AH53" s="111"/>
      <c r="AI53" s="111"/>
      <c r="AJ53" s="111"/>
      <c r="AK53" s="111">
        <v>7</v>
      </c>
      <c r="AL53" s="304" t="s">
        <v>1444</v>
      </c>
      <c r="AM53" s="112">
        <f t="shared" si="16"/>
        <v>44</v>
      </c>
      <c r="AN53" s="112">
        <f t="shared" si="17"/>
        <v>85</v>
      </c>
      <c r="AO53" s="114">
        <f t="shared" si="18"/>
        <v>0</v>
      </c>
      <c r="AP53" s="114">
        <f t="shared" si="19"/>
        <v>13</v>
      </c>
      <c r="AQ53" s="114">
        <f t="shared" si="20"/>
        <v>0</v>
      </c>
      <c r="AR53" s="114">
        <f t="shared" si="21"/>
        <v>0</v>
      </c>
      <c r="AS53" s="114">
        <f t="shared" si="22"/>
        <v>17</v>
      </c>
      <c r="AT53" s="114">
        <f t="shared" si="23"/>
        <v>2</v>
      </c>
      <c r="AU53" s="114">
        <f t="shared" si="24"/>
        <v>18</v>
      </c>
      <c r="AV53" s="114">
        <f t="shared" si="25"/>
        <v>0</v>
      </c>
      <c r="AW53" s="114">
        <f t="shared" si="26"/>
        <v>0</v>
      </c>
      <c r="AX53" s="114">
        <f t="shared" ref="AX53:AY53" si="71">IF(S53=1,2,0)</f>
        <v>0</v>
      </c>
      <c r="AY53" s="114">
        <f t="shared" si="71"/>
        <v>0</v>
      </c>
      <c r="AZ53" s="114">
        <f t="shared" si="28"/>
        <v>10</v>
      </c>
      <c r="BA53" s="114">
        <f t="shared" si="29"/>
        <v>0</v>
      </c>
      <c r="BB53" s="114">
        <f t="shared" si="30"/>
        <v>10</v>
      </c>
      <c r="BC53" s="114">
        <f t="shared" si="31"/>
        <v>0</v>
      </c>
      <c r="BD53" s="114">
        <f t="shared" si="32"/>
        <v>0</v>
      </c>
      <c r="BE53" s="114">
        <f t="shared" si="33"/>
        <v>0</v>
      </c>
      <c r="BF53" s="114">
        <f t="shared" si="34"/>
        <v>0</v>
      </c>
      <c r="BG53" s="114">
        <f t="shared" si="35"/>
        <v>15</v>
      </c>
      <c r="BH53" s="114">
        <f t="shared" si="36"/>
        <v>0</v>
      </c>
      <c r="BI53" s="114">
        <f t="shared" si="37"/>
        <v>0</v>
      </c>
      <c r="BJ53" s="114"/>
      <c r="BK53" s="114">
        <f t="shared" si="38"/>
        <v>9</v>
      </c>
      <c r="BL53" s="113"/>
    </row>
    <row r="54" spans="1:64" ht="15" customHeight="1">
      <c r="A54" s="106" t="s">
        <v>796</v>
      </c>
      <c r="B54" s="115"/>
      <c r="C54" s="107">
        <v>1</v>
      </c>
      <c r="D54" s="107">
        <v>1</v>
      </c>
      <c r="E54" s="107"/>
      <c r="F54" s="107"/>
      <c r="G54" s="107"/>
      <c r="H54" s="107"/>
      <c r="I54" s="107"/>
      <c r="J54" s="107">
        <v>1</v>
      </c>
      <c r="K54" s="107"/>
      <c r="L54" s="107"/>
      <c r="M54" s="107"/>
      <c r="N54" s="107"/>
      <c r="O54" s="107"/>
      <c r="P54" s="107">
        <v>1</v>
      </c>
      <c r="Q54" s="107"/>
      <c r="R54" s="107"/>
      <c r="S54" s="107">
        <v>1</v>
      </c>
      <c r="T54" s="107"/>
      <c r="U54" s="107">
        <v>1</v>
      </c>
      <c r="V54" s="107">
        <v>1</v>
      </c>
      <c r="W54" s="107"/>
      <c r="X54" s="107"/>
      <c r="Y54" s="107"/>
      <c r="Z54" s="107">
        <v>1</v>
      </c>
      <c r="AA54" s="107"/>
      <c r="AB54" s="107"/>
      <c r="AC54" s="107"/>
      <c r="AD54" s="107"/>
      <c r="AE54" s="107"/>
      <c r="AF54" s="107"/>
      <c r="AG54" s="107">
        <v>1</v>
      </c>
      <c r="AH54" s="107"/>
      <c r="AI54" s="107"/>
      <c r="AJ54" s="107"/>
      <c r="AK54" s="107">
        <v>9</v>
      </c>
      <c r="AL54" s="303" t="s">
        <v>1445</v>
      </c>
      <c r="AM54" s="108">
        <f t="shared" si="16"/>
        <v>65</v>
      </c>
      <c r="AN54" s="108">
        <f t="shared" si="17"/>
        <v>93</v>
      </c>
      <c r="AO54" s="115">
        <f t="shared" si="18"/>
        <v>9</v>
      </c>
      <c r="AP54" s="115">
        <f t="shared" si="19"/>
        <v>13</v>
      </c>
      <c r="AQ54" s="115">
        <f t="shared" si="20"/>
        <v>0</v>
      </c>
      <c r="AR54" s="115">
        <f t="shared" si="21"/>
        <v>0</v>
      </c>
      <c r="AS54" s="115">
        <f t="shared" si="22"/>
        <v>17</v>
      </c>
      <c r="AT54" s="115">
        <f t="shared" si="23"/>
        <v>0</v>
      </c>
      <c r="AU54" s="115">
        <f t="shared" si="24"/>
        <v>18</v>
      </c>
      <c r="AV54" s="115">
        <f t="shared" si="25"/>
        <v>0</v>
      </c>
      <c r="AW54" s="115">
        <f t="shared" si="26"/>
        <v>0</v>
      </c>
      <c r="AX54" s="115">
        <f t="shared" ref="AX54:AY54" si="72">IF(S54=1,2,0)</f>
        <v>2</v>
      </c>
      <c r="AY54" s="115">
        <f t="shared" si="72"/>
        <v>0</v>
      </c>
      <c r="AZ54" s="115">
        <f t="shared" si="28"/>
        <v>10</v>
      </c>
      <c r="BA54" s="115">
        <f t="shared" si="29"/>
        <v>3</v>
      </c>
      <c r="BB54" s="115">
        <f t="shared" si="30"/>
        <v>0</v>
      </c>
      <c r="BC54" s="115">
        <f t="shared" si="31"/>
        <v>8</v>
      </c>
      <c r="BD54" s="115">
        <f t="shared" si="32"/>
        <v>0</v>
      </c>
      <c r="BE54" s="115">
        <f t="shared" si="33"/>
        <v>0</v>
      </c>
      <c r="BF54" s="115">
        <f t="shared" si="34"/>
        <v>0</v>
      </c>
      <c r="BG54" s="115">
        <f t="shared" si="35"/>
        <v>15</v>
      </c>
      <c r="BH54" s="115">
        <f t="shared" si="36"/>
        <v>0</v>
      </c>
      <c r="BI54" s="115">
        <f t="shared" si="37"/>
        <v>0</v>
      </c>
      <c r="BJ54" s="115"/>
      <c r="BK54" s="115">
        <f t="shared" si="38"/>
        <v>1</v>
      </c>
      <c r="BL54" s="109"/>
    </row>
    <row r="55" spans="1:64" ht="15" customHeight="1">
      <c r="A55" s="110" t="s">
        <v>964</v>
      </c>
      <c r="B55" s="114"/>
      <c r="C55" s="111"/>
      <c r="D55" s="111">
        <v>1</v>
      </c>
      <c r="E55" s="111">
        <v>1</v>
      </c>
      <c r="F55" s="111"/>
      <c r="G55" s="111">
        <v>1</v>
      </c>
      <c r="H55" s="111"/>
      <c r="I55" s="111"/>
      <c r="J55" s="111">
        <v>1</v>
      </c>
      <c r="K55" s="111"/>
      <c r="L55" s="111"/>
      <c r="M55" s="111"/>
      <c r="N55" s="111"/>
      <c r="O55" s="111"/>
      <c r="P55" s="111">
        <v>1</v>
      </c>
      <c r="Q55" s="111"/>
      <c r="R55" s="111"/>
      <c r="S55" s="111">
        <v>1</v>
      </c>
      <c r="T55" s="111"/>
      <c r="U55" s="111"/>
      <c r="V55" s="111"/>
      <c r="W55" s="111"/>
      <c r="X55" s="111"/>
      <c r="Y55" s="111"/>
      <c r="Z55" s="111"/>
      <c r="AA55" s="111"/>
      <c r="AB55" s="111"/>
      <c r="AC55" s="111"/>
      <c r="AD55" s="111">
        <v>1</v>
      </c>
      <c r="AE55" s="111"/>
      <c r="AF55" s="111"/>
      <c r="AG55" s="111">
        <v>1</v>
      </c>
      <c r="AH55" s="111"/>
      <c r="AI55" s="111">
        <v>1</v>
      </c>
      <c r="AJ55" s="111">
        <v>1</v>
      </c>
      <c r="AK55" s="111">
        <f t="shared" ref="AK55:AK56" si="73">SUM(B55:AJ55)</f>
        <v>10</v>
      </c>
      <c r="AL55" s="304" t="s">
        <v>1446</v>
      </c>
      <c r="AM55" s="112">
        <f t="shared" si="16"/>
        <v>79</v>
      </c>
      <c r="AN55" s="112">
        <f t="shared" si="17"/>
        <v>83</v>
      </c>
      <c r="AO55" s="114">
        <f t="shared" si="18"/>
        <v>0</v>
      </c>
      <c r="AP55" s="114">
        <f t="shared" si="19"/>
        <v>13</v>
      </c>
      <c r="AQ55" s="114">
        <f t="shared" si="20"/>
        <v>6</v>
      </c>
      <c r="AR55" s="114">
        <f t="shared" si="21"/>
        <v>6</v>
      </c>
      <c r="AS55" s="114">
        <f t="shared" si="22"/>
        <v>17</v>
      </c>
      <c r="AT55" s="114">
        <f t="shared" si="23"/>
        <v>0</v>
      </c>
      <c r="AU55" s="114">
        <f t="shared" si="24"/>
        <v>18</v>
      </c>
      <c r="AV55" s="114">
        <f t="shared" si="25"/>
        <v>0</v>
      </c>
      <c r="AW55" s="114">
        <f t="shared" si="26"/>
        <v>0</v>
      </c>
      <c r="AX55" s="114">
        <f t="shared" ref="AX55:AY55" si="74">IF(S55=1,2,0)</f>
        <v>2</v>
      </c>
      <c r="AY55" s="114">
        <f t="shared" si="74"/>
        <v>0</v>
      </c>
      <c r="AZ55" s="114">
        <f t="shared" si="28"/>
        <v>0</v>
      </c>
      <c r="BA55" s="114">
        <f t="shared" si="29"/>
        <v>0</v>
      </c>
      <c r="BB55" s="114">
        <f t="shared" si="30"/>
        <v>0</v>
      </c>
      <c r="BC55" s="114">
        <f t="shared" si="31"/>
        <v>0</v>
      </c>
      <c r="BD55" s="114">
        <f t="shared" si="32"/>
        <v>0</v>
      </c>
      <c r="BE55" s="114">
        <f t="shared" si="33"/>
        <v>5</v>
      </c>
      <c r="BF55" s="114">
        <f t="shared" si="34"/>
        <v>0</v>
      </c>
      <c r="BG55" s="114">
        <f t="shared" si="35"/>
        <v>15</v>
      </c>
      <c r="BH55" s="114">
        <f t="shared" si="36"/>
        <v>3</v>
      </c>
      <c r="BI55" s="114">
        <f t="shared" si="37"/>
        <v>2</v>
      </c>
      <c r="BJ55" s="114"/>
      <c r="BK55" s="114">
        <f t="shared" si="38"/>
        <v>0</v>
      </c>
      <c r="BL55" s="113"/>
    </row>
    <row r="56" spans="1:64" ht="15" customHeight="1">
      <c r="A56" s="106" t="s">
        <v>163</v>
      </c>
      <c r="B56" s="115"/>
      <c r="C56" s="107">
        <v>1</v>
      </c>
      <c r="D56" s="107">
        <v>1</v>
      </c>
      <c r="E56" s="107">
        <v>1</v>
      </c>
      <c r="F56" s="107"/>
      <c r="G56" s="107">
        <v>1</v>
      </c>
      <c r="H56" s="107"/>
      <c r="I56" s="107"/>
      <c r="J56" s="107"/>
      <c r="K56" s="107"/>
      <c r="L56" s="107"/>
      <c r="M56" s="107"/>
      <c r="N56" s="107"/>
      <c r="O56" s="107"/>
      <c r="P56" s="107">
        <v>1</v>
      </c>
      <c r="Q56" s="107">
        <v>1</v>
      </c>
      <c r="R56" s="107"/>
      <c r="S56" s="107"/>
      <c r="T56" s="107"/>
      <c r="U56" s="107"/>
      <c r="V56" s="107"/>
      <c r="W56" s="107"/>
      <c r="X56" s="107"/>
      <c r="Y56" s="107">
        <v>1</v>
      </c>
      <c r="Z56" s="107">
        <v>1</v>
      </c>
      <c r="AA56" s="107"/>
      <c r="AB56" s="107"/>
      <c r="AC56" s="107"/>
      <c r="AD56" s="107"/>
      <c r="AE56" s="107"/>
      <c r="AF56" s="107"/>
      <c r="AG56" s="107">
        <v>1</v>
      </c>
      <c r="AH56" s="107"/>
      <c r="AI56" s="107"/>
      <c r="AJ56" s="107">
        <v>1</v>
      </c>
      <c r="AK56" s="107">
        <f t="shared" si="73"/>
        <v>10</v>
      </c>
      <c r="AL56" s="303" t="s">
        <v>1447</v>
      </c>
      <c r="AM56" s="108">
        <f t="shared" si="16"/>
        <v>96</v>
      </c>
      <c r="AN56" s="108">
        <f t="shared" si="17"/>
        <v>85</v>
      </c>
      <c r="AO56" s="115">
        <f t="shared" si="18"/>
        <v>9</v>
      </c>
      <c r="AP56" s="115">
        <f t="shared" si="19"/>
        <v>13</v>
      </c>
      <c r="AQ56" s="115">
        <f t="shared" si="20"/>
        <v>6</v>
      </c>
      <c r="AR56" s="115">
        <f t="shared" si="21"/>
        <v>6</v>
      </c>
      <c r="AS56" s="115">
        <f t="shared" si="22"/>
        <v>0</v>
      </c>
      <c r="AT56" s="115">
        <f t="shared" si="23"/>
        <v>0</v>
      </c>
      <c r="AU56" s="115">
        <f t="shared" si="24"/>
        <v>18</v>
      </c>
      <c r="AV56" s="115">
        <f t="shared" si="25"/>
        <v>4</v>
      </c>
      <c r="AW56" s="115">
        <f t="shared" si="26"/>
        <v>0</v>
      </c>
      <c r="AX56" s="115">
        <f t="shared" ref="AX56:AY56" si="75">IF(S56=1,2,0)</f>
        <v>0</v>
      </c>
      <c r="AY56" s="115">
        <f t="shared" si="75"/>
        <v>0</v>
      </c>
      <c r="AZ56" s="115">
        <f t="shared" si="28"/>
        <v>0</v>
      </c>
      <c r="BA56" s="115">
        <f t="shared" si="29"/>
        <v>0</v>
      </c>
      <c r="BB56" s="115">
        <f t="shared" si="30"/>
        <v>10</v>
      </c>
      <c r="BC56" s="115">
        <f t="shared" si="31"/>
        <v>8</v>
      </c>
      <c r="BD56" s="115">
        <f t="shared" si="32"/>
        <v>0</v>
      </c>
      <c r="BE56" s="115">
        <f t="shared" si="33"/>
        <v>0</v>
      </c>
      <c r="BF56" s="115">
        <f t="shared" si="34"/>
        <v>0</v>
      </c>
      <c r="BG56" s="115">
        <f t="shared" si="35"/>
        <v>15</v>
      </c>
      <c r="BH56" s="115">
        <f t="shared" si="36"/>
        <v>0</v>
      </c>
      <c r="BI56" s="115">
        <f t="shared" si="37"/>
        <v>2</v>
      </c>
      <c r="BJ56" s="115"/>
      <c r="BK56" s="115">
        <f t="shared" si="38"/>
        <v>0</v>
      </c>
      <c r="BL56" s="109"/>
    </row>
    <row r="57" spans="1:64" ht="15" customHeight="1">
      <c r="A57" s="110" t="s">
        <v>165</v>
      </c>
      <c r="B57" s="114"/>
      <c r="C57" s="111">
        <v>1</v>
      </c>
      <c r="D57" s="111">
        <v>1</v>
      </c>
      <c r="E57" s="111"/>
      <c r="F57" s="111"/>
      <c r="G57" s="111"/>
      <c r="H57" s="111"/>
      <c r="I57" s="111"/>
      <c r="J57" s="111">
        <v>1</v>
      </c>
      <c r="K57" s="111"/>
      <c r="L57" s="111"/>
      <c r="M57" s="111"/>
      <c r="N57" s="111">
        <v>1</v>
      </c>
      <c r="O57" s="111"/>
      <c r="P57" s="111">
        <v>1</v>
      </c>
      <c r="Q57" s="111"/>
      <c r="R57" s="111"/>
      <c r="S57" s="111"/>
      <c r="T57" s="111"/>
      <c r="U57" s="111"/>
      <c r="V57" s="111">
        <v>1</v>
      </c>
      <c r="W57" s="111"/>
      <c r="X57" s="111"/>
      <c r="Y57" s="111">
        <v>1</v>
      </c>
      <c r="Z57" s="111">
        <v>1</v>
      </c>
      <c r="AA57" s="111"/>
      <c r="AB57" s="111">
        <v>1</v>
      </c>
      <c r="AC57" s="111"/>
      <c r="AD57" s="111"/>
      <c r="AE57" s="111"/>
      <c r="AF57" s="111"/>
      <c r="AG57" s="111">
        <v>1</v>
      </c>
      <c r="AH57" s="111"/>
      <c r="AI57" s="111"/>
      <c r="AJ57" s="111"/>
      <c r="AK57" s="111">
        <v>10</v>
      </c>
      <c r="AL57" s="304" t="s">
        <v>1440</v>
      </c>
      <c r="AM57" s="112">
        <f t="shared" si="16"/>
        <v>80</v>
      </c>
      <c r="AN57" s="112">
        <f t="shared" si="17"/>
        <v>95</v>
      </c>
      <c r="AO57" s="114">
        <f t="shared" si="18"/>
        <v>9</v>
      </c>
      <c r="AP57" s="114">
        <f t="shared" si="19"/>
        <v>13</v>
      </c>
      <c r="AQ57" s="114">
        <f t="shared" si="20"/>
        <v>0</v>
      </c>
      <c r="AR57" s="114">
        <f t="shared" si="21"/>
        <v>0</v>
      </c>
      <c r="AS57" s="114">
        <f t="shared" si="22"/>
        <v>17</v>
      </c>
      <c r="AT57" s="114">
        <f t="shared" si="23"/>
        <v>2</v>
      </c>
      <c r="AU57" s="114">
        <f t="shared" si="24"/>
        <v>18</v>
      </c>
      <c r="AV57" s="114">
        <f t="shared" si="25"/>
        <v>0</v>
      </c>
      <c r="AW57" s="114">
        <f t="shared" si="26"/>
        <v>0</v>
      </c>
      <c r="AX57" s="114">
        <f t="shared" ref="AX57:AY57" si="76">IF(S57=1,2,0)</f>
        <v>0</v>
      </c>
      <c r="AY57" s="114">
        <f t="shared" si="76"/>
        <v>0</v>
      </c>
      <c r="AZ57" s="114">
        <f t="shared" si="28"/>
        <v>0</v>
      </c>
      <c r="BA57" s="114">
        <f t="shared" si="29"/>
        <v>3</v>
      </c>
      <c r="BB57" s="114">
        <f t="shared" si="30"/>
        <v>10</v>
      </c>
      <c r="BC57" s="114">
        <f t="shared" si="31"/>
        <v>8</v>
      </c>
      <c r="BD57" s="114">
        <f t="shared" si="32"/>
        <v>5</v>
      </c>
      <c r="BE57" s="114">
        <f t="shared" si="33"/>
        <v>0</v>
      </c>
      <c r="BF57" s="114">
        <f t="shared" si="34"/>
        <v>0</v>
      </c>
      <c r="BG57" s="114">
        <f t="shared" si="35"/>
        <v>15</v>
      </c>
      <c r="BH57" s="114">
        <f t="shared" si="36"/>
        <v>0</v>
      </c>
      <c r="BI57" s="114">
        <f t="shared" si="37"/>
        <v>0</v>
      </c>
      <c r="BJ57" s="114"/>
      <c r="BK57" s="114">
        <f t="shared" si="38"/>
        <v>0</v>
      </c>
      <c r="BL57" s="113"/>
    </row>
    <row r="58" spans="1:64" ht="15" customHeight="1">
      <c r="A58" s="106" t="s">
        <v>167</v>
      </c>
      <c r="B58" s="115"/>
      <c r="C58" s="107">
        <v>1</v>
      </c>
      <c r="D58" s="107">
        <v>1</v>
      </c>
      <c r="E58" s="107"/>
      <c r="F58" s="107"/>
      <c r="G58" s="107"/>
      <c r="H58" s="107"/>
      <c r="I58" s="107"/>
      <c r="J58" s="107">
        <v>1</v>
      </c>
      <c r="K58" s="107"/>
      <c r="L58" s="107"/>
      <c r="M58" s="107"/>
      <c r="N58" s="107"/>
      <c r="O58" s="107"/>
      <c r="P58" s="107">
        <v>1</v>
      </c>
      <c r="Q58" s="107"/>
      <c r="R58" s="107"/>
      <c r="S58" s="107"/>
      <c r="T58" s="107"/>
      <c r="U58" s="107">
        <v>1</v>
      </c>
      <c r="V58" s="107">
        <v>1</v>
      </c>
      <c r="W58" s="107"/>
      <c r="X58" s="107"/>
      <c r="Y58" s="107">
        <v>1</v>
      </c>
      <c r="Z58" s="107">
        <v>1</v>
      </c>
      <c r="AA58" s="107"/>
      <c r="AB58" s="107">
        <v>1</v>
      </c>
      <c r="AC58" s="107"/>
      <c r="AD58" s="107"/>
      <c r="AE58" s="107"/>
      <c r="AF58" s="107"/>
      <c r="AG58" s="107">
        <v>1</v>
      </c>
      <c r="AH58" s="107"/>
      <c r="AI58" s="107"/>
      <c r="AJ58" s="107"/>
      <c r="AK58" s="107">
        <v>10</v>
      </c>
      <c r="AL58" s="303" t="s">
        <v>1448</v>
      </c>
      <c r="AM58" s="108">
        <f t="shared" si="16"/>
        <v>78</v>
      </c>
      <c r="AN58" s="108">
        <f t="shared" si="17"/>
        <v>100</v>
      </c>
      <c r="AO58" s="115">
        <f t="shared" si="18"/>
        <v>9</v>
      </c>
      <c r="AP58" s="115">
        <f t="shared" si="19"/>
        <v>13</v>
      </c>
      <c r="AQ58" s="115">
        <f t="shared" si="20"/>
        <v>0</v>
      </c>
      <c r="AR58" s="115">
        <f t="shared" si="21"/>
        <v>0</v>
      </c>
      <c r="AS58" s="115">
        <f t="shared" si="22"/>
        <v>17</v>
      </c>
      <c r="AT58" s="115">
        <f t="shared" si="23"/>
        <v>0</v>
      </c>
      <c r="AU58" s="115">
        <f t="shared" si="24"/>
        <v>18</v>
      </c>
      <c r="AV58" s="115">
        <f t="shared" si="25"/>
        <v>0</v>
      </c>
      <c r="AW58" s="115">
        <f t="shared" si="26"/>
        <v>0</v>
      </c>
      <c r="AX58" s="115">
        <f t="shared" ref="AX58:AY58" si="77">IF(S58=1,2,0)</f>
        <v>0</v>
      </c>
      <c r="AY58" s="115">
        <f t="shared" si="77"/>
        <v>0</v>
      </c>
      <c r="AZ58" s="115">
        <f t="shared" si="28"/>
        <v>10</v>
      </c>
      <c r="BA58" s="115">
        <f t="shared" si="29"/>
        <v>3</v>
      </c>
      <c r="BB58" s="115">
        <f t="shared" si="30"/>
        <v>10</v>
      </c>
      <c r="BC58" s="115">
        <f t="shared" si="31"/>
        <v>8</v>
      </c>
      <c r="BD58" s="115">
        <f t="shared" si="32"/>
        <v>5</v>
      </c>
      <c r="BE58" s="115">
        <f t="shared" si="33"/>
        <v>0</v>
      </c>
      <c r="BF58" s="115">
        <f t="shared" si="34"/>
        <v>0</v>
      </c>
      <c r="BG58" s="115">
        <f t="shared" si="35"/>
        <v>15</v>
      </c>
      <c r="BH58" s="115">
        <f t="shared" si="36"/>
        <v>0</v>
      </c>
      <c r="BI58" s="115">
        <f t="shared" si="37"/>
        <v>0</v>
      </c>
      <c r="BJ58" s="115"/>
      <c r="BK58" s="115">
        <f t="shared" si="38"/>
        <v>0</v>
      </c>
      <c r="BL58" s="109"/>
    </row>
    <row r="59" spans="1:64" ht="15" customHeight="1">
      <c r="A59" s="110" t="s">
        <v>169</v>
      </c>
      <c r="B59" s="114"/>
      <c r="C59" s="111"/>
      <c r="D59" s="111">
        <v>1</v>
      </c>
      <c r="E59" s="111"/>
      <c r="F59" s="111"/>
      <c r="G59" s="111"/>
      <c r="H59" s="111"/>
      <c r="I59" s="111"/>
      <c r="J59" s="111">
        <v>1</v>
      </c>
      <c r="K59" s="111"/>
      <c r="L59" s="111"/>
      <c r="M59" s="111"/>
      <c r="N59" s="111"/>
      <c r="O59" s="111"/>
      <c r="P59" s="111">
        <v>1</v>
      </c>
      <c r="Q59" s="111"/>
      <c r="R59" s="111"/>
      <c r="S59" s="111"/>
      <c r="T59" s="111"/>
      <c r="U59" s="111">
        <v>1</v>
      </c>
      <c r="V59" s="111"/>
      <c r="W59" s="111"/>
      <c r="X59" s="111"/>
      <c r="Y59" s="111"/>
      <c r="Z59" s="111"/>
      <c r="AA59" s="111"/>
      <c r="AB59" s="111"/>
      <c r="AC59" s="111"/>
      <c r="AD59" s="111"/>
      <c r="AE59" s="111"/>
      <c r="AF59" s="111"/>
      <c r="AG59" s="111"/>
      <c r="AH59" s="111"/>
      <c r="AI59" s="111"/>
      <c r="AJ59" s="111"/>
      <c r="AK59" s="111">
        <v>4</v>
      </c>
      <c r="AL59" s="304" t="s">
        <v>1449</v>
      </c>
      <c r="AM59" s="112">
        <f t="shared" si="16"/>
        <v>-7</v>
      </c>
      <c r="AN59" s="112">
        <f t="shared" si="17"/>
        <v>58</v>
      </c>
      <c r="AO59" s="114">
        <f t="shared" si="18"/>
        <v>0</v>
      </c>
      <c r="AP59" s="114">
        <f t="shared" si="19"/>
        <v>13</v>
      </c>
      <c r="AQ59" s="114">
        <f t="shared" si="20"/>
        <v>0</v>
      </c>
      <c r="AR59" s="114">
        <f t="shared" si="21"/>
        <v>0</v>
      </c>
      <c r="AS59" s="114">
        <f t="shared" si="22"/>
        <v>17</v>
      </c>
      <c r="AT59" s="114">
        <f t="shared" si="23"/>
        <v>0</v>
      </c>
      <c r="AU59" s="114">
        <f t="shared" si="24"/>
        <v>18</v>
      </c>
      <c r="AV59" s="114">
        <f t="shared" si="25"/>
        <v>0</v>
      </c>
      <c r="AW59" s="114">
        <f t="shared" si="26"/>
        <v>0</v>
      </c>
      <c r="AX59" s="114">
        <f t="shared" ref="AX59:AY59" si="78">IF(S59=1,2,0)</f>
        <v>0</v>
      </c>
      <c r="AY59" s="114">
        <f t="shared" si="78"/>
        <v>0</v>
      </c>
      <c r="AZ59" s="114">
        <f t="shared" si="28"/>
        <v>10</v>
      </c>
      <c r="BA59" s="114">
        <f t="shared" si="29"/>
        <v>0</v>
      </c>
      <c r="BB59" s="114">
        <f t="shared" si="30"/>
        <v>0</v>
      </c>
      <c r="BC59" s="114">
        <f t="shared" si="31"/>
        <v>0</v>
      </c>
      <c r="BD59" s="114">
        <f t="shared" si="32"/>
        <v>0</v>
      </c>
      <c r="BE59" s="114">
        <f t="shared" si="33"/>
        <v>0</v>
      </c>
      <c r="BF59" s="114">
        <f t="shared" si="34"/>
        <v>0</v>
      </c>
      <c r="BG59" s="114">
        <f t="shared" si="35"/>
        <v>0</v>
      </c>
      <c r="BH59" s="114">
        <f t="shared" si="36"/>
        <v>0</v>
      </c>
      <c r="BI59" s="114">
        <f t="shared" si="37"/>
        <v>0</v>
      </c>
      <c r="BJ59" s="114"/>
      <c r="BK59" s="114">
        <f t="shared" si="38"/>
        <v>36</v>
      </c>
      <c r="BL59" s="113"/>
    </row>
    <row r="60" spans="1:64" ht="15" customHeight="1">
      <c r="A60" s="106" t="s">
        <v>172</v>
      </c>
      <c r="B60" s="115"/>
      <c r="C60" s="107">
        <v>1</v>
      </c>
      <c r="D60" s="107"/>
      <c r="E60" s="107">
        <v>1</v>
      </c>
      <c r="F60" s="107"/>
      <c r="G60" s="107">
        <v>1</v>
      </c>
      <c r="H60" s="107"/>
      <c r="I60" s="107"/>
      <c r="J60" s="107">
        <v>1</v>
      </c>
      <c r="K60" s="107"/>
      <c r="L60" s="107"/>
      <c r="M60" s="107"/>
      <c r="N60" s="107"/>
      <c r="O60" s="107"/>
      <c r="P60" s="107">
        <v>1</v>
      </c>
      <c r="Q60" s="107"/>
      <c r="R60" s="107"/>
      <c r="S60" s="107"/>
      <c r="T60" s="107"/>
      <c r="U60" s="107"/>
      <c r="V60" s="107">
        <v>1</v>
      </c>
      <c r="W60" s="107"/>
      <c r="X60" s="107"/>
      <c r="Y60" s="107">
        <v>1</v>
      </c>
      <c r="Z60" s="107"/>
      <c r="AA60" s="107"/>
      <c r="AB60" s="107">
        <v>1</v>
      </c>
      <c r="AC60" s="107"/>
      <c r="AD60" s="107"/>
      <c r="AE60" s="107"/>
      <c r="AF60" s="107"/>
      <c r="AG60" s="107">
        <v>1</v>
      </c>
      <c r="AH60" s="107"/>
      <c r="AI60" s="107"/>
      <c r="AJ60" s="107">
        <v>1</v>
      </c>
      <c r="AK60" s="107">
        <v>10</v>
      </c>
      <c r="AL60" s="303" t="s">
        <v>1450</v>
      </c>
      <c r="AM60" s="108">
        <f t="shared" si="16"/>
        <v>92</v>
      </c>
      <c r="AN60" s="108">
        <f t="shared" si="17"/>
        <v>86</v>
      </c>
      <c r="AO60" s="115">
        <f t="shared" si="18"/>
        <v>9</v>
      </c>
      <c r="AP60" s="115">
        <f t="shared" si="19"/>
        <v>0</v>
      </c>
      <c r="AQ60" s="115">
        <f t="shared" si="20"/>
        <v>6</v>
      </c>
      <c r="AR60" s="115">
        <f t="shared" si="21"/>
        <v>6</v>
      </c>
      <c r="AS60" s="115">
        <f t="shared" si="22"/>
        <v>17</v>
      </c>
      <c r="AT60" s="115">
        <f t="shared" si="23"/>
        <v>0</v>
      </c>
      <c r="AU60" s="115">
        <f t="shared" si="24"/>
        <v>18</v>
      </c>
      <c r="AV60" s="115">
        <f t="shared" si="25"/>
        <v>0</v>
      </c>
      <c r="AW60" s="115">
        <f t="shared" si="26"/>
        <v>0</v>
      </c>
      <c r="AX60" s="115">
        <f t="shared" ref="AX60:AY60" si="79">IF(S60=1,2,0)</f>
        <v>0</v>
      </c>
      <c r="AY60" s="115">
        <f t="shared" si="79"/>
        <v>0</v>
      </c>
      <c r="AZ60" s="115">
        <f t="shared" si="28"/>
        <v>0</v>
      </c>
      <c r="BA60" s="115">
        <f t="shared" si="29"/>
        <v>3</v>
      </c>
      <c r="BB60" s="115">
        <f t="shared" si="30"/>
        <v>10</v>
      </c>
      <c r="BC60" s="115">
        <f t="shared" si="31"/>
        <v>0</v>
      </c>
      <c r="BD60" s="115">
        <f t="shared" si="32"/>
        <v>5</v>
      </c>
      <c r="BE60" s="115">
        <f t="shared" si="33"/>
        <v>0</v>
      </c>
      <c r="BF60" s="115">
        <f t="shared" si="34"/>
        <v>0</v>
      </c>
      <c r="BG60" s="115">
        <f t="shared" si="35"/>
        <v>15</v>
      </c>
      <c r="BH60" s="115">
        <f t="shared" si="36"/>
        <v>0</v>
      </c>
      <c r="BI60" s="115">
        <f t="shared" si="37"/>
        <v>2</v>
      </c>
      <c r="BJ60" s="115"/>
      <c r="BK60" s="115">
        <f t="shared" si="38"/>
        <v>0</v>
      </c>
      <c r="BL60" s="109"/>
    </row>
    <row r="61" spans="1:64" ht="15" customHeight="1">
      <c r="A61" s="110" t="s">
        <v>175</v>
      </c>
      <c r="B61" s="114"/>
      <c r="C61" s="111">
        <v>1</v>
      </c>
      <c r="D61" s="111">
        <v>1</v>
      </c>
      <c r="E61" s="111"/>
      <c r="F61" s="111"/>
      <c r="G61" s="111"/>
      <c r="H61" s="111"/>
      <c r="I61" s="111"/>
      <c r="J61" s="111">
        <v>1</v>
      </c>
      <c r="K61" s="111"/>
      <c r="L61" s="111"/>
      <c r="M61" s="111"/>
      <c r="N61" s="111"/>
      <c r="O61" s="111"/>
      <c r="P61" s="111">
        <v>1</v>
      </c>
      <c r="Q61" s="111">
        <v>1</v>
      </c>
      <c r="R61" s="111"/>
      <c r="S61" s="111"/>
      <c r="T61" s="111"/>
      <c r="U61" s="111">
        <v>1</v>
      </c>
      <c r="V61" s="111">
        <v>1</v>
      </c>
      <c r="W61" s="111"/>
      <c r="X61" s="111"/>
      <c r="Y61" s="111">
        <v>1</v>
      </c>
      <c r="Z61" s="111">
        <v>1</v>
      </c>
      <c r="AA61" s="111"/>
      <c r="AB61" s="111"/>
      <c r="AC61" s="111"/>
      <c r="AD61" s="111"/>
      <c r="AE61" s="111"/>
      <c r="AF61" s="111"/>
      <c r="AG61" s="111">
        <v>1</v>
      </c>
      <c r="AH61" s="111"/>
      <c r="AI61" s="111"/>
      <c r="AJ61" s="111"/>
      <c r="AK61" s="111">
        <v>10</v>
      </c>
      <c r="AL61" s="304" t="s">
        <v>1451</v>
      </c>
      <c r="AM61" s="112">
        <f t="shared" si="16"/>
        <v>78</v>
      </c>
      <c r="AN61" s="112">
        <f t="shared" si="17"/>
        <v>100</v>
      </c>
      <c r="AO61" s="114">
        <f t="shared" si="18"/>
        <v>9</v>
      </c>
      <c r="AP61" s="114">
        <f t="shared" si="19"/>
        <v>13</v>
      </c>
      <c r="AQ61" s="114">
        <f t="shared" si="20"/>
        <v>0</v>
      </c>
      <c r="AR61" s="114">
        <f t="shared" si="21"/>
        <v>0</v>
      </c>
      <c r="AS61" s="114">
        <f t="shared" si="22"/>
        <v>17</v>
      </c>
      <c r="AT61" s="114">
        <f t="shared" si="23"/>
        <v>0</v>
      </c>
      <c r="AU61" s="114">
        <f t="shared" si="24"/>
        <v>18</v>
      </c>
      <c r="AV61" s="114">
        <f t="shared" si="25"/>
        <v>4</v>
      </c>
      <c r="AW61" s="114">
        <f t="shared" si="26"/>
        <v>0</v>
      </c>
      <c r="AX61" s="114">
        <f t="shared" ref="AX61:AY61" si="80">IF(S61=1,2,0)</f>
        <v>0</v>
      </c>
      <c r="AY61" s="114">
        <f t="shared" si="80"/>
        <v>0</v>
      </c>
      <c r="AZ61" s="114">
        <f t="shared" si="28"/>
        <v>10</v>
      </c>
      <c r="BA61" s="114">
        <f t="shared" si="29"/>
        <v>3</v>
      </c>
      <c r="BB61" s="114">
        <f t="shared" si="30"/>
        <v>10</v>
      </c>
      <c r="BC61" s="114">
        <f t="shared" si="31"/>
        <v>8</v>
      </c>
      <c r="BD61" s="114">
        <f t="shared" si="32"/>
        <v>0</v>
      </c>
      <c r="BE61" s="114">
        <f t="shared" si="33"/>
        <v>0</v>
      </c>
      <c r="BF61" s="114">
        <f t="shared" si="34"/>
        <v>0</v>
      </c>
      <c r="BG61" s="114">
        <f t="shared" si="35"/>
        <v>15</v>
      </c>
      <c r="BH61" s="114">
        <f t="shared" si="36"/>
        <v>0</v>
      </c>
      <c r="BI61" s="114">
        <f t="shared" si="37"/>
        <v>0</v>
      </c>
      <c r="BJ61" s="114"/>
      <c r="BK61" s="114">
        <f t="shared" si="38"/>
        <v>0</v>
      </c>
      <c r="BL61" s="113"/>
    </row>
    <row r="62" spans="1:64" ht="15" customHeight="1">
      <c r="A62" s="106" t="s">
        <v>1452</v>
      </c>
      <c r="B62" s="115"/>
      <c r="C62" s="107"/>
      <c r="D62" s="107">
        <v>1</v>
      </c>
      <c r="E62" s="107">
        <v>1</v>
      </c>
      <c r="F62" s="107"/>
      <c r="G62" s="107">
        <v>1</v>
      </c>
      <c r="H62" s="107"/>
      <c r="I62" s="107"/>
      <c r="J62" s="107">
        <v>1</v>
      </c>
      <c r="K62" s="107"/>
      <c r="L62" s="107"/>
      <c r="M62" s="107"/>
      <c r="N62" s="107"/>
      <c r="O62" s="107"/>
      <c r="P62" s="107">
        <v>1</v>
      </c>
      <c r="Q62" s="107"/>
      <c r="R62" s="107"/>
      <c r="S62" s="107"/>
      <c r="T62" s="107"/>
      <c r="U62" s="107"/>
      <c r="V62" s="107"/>
      <c r="W62" s="107"/>
      <c r="X62" s="107"/>
      <c r="Y62" s="107">
        <v>1</v>
      </c>
      <c r="Z62" s="107"/>
      <c r="AA62" s="107"/>
      <c r="AB62" s="107"/>
      <c r="AC62" s="107"/>
      <c r="AD62" s="107"/>
      <c r="AE62" s="107"/>
      <c r="AF62" s="107">
        <v>1</v>
      </c>
      <c r="AG62" s="107">
        <v>1</v>
      </c>
      <c r="AH62" s="107"/>
      <c r="AI62" s="107"/>
      <c r="AJ62" s="107"/>
      <c r="AK62" s="107">
        <f t="shared" ref="AK62:AK63" si="81">SUM(B62:AJ62)</f>
        <v>8</v>
      </c>
      <c r="AL62" s="303" t="s">
        <v>1453</v>
      </c>
      <c r="AM62" s="108">
        <f t="shared" si="16"/>
        <v>76</v>
      </c>
      <c r="AN62" s="108">
        <f t="shared" si="17"/>
        <v>86</v>
      </c>
      <c r="AO62" s="115">
        <f t="shared" si="18"/>
        <v>0</v>
      </c>
      <c r="AP62" s="115">
        <f t="shared" si="19"/>
        <v>13</v>
      </c>
      <c r="AQ62" s="115">
        <f t="shared" si="20"/>
        <v>6</v>
      </c>
      <c r="AR62" s="115">
        <f t="shared" si="21"/>
        <v>6</v>
      </c>
      <c r="AS62" s="115">
        <f t="shared" si="22"/>
        <v>17</v>
      </c>
      <c r="AT62" s="115">
        <f t="shared" si="23"/>
        <v>0</v>
      </c>
      <c r="AU62" s="115">
        <f t="shared" si="24"/>
        <v>18</v>
      </c>
      <c r="AV62" s="115">
        <f t="shared" si="25"/>
        <v>0</v>
      </c>
      <c r="AW62" s="115">
        <f t="shared" si="26"/>
        <v>0</v>
      </c>
      <c r="AX62" s="115">
        <f t="shared" ref="AX62:AY62" si="82">IF(S62=1,2,0)</f>
        <v>0</v>
      </c>
      <c r="AY62" s="115">
        <f t="shared" si="82"/>
        <v>0</v>
      </c>
      <c r="AZ62" s="115">
        <f t="shared" si="28"/>
        <v>0</v>
      </c>
      <c r="BA62" s="115">
        <f t="shared" si="29"/>
        <v>0</v>
      </c>
      <c r="BB62" s="115">
        <f t="shared" si="30"/>
        <v>10</v>
      </c>
      <c r="BC62" s="115">
        <f t="shared" si="31"/>
        <v>0</v>
      </c>
      <c r="BD62" s="115">
        <f t="shared" si="32"/>
        <v>0</v>
      </c>
      <c r="BE62" s="115">
        <f t="shared" si="33"/>
        <v>0</v>
      </c>
      <c r="BF62" s="115">
        <f t="shared" si="34"/>
        <v>1</v>
      </c>
      <c r="BG62" s="115">
        <f t="shared" si="35"/>
        <v>15</v>
      </c>
      <c r="BH62" s="115">
        <f t="shared" si="36"/>
        <v>0</v>
      </c>
      <c r="BI62" s="115">
        <f t="shared" si="37"/>
        <v>0</v>
      </c>
      <c r="BJ62" s="115"/>
      <c r="BK62" s="115">
        <f t="shared" si="38"/>
        <v>4</v>
      </c>
      <c r="BL62" s="109"/>
    </row>
    <row r="63" spans="1:64" ht="15" customHeight="1">
      <c r="A63" s="110" t="s">
        <v>182</v>
      </c>
      <c r="B63" s="114"/>
      <c r="C63" s="111">
        <v>1</v>
      </c>
      <c r="D63" s="111">
        <v>1</v>
      </c>
      <c r="E63" s="111"/>
      <c r="F63" s="111"/>
      <c r="G63" s="111"/>
      <c r="H63" s="111"/>
      <c r="I63" s="111"/>
      <c r="J63" s="111">
        <v>1</v>
      </c>
      <c r="K63" s="111"/>
      <c r="L63" s="111"/>
      <c r="M63" s="111"/>
      <c r="N63" s="111"/>
      <c r="O63" s="111"/>
      <c r="P63" s="111">
        <v>1</v>
      </c>
      <c r="Q63" s="111"/>
      <c r="R63" s="111"/>
      <c r="S63" s="111">
        <v>1</v>
      </c>
      <c r="T63" s="111"/>
      <c r="U63" s="111"/>
      <c r="V63" s="111"/>
      <c r="W63" s="111"/>
      <c r="X63" s="111"/>
      <c r="Y63" s="111">
        <v>1</v>
      </c>
      <c r="Z63" s="111">
        <v>1</v>
      </c>
      <c r="AA63" s="111"/>
      <c r="AB63" s="111">
        <v>1</v>
      </c>
      <c r="AC63" s="111"/>
      <c r="AD63" s="111">
        <v>1</v>
      </c>
      <c r="AE63" s="111"/>
      <c r="AF63" s="111"/>
      <c r="AG63" s="111">
        <v>1</v>
      </c>
      <c r="AH63" s="111"/>
      <c r="AI63" s="111"/>
      <c r="AJ63" s="111"/>
      <c r="AK63" s="111">
        <f t="shared" si="81"/>
        <v>10</v>
      </c>
      <c r="AL63" s="304" t="s">
        <v>1454</v>
      </c>
      <c r="AM63" s="112">
        <f t="shared" si="16"/>
        <v>75</v>
      </c>
      <c r="AN63" s="112">
        <f t="shared" si="17"/>
        <v>95</v>
      </c>
      <c r="AO63" s="114">
        <f t="shared" si="18"/>
        <v>9</v>
      </c>
      <c r="AP63" s="114">
        <f t="shared" si="19"/>
        <v>13</v>
      </c>
      <c r="AQ63" s="114">
        <f t="shared" si="20"/>
        <v>0</v>
      </c>
      <c r="AR63" s="114">
        <f t="shared" si="21"/>
        <v>0</v>
      </c>
      <c r="AS63" s="114">
        <f t="shared" si="22"/>
        <v>17</v>
      </c>
      <c r="AT63" s="114">
        <f t="shared" si="23"/>
        <v>0</v>
      </c>
      <c r="AU63" s="114">
        <f t="shared" si="24"/>
        <v>18</v>
      </c>
      <c r="AV63" s="114">
        <f t="shared" si="25"/>
        <v>0</v>
      </c>
      <c r="AW63" s="114">
        <f t="shared" si="26"/>
        <v>0</v>
      </c>
      <c r="AX63" s="114">
        <f t="shared" ref="AX63:AY63" si="83">IF(S63=1,2,0)</f>
        <v>2</v>
      </c>
      <c r="AY63" s="114">
        <f t="shared" si="83"/>
        <v>0</v>
      </c>
      <c r="AZ63" s="114">
        <f t="shared" si="28"/>
        <v>0</v>
      </c>
      <c r="BA63" s="114">
        <f t="shared" si="29"/>
        <v>0</v>
      </c>
      <c r="BB63" s="114">
        <f t="shared" si="30"/>
        <v>10</v>
      </c>
      <c r="BC63" s="114">
        <f t="shared" si="31"/>
        <v>8</v>
      </c>
      <c r="BD63" s="114">
        <f t="shared" si="32"/>
        <v>5</v>
      </c>
      <c r="BE63" s="114">
        <f t="shared" si="33"/>
        <v>5</v>
      </c>
      <c r="BF63" s="114">
        <f t="shared" si="34"/>
        <v>0</v>
      </c>
      <c r="BG63" s="114">
        <f t="shared" si="35"/>
        <v>15</v>
      </c>
      <c r="BH63" s="114">
        <f t="shared" si="36"/>
        <v>0</v>
      </c>
      <c r="BI63" s="114">
        <f t="shared" si="37"/>
        <v>0</v>
      </c>
      <c r="BJ63" s="114"/>
      <c r="BK63" s="114">
        <f t="shared" si="38"/>
        <v>0</v>
      </c>
      <c r="BL63" s="113"/>
    </row>
    <row r="64" spans="1:64" ht="15" customHeight="1">
      <c r="A64" s="106" t="s">
        <v>1135</v>
      </c>
      <c r="B64" s="115"/>
      <c r="C64" s="107"/>
      <c r="D64" s="107"/>
      <c r="E64" s="107">
        <v>1</v>
      </c>
      <c r="F64" s="107"/>
      <c r="G64" s="107">
        <v>1</v>
      </c>
      <c r="H64" s="107"/>
      <c r="I64" s="107"/>
      <c r="J64" s="107"/>
      <c r="K64" s="107"/>
      <c r="L64" s="107"/>
      <c r="M64" s="107"/>
      <c r="N64" s="107"/>
      <c r="O64" s="107"/>
      <c r="P64" s="107">
        <v>1</v>
      </c>
      <c r="Q64" s="107">
        <v>1</v>
      </c>
      <c r="R64" s="107"/>
      <c r="S64" s="107"/>
      <c r="T64" s="107"/>
      <c r="U64" s="107"/>
      <c r="V64" s="107"/>
      <c r="W64" s="107"/>
      <c r="X64" s="107">
        <v>1</v>
      </c>
      <c r="Y64" s="107">
        <v>1</v>
      </c>
      <c r="Z64" s="107">
        <v>1</v>
      </c>
      <c r="AA64" s="107"/>
      <c r="AB64" s="107"/>
      <c r="AC64" s="107"/>
      <c r="AD64" s="107"/>
      <c r="AE64" s="107"/>
      <c r="AF64" s="107">
        <v>1</v>
      </c>
      <c r="AG64" s="107">
        <v>1</v>
      </c>
      <c r="AH64" s="107"/>
      <c r="AI64" s="107"/>
      <c r="AJ64" s="107">
        <v>1</v>
      </c>
      <c r="AK64" s="107">
        <v>10</v>
      </c>
      <c r="AL64" s="303" t="s">
        <v>1455</v>
      </c>
      <c r="AM64" s="108">
        <f t="shared" si="16"/>
        <v>85</v>
      </c>
      <c r="AN64" s="108">
        <f t="shared" si="17"/>
        <v>69</v>
      </c>
      <c r="AO64" s="115">
        <f t="shared" si="18"/>
        <v>0</v>
      </c>
      <c r="AP64" s="115">
        <f t="shared" si="19"/>
        <v>0</v>
      </c>
      <c r="AQ64" s="115">
        <f t="shared" si="20"/>
        <v>6</v>
      </c>
      <c r="AR64" s="115">
        <f t="shared" si="21"/>
        <v>6</v>
      </c>
      <c r="AS64" s="115">
        <f t="shared" si="22"/>
        <v>0</v>
      </c>
      <c r="AT64" s="115">
        <f t="shared" si="23"/>
        <v>0</v>
      </c>
      <c r="AU64" s="115">
        <f t="shared" si="24"/>
        <v>18</v>
      </c>
      <c r="AV64" s="115">
        <f t="shared" si="25"/>
        <v>4</v>
      </c>
      <c r="AW64" s="115">
        <f t="shared" si="26"/>
        <v>0</v>
      </c>
      <c r="AX64" s="115">
        <f t="shared" ref="AX64:AY64" si="84">IF(S64=1,2,0)</f>
        <v>0</v>
      </c>
      <c r="AY64" s="115">
        <f t="shared" si="84"/>
        <v>0</v>
      </c>
      <c r="AZ64" s="115">
        <f t="shared" si="28"/>
        <v>0</v>
      </c>
      <c r="BA64" s="115">
        <f t="shared" si="29"/>
        <v>0</v>
      </c>
      <c r="BB64" s="115">
        <f t="shared" si="30"/>
        <v>10</v>
      </c>
      <c r="BC64" s="115">
        <f t="shared" si="31"/>
        <v>8</v>
      </c>
      <c r="BD64" s="115">
        <f t="shared" si="32"/>
        <v>0</v>
      </c>
      <c r="BE64" s="115">
        <f t="shared" si="33"/>
        <v>0</v>
      </c>
      <c r="BF64" s="115">
        <f t="shared" si="34"/>
        <v>1</v>
      </c>
      <c r="BG64" s="115">
        <f t="shared" si="35"/>
        <v>15</v>
      </c>
      <c r="BH64" s="115">
        <f t="shared" si="36"/>
        <v>0</v>
      </c>
      <c r="BI64" s="115">
        <f t="shared" si="37"/>
        <v>2</v>
      </c>
      <c r="BJ64" s="115"/>
      <c r="BK64" s="115">
        <f t="shared" si="38"/>
        <v>0</v>
      </c>
      <c r="BL64" s="109"/>
    </row>
    <row r="65" spans="1:64" ht="15" customHeight="1">
      <c r="A65" s="110" t="s">
        <v>1138</v>
      </c>
      <c r="B65" s="114"/>
      <c r="C65" s="111">
        <v>1</v>
      </c>
      <c r="D65" s="111"/>
      <c r="E65" s="111">
        <v>1</v>
      </c>
      <c r="F65" s="111"/>
      <c r="G65" s="111">
        <v>1</v>
      </c>
      <c r="H65" s="111"/>
      <c r="I65" s="111"/>
      <c r="J65" s="111">
        <v>1</v>
      </c>
      <c r="K65" s="111"/>
      <c r="L65" s="111"/>
      <c r="M65" s="111"/>
      <c r="N65" s="111"/>
      <c r="O65" s="111"/>
      <c r="P65" s="111">
        <v>1</v>
      </c>
      <c r="Q65" s="111"/>
      <c r="R65" s="111"/>
      <c r="S65" s="111"/>
      <c r="T65" s="111"/>
      <c r="U65" s="111">
        <v>1</v>
      </c>
      <c r="V65" s="111"/>
      <c r="W65" s="111"/>
      <c r="X65" s="111"/>
      <c r="Y65" s="111">
        <v>1</v>
      </c>
      <c r="Z65" s="111">
        <v>1</v>
      </c>
      <c r="AA65" s="111"/>
      <c r="AB65" s="111">
        <v>1</v>
      </c>
      <c r="AC65" s="111"/>
      <c r="AD65" s="111"/>
      <c r="AE65" s="111"/>
      <c r="AF65" s="111"/>
      <c r="AG65" s="111">
        <v>1</v>
      </c>
      <c r="AH65" s="111"/>
      <c r="AI65" s="111"/>
      <c r="AJ65" s="111"/>
      <c r="AK65" s="111">
        <f t="shared" ref="AK65:AK66" si="85">SUM(B65:AJ65)</f>
        <v>10</v>
      </c>
      <c r="AL65" s="304" t="s">
        <v>1456</v>
      </c>
      <c r="AM65" s="112">
        <f t="shared" si="16"/>
        <v>94</v>
      </c>
      <c r="AN65" s="112">
        <f t="shared" si="17"/>
        <v>93</v>
      </c>
      <c r="AO65" s="114">
        <f t="shared" si="18"/>
        <v>9</v>
      </c>
      <c r="AP65" s="114">
        <f t="shared" si="19"/>
        <v>0</v>
      </c>
      <c r="AQ65" s="114">
        <f t="shared" si="20"/>
        <v>6</v>
      </c>
      <c r="AR65" s="114">
        <f t="shared" si="21"/>
        <v>6</v>
      </c>
      <c r="AS65" s="114">
        <f t="shared" si="22"/>
        <v>17</v>
      </c>
      <c r="AT65" s="114">
        <f t="shared" si="23"/>
        <v>0</v>
      </c>
      <c r="AU65" s="114">
        <f t="shared" si="24"/>
        <v>18</v>
      </c>
      <c r="AV65" s="114">
        <f t="shared" si="25"/>
        <v>0</v>
      </c>
      <c r="AW65" s="114">
        <f t="shared" si="26"/>
        <v>0</v>
      </c>
      <c r="AX65" s="114">
        <f t="shared" ref="AX65:AY65" si="86">IF(S65=1,2,0)</f>
        <v>0</v>
      </c>
      <c r="AY65" s="114">
        <f t="shared" si="86"/>
        <v>0</v>
      </c>
      <c r="AZ65" s="114">
        <f t="shared" si="28"/>
        <v>10</v>
      </c>
      <c r="BA65" s="114">
        <f t="shared" si="29"/>
        <v>0</v>
      </c>
      <c r="BB65" s="114">
        <f t="shared" si="30"/>
        <v>10</v>
      </c>
      <c r="BC65" s="114">
        <f t="shared" si="31"/>
        <v>8</v>
      </c>
      <c r="BD65" s="114">
        <f t="shared" si="32"/>
        <v>5</v>
      </c>
      <c r="BE65" s="114">
        <f t="shared" si="33"/>
        <v>0</v>
      </c>
      <c r="BF65" s="114">
        <f t="shared" si="34"/>
        <v>0</v>
      </c>
      <c r="BG65" s="114">
        <f t="shared" si="35"/>
        <v>15</v>
      </c>
      <c r="BH65" s="114">
        <f t="shared" si="36"/>
        <v>0</v>
      </c>
      <c r="BI65" s="114">
        <f t="shared" si="37"/>
        <v>0</v>
      </c>
      <c r="BJ65" s="114"/>
      <c r="BK65" s="114">
        <f t="shared" si="38"/>
        <v>0</v>
      </c>
      <c r="BL65" s="113"/>
    </row>
    <row r="66" spans="1:64" ht="15" customHeight="1">
      <c r="A66" s="106" t="s">
        <v>1297</v>
      </c>
      <c r="B66" s="115"/>
      <c r="C66" s="107"/>
      <c r="D66" s="107"/>
      <c r="E66" s="107">
        <v>1</v>
      </c>
      <c r="F66" s="107"/>
      <c r="G66" s="107">
        <v>1</v>
      </c>
      <c r="H66" s="107"/>
      <c r="I66" s="107"/>
      <c r="J66" s="107">
        <v>1</v>
      </c>
      <c r="K66" s="107"/>
      <c r="L66" s="107"/>
      <c r="M66" s="107"/>
      <c r="N66" s="107">
        <v>1</v>
      </c>
      <c r="O66" s="107"/>
      <c r="P66" s="107">
        <v>1</v>
      </c>
      <c r="Q66" s="107"/>
      <c r="R66" s="107"/>
      <c r="S66" s="107">
        <v>1</v>
      </c>
      <c r="T66" s="107"/>
      <c r="U66" s="107">
        <v>1</v>
      </c>
      <c r="V66" s="107"/>
      <c r="W66" s="107"/>
      <c r="X66" s="107"/>
      <c r="Y66" s="107"/>
      <c r="Z66" s="107">
        <v>1</v>
      </c>
      <c r="AA66" s="107"/>
      <c r="AB66" s="107"/>
      <c r="AC66" s="107"/>
      <c r="AD66" s="107"/>
      <c r="AE66" s="107"/>
      <c r="AF66" s="107"/>
      <c r="AG66" s="107">
        <v>1</v>
      </c>
      <c r="AH66" s="107"/>
      <c r="AI66" s="107"/>
      <c r="AJ66" s="107">
        <v>1</v>
      </c>
      <c r="AK66" s="107">
        <f t="shared" si="85"/>
        <v>10</v>
      </c>
      <c r="AL66" s="115" t="s">
        <v>1457</v>
      </c>
      <c r="AM66" s="108">
        <f t="shared" si="16"/>
        <v>79</v>
      </c>
      <c r="AN66" s="108">
        <f t="shared" si="17"/>
        <v>82</v>
      </c>
      <c r="AO66" s="115">
        <f t="shared" si="18"/>
        <v>0</v>
      </c>
      <c r="AP66" s="115">
        <f t="shared" si="19"/>
        <v>0</v>
      </c>
      <c r="AQ66" s="115">
        <f t="shared" si="20"/>
        <v>6</v>
      </c>
      <c r="AR66" s="115">
        <f t="shared" si="21"/>
        <v>6</v>
      </c>
      <c r="AS66" s="115">
        <f t="shared" si="22"/>
        <v>17</v>
      </c>
      <c r="AT66" s="115">
        <f t="shared" si="23"/>
        <v>2</v>
      </c>
      <c r="AU66" s="115">
        <f t="shared" si="24"/>
        <v>18</v>
      </c>
      <c r="AV66" s="115">
        <f t="shared" si="25"/>
        <v>0</v>
      </c>
      <c r="AW66" s="115">
        <f t="shared" si="26"/>
        <v>0</v>
      </c>
      <c r="AX66" s="115">
        <f t="shared" ref="AX66:AY66" si="87">IF(S66=1,2,0)</f>
        <v>2</v>
      </c>
      <c r="AY66" s="115">
        <f t="shared" si="87"/>
        <v>0</v>
      </c>
      <c r="AZ66" s="115">
        <f t="shared" si="28"/>
        <v>10</v>
      </c>
      <c r="BA66" s="115">
        <f t="shared" si="29"/>
        <v>0</v>
      </c>
      <c r="BB66" s="115">
        <f t="shared" si="30"/>
        <v>0</v>
      </c>
      <c r="BC66" s="115">
        <f t="shared" si="31"/>
        <v>8</v>
      </c>
      <c r="BD66" s="115">
        <f t="shared" si="32"/>
        <v>0</v>
      </c>
      <c r="BE66" s="115">
        <f t="shared" si="33"/>
        <v>0</v>
      </c>
      <c r="BF66" s="115">
        <f t="shared" si="34"/>
        <v>0</v>
      </c>
      <c r="BG66" s="115">
        <f t="shared" si="35"/>
        <v>15</v>
      </c>
      <c r="BH66" s="115">
        <f t="shared" si="36"/>
        <v>0</v>
      </c>
      <c r="BI66" s="115">
        <f t="shared" si="37"/>
        <v>2</v>
      </c>
      <c r="BJ66" s="115"/>
      <c r="BK66" s="115">
        <f t="shared" si="38"/>
        <v>0</v>
      </c>
      <c r="BL66" s="109"/>
    </row>
    <row r="67" spans="1:64" ht="15" customHeight="1">
      <c r="A67" s="110" t="s">
        <v>818</v>
      </c>
      <c r="B67" s="114"/>
      <c r="C67" s="111">
        <v>1</v>
      </c>
      <c r="D67" s="111">
        <v>1</v>
      </c>
      <c r="E67" s="111"/>
      <c r="F67" s="111"/>
      <c r="G67" s="111"/>
      <c r="H67" s="111"/>
      <c r="I67" s="111"/>
      <c r="J67" s="111">
        <v>1</v>
      </c>
      <c r="K67" s="111"/>
      <c r="L67" s="111"/>
      <c r="M67" s="111"/>
      <c r="N67" s="111"/>
      <c r="O67" s="111"/>
      <c r="P67" s="111">
        <v>1</v>
      </c>
      <c r="Q67" s="111"/>
      <c r="R67" s="111"/>
      <c r="S67" s="111">
        <v>1</v>
      </c>
      <c r="T67" s="111"/>
      <c r="U67" s="111">
        <v>1</v>
      </c>
      <c r="V67" s="111"/>
      <c r="W67" s="111"/>
      <c r="X67" s="111"/>
      <c r="Y67" s="111">
        <v>1</v>
      </c>
      <c r="Z67" s="111">
        <v>1</v>
      </c>
      <c r="AA67" s="111"/>
      <c r="AB67" s="111"/>
      <c r="AC67" s="111"/>
      <c r="AD67" s="111">
        <v>1</v>
      </c>
      <c r="AE67" s="111"/>
      <c r="AF67" s="111"/>
      <c r="AG67" s="111">
        <v>1</v>
      </c>
      <c r="AH67" s="111"/>
      <c r="AI67" s="111"/>
      <c r="AJ67" s="111"/>
      <c r="AK67" s="111">
        <v>10</v>
      </c>
      <c r="AL67" s="304" t="s">
        <v>1458</v>
      </c>
      <c r="AM67" s="112">
        <f t="shared" si="16"/>
        <v>71</v>
      </c>
      <c r="AN67" s="112">
        <f t="shared" si="17"/>
        <v>100</v>
      </c>
      <c r="AO67" s="114">
        <f t="shared" si="18"/>
        <v>9</v>
      </c>
      <c r="AP67" s="114">
        <f t="shared" si="19"/>
        <v>13</v>
      </c>
      <c r="AQ67" s="114">
        <f t="shared" si="20"/>
        <v>0</v>
      </c>
      <c r="AR67" s="114">
        <f t="shared" si="21"/>
        <v>0</v>
      </c>
      <c r="AS67" s="114">
        <f t="shared" si="22"/>
        <v>17</v>
      </c>
      <c r="AT67" s="114">
        <f t="shared" si="23"/>
        <v>0</v>
      </c>
      <c r="AU67" s="114">
        <f t="shared" si="24"/>
        <v>18</v>
      </c>
      <c r="AV67" s="114">
        <f t="shared" si="25"/>
        <v>0</v>
      </c>
      <c r="AW67" s="114">
        <f t="shared" si="26"/>
        <v>0</v>
      </c>
      <c r="AX67" s="114">
        <f t="shared" ref="AX67:AY67" si="88">IF(S67=1,2,0)</f>
        <v>2</v>
      </c>
      <c r="AY67" s="114">
        <f t="shared" si="88"/>
        <v>0</v>
      </c>
      <c r="AZ67" s="114">
        <f t="shared" si="28"/>
        <v>10</v>
      </c>
      <c r="BA67" s="114">
        <f t="shared" si="29"/>
        <v>0</v>
      </c>
      <c r="BB67" s="114">
        <f t="shared" si="30"/>
        <v>10</v>
      </c>
      <c r="BC67" s="114">
        <f t="shared" si="31"/>
        <v>8</v>
      </c>
      <c r="BD67" s="114">
        <f t="shared" si="32"/>
        <v>0</v>
      </c>
      <c r="BE67" s="114">
        <f t="shared" si="33"/>
        <v>5</v>
      </c>
      <c r="BF67" s="114">
        <f t="shared" si="34"/>
        <v>0</v>
      </c>
      <c r="BG67" s="114">
        <f t="shared" si="35"/>
        <v>15</v>
      </c>
      <c r="BH67" s="114">
        <f t="shared" si="36"/>
        <v>0</v>
      </c>
      <c r="BI67" s="114">
        <f t="shared" si="37"/>
        <v>0</v>
      </c>
      <c r="BJ67" s="114"/>
      <c r="BK67" s="114">
        <f t="shared" si="38"/>
        <v>0</v>
      </c>
      <c r="BL67" s="113"/>
    </row>
    <row r="68" spans="1:64" ht="15" customHeight="1">
      <c r="A68" s="106" t="s">
        <v>184</v>
      </c>
      <c r="B68" s="115"/>
      <c r="C68" s="107">
        <v>1</v>
      </c>
      <c r="D68" s="107">
        <v>1</v>
      </c>
      <c r="E68" s="107"/>
      <c r="F68" s="107"/>
      <c r="G68" s="107"/>
      <c r="H68" s="107"/>
      <c r="I68" s="107"/>
      <c r="J68" s="107">
        <v>1</v>
      </c>
      <c r="K68" s="107"/>
      <c r="L68" s="107"/>
      <c r="M68" s="107"/>
      <c r="N68" s="107"/>
      <c r="O68" s="107"/>
      <c r="P68" s="107">
        <v>1</v>
      </c>
      <c r="Q68" s="107"/>
      <c r="R68" s="107"/>
      <c r="S68" s="107"/>
      <c r="T68" s="107"/>
      <c r="U68" s="107"/>
      <c r="V68" s="107">
        <v>1</v>
      </c>
      <c r="W68" s="107"/>
      <c r="X68" s="107"/>
      <c r="Y68" s="107">
        <v>1</v>
      </c>
      <c r="Z68" s="107">
        <v>1</v>
      </c>
      <c r="AA68" s="107"/>
      <c r="AB68" s="107">
        <v>1</v>
      </c>
      <c r="AC68" s="107"/>
      <c r="AD68" s="107"/>
      <c r="AE68" s="107"/>
      <c r="AF68" s="107"/>
      <c r="AG68" s="107">
        <v>1</v>
      </c>
      <c r="AH68" s="107"/>
      <c r="AI68" s="107">
        <v>1</v>
      </c>
      <c r="AJ68" s="107"/>
      <c r="AK68" s="107">
        <v>10</v>
      </c>
      <c r="AL68" s="303" t="s">
        <v>1459</v>
      </c>
      <c r="AM68" s="108">
        <f t="shared" si="16"/>
        <v>82</v>
      </c>
      <c r="AN68" s="108">
        <f t="shared" si="17"/>
        <v>95</v>
      </c>
      <c r="AO68" s="115">
        <f t="shared" si="18"/>
        <v>9</v>
      </c>
      <c r="AP68" s="115">
        <f t="shared" si="19"/>
        <v>13</v>
      </c>
      <c r="AQ68" s="115">
        <f t="shared" si="20"/>
        <v>0</v>
      </c>
      <c r="AR68" s="115">
        <f t="shared" si="21"/>
        <v>0</v>
      </c>
      <c r="AS68" s="115">
        <f t="shared" si="22"/>
        <v>17</v>
      </c>
      <c r="AT68" s="115">
        <f t="shared" si="23"/>
        <v>0</v>
      </c>
      <c r="AU68" s="115">
        <f t="shared" si="24"/>
        <v>18</v>
      </c>
      <c r="AV68" s="115">
        <f t="shared" si="25"/>
        <v>0</v>
      </c>
      <c r="AW68" s="115">
        <f t="shared" si="26"/>
        <v>0</v>
      </c>
      <c r="AX68" s="115">
        <f t="shared" ref="AX68:AY68" si="89">IF(S68=1,2,0)</f>
        <v>0</v>
      </c>
      <c r="AY68" s="115">
        <f t="shared" si="89"/>
        <v>0</v>
      </c>
      <c r="AZ68" s="115">
        <f t="shared" si="28"/>
        <v>0</v>
      </c>
      <c r="BA68" s="115">
        <f t="shared" si="29"/>
        <v>3</v>
      </c>
      <c r="BB68" s="115">
        <f t="shared" si="30"/>
        <v>10</v>
      </c>
      <c r="BC68" s="115">
        <f t="shared" si="31"/>
        <v>8</v>
      </c>
      <c r="BD68" s="115">
        <f t="shared" si="32"/>
        <v>5</v>
      </c>
      <c r="BE68" s="115">
        <f t="shared" si="33"/>
        <v>0</v>
      </c>
      <c r="BF68" s="115">
        <f t="shared" si="34"/>
        <v>0</v>
      </c>
      <c r="BG68" s="115">
        <f t="shared" si="35"/>
        <v>15</v>
      </c>
      <c r="BH68" s="115">
        <f t="shared" si="36"/>
        <v>3</v>
      </c>
      <c r="BI68" s="115">
        <f t="shared" si="37"/>
        <v>0</v>
      </c>
      <c r="BJ68" s="115"/>
      <c r="BK68" s="115">
        <f t="shared" si="38"/>
        <v>0</v>
      </c>
      <c r="BL68" s="109"/>
    </row>
    <row r="69" spans="1:64" ht="15" customHeight="1">
      <c r="A69" s="110" t="s">
        <v>187</v>
      </c>
      <c r="B69" s="114"/>
      <c r="C69" s="111">
        <v>1</v>
      </c>
      <c r="D69" s="111">
        <v>1</v>
      </c>
      <c r="E69" s="111"/>
      <c r="F69" s="111"/>
      <c r="G69" s="111"/>
      <c r="H69" s="111"/>
      <c r="I69" s="111"/>
      <c r="J69" s="111">
        <v>1</v>
      </c>
      <c r="K69" s="111"/>
      <c r="L69" s="111"/>
      <c r="M69" s="111"/>
      <c r="N69" s="111"/>
      <c r="O69" s="111"/>
      <c r="P69" s="111">
        <v>1</v>
      </c>
      <c r="Q69" s="111"/>
      <c r="R69" s="111"/>
      <c r="S69" s="111"/>
      <c r="T69" s="111"/>
      <c r="U69" s="111">
        <v>1</v>
      </c>
      <c r="V69" s="111"/>
      <c r="W69" s="111"/>
      <c r="X69" s="111"/>
      <c r="Y69" s="111">
        <v>1</v>
      </c>
      <c r="Z69" s="111">
        <v>1</v>
      </c>
      <c r="AA69" s="111"/>
      <c r="AB69" s="111">
        <v>1</v>
      </c>
      <c r="AC69" s="111"/>
      <c r="AD69" s="111">
        <v>1</v>
      </c>
      <c r="AE69" s="111"/>
      <c r="AF69" s="111"/>
      <c r="AG69" s="111">
        <v>1</v>
      </c>
      <c r="AH69" s="111"/>
      <c r="AI69" s="111"/>
      <c r="AJ69" s="111"/>
      <c r="AK69" s="111">
        <v>10</v>
      </c>
      <c r="AL69" s="304" t="s">
        <v>1460</v>
      </c>
      <c r="AM69" s="112">
        <f t="shared" si="16"/>
        <v>74</v>
      </c>
      <c r="AN69" s="112">
        <f t="shared" si="17"/>
        <v>100</v>
      </c>
      <c r="AO69" s="114">
        <f t="shared" si="18"/>
        <v>9</v>
      </c>
      <c r="AP69" s="114">
        <f t="shared" si="19"/>
        <v>13</v>
      </c>
      <c r="AQ69" s="114">
        <f t="shared" si="20"/>
        <v>0</v>
      </c>
      <c r="AR69" s="114">
        <f t="shared" si="21"/>
        <v>0</v>
      </c>
      <c r="AS69" s="114">
        <f t="shared" si="22"/>
        <v>17</v>
      </c>
      <c r="AT69" s="114">
        <f t="shared" si="23"/>
        <v>0</v>
      </c>
      <c r="AU69" s="114">
        <f t="shared" si="24"/>
        <v>18</v>
      </c>
      <c r="AV69" s="114">
        <f t="shared" si="25"/>
        <v>0</v>
      </c>
      <c r="AW69" s="114">
        <f t="shared" si="26"/>
        <v>0</v>
      </c>
      <c r="AX69" s="114">
        <f t="shared" ref="AX69:AY69" si="90">IF(S69=1,2,0)</f>
        <v>0</v>
      </c>
      <c r="AY69" s="114">
        <f t="shared" si="90"/>
        <v>0</v>
      </c>
      <c r="AZ69" s="114">
        <f t="shared" si="28"/>
        <v>10</v>
      </c>
      <c r="BA69" s="114">
        <f t="shared" si="29"/>
        <v>0</v>
      </c>
      <c r="BB69" s="114">
        <f t="shared" si="30"/>
        <v>10</v>
      </c>
      <c r="BC69" s="114">
        <f t="shared" si="31"/>
        <v>8</v>
      </c>
      <c r="BD69" s="114">
        <f t="shared" si="32"/>
        <v>5</v>
      </c>
      <c r="BE69" s="114">
        <f t="shared" si="33"/>
        <v>5</v>
      </c>
      <c r="BF69" s="114">
        <f t="shared" si="34"/>
        <v>0</v>
      </c>
      <c r="BG69" s="114">
        <f t="shared" si="35"/>
        <v>15</v>
      </c>
      <c r="BH69" s="114">
        <f t="shared" si="36"/>
        <v>0</v>
      </c>
      <c r="BI69" s="114">
        <f t="shared" si="37"/>
        <v>0</v>
      </c>
      <c r="BJ69" s="114"/>
      <c r="BK69" s="114">
        <f t="shared" si="38"/>
        <v>0</v>
      </c>
      <c r="BL69" s="113"/>
    </row>
    <row r="70" spans="1:64" ht="15" customHeight="1">
      <c r="A70" s="106" t="s">
        <v>1461</v>
      </c>
      <c r="B70" s="115"/>
      <c r="C70" s="107">
        <v>1</v>
      </c>
      <c r="D70" s="107">
        <v>1</v>
      </c>
      <c r="E70" s="107">
        <v>1</v>
      </c>
      <c r="F70" s="107"/>
      <c r="G70" s="107">
        <v>1</v>
      </c>
      <c r="H70" s="107"/>
      <c r="I70" s="107"/>
      <c r="J70" s="107">
        <v>1</v>
      </c>
      <c r="K70" s="107"/>
      <c r="L70" s="107"/>
      <c r="M70" s="107"/>
      <c r="N70" s="107"/>
      <c r="O70" s="107"/>
      <c r="P70" s="107">
        <v>1</v>
      </c>
      <c r="Q70" s="107"/>
      <c r="R70" s="107"/>
      <c r="S70" s="107"/>
      <c r="T70" s="107"/>
      <c r="U70" s="107">
        <v>1</v>
      </c>
      <c r="V70" s="107">
        <v>1</v>
      </c>
      <c r="W70" s="107"/>
      <c r="X70" s="107"/>
      <c r="Y70" s="107"/>
      <c r="Z70" s="107"/>
      <c r="AA70" s="107"/>
      <c r="AB70" s="107"/>
      <c r="AC70" s="107"/>
      <c r="AD70" s="107"/>
      <c r="AE70" s="107"/>
      <c r="AF70" s="107"/>
      <c r="AG70" s="107">
        <v>1</v>
      </c>
      <c r="AH70" s="107"/>
      <c r="AI70" s="107">
        <v>1</v>
      </c>
      <c r="AJ70" s="107"/>
      <c r="AK70" s="107">
        <v>10</v>
      </c>
      <c r="AL70" s="303" t="s">
        <v>1462</v>
      </c>
      <c r="AM70" s="108">
        <f t="shared" si="16"/>
        <v>88</v>
      </c>
      <c r="AN70" s="108">
        <f t="shared" si="17"/>
        <v>94</v>
      </c>
      <c r="AO70" s="115">
        <f t="shared" si="18"/>
        <v>9</v>
      </c>
      <c r="AP70" s="115">
        <f t="shared" si="19"/>
        <v>13</v>
      </c>
      <c r="AQ70" s="115">
        <f t="shared" si="20"/>
        <v>6</v>
      </c>
      <c r="AR70" s="115">
        <f t="shared" si="21"/>
        <v>6</v>
      </c>
      <c r="AS70" s="115">
        <f t="shared" si="22"/>
        <v>17</v>
      </c>
      <c r="AT70" s="115">
        <f t="shared" si="23"/>
        <v>0</v>
      </c>
      <c r="AU70" s="115">
        <f t="shared" si="24"/>
        <v>18</v>
      </c>
      <c r="AV70" s="115">
        <f t="shared" si="25"/>
        <v>0</v>
      </c>
      <c r="AW70" s="115">
        <f t="shared" si="26"/>
        <v>0</v>
      </c>
      <c r="AX70" s="115">
        <f t="shared" ref="AX70:AY70" si="91">IF(S70=1,2,0)</f>
        <v>0</v>
      </c>
      <c r="AY70" s="115">
        <f t="shared" si="91"/>
        <v>0</v>
      </c>
      <c r="AZ70" s="115">
        <f t="shared" si="28"/>
        <v>10</v>
      </c>
      <c r="BA70" s="115">
        <f t="shared" si="29"/>
        <v>3</v>
      </c>
      <c r="BB70" s="115">
        <f t="shared" si="30"/>
        <v>0</v>
      </c>
      <c r="BC70" s="115">
        <f t="shared" si="31"/>
        <v>0</v>
      </c>
      <c r="BD70" s="115">
        <f t="shared" si="32"/>
        <v>0</v>
      </c>
      <c r="BE70" s="115">
        <f t="shared" si="33"/>
        <v>0</v>
      </c>
      <c r="BF70" s="115">
        <f t="shared" si="34"/>
        <v>0</v>
      </c>
      <c r="BG70" s="115">
        <f t="shared" si="35"/>
        <v>15</v>
      </c>
      <c r="BH70" s="115">
        <f t="shared" si="36"/>
        <v>3</v>
      </c>
      <c r="BI70" s="115">
        <f t="shared" si="37"/>
        <v>0</v>
      </c>
      <c r="BJ70" s="115"/>
      <c r="BK70" s="115">
        <f t="shared" si="38"/>
        <v>0</v>
      </c>
      <c r="BL70" s="109"/>
    </row>
    <row r="71" spans="1:64" ht="15" customHeight="1">
      <c r="A71" s="110" t="s">
        <v>196</v>
      </c>
      <c r="B71" s="114"/>
      <c r="C71" s="111">
        <v>1</v>
      </c>
      <c r="D71" s="111">
        <v>1</v>
      </c>
      <c r="E71" s="111"/>
      <c r="F71" s="111"/>
      <c r="G71" s="111"/>
      <c r="H71" s="111"/>
      <c r="I71" s="111"/>
      <c r="J71" s="111">
        <v>1</v>
      </c>
      <c r="K71" s="111"/>
      <c r="L71" s="111"/>
      <c r="M71" s="111"/>
      <c r="N71" s="111"/>
      <c r="O71" s="111"/>
      <c r="P71" s="111">
        <v>1</v>
      </c>
      <c r="Q71" s="111"/>
      <c r="R71" s="111"/>
      <c r="S71" s="111"/>
      <c r="T71" s="111"/>
      <c r="U71" s="111"/>
      <c r="V71" s="111">
        <v>1</v>
      </c>
      <c r="W71" s="111"/>
      <c r="X71" s="111"/>
      <c r="Y71" s="111">
        <v>1</v>
      </c>
      <c r="Z71" s="111">
        <v>1</v>
      </c>
      <c r="AA71" s="111"/>
      <c r="AB71" s="111">
        <v>1</v>
      </c>
      <c r="AC71" s="111"/>
      <c r="AD71" s="111"/>
      <c r="AE71" s="111"/>
      <c r="AF71" s="111"/>
      <c r="AG71" s="111">
        <v>1</v>
      </c>
      <c r="AH71" s="111"/>
      <c r="AI71" s="111">
        <v>1</v>
      </c>
      <c r="AJ71" s="111"/>
      <c r="AK71" s="111">
        <v>10</v>
      </c>
      <c r="AL71" s="304" t="s">
        <v>1463</v>
      </c>
      <c r="AM71" s="112">
        <f t="shared" si="16"/>
        <v>82</v>
      </c>
      <c r="AN71" s="112">
        <f t="shared" si="17"/>
        <v>95</v>
      </c>
      <c r="AO71" s="114">
        <f t="shared" si="18"/>
        <v>9</v>
      </c>
      <c r="AP71" s="114">
        <f t="shared" si="19"/>
        <v>13</v>
      </c>
      <c r="AQ71" s="114">
        <f t="shared" si="20"/>
        <v>0</v>
      </c>
      <c r="AR71" s="114">
        <f t="shared" si="21"/>
        <v>0</v>
      </c>
      <c r="AS71" s="114">
        <f t="shared" si="22"/>
        <v>17</v>
      </c>
      <c r="AT71" s="114">
        <f t="shared" si="23"/>
        <v>0</v>
      </c>
      <c r="AU71" s="114">
        <f t="shared" si="24"/>
        <v>18</v>
      </c>
      <c r="AV71" s="114">
        <f t="shared" si="25"/>
        <v>0</v>
      </c>
      <c r="AW71" s="114">
        <f t="shared" si="26"/>
        <v>0</v>
      </c>
      <c r="AX71" s="114">
        <f t="shared" ref="AX71:AY71" si="92">IF(S71=1,2,0)</f>
        <v>0</v>
      </c>
      <c r="AY71" s="114">
        <f t="shared" si="92"/>
        <v>0</v>
      </c>
      <c r="AZ71" s="114">
        <f t="shared" si="28"/>
        <v>0</v>
      </c>
      <c r="BA71" s="114">
        <f t="shared" si="29"/>
        <v>3</v>
      </c>
      <c r="BB71" s="114">
        <f t="shared" si="30"/>
        <v>10</v>
      </c>
      <c r="BC71" s="114">
        <f t="shared" si="31"/>
        <v>8</v>
      </c>
      <c r="BD71" s="114">
        <f t="shared" si="32"/>
        <v>5</v>
      </c>
      <c r="BE71" s="114">
        <f t="shared" si="33"/>
        <v>0</v>
      </c>
      <c r="BF71" s="114">
        <f t="shared" si="34"/>
        <v>0</v>
      </c>
      <c r="BG71" s="114">
        <f t="shared" si="35"/>
        <v>15</v>
      </c>
      <c r="BH71" s="114">
        <f t="shared" si="36"/>
        <v>3</v>
      </c>
      <c r="BI71" s="114">
        <f t="shared" si="37"/>
        <v>0</v>
      </c>
      <c r="BJ71" s="114"/>
      <c r="BK71" s="114">
        <f t="shared" si="38"/>
        <v>0</v>
      </c>
      <c r="BL71" s="113"/>
    </row>
    <row r="72" spans="1:64" ht="15" customHeight="1">
      <c r="A72" s="106" t="s">
        <v>1464</v>
      </c>
      <c r="B72" s="115"/>
      <c r="C72" s="107">
        <v>1</v>
      </c>
      <c r="D72" s="107">
        <v>1</v>
      </c>
      <c r="E72" s="107"/>
      <c r="F72" s="107"/>
      <c r="G72" s="107"/>
      <c r="H72" s="107"/>
      <c r="I72" s="107"/>
      <c r="J72" s="107">
        <v>1</v>
      </c>
      <c r="K72" s="107"/>
      <c r="L72" s="107"/>
      <c r="M72" s="107"/>
      <c r="N72" s="107"/>
      <c r="O72" s="107"/>
      <c r="P72" s="107">
        <v>1</v>
      </c>
      <c r="Q72" s="107"/>
      <c r="R72" s="107"/>
      <c r="S72" s="107"/>
      <c r="T72" s="107"/>
      <c r="U72" s="107">
        <v>1</v>
      </c>
      <c r="V72" s="107"/>
      <c r="W72" s="107"/>
      <c r="X72" s="107"/>
      <c r="Y72" s="107">
        <v>1</v>
      </c>
      <c r="Z72" s="107">
        <v>1</v>
      </c>
      <c r="AA72" s="107"/>
      <c r="AB72" s="107"/>
      <c r="AC72" s="107"/>
      <c r="AD72" s="107"/>
      <c r="AE72" s="107"/>
      <c r="AF72" s="107"/>
      <c r="AG72" s="107">
        <v>1</v>
      </c>
      <c r="AH72" s="107"/>
      <c r="AI72" s="107"/>
      <c r="AJ72" s="107"/>
      <c r="AK72" s="107">
        <f>SUM(B72:AJ72)</f>
        <v>8</v>
      </c>
      <c r="AL72" s="303" t="s">
        <v>1465</v>
      </c>
      <c r="AM72" s="108">
        <f t="shared" si="16"/>
        <v>64</v>
      </c>
      <c r="AN72" s="108">
        <f t="shared" si="17"/>
        <v>100</v>
      </c>
      <c r="AO72" s="115">
        <f t="shared" si="18"/>
        <v>9</v>
      </c>
      <c r="AP72" s="115">
        <f t="shared" si="19"/>
        <v>13</v>
      </c>
      <c r="AQ72" s="115">
        <f t="shared" si="20"/>
        <v>0</v>
      </c>
      <c r="AR72" s="115">
        <f t="shared" si="21"/>
        <v>0</v>
      </c>
      <c r="AS72" s="115">
        <f t="shared" si="22"/>
        <v>17</v>
      </c>
      <c r="AT72" s="115">
        <f t="shared" si="23"/>
        <v>0</v>
      </c>
      <c r="AU72" s="115">
        <f t="shared" si="24"/>
        <v>18</v>
      </c>
      <c r="AV72" s="115">
        <f t="shared" si="25"/>
        <v>0</v>
      </c>
      <c r="AW72" s="115">
        <f t="shared" si="26"/>
        <v>0</v>
      </c>
      <c r="AX72" s="115">
        <f t="shared" ref="AX72:AY72" si="93">IF(S72=1,2,0)</f>
        <v>0</v>
      </c>
      <c r="AY72" s="115">
        <f t="shared" si="93"/>
        <v>0</v>
      </c>
      <c r="AZ72" s="115">
        <f t="shared" si="28"/>
        <v>10</v>
      </c>
      <c r="BA72" s="115">
        <f t="shared" si="29"/>
        <v>0</v>
      </c>
      <c r="BB72" s="115">
        <f t="shared" si="30"/>
        <v>10</v>
      </c>
      <c r="BC72" s="115">
        <f t="shared" si="31"/>
        <v>8</v>
      </c>
      <c r="BD72" s="115">
        <f t="shared" si="32"/>
        <v>0</v>
      </c>
      <c r="BE72" s="115">
        <f t="shared" si="33"/>
        <v>0</v>
      </c>
      <c r="BF72" s="115">
        <f t="shared" si="34"/>
        <v>0</v>
      </c>
      <c r="BG72" s="115">
        <f t="shared" si="35"/>
        <v>15</v>
      </c>
      <c r="BH72" s="115">
        <f t="shared" si="36"/>
        <v>0</v>
      </c>
      <c r="BI72" s="115">
        <f t="shared" si="37"/>
        <v>0</v>
      </c>
      <c r="BJ72" s="115"/>
      <c r="BK72" s="115">
        <f t="shared" si="38"/>
        <v>4</v>
      </c>
      <c r="BL72" s="109"/>
    </row>
    <row r="73" spans="1:64" ht="15" customHeight="1">
      <c r="A73" s="110" t="s">
        <v>203</v>
      </c>
      <c r="B73" s="114"/>
      <c r="C73" s="111"/>
      <c r="D73" s="111"/>
      <c r="E73" s="111"/>
      <c r="F73" s="111"/>
      <c r="G73" s="111"/>
      <c r="H73" s="111"/>
      <c r="I73" s="111"/>
      <c r="J73" s="111">
        <v>1</v>
      </c>
      <c r="K73" s="111"/>
      <c r="L73" s="111"/>
      <c r="M73" s="111"/>
      <c r="N73" s="111"/>
      <c r="O73" s="111"/>
      <c r="P73" s="111">
        <v>1</v>
      </c>
      <c r="Q73" s="111"/>
      <c r="R73" s="111"/>
      <c r="S73" s="111">
        <v>1</v>
      </c>
      <c r="T73" s="111"/>
      <c r="U73" s="111">
        <v>1</v>
      </c>
      <c r="V73" s="111"/>
      <c r="W73" s="111"/>
      <c r="X73" s="111"/>
      <c r="Y73" s="111"/>
      <c r="Z73" s="111"/>
      <c r="AA73" s="111"/>
      <c r="AB73" s="111"/>
      <c r="AC73" s="111"/>
      <c r="AD73" s="111">
        <v>1</v>
      </c>
      <c r="AE73" s="111"/>
      <c r="AF73" s="111"/>
      <c r="AG73" s="111">
        <v>1</v>
      </c>
      <c r="AH73" s="111"/>
      <c r="AI73" s="111">
        <v>1</v>
      </c>
      <c r="AJ73" s="111"/>
      <c r="AK73" s="111">
        <v>7</v>
      </c>
      <c r="AL73" s="304" t="s">
        <v>1440</v>
      </c>
      <c r="AM73" s="112">
        <f t="shared" si="16"/>
        <v>33</v>
      </c>
      <c r="AN73" s="112">
        <f t="shared" si="17"/>
        <v>70</v>
      </c>
      <c r="AO73" s="114">
        <f t="shared" si="18"/>
        <v>0</v>
      </c>
      <c r="AP73" s="114">
        <f t="shared" si="19"/>
        <v>0</v>
      </c>
      <c r="AQ73" s="114">
        <f t="shared" si="20"/>
        <v>0</v>
      </c>
      <c r="AR73" s="114">
        <f t="shared" si="21"/>
        <v>0</v>
      </c>
      <c r="AS73" s="114">
        <f t="shared" si="22"/>
        <v>17</v>
      </c>
      <c r="AT73" s="114">
        <f t="shared" si="23"/>
        <v>0</v>
      </c>
      <c r="AU73" s="114">
        <f t="shared" si="24"/>
        <v>18</v>
      </c>
      <c r="AV73" s="114">
        <f t="shared" si="25"/>
        <v>0</v>
      </c>
      <c r="AW73" s="114">
        <f t="shared" si="26"/>
        <v>0</v>
      </c>
      <c r="AX73" s="114">
        <f t="shared" ref="AX73:AY73" si="94">IF(S73=1,2,0)</f>
        <v>2</v>
      </c>
      <c r="AY73" s="114">
        <f t="shared" si="94"/>
        <v>0</v>
      </c>
      <c r="AZ73" s="114">
        <f t="shared" si="28"/>
        <v>10</v>
      </c>
      <c r="BA73" s="114">
        <f t="shared" si="29"/>
        <v>0</v>
      </c>
      <c r="BB73" s="114">
        <f t="shared" si="30"/>
        <v>0</v>
      </c>
      <c r="BC73" s="114">
        <f t="shared" si="31"/>
        <v>0</v>
      </c>
      <c r="BD73" s="114">
        <f t="shared" si="32"/>
        <v>0</v>
      </c>
      <c r="BE73" s="114">
        <f t="shared" si="33"/>
        <v>5</v>
      </c>
      <c r="BF73" s="114">
        <f t="shared" si="34"/>
        <v>0</v>
      </c>
      <c r="BG73" s="114">
        <f t="shared" si="35"/>
        <v>15</v>
      </c>
      <c r="BH73" s="114">
        <f t="shared" si="36"/>
        <v>3</v>
      </c>
      <c r="BI73" s="114">
        <f t="shared" si="37"/>
        <v>0</v>
      </c>
      <c r="BJ73" s="114"/>
      <c r="BK73" s="114">
        <f t="shared" si="38"/>
        <v>9</v>
      </c>
      <c r="BL73" s="113"/>
    </row>
    <row r="74" spans="1:64" ht="15" customHeight="1">
      <c r="A74" s="106" t="s">
        <v>204</v>
      </c>
      <c r="B74" s="115"/>
      <c r="C74" s="107">
        <v>1</v>
      </c>
      <c r="D74" s="107"/>
      <c r="E74" s="107"/>
      <c r="F74" s="107"/>
      <c r="G74" s="107"/>
      <c r="H74" s="107"/>
      <c r="I74" s="107"/>
      <c r="J74" s="107">
        <v>1</v>
      </c>
      <c r="K74" s="107"/>
      <c r="L74" s="107"/>
      <c r="M74" s="107"/>
      <c r="N74" s="107">
        <v>1</v>
      </c>
      <c r="O74" s="107"/>
      <c r="P74" s="107">
        <v>1</v>
      </c>
      <c r="Q74" s="107">
        <v>1</v>
      </c>
      <c r="R74" s="107"/>
      <c r="S74" s="107"/>
      <c r="T74" s="107"/>
      <c r="U74" s="107"/>
      <c r="V74" s="107"/>
      <c r="W74" s="107"/>
      <c r="X74" s="107"/>
      <c r="Y74" s="107">
        <v>1</v>
      </c>
      <c r="Z74" s="107">
        <v>1</v>
      </c>
      <c r="AA74" s="107"/>
      <c r="AB74" s="107"/>
      <c r="AC74" s="107"/>
      <c r="AD74" s="107"/>
      <c r="AE74" s="107"/>
      <c r="AF74" s="107"/>
      <c r="AG74" s="107">
        <v>1</v>
      </c>
      <c r="AH74" s="107"/>
      <c r="AI74" s="107"/>
      <c r="AJ74" s="107"/>
      <c r="AK74" s="107">
        <v>8</v>
      </c>
      <c r="AL74" s="303" t="s">
        <v>1466</v>
      </c>
      <c r="AM74" s="108">
        <f t="shared" si="16"/>
        <v>64</v>
      </c>
      <c r="AN74" s="108">
        <f t="shared" si="17"/>
        <v>83</v>
      </c>
      <c r="AO74" s="115">
        <f t="shared" si="18"/>
        <v>9</v>
      </c>
      <c r="AP74" s="115">
        <f t="shared" si="19"/>
        <v>0</v>
      </c>
      <c r="AQ74" s="115">
        <f t="shared" si="20"/>
        <v>0</v>
      </c>
      <c r="AR74" s="115">
        <f t="shared" si="21"/>
        <v>0</v>
      </c>
      <c r="AS74" s="115">
        <f t="shared" si="22"/>
        <v>17</v>
      </c>
      <c r="AT74" s="115">
        <f t="shared" si="23"/>
        <v>2</v>
      </c>
      <c r="AU74" s="115">
        <f t="shared" si="24"/>
        <v>18</v>
      </c>
      <c r="AV74" s="115">
        <f t="shared" si="25"/>
        <v>4</v>
      </c>
      <c r="AW74" s="115">
        <f t="shared" si="26"/>
        <v>0</v>
      </c>
      <c r="AX74" s="115">
        <f t="shared" ref="AX74:AY74" si="95">IF(S74=1,2,0)</f>
        <v>0</v>
      </c>
      <c r="AY74" s="115">
        <f t="shared" si="95"/>
        <v>0</v>
      </c>
      <c r="AZ74" s="115">
        <f t="shared" si="28"/>
        <v>0</v>
      </c>
      <c r="BA74" s="115">
        <f t="shared" si="29"/>
        <v>0</v>
      </c>
      <c r="BB74" s="115">
        <f t="shared" si="30"/>
        <v>10</v>
      </c>
      <c r="BC74" s="115">
        <f t="shared" si="31"/>
        <v>8</v>
      </c>
      <c r="BD74" s="115">
        <f t="shared" si="32"/>
        <v>0</v>
      </c>
      <c r="BE74" s="115">
        <f t="shared" si="33"/>
        <v>0</v>
      </c>
      <c r="BF74" s="115">
        <f t="shared" si="34"/>
        <v>0</v>
      </c>
      <c r="BG74" s="115">
        <f t="shared" si="35"/>
        <v>15</v>
      </c>
      <c r="BH74" s="115">
        <f t="shared" si="36"/>
        <v>0</v>
      </c>
      <c r="BI74" s="115">
        <f t="shared" si="37"/>
        <v>0</v>
      </c>
      <c r="BJ74" s="115"/>
      <c r="BK74" s="115">
        <f t="shared" si="38"/>
        <v>4</v>
      </c>
      <c r="BL74" s="109"/>
    </row>
    <row r="75" spans="1:64" ht="15" customHeight="1">
      <c r="A75" s="110" t="s">
        <v>568</v>
      </c>
      <c r="B75" s="114"/>
      <c r="C75" s="111">
        <v>1</v>
      </c>
      <c r="D75" s="111">
        <v>1</v>
      </c>
      <c r="E75" s="111">
        <v>1</v>
      </c>
      <c r="F75" s="111"/>
      <c r="G75" s="111">
        <v>1</v>
      </c>
      <c r="H75" s="111"/>
      <c r="I75" s="111"/>
      <c r="J75" s="111">
        <v>1</v>
      </c>
      <c r="K75" s="111"/>
      <c r="L75" s="111"/>
      <c r="M75" s="111"/>
      <c r="N75" s="111"/>
      <c r="O75" s="111"/>
      <c r="P75" s="111">
        <v>1</v>
      </c>
      <c r="Q75" s="111"/>
      <c r="R75" s="111"/>
      <c r="S75" s="111"/>
      <c r="T75" s="111"/>
      <c r="U75" s="111">
        <v>1</v>
      </c>
      <c r="V75" s="111"/>
      <c r="W75" s="111"/>
      <c r="X75" s="111"/>
      <c r="Y75" s="111"/>
      <c r="Z75" s="111"/>
      <c r="AA75" s="111"/>
      <c r="AB75" s="111"/>
      <c r="AC75" s="111"/>
      <c r="AD75" s="111"/>
      <c r="AE75" s="111"/>
      <c r="AF75" s="111"/>
      <c r="AG75" s="111"/>
      <c r="AH75" s="111"/>
      <c r="AI75" s="111">
        <v>1</v>
      </c>
      <c r="AJ75" s="111"/>
      <c r="AK75" s="111">
        <f t="shared" ref="AK75:AK76" si="96">SUM(B75:AJ75)</f>
        <v>8</v>
      </c>
      <c r="AL75" s="304" t="s">
        <v>1467</v>
      </c>
      <c r="AM75" s="112">
        <f t="shared" si="16"/>
        <v>67</v>
      </c>
      <c r="AN75" s="112">
        <f t="shared" si="17"/>
        <v>82</v>
      </c>
      <c r="AO75" s="114">
        <f t="shared" si="18"/>
        <v>9</v>
      </c>
      <c r="AP75" s="114">
        <f t="shared" si="19"/>
        <v>13</v>
      </c>
      <c r="AQ75" s="114">
        <f t="shared" si="20"/>
        <v>6</v>
      </c>
      <c r="AR75" s="114">
        <f t="shared" si="21"/>
        <v>6</v>
      </c>
      <c r="AS75" s="114">
        <f t="shared" si="22"/>
        <v>17</v>
      </c>
      <c r="AT75" s="114">
        <f t="shared" si="23"/>
        <v>0</v>
      </c>
      <c r="AU75" s="114">
        <f t="shared" si="24"/>
        <v>18</v>
      </c>
      <c r="AV75" s="114">
        <f t="shared" si="25"/>
        <v>0</v>
      </c>
      <c r="AW75" s="114">
        <f t="shared" si="26"/>
        <v>0</v>
      </c>
      <c r="AX75" s="114">
        <f t="shared" ref="AX75:AY75" si="97">IF(S75=1,2,0)</f>
        <v>0</v>
      </c>
      <c r="AY75" s="114">
        <f t="shared" si="97"/>
        <v>0</v>
      </c>
      <c r="AZ75" s="114">
        <f t="shared" si="28"/>
        <v>10</v>
      </c>
      <c r="BA75" s="114">
        <f t="shared" si="29"/>
        <v>0</v>
      </c>
      <c r="BB75" s="114">
        <f t="shared" si="30"/>
        <v>0</v>
      </c>
      <c r="BC75" s="114">
        <f t="shared" si="31"/>
        <v>0</v>
      </c>
      <c r="BD75" s="114">
        <f t="shared" si="32"/>
        <v>0</v>
      </c>
      <c r="BE75" s="114">
        <f t="shared" si="33"/>
        <v>0</v>
      </c>
      <c r="BF75" s="114">
        <f t="shared" si="34"/>
        <v>0</v>
      </c>
      <c r="BG75" s="114">
        <f t="shared" si="35"/>
        <v>0</v>
      </c>
      <c r="BH75" s="114">
        <f t="shared" si="36"/>
        <v>3</v>
      </c>
      <c r="BI75" s="114">
        <f t="shared" si="37"/>
        <v>0</v>
      </c>
      <c r="BJ75" s="114"/>
      <c r="BK75" s="114">
        <f t="shared" si="38"/>
        <v>4</v>
      </c>
      <c r="BL75" s="113"/>
    </row>
    <row r="76" spans="1:64" ht="15" customHeight="1">
      <c r="A76" s="106" t="s">
        <v>209</v>
      </c>
      <c r="B76" s="115"/>
      <c r="C76" s="107">
        <v>1</v>
      </c>
      <c r="D76" s="107">
        <v>1</v>
      </c>
      <c r="E76" s="107"/>
      <c r="F76" s="107"/>
      <c r="G76" s="107"/>
      <c r="H76" s="107"/>
      <c r="I76" s="107"/>
      <c r="J76" s="107">
        <v>1</v>
      </c>
      <c r="K76" s="107"/>
      <c r="L76" s="107"/>
      <c r="M76" s="107"/>
      <c r="N76" s="107"/>
      <c r="O76" s="107"/>
      <c r="P76" s="107">
        <v>1</v>
      </c>
      <c r="Q76" s="107">
        <v>1</v>
      </c>
      <c r="R76" s="107"/>
      <c r="S76" s="107"/>
      <c r="T76" s="107"/>
      <c r="U76" s="107"/>
      <c r="V76" s="107">
        <v>1</v>
      </c>
      <c r="W76" s="107"/>
      <c r="X76" s="107"/>
      <c r="Y76" s="107">
        <v>1</v>
      </c>
      <c r="Z76" s="107">
        <v>1</v>
      </c>
      <c r="AA76" s="107"/>
      <c r="AB76" s="107"/>
      <c r="AC76" s="107"/>
      <c r="AD76" s="107"/>
      <c r="AE76" s="107"/>
      <c r="AF76" s="107"/>
      <c r="AG76" s="107">
        <v>1</v>
      </c>
      <c r="AH76" s="107"/>
      <c r="AI76" s="107"/>
      <c r="AJ76" s="107">
        <v>1</v>
      </c>
      <c r="AK76" s="107">
        <f t="shared" si="96"/>
        <v>10</v>
      </c>
      <c r="AL76" s="303" t="s">
        <v>1468</v>
      </c>
      <c r="AM76" s="108">
        <f t="shared" si="16"/>
        <v>80</v>
      </c>
      <c r="AN76" s="108">
        <f t="shared" si="17"/>
        <v>94</v>
      </c>
      <c r="AO76" s="115">
        <f t="shared" si="18"/>
        <v>9</v>
      </c>
      <c r="AP76" s="115">
        <f t="shared" si="19"/>
        <v>13</v>
      </c>
      <c r="AQ76" s="115">
        <f t="shared" si="20"/>
        <v>0</v>
      </c>
      <c r="AR76" s="115">
        <f t="shared" si="21"/>
        <v>0</v>
      </c>
      <c r="AS76" s="115">
        <f t="shared" si="22"/>
        <v>17</v>
      </c>
      <c r="AT76" s="115">
        <f t="shared" si="23"/>
        <v>0</v>
      </c>
      <c r="AU76" s="115">
        <f t="shared" si="24"/>
        <v>18</v>
      </c>
      <c r="AV76" s="115">
        <f t="shared" si="25"/>
        <v>4</v>
      </c>
      <c r="AW76" s="115">
        <f t="shared" si="26"/>
        <v>0</v>
      </c>
      <c r="AX76" s="115">
        <f t="shared" ref="AX76:AY76" si="98">IF(S76=1,2,0)</f>
        <v>0</v>
      </c>
      <c r="AY76" s="115">
        <f t="shared" si="98"/>
        <v>0</v>
      </c>
      <c r="AZ76" s="115">
        <f t="shared" si="28"/>
        <v>0</v>
      </c>
      <c r="BA76" s="115">
        <f t="shared" si="29"/>
        <v>3</v>
      </c>
      <c r="BB76" s="115">
        <f t="shared" si="30"/>
        <v>10</v>
      </c>
      <c r="BC76" s="115">
        <f t="shared" si="31"/>
        <v>8</v>
      </c>
      <c r="BD76" s="115">
        <f t="shared" si="32"/>
        <v>0</v>
      </c>
      <c r="BE76" s="115">
        <f t="shared" si="33"/>
        <v>0</v>
      </c>
      <c r="BF76" s="115">
        <f t="shared" si="34"/>
        <v>0</v>
      </c>
      <c r="BG76" s="115">
        <f t="shared" si="35"/>
        <v>15</v>
      </c>
      <c r="BH76" s="115">
        <f t="shared" si="36"/>
        <v>0</v>
      </c>
      <c r="BI76" s="115">
        <f t="shared" si="37"/>
        <v>2</v>
      </c>
      <c r="BJ76" s="115"/>
      <c r="BK76" s="115">
        <f t="shared" si="38"/>
        <v>0</v>
      </c>
      <c r="BL76" s="109"/>
    </row>
    <row r="77" spans="1:64" ht="15" customHeight="1">
      <c r="A77" s="110" t="s">
        <v>211</v>
      </c>
      <c r="B77" s="114"/>
      <c r="C77" s="111"/>
      <c r="D77" s="111"/>
      <c r="E77" s="111"/>
      <c r="F77" s="111"/>
      <c r="G77" s="111"/>
      <c r="H77" s="111"/>
      <c r="I77" s="111"/>
      <c r="J77" s="111">
        <v>1</v>
      </c>
      <c r="K77" s="111"/>
      <c r="L77" s="111"/>
      <c r="M77" s="111"/>
      <c r="N77" s="111"/>
      <c r="O77" s="111"/>
      <c r="P77" s="111">
        <v>1</v>
      </c>
      <c r="Q77" s="111"/>
      <c r="R77" s="111"/>
      <c r="S77" s="111">
        <v>1</v>
      </c>
      <c r="T77" s="111"/>
      <c r="U77" s="111">
        <v>1</v>
      </c>
      <c r="V77" s="111">
        <v>1</v>
      </c>
      <c r="W77" s="111"/>
      <c r="X77" s="111"/>
      <c r="Y77" s="111"/>
      <c r="Z77" s="111">
        <v>1</v>
      </c>
      <c r="AA77" s="111"/>
      <c r="AB77" s="111">
        <v>1</v>
      </c>
      <c r="AC77" s="111"/>
      <c r="AD77" s="111"/>
      <c r="AE77" s="111"/>
      <c r="AF77" s="111"/>
      <c r="AG77" s="111">
        <v>1</v>
      </c>
      <c r="AH77" s="111"/>
      <c r="AI77" s="111"/>
      <c r="AJ77" s="111"/>
      <c r="AK77" s="111">
        <v>8</v>
      </c>
      <c r="AL77" s="304" t="s">
        <v>1440</v>
      </c>
      <c r="AM77" s="112">
        <f t="shared" si="16"/>
        <v>51</v>
      </c>
      <c r="AN77" s="112">
        <f t="shared" si="17"/>
        <v>78</v>
      </c>
      <c r="AO77" s="114">
        <f t="shared" si="18"/>
        <v>0</v>
      </c>
      <c r="AP77" s="114">
        <f t="shared" si="19"/>
        <v>0</v>
      </c>
      <c r="AQ77" s="114">
        <f t="shared" si="20"/>
        <v>0</v>
      </c>
      <c r="AR77" s="114">
        <f t="shared" si="21"/>
        <v>0</v>
      </c>
      <c r="AS77" s="114">
        <f t="shared" si="22"/>
        <v>17</v>
      </c>
      <c r="AT77" s="114">
        <f t="shared" si="23"/>
        <v>0</v>
      </c>
      <c r="AU77" s="114">
        <f t="shared" si="24"/>
        <v>18</v>
      </c>
      <c r="AV77" s="114">
        <f t="shared" si="25"/>
        <v>0</v>
      </c>
      <c r="AW77" s="114">
        <f t="shared" si="26"/>
        <v>0</v>
      </c>
      <c r="AX77" s="114">
        <f t="shared" ref="AX77:AY77" si="99">IF(S77=1,2,0)</f>
        <v>2</v>
      </c>
      <c r="AY77" s="114">
        <f t="shared" si="99"/>
        <v>0</v>
      </c>
      <c r="AZ77" s="114">
        <f t="shared" si="28"/>
        <v>10</v>
      </c>
      <c r="BA77" s="114">
        <f t="shared" si="29"/>
        <v>3</v>
      </c>
      <c r="BB77" s="114">
        <f t="shared" si="30"/>
        <v>0</v>
      </c>
      <c r="BC77" s="114">
        <f t="shared" si="31"/>
        <v>8</v>
      </c>
      <c r="BD77" s="114">
        <f t="shared" si="32"/>
        <v>5</v>
      </c>
      <c r="BE77" s="114">
        <f t="shared" si="33"/>
        <v>0</v>
      </c>
      <c r="BF77" s="114">
        <f t="shared" si="34"/>
        <v>0</v>
      </c>
      <c r="BG77" s="114">
        <f t="shared" si="35"/>
        <v>15</v>
      </c>
      <c r="BH77" s="114">
        <f t="shared" si="36"/>
        <v>0</v>
      </c>
      <c r="BI77" s="114">
        <f t="shared" si="37"/>
        <v>0</v>
      </c>
      <c r="BJ77" s="114"/>
      <c r="BK77" s="114">
        <f t="shared" si="38"/>
        <v>4</v>
      </c>
      <c r="BL77" s="113"/>
    </row>
    <row r="78" spans="1:64" ht="15" customHeight="1">
      <c r="A78" s="106" t="s">
        <v>831</v>
      </c>
      <c r="B78" s="115"/>
      <c r="C78" s="107"/>
      <c r="D78" s="107">
        <v>1</v>
      </c>
      <c r="E78" s="107"/>
      <c r="F78" s="107"/>
      <c r="G78" s="107"/>
      <c r="H78" s="107"/>
      <c r="I78" s="107"/>
      <c r="J78" s="107">
        <v>1</v>
      </c>
      <c r="K78" s="107"/>
      <c r="L78" s="107"/>
      <c r="M78" s="107"/>
      <c r="N78" s="107"/>
      <c r="O78" s="107"/>
      <c r="P78" s="107">
        <v>1</v>
      </c>
      <c r="Q78" s="107">
        <v>1</v>
      </c>
      <c r="R78" s="107"/>
      <c r="S78" s="107"/>
      <c r="T78" s="107"/>
      <c r="U78" s="107">
        <v>1</v>
      </c>
      <c r="V78" s="107"/>
      <c r="W78" s="107"/>
      <c r="X78" s="107"/>
      <c r="Y78" s="107">
        <v>1</v>
      </c>
      <c r="Z78" s="107">
        <v>1</v>
      </c>
      <c r="AA78" s="107"/>
      <c r="AB78" s="107"/>
      <c r="AC78" s="107"/>
      <c r="AD78" s="107">
        <v>1</v>
      </c>
      <c r="AE78" s="107"/>
      <c r="AF78" s="107"/>
      <c r="AG78" s="107">
        <v>1</v>
      </c>
      <c r="AH78" s="107"/>
      <c r="AI78" s="107">
        <v>1</v>
      </c>
      <c r="AJ78" s="107"/>
      <c r="AK78" s="107">
        <f t="shared" ref="AK78:AK80" si="100">SUM(B78:AJ78)</f>
        <v>10</v>
      </c>
      <c r="AL78" s="303" t="s">
        <v>1469</v>
      </c>
      <c r="AM78" s="108">
        <f t="shared" si="16"/>
        <v>70</v>
      </c>
      <c r="AN78" s="108">
        <f t="shared" si="17"/>
        <v>96</v>
      </c>
      <c r="AO78" s="115">
        <f t="shared" si="18"/>
        <v>0</v>
      </c>
      <c r="AP78" s="115">
        <f t="shared" si="19"/>
        <v>13</v>
      </c>
      <c r="AQ78" s="115">
        <f t="shared" si="20"/>
        <v>0</v>
      </c>
      <c r="AR78" s="115">
        <f t="shared" si="21"/>
        <v>0</v>
      </c>
      <c r="AS78" s="115">
        <f t="shared" si="22"/>
        <v>17</v>
      </c>
      <c r="AT78" s="115">
        <f t="shared" si="23"/>
        <v>0</v>
      </c>
      <c r="AU78" s="115">
        <f t="shared" si="24"/>
        <v>18</v>
      </c>
      <c r="AV78" s="115">
        <f t="shared" si="25"/>
        <v>4</v>
      </c>
      <c r="AW78" s="115">
        <f t="shared" si="26"/>
        <v>0</v>
      </c>
      <c r="AX78" s="115">
        <f t="shared" ref="AX78:AY78" si="101">IF(S78=1,2,0)</f>
        <v>0</v>
      </c>
      <c r="AY78" s="115">
        <f t="shared" si="101"/>
        <v>0</v>
      </c>
      <c r="AZ78" s="115">
        <f t="shared" si="28"/>
        <v>10</v>
      </c>
      <c r="BA78" s="115">
        <f t="shared" si="29"/>
        <v>0</v>
      </c>
      <c r="BB78" s="115">
        <f t="shared" si="30"/>
        <v>10</v>
      </c>
      <c r="BC78" s="115">
        <f t="shared" si="31"/>
        <v>8</v>
      </c>
      <c r="BD78" s="115">
        <f t="shared" si="32"/>
        <v>0</v>
      </c>
      <c r="BE78" s="115">
        <f t="shared" si="33"/>
        <v>5</v>
      </c>
      <c r="BF78" s="115">
        <f t="shared" si="34"/>
        <v>0</v>
      </c>
      <c r="BG78" s="115">
        <f t="shared" si="35"/>
        <v>15</v>
      </c>
      <c r="BH78" s="115">
        <f t="shared" si="36"/>
        <v>3</v>
      </c>
      <c r="BI78" s="115">
        <f t="shared" si="37"/>
        <v>0</v>
      </c>
      <c r="BJ78" s="115"/>
      <c r="BK78" s="115">
        <f t="shared" si="38"/>
        <v>0</v>
      </c>
      <c r="BL78" s="109"/>
    </row>
    <row r="79" spans="1:64" ht="15" customHeight="1">
      <c r="A79" s="110" t="s">
        <v>1153</v>
      </c>
      <c r="B79" s="114"/>
      <c r="C79" s="111">
        <v>1</v>
      </c>
      <c r="D79" s="111">
        <v>1</v>
      </c>
      <c r="E79" s="111"/>
      <c r="F79" s="111"/>
      <c r="G79" s="111"/>
      <c r="H79" s="111"/>
      <c r="I79" s="111"/>
      <c r="J79" s="111">
        <v>1</v>
      </c>
      <c r="K79" s="111"/>
      <c r="L79" s="111"/>
      <c r="M79" s="111"/>
      <c r="N79" s="111"/>
      <c r="O79" s="111"/>
      <c r="P79" s="111">
        <v>1</v>
      </c>
      <c r="Q79" s="111"/>
      <c r="R79" s="111">
        <v>1</v>
      </c>
      <c r="S79" s="111"/>
      <c r="T79" s="111"/>
      <c r="U79" s="111"/>
      <c r="V79" s="111"/>
      <c r="W79" s="111"/>
      <c r="X79" s="111"/>
      <c r="Y79" s="111">
        <v>1</v>
      </c>
      <c r="Z79" s="111">
        <v>1</v>
      </c>
      <c r="AA79" s="111"/>
      <c r="AB79" s="111">
        <v>1</v>
      </c>
      <c r="AC79" s="111"/>
      <c r="AD79" s="111">
        <v>1</v>
      </c>
      <c r="AE79" s="111"/>
      <c r="AF79" s="111"/>
      <c r="AG79" s="111">
        <v>1</v>
      </c>
      <c r="AH79" s="111"/>
      <c r="AI79" s="111"/>
      <c r="AJ79" s="111"/>
      <c r="AK79" s="111">
        <f t="shared" si="100"/>
        <v>10</v>
      </c>
      <c r="AL79" s="304" t="s">
        <v>1466</v>
      </c>
      <c r="AM79" s="112">
        <f t="shared" si="16"/>
        <v>74</v>
      </c>
      <c r="AN79" s="112">
        <f t="shared" si="17"/>
        <v>95</v>
      </c>
      <c r="AO79" s="114">
        <f t="shared" si="18"/>
        <v>9</v>
      </c>
      <c r="AP79" s="114">
        <f t="shared" si="19"/>
        <v>13</v>
      </c>
      <c r="AQ79" s="114">
        <f t="shared" si="20"/>
        <v>0</v>
      </c>
      <c r="AR79" s="114">
        <f t="shared" si="21"/>
        <v>0</v>
      </c>
      <c r="AS79" s="114">
        <f t="shared" si="22"/>
        <v>17</v>
      </c>
      <c r="AT79" s="114">
        <f t="shared" si="23"/>
        <v>0</v>
      </c>
      <c r="AU79" s="114">
        <f t="shared" si="24"/>
        <v>18</v>
      </c>
      <c r="AV79" s="114">
        <f t="shared" si="25"/>
        <v>0</v>
      </c>
      <c r="AW79" s="114">
        <f t="shared" si="26"/>
        <v>1</v>
      </c>
      <c r="AX79" s="114">
        <f t="shared" ref="AX79:AY79" si="102">IF(S79=1,2,0)</f>
        <v>0</v>
      </c>
      <c r="AY79" s="114">
        <f t="shared" si="102"/>
        <v>0</v>
      </c>
      <c r="AZ79" s="114">
        <f t="shared" si="28"/>
        <v>0</v>
      </c>
      <c r="BA79" s="114">
        <f t="shared" si="29"/>
        <v>0</v>
      </c>
      <c r="BB79" s="114">
        <f t="shared" si="30"/>
        <v>10</v>
      </c>
      <c r="BC79" s="114">
        <f t="shared" si="31"/>
        <v>8</v>
      </c>
      <c r="BD79" s="114">
        <f t="shared" si="32"/>
        <v>5</v>
      </c>
      <c r="BE79" s="114">
        <f t="shared" si="33"/>
        <v>5</v>
      </c>
      <c r="BF79" s="114">
        <f t="shared" si="34"/>
        <v>0</v>
      </c>
      <c r="BG79" s="114">
        <f t="shared" si="35"/>
        <v>15</v>
      </c>
      <c r="BH79" s="114">
        <f t="shared" si="36"/>
        <v>0</v>
      </c>
      <c r="BI79" s="114">
        <f t="shared" si="37"/>
        <v>0</v>
      </c>
      <c r="BJ79" s="114"/>
      <c r="BK79" s="114">
        <f t="shared" si="38"/>
        <v>0</v>
      </c>
      <c r="BL79" s="113"/>
    </row>
    <row r="80" spans="1:64" ht="15" customHeight="1">
      <c r="A80" s="106" t="s">
        <v>215</v>
      </c>
      <c r="B80" s="115"/>
      <c r="C80" s="107">
        <v>1</v>
      </c>
      <c r="D80" s="107">
        <v>1</v>
      </c>
      <c r="E80" s="107">
        <v>1</v>
      </c>
      <c r="F80" s="107"/>
      <c r="G80" s="107"/>
      <c r="H80" s="107"/>
      <c r="I80" s="107"/>
      <c r="J80" s="107">
        <v>1</v>
      </c>
      <c r="K80" s="107"/>
      <c r="L80" s="107"/>
      <c r="M80" s="107"/>
      <c r="N80" s="107"/>
      <c r="O80" s="107"/>
      <c r="P80" s="107">
        <v>1</v>
      </c>
      <c r="Q80" s="107"/>
      <c r="R80" s="107"/>
      <c r="S80" s="107"/>
      <c r="T80" s="107"/>
      <c r="U80" s="107">
        <v>1</v>
      </c>
      <c r="V80" s="107"/>
      <c r="W80" s="107"/>
      <c r="X80" s="107"/>
      <c r="Y80" s="107">
        <v>1</v>
      </c>
      <c r="Z80" s="107">
        <v>1</v>
      </c>
      <c r="AA80" s="107"/>
      <c r="AB80" s="107"/>
      <c r="AC80" s="107"/>
      <c r="AD80" s="107"/>
      <c r="AE80" s="107"/>
      <c r="AF80" s="107"/>
      <c r="AG80" s="107">
        <v>1</v>
      </c>
      <c r="AH80" s="107"/>
      <c r="AI80" s="107"/>
      <c r="AJ80" s="107">
        <v>1</v>
      </c>
      <c r="AK80" s="107">
        <f t="shared" si="100"/>
        <v>10</v>
      </c>
      <c r="AL80" s="303" t="s">
        <v>1470</v>
      </c>
      <c r="AM80" s="108">
        <f t="shared" si="16"/>
        <v>85</v>
      </c>
      <c r="AN80" s="108">
        <f t="shared" si="17"/>
        <v>100</v>
      </c>
      <c r="AO80" s="115">
        <f t="shared" si="18"/>
        <v>9</v>
      </c>
      <c r="AP80" s="115">
        <f t="shared" si="19"/>
        <v>13</v>
      </c>
      <c r="AQ80" s="115">
        <f t="shared" si="20"/>
        <v>6</v>
      </c>
      <c r="AR80" s="115">
        <f t="shared" si="21"/>
        <v>0</v>
      </c>
      <c r="AS80" s="115">
        <f t="shared" si="22"/>
        <v>17</v>
      </c>
      <c r="AT80" s="115">
        <f t="shared" si="23"/>
        <v>0</v>
      </c>
      <c r="AU80" s="115">
        <f t="shared" si="24"/>
        <v>18</v>
      </c>
      <c r="AV80" s="115">
        <f t="shared" si="25"/>
        <v>0</v>
      </c>
      <c r="AW80" s="115">
        <f t="shared" si="26"/>
        <v>0</v>
      </c>
      <c r="AX80" s="115">
        <f t="shared" ref="AX80:AY80" si="103">IF(S80=1,2,0)</f>
        <v>0</v>
      </c>
      <c r="AY80" s="115">
        <f t="shared" si="103"/>
        <v>0</v>
      </c>
      <c r="AZ80" s="115">
        <f t="shared" si="28"/>
        <v>10</v>
      </c>
      <c r="BA80" s="115">
        <f t="shared" si="29"/>
        <v>0</v>
      </c>
      <c r="BB80" s="115">
        <f t="shared" si="30"/>
        <v>10</v>
      </c>
      <c r="BC80" s="115">
        <f t="shared" si="31"/>
        <v>8</v>
      </c>
      <c r="BD80" s="115">
        <f t="shared" si="32"/>
        <v>0</v>
      </c>
      <c r="BE80" s="115">
        <f t="shared" si="33"/>
        <v>0</v>
      </c>
      <c r="BF80" s="115">
        <f t="shared" si="34"/>
        <v>0</v>
      </c>
      <c r="BG80" s="115">
        <f t="shared" si="35"/>
        <v>15</v>
      </c>
      <c r="BH80" s="115">
        <f t="shared" si="36"/>
        <v>0</v>
      </c>
      <c r="BI80" s="115">
        <f t="shared" si="37"/>
        <v>2</v>
      </c>
      <c r="BJ80" s="115"/>
      <c r="BK80" s="115">
        <f t="shared" si="38"/>
        <v>0</v>
      </c>
      <c r="BL80" s="109"/>
    </row>
    <row r="81" spans="1:64" ht="15" customHeight="1">
      <c r="A81" s="110" t="s">
        <v>1471</v>
      </c>
      <c r="B81" s="114"/>
      <c r="C81" s="111"/>
      <c r="D81" s="111"/>
      <c r="E81" s="111"/>
      <c r="F81" s="111"/>
      <c r="G81" s="111"/>
      <c r="H81" s="111"/>
      <c r="I81" s="111"/>
      <c r="J81" s="111"/>
      <c r="K81" s="111"/>
      <c r="L81" s="111"/>
      <c r="M81" s="111"/>
      <c r="N81" s="111"/>
      <c r="O81" s="111"/>
      <c r="P81" s="111"/>
      <c r="Q81" s="111"/>
      <c r="R81" s="111"/>
      <c r="S81" s="111"/>
      <c r="T81" s="111"/>
      <c r="U81" s="111">
        <v>1</v>
      </c>
      <c r="V81" s="111"/>
      <c r="W81" s="111"/>
      <c r="X81" s="111"/>
      <c r="Y81" s="111"/>
      <c r="Z81" s="111"/>
      <c r="AA81" s="111"/>
      <c r="AB81" s="111"/>
      <c r="AC81" s="111"/>
      <c r="AD81" s="111"/>
      <c r="AE81" s="111"/>
      <c r="AF81" s="111"/>
      <c r="AG81" s="111"/>
      <c r="AH81" s="111"/>
      <c r="AI81" s="111"/>
      <c r="AJ81" s="111"/>
      <c r="AK81" s="111">
        <v>1</v>
      </c>
      <c r="AL81" s="304" t="s">
        <v>1417</v>
      </c>
      <c r="AM81" s="112">
        <f t="shared" si="16"/>
        <v>-80</v>
      </c>
      <c r="AN81" s="112">
        <f t="shared" si="17"/>
        <v>10</v>
      </c>
      <c r="AO81" s="114">
        <f t="shared" si="18"/>
        <v>0</v>
      </c>
      <c r="AP81" s="114">
        <f t="shared" si="19"/>
        <v>0</v>
      </c>
      <c r="AQ81" s="114">
        <f t="shared" si="20"/>
        <v>0</v>
      </c>
      <c r="AR81" s="114">
        <f t="shared" si="21"/>
        <v>0</v>
      </c>
      <c r="AS81" s="114">
        <f t="shared" si="22"/>
        <v>0</v>
      </c>
      <c r="AT81" s="114">
        <f t="shared" si="23"/>
        <v>0</v>
      </c>
      <c r="AU81" s="114">
        <f t="shared" si="24"/>
        <v>0</v>
      </c>
      <c r="AV81" s="114">
        <f t="shared" si="25"/>
        <v>0</v>
      </c>
      <c r="AW81" s="114">
        <f t="shared" si="26"/>
        <v>0</v>
      </c>
      <c r="AX81" s="114">
        <f t="shared" ref="AX81:AY81" si="104">IF(S81=1,2,0)</f>
        <v>0</v>
      </c>
      <c r="AY81" s="114">
        <f t="shared" si="104"/>
        <v>0</v>
      </c>
      <c r="AZ81" s="114">
        <f t="shared" si="28"/>
        <v>10</v>
      </c>
      <c r="BA81" s="114">
        <f t="shared" si="29"/>
        <v>0</v>
      </c>
      <c r="BB81" s="114">
        <f t="shared" si="30"/>
        <v>0</v>
      </c>
      <c r="BC81" s="114">
        <f t="shared" si="31"/>
        <v>0</v>
      </c>
      <c r="BD81" s="114">
        <f t="shared" si="32"/>
        <v>0</v>
      </c>
      <c r="BE81" s="114">
        <f t="shared" si="33"/>
        <v>0</v>
      </c>
      <c r="BF81" s="114">
        <f t="shared" si="34"/>
        <v>0</v>
      </c>
      <c r="BG81" s="114">
        <f t="shared" si="35"/>
        <v>0</v>
      </c>
      <c r="BH81" s="114">
        <f t="shared" si="36"/>
        <v>0</v>
      </c>
      <c r="BI81" s="114">
        <f t="shared" si="37"/>
        <v>0</v>
      </c>
      <c r="BJ81" s="114"/>
      <c r="BK81" s="114">
        <f t="shared" si="38"/>
        <v>81</v>
      </c>
      <c r="BL81" s="113"/>
    </row>
    <row r="82" spans="1:64" ht="15" customHeight="1">
      <c r="A82" s="106" t="s">
        <v>217</v>
      </c>
      <c r="B82" s="115"/>
      <c r="C82" s="107"/>
      <c r="D82" s="107">
        <v>1</v>
      </c>
      <c r="E82" s="107"/>
      <c r="F82" s="107"/>
      <c r="G82" s="107"/>
      <c r="H82" s="107"/>
      <c r="I82" s="107"/>
      <c r="J82" s="107">
        <v>1</v>
      </c>
      <c r="K82" s="107"/>
      <c r="L82" s="107"/>
      <c r="M82" s="107"/>
      <c r="N82" s="107">
        <v>1</v>
      </c>
      <c r="O82" s="107"/>
      <c r="P82" s="107">
        <v>1</v>
      </c>
      <c r="Q82" s="107">
        <v>1</v>
      </c>
      <c r="R82" s="107"/>
      <c r="S82" s="107"/>
      <c r="T82" s="107"/>
      <c r="U82" s="107"/>
      <c r="V82" s="107"/>
      <c r="W82" s="107"/>
      <c r="X82" s="107"/>
      <c r="Y82" s="107">
        <v>1</v>
      </c>
      <c r="Z82" s="107">
        <v>1</v>
      </c>
      <c r="AA82" s="107"/>
      <c r="AB82" s="107"/>
      <c r="AC82" s="107"/>
      <c r="AD82" s="107">
        <v>1</v>
      </c>
      <c r="AE82" s="107"/>
      <c r="AF82" s="107"/>
      <c r="AG82" s="107">
        <v>1</v>
      </c>
      <c r="AH82" s="107"/>
      <c r="AI82" s="107"/>
      <c r="AJ82" s="107"/>
      <c r="AK82" s="107">
        <v>9</v>
      </c>
      <c r="AL82" s="303" t="s">
        <v>1472</v>
      </c>
      <c r="AM82" s="108">
        <f t="shared" si="16"/>
        <v>66</v>
      </c>
      <c r="AN82" s="108">
        <f t="shared" si="17"/>
        <v>90</v>
      </c>
      <c r="AO82" s="115">
        <f t="shared" si="18"/>
        <v>0</v>
      </c>
      <c r="AP82" s="115">
        <f t="shared" si="19"/>
        <v>13</v>
      </c>
      <c r="AQ82" s="115">
        <f t="shared" si="20"/>
        <v>0</v>
      </c>
      <c r="AR82" s="115">
        <f t="shared" si="21"/>
        <v>0</v>
      </c>
      <c r="AS82" s="115">
        <f t="shared" si="22"/>
        <v>17</v>
      </c>
      <c r="AT82" s="115">
        <f t="shared" si="23"/>
        <v>2</v>
      </c>
      <c r="AU82" s="115">
        <f t="shared" si="24"/>
        <v>18</v>
      </c>
      <c r="AV82" s="115">
        <f t="shared" si="25"/>
        <v>4</v>
      </c>
      <c r="AW82" s="115">
        <f t="shared" si="26"/>
        <v>0</v>
      </c>
      <c r="AX82" s="115">
        <f t="shared" ref="AX82:AY82" si="105">IF(S82=1,2,0)</f>
        <v>0</v>
      </c>
      <c r="AY82" s="115">
        <f t="shared" si="105"/>
        <v>0</v>
      </c>
      <c r="AZ82" s="115">
        <f t="shared" si="28"/>
        <v>0</v>
      </c>
      <c r="BA82" s="115">
        <f t="shared" si="29"/>
        <v>0</v>
      </c>
      <c r="BB82" s="115">
        <f t="shared" si="30"/>
        <v>10</v>
      </c>
      <c r="BC82" s="115">
        <f t="shared" si="31"/>
        <v>8</v>
      </c>
      <c r="BD82" s="115">
        <f t="shared" si="32"/>
        <v>0</v>
      </c>
      <c r="BE82" s="115">
        <f t="shared" si="33"/>
        <v>5</v>
      </c>
      <c r="BF82" s="115">
        <f t="shared" si="34"/>
        <v>0</v>
      </c>
      <c r="BG82" s="115">
        <f t="shared" si="35"/>
        <v>15</v>
      </c>
      <c r="BH82" s="115">
        <f t="shared" si="36"/>
        <v>0</v>
      </c>
      <c r="BI82" s="115">
        <f t="shared" si="37"/>
        <v>0</v>
      </c>
      <c r="BJ82" s="115"/>
      <c r="BK82" s="115">
        <f t="shared" si="38"/>
        <v>1</v>
      </c>
      <c r="BL82" s="109"/>
    </row>
    <row r="83" spans="1:64" ht="15" customHeight="1">
      <c r="A83" s="110" t="s">
        <v>219</v>
      </c>
      <c r="B83" s="114"/>
      <c r="C83" s="111">
        <v>1</v>
      </c>
      <c r="D83" s="111">
        <v>1</v>
      </c>
      <c r="E83" s="111"/>
      <c r="F83" s="111"/>
      <c r="G83" s="111"/>
      <c r="H83" s="111"/>
      <c r="I83" s="111"/>
      <c r="J83" s="111">
        <v>1</v>
      </c>
      <c r="K83" s="111"/>
      <c r="L83" s="111"/>
      <c r="M83" s="111"/>
      <c r="N83" s="111">
        <v>1</v>
      </c>
      <c r="O83" s="111"/>
      <c r="P83" s="111">
        <v>1</v>
      </c>
      <c r="Q83" s="111"/>
      <c r="R83" s="111"/>
      <c r="S83" s="111"/>
      <c r="T83" s="111"/>
      <c r="U83" s="111">
        <v>1</v>
      </c>
      <c r="V83" s="111">
        <v>1</v>
      </c>
      <c r="W83" s="111"/>
      <c r="X83" s="111"/>
      <c r="Y83" s="111"/>
      <c r="Z83" s="111"/>
      <c r="AA83" s="111"/>
      <c r="AB83" s="111"/>
      <c r="AC83" s="111"/>
      <c r="AD83" s="111">
        <v>1</v>
      </c>
      <c r="AE83" s="111"/>
      <c r="AF83" s="111"/>
      <c r="AG83" s="111">
        <v>1</v>
      </c>
      <c r="AH83" s="111"/>
      <c r="AI83" s="111">
        <v>1</v>
      </c>
      <c r="AJ83" s="111"/>
      <c r="AK83" s="111">
        <v>10</v>
      </c>
      <c r="AL83" s="304" t="s">
        <v>1417</v>
      </c>
      <c r="AM83" s="112">
        <f t="shared" si="16"/>
        <v>64</v>
      </c>
      <c r="AN83" s="112">
        <f t="shared" si="17"/>
        <v>90</v>
      </c>
      <c r="AO83" s="114">
        <f t="shared" si="18"/>
        <v>9</v>
      </c>
      <c r="AP83" s="114">
        <f t="shared" si="19"/>
        <v>13</v>
      </c>
      <c r="AQ83" s="114">
        <f t="shared" si="20"/>
        <v>0</v>
      </c>
      <c r="AR83" s="114">
        <f t="shared" si="21"/>
        <v>0</v>
      </c>
      <c r="AS83" s="114">
        <f t="shared" si="22"/>
        <v>17</v>
      </c>
      <c r="AT83" s="114">
        <f t="shared" si="23"/>
        <v>2</v>
      </c>
      <c r="AU83" s="114">
        <f t="shared" si="24"/>
        <v>18</v>
      </c>
      <c r="AV83" s="114">
        <f t="shared" si="25"/>
        <v>0</v>
      </c>
      <c r="AW83" s="114">
        <f t="shared" si="26"/>
        <v>0</v>
      </c>
      <c r="AX83" s="114">
        <f t="shared" ref="AX83:AY83" si="106">IF(S83=1,2,0)</f>
        <v>0</v>
      </c>
      <c r="AY83" s="114">
        <f t="shared" si="106"/>
        <v>0</v>
      </c>
      <c r="AZ83" s="114">
        <f t="shared" si="28"/>
        <v>10</v>
      </c>
      <c r="BA83" s="114">
        <f t="shared" si="29"/>
        <v>3</v>
      </c>
      <c r="BB83" s="114">
        <f t="shared" si="30"/>
        <v>0</v>
      </c>
      <c r="BC83" s="114">
        <f t="shared" si="31"/>
        <v>0</v>
      </c>
      <c r="BD83" s="114">
        <f t="shared" si="32"/>
        <v>0</v>
      </c>
      <c r="BE83" s="114">
        <f t="shared" si="33"/>
        <v>5</v>
      </c>
      <c r="BF83" s="114">
        <f t="shared" si="34"/>
        <v>0</v>
      </c>
      <c r="BG83" s="114">
        <f t="shared" si="35"/>
        <v>15</v>
      </c>
      <c r="BH83" s="114">
        <f t="shared" si="36"/>
        <v>3</v>
      </c>
      <c r="BI83" s="114">
        <f t="shared" si="37"/>
        <v>0</v>
      </c>
      <c r="BJ83" s="114"/>
      <c r="BK83" s="114">
        <f t="shared" si="38"/>
        <v>0</v>
      </c>
      <c r="BL83" s="113"/>
    </row>
    <row r="84" spans="1:64" ht="15" customHeight="1">
      <c r="A84" s="106" t="s">
        <v>220</v>
      </c>
      <c r="B84" s="115"/>
      <c r="C84" s="107">
        <v>1</v>
      </c>
      <c r="D84" s="107">
        <v>1</v>
      </c>
      <c r="E84" s="107">
        <v>1</v>
      </c>
      <c r="F84" s="107"/>
      <c r="G84" s="107">
        <v>1</v>
      </c>
      <c r="H84" s="107"/>
      <c r="I84" s="107"/>
      <c r="J84" s="107">
        <v>1</v>
      </c>
      <c r="K84" s="107"/>
      <c r="L84" s="107"/>
      <c r="M84" s="107"/>
      <c r="N84" s="107"/>
      <c r="O84" s="107"/>
      <c r="P84" s="107">
        <v>1</v>
      </c>
      <c r="Q84" s="107"/>
      <c r="R84" s="107"/>
      <c r="S84" s="107"/>
      <c r="T84" s="107"/>
      <c r="U84" s="107">
        <v>1</v>
      </c>
      <c r="V84" s="107"/>
      <c r="W84" s="107"/>
      <c r="X84" s="107"/>
      <c r="Y84" s="107">
        <v>1</v>
      </c>
      <c r="Z84" s="107">
        <v>1</v>
      </c>
      <c r="AA84" s="107"/>
      <c r="AB84" s="107"/>
      <c r="AC84" s="107"/>
      <c r="AD84" s="107">
        <v>1</v>
      </c>
      <c r="AE84" s="107"/>
      <c r="AF84" s="107"/>
      <c r="AG84" s="107"/>
      <c r="AH84" s="107"/>
      <c r="AI84" s="107"/>
      <c r="AJ84" s="107"/>
      <c r="AK84" s="107">
        <v>10</v>
      </c>
      <c r="AL84" s="303" t="s">
        <v>1417</v>
      </c>
      <c r="AM84" s="108">
        <f t="shared" si="16"/>
        <v>85</v>
      </c>
      <c r="AN84" s="108">
        <f t="shared" si="17"/>
        <v>91</v>
      </c>
      <c r="AO84" s="115">
        <f t="shared" si="18"/>
        <v>9</v>
      </c>
      <c r="AP84" s="115">
        <f t="shared" si="19"/>
        <v>13</v>
      </c>
      <c r="AQ84" s="115">
        <f t="shared" si="20"/>
        <v>6</v>
      </c>
      <c r="AR84" s="115">
        <f t="shared" si="21"/>
        <v>6</v>
      </c>
      <c r="AS84" s="115">
        <f t="shared" si="22"/>
        <v>17</v>
      </c>
      <c r="AT84" s="115">
        <f t="shared" si="23"/>
        <v>0</v>
      </c>
      <c r="AU84" s="115">
        <f t="shared" si="24"/>
        <v>18</v>
      </c>
      <c r="AV84" s="115">
        <f t="shared" si="25"/>
        <v>0</v>
      </c>
      <c r="AW84" s="115">
        <f t="shared" si="26"/>
        <v>0</v>
      </c>
      <c r="AX84" s="115">
        <f t="shared" ref="AX84:AY84" si="107">IF(S84=1,2,0)</f>
        <v>0</v>
      </c>
      <c r="AY84" s="115">
        <f t="shared" si="107"/>
        <v>0</v>
      </c>
      <c r="AZ84" s="115">
        <f t="shared" si="28"/>
        <v>10</v>
      </c>
      <c r="BA84" s="115">
        <f t="shared" si="29"/>
        <v>0</v>
      </c>
      <c r="BB84" s="115">
        <f t="shared" si="30"/>
        <v>10</v>
      </c>
      <c r="BC84" s="115">
        <f t="shared" si="31"/>
        <v>8</v>
      </c>
      <c r="BD84" s="115">
        <f t="shared" si="32"/>
        <v>0</v>
      </c>
      <c r="BE84" s="115">
        <f t="shared" si="33"/>
        <v>5</v>
      </c>
      <c r="BF84" s="115">
        <f t="shared" si="34"/>
        <v>0</v>
      </c>
      <c r="BG84" s="115">
        <f t="shared" si="35"/>
        <v>0</v>
      </c>
      <c r="BH84" s="115">
        <f t="shared" si="36"/>
        <v>0</v>
      </c>
      <c r="BI84" s="115">
        <f t="shared" si="37"/>
        <v>0</v>
      </c>
      <c r="BJ84" s="115"/>
      <c r="BK84" s="115">
        <f t="shared" si="38"/>
        <v>0</v>
      </c>
      <c r="BL84" s="109"/>
    </row>
    <row r="85" spans="1:64" ht="15" customHeight="1">
      <c r="A85" s="110" t="s">
        <v>221</v>
      </c>
      <c r="B85" s="114"/>
      <c r="C85" s="111">
        <v>1</v>
      </c>
      <c r="D85" s="111">
        <v>1</v>
      </c>
      <c r="E85" s="111">
        <v>1</v>
      </c>
      <c r="F85" s="111"/>
      <c r="G85" s="111">
        <v>1</v>
      </c>
      <c r="H85" s="111"/>
      <c r="I85" s="111"/>
      <c r="J85" s="111">
        <v>1</v>
      </c>
      <c r="K85" s="111"/>
      <c r="L85" s="111"/>
      <c r="M85" s="111"/>
      <c r="N85" s="111"/>
      <c r="O85" s="111"/>
      <c r="P85" s="111">
        <v>1</v>
      </c>
      <c r="Q85" s="111"/>
      <c r="R85" s="111"/>
      <c r="S85" s="111"/>
      <c r="T85" s="111"/>
      <c r="U85" s="111"/>
      <c r="V85" s="111">
        <v>1</v>
      </c>
      <c r="W85" s="111"/>
      <c r="X85" s="111"/>
      <c r="Y85" s="111">
        <v>1</v>
      </c>
      <c r="Z85" s="111"/>
      <c r="AA85" s="111"/>
      <c r="AB85" s="111">
        <v>1</v>
      </c>
      <c r="AC85" s="111"/>
      <c r="AD85" s="111"/>
      <c r="AE85" s="111"/>
      <c r="AF85" s="111"/>
      <c r="AG85" s="111">
        <v>1</v>
      </c>
      <c r="AH85" s="111"/>
      <c r="AI85" s="111"/>
      <c r="AJ85" s="111"/>
      <c r="AK85" s="111">
        <v>10</v>
      </c>
      <c r="AL85" s="304" t="s">
        <v>1473</v>
      </c>
      <c r="AM85" s="112">
        <f t="shared" si="16"/>
        <v>96</v>
      </c>
      <c r="AN85" s="112">
        <f t="shared" si="17"/>
        <v>94</v>
      </c>
      <c r="AO85" s="114">
        <f t="shared" si="18"/>
        <v>9</v>
      </c>
      <c r="AP85" s="114">
        <f t="shared" si="19"/>
        <v>13</v>
      </c>
      <c r="AQ85" s="114">
        <f t="shared" si="20"/>
        <v>6</v>
      </c>
      <c r="AR85" s="114">
        <f t="shared" si="21"/>
        <v>6</v>
      </c>
      <c r="AS85" s="114">
        <f t="shared" si="22"/>
        <v>17</v>
      </c>
      <c r="AT85" s="114">
        <f t="shared" si="23"/>
        <v>0</v>
      </c>
      <c r="AU85" s="114">
        <f t="shared" si="24"/>
        <v>18</v>
      </c>
      <c r="AV85" s="114">
        <f t="shared" si="25"/>
        <v>0</v>
      </c>
      <c r="AW85" s="114">
        <f t="shared" si="26"/>
        <v>0</v>
      </c>
      <c r="AX85" s="114">
        <f t="shared" ref="AX85:AY85" si="108">IF(S85=1,2,0)</f>
        <v>0</v>
      </c>
      <c r="AY85" s="114">
        <f t="shared" si="108"/>
        <v>0</v>
      </c>
      <c r="AZ85" s="114">
        <f t="shared" si="28"/>
        <v>0</v>
      </c>
      <c r="BA85" s="114">
        <f t="shared" si="29"/>
        <v>3</v>
      </c>
      <c r="BB85" s="114">
        <f t="shared" si="30"/>
        <v>10</v>
      </c>
      <c r="BC85" s="114">
        <f t="shared" si="31"/>
        <v>0</v>
      </c>
      <c r="BD85" s="114">
        <f t="shared" si="32"/>
        <v>5</v>
      </c>
      <c r="BE85" s="114">
        <f t="shared" si="33"/>
        <v>0</v>
      </c>
      <c r="BF85" s="114">
        <f t="shared" si="34"/>
        <v>0</v>
      </c>
      <c r="BG85" s="114">
        <f t="shared" si="35"/>
        <v>15</v>
      </c>
      <c r="BH85" s="114">
        <f t="shared" si="36"/>
        <v>0</v>
      </c>
      <c r="BI85" s="114">
        <f t="shared" si="37"/>
        <v>0</v>
      </c>
      <c r="BJ85" s="114"/>
      <c r="BK85" s="114">
        <f t="shared" si="38"/>
        <v>0</v>
      </c>
      <c r="BL85" s="113"/>
    </row>
    <row r="86" spans="1:64" ht="15" customHeight="1">
      <c r="A86" s="106" t="s">
        <v>1474</v>
      </c>
      <c r="B86" s="115"/>
      <c r="C86" s="107"/>
      <c r="D86" s="107">
        <v>1</v>
      </c>
      <c r="E86" s="107"/>
      <c r="F86" s="107"/>
      <c r="G86" s="107"/>
      <c r="H86" s="107"/>
      <c r="I86" s="107"/>
      <c r="J86" s="107">
        <v>1</v>
      </c>
      <c r="K86" s="107"/>
      <c r="L86" s="107"/>
      <c r="M86" s="107"/>
      <c r="N86" s="107"/>
      <c r="O86" s="107"/>
      <c r="P86" s="107">
        <v>1</v>
      </c>
      <c r="Q86" s="107"/>
      <c r="R86" s="107"/>
      <c r="S86" s="107"/>
      <c r="T86" s="107"/>
      <c r="U86" s="107">
        <v>1</v>
      </c>
      <c r="V86" s="107"/>
      <c r="W86" s="107"/>
      <c r="X86" s="107"/>
      <c r="Y86" s="107"/>
      <c r="Z86" s="107">
        <v>1</v>
      </c>
      <c r="AA86" s="107"/>
      <c r="AB86" s="107"/>
      <c r="AC86" s="107"/>
      <c r="AD86" s="107">
        <v>1</v>
      </c>
      <c r="AE86" s="107"/>
      <c r="AF86" s="107"/>
      <c r="AG86" s="107">
        <v>1</v>
      </c>
      <c r="AH86" s="107"/>
      <c r="AI86" s="107">
        <v>1</v>
      </c>
      <c r="AJ86" s="107"/>
      <c r="AK86" s="107">
        <v>8</v>
      </c>
      <c r="AL86" s="303" t="s">
        <v>1475</v>
      </c>
      <c r="AM86" s="108">
        <f t="shared" si="16"/>
        <v>52</v>
      </c>
      <c r="AN86" s="108">
        <f t="shared" si="17"/>
        <v>89</v>
      </c>
      <c r="AO86" s="115">
        <f t="shared" si="18"/>
        <v>0</v>
      </c>
      <c r="AP86" s="115">
        <f t="shared" si="19"/>
        <v>13</v>
      </c>
      <c r="AQ86" s="115">
        <f t="shared" si="20"/>
        <v>0</v>
      </c>
      <c r="AR86" s="115">
        <f t="shared" si="21"/>
        <v>0</v>
      </c>
      <c r="AS86" s="115">
        <f t="shared" si="22"/>
        <v>17</v>
      </c>
      <c r="AT86" s="115">
        <f t="shared" si="23"/>
        <v>0</v>
      </c>
      <c r="AU86" s="115">
        <f t="shared" si="24"/>
        <v>18</v>
      </c>
      <c r="AV86" s="115">
        <f t="shared" si="25"/>
        <v>0</v>
      </c>
      <c r="AW86" s="115">
        <f t="shared" si="26"/>
        <v>0</v>
      </c>
      <c r="AX86" s="115">
        <f t="shared" ref="AX86:AY86" si="109">IF(S86=1,2,0)</f>
        <v>0</v>
      </c>
      <c r="AY86" s="115">
        <f t="shared" si="109"/>
        <v>0</v>
      </c>
      <c r="AZ86" s="115">
        <f t="shared" si="28"/>
        <v>10</v>
      </c>
      <c r="BA86" s="115">
        <f t="shared" si="29"/>
        <v>0</v>
      </c>
      <c r="BB86" s="115">
        <f t="shared" si="30"/>
        <v>0</v>
      </c>
      <c r="BC86" s="115">
        <f t="shared" si="31"/>
        <v>8</v>
      </c>
      <c r="BD86" s="115">
        <f t="shared" si="32"/>
        <v>0</v>
      </c>
      <c r="BE86" s="115">
        <f t="shared" si="33"/>
        <v>5</v>
      </c>
      <c r="BF86" s="115">
        <f t="shared" si="34"/>
        <v>0</v>
      </c>
      <c r="BG86" s="115">
        <f t="shared" si="35"/>
        <v>15</v>
      </c>
      <c r="BH86" s="115">
        <f t="shared" si="36"/>
        <v>3</v>
      </c>
      <c r="BI86" s="115">
        <f t="shared" si="37"/>
        <v>0</v>
      </c>
      <c r="BJ86" s="115"/>
      <c r="BK86" s="115">
        <f t="shared" si="38"/>
        <v>4</v>
      </c>
      <c r="BL86" s="109"/>
    </row>
    <row r="87" spans="1:64" ht="15" customHeight="1">
      <c r="A87" s="110" t="s">
        <v>222</v>
      </c>
      <c r="B87" s="114"/>
      <c r="C87" s="111">
        <v>1</v>
      </c>
      <c r="D87" s="111"/>
      <c r="E87" s="111"/>
      <c r="F87" s="111"/>
      <c r="G87" s="111"/>
      <c r="H87" s="111"/>
      <c r="I87" s="111"/>
      <c r="J87" s="111">
        <v>1</v>
      </c>
      <c r="K87" s="111"/>
      <c r="L87" s="111"/>
      <c r="M87" s="111"/>
      <c r="N87" s="111"/>
      <c r="O87" s="111"/>
      <c r="P87" s="111">
        <v>1</v>
      </c>
      <c r="Q87" s="111">
        <v>1</v>
      </c>
      <c r="R87" s="111"/>
      <c r="S87" s="111"/>
      <c r="T87" s="111"/>
      <c r="U87" s="111">
        <v>1</v>
      </c>
      <c r="V87" s="111"/>
      <c r="W87" s="111"/>
      <c r="X87" s="111"/>
      <c r="Y87" s="111">
        <v>1</v>
      </c>
      <c r="Z87" s="111">
        <v>1</v>
      </c>
      <c r="AA87" s="111"/>
      <c r="AB87" s="111">
        <v>1</v>
      </c>
      <c r="AC87" s="111"/>
      <c r="AD87" s="111"/>
      <c r="AE87" s="111"/>
      <c r="AF87" s="111"/>
      <c r="AG87" s="111">
        <v>1</v>
      </c>
      <c r="AH87" s="111"/>
      <c r="AI87" s="111">
        <v>1</v>
      </c>
      <c r="AJ87" s="111"/>
      <c r="AK87" s="111">
        <v>10</v>
      </c>
      <c r="AL87" s="304" t="s">
        <v>1476</v>
      </c>
      <c r="AM87" s="112">
        <f t="shared" si="16"/>
        <v>76</v>
      </c>
      <c r="AN87" s="112">
        <f t="shared" si="17"/>
        <v>92</v>
      </c>
      <c r="AO87" s="114">
        <f t="shared" si="18"/>
        <v>9</v>
      </c>
      <c r="AP87" s="114">
        <f t="shared" si="19"/>
        <v>0</v>
      </c>
      <c r="AQ87" s="114">
        <f t="shared" si="20"/>
        <v>0</v>
      </c>
      <c r="AR87" s="114">
        <f t="shared" si="21"/>
        <v>0</v>
      </c>
      <c r="AS87" s="114">
        <f t="shared" si="22"/>
        <v>17</v>
      </c>
      <c r="AT87" s="114">
        <f t="shared" si="23"/>
        <v>0</v>
      </c>
      <c r="AU87" s="114">
        <f t="shared" si="24"/>
        <v>18</v>
      </c>
      <c r="AV87" s="114">
        <f t="shared" si="25"/>
        <v>4</v>
      </c>
      <c r="AW87" s="114">
        <f t="shared" si="26"/>
        <v>0</v>
      </c>
      <c r="AX87" s="114">
        <f t="shared" ref="AX87:AY87" si="110">IF(S87=1,2,0)</f>
        <v>0</v>
      </c>
      <c r="AY87" s="114">
        <f t="shared" si="110"/>
        <v>0</v>
      </c>
      <c r="AZ87" s="114">
        <f t="shared" si="28"/>
        <v>10</v>
      </c>
      <c r="BA87" s="114">
        <f t="shared" si="29"/>
        <v>0</v>
      </c>
      <c r="BB87" s="114">
        <f t="shared" si="30"/>
        <v>10</v>
      </c>
      <c r="BC87" s="114">
        <f t="shared" si="31"/>
        <v>8</v>
      </c>
      <c r="BD87" s="114">
        <f t="shared" si="32"/>
        <v>5</v>
      </c>
      <c r="BE87" s="114">
        <f t="shared" si="33"/>
        <v>0</v>
      </c>
      <c r="BF87" s="114">
        <f t="shared" si="34"/>
        <v>0</v>
      </c>
      <c r="BG87" s="114">
        <f t="shared" si="35"/>
        <v>15</v>
      </c>
      <c r="BH87" s="114">
        <f t="shared" si="36"/>
        <v>3</v>
      </c>
      <c r="BI87" s="114">
        <f t="shared" si="37"/>
        <v>0</v>
      </c>
      <c r="BJ87" s="114"/>
      <c r="BK87" s="114">
        <f t="shared" si="38"/>
        <v>0</v>
      </c>
      <c r="BL87" s="113"/>
    </row>
    <row r="88" spans="1:64" ht="15" customHeight="1">
      <c r="A88" s="106" t="s">
        <v>228</v>
      </c>
      <c r="B88" s="115"/>
      <c r="C88" s="107">
        <v>1</v>
      </c>
      <c r="D88" s="107">
        <v>1</v>
      </c>
      <c r="E88" s="107">
        <v>1</v>
      </c>
      <c r="F88" s="107"/>
      <c r="G88" s="107">
        <v>1</v>
      </c>
      <c r="H88" s="107"/>
      <c r="I88" s="107"/>
      <c r="J88" s="107">
        <v>1</v>
      </c>
      <c r="K88" s="107"/>
      <c r="L88" s="107"/>
      <c r="M88" s="107"/>
      <c r="N88" s="107"/>
      <c r="O88" s="107"/>
      <c r="P88" s="107">
        <v>1</v>
      </c>
      <c r="Q88" s="107"/>
      <c r="R88" s="107"/>
      <c r="S88" s="107"/>
      <c r="T88" s="107"/>
      <c r="U88" s="107">
        <v>1</v>
      </c>
      <c r="V88" s="107"/>
      <c r="W88" s="107"/>
      <c r="X88" s="107"/>
      <c r="Y88" s="107">
        <v>1</v>
      </c>
      <c r="Z88" s="107">
        <v>1</v>
      </c>
      <c r="AA88" s="107"/>
      <c r="AB88" s="107"/>
      <c r="AC88" s="107"/>
      <c r="AD88" s="107"/>
      <c r="AE88" s="107"/>
      <c r="AF88" s="107"/>
      <c r="AG88" s="107">
        <v>1</v>
      </c>
      <c r="AH88" s="107"/>
      <c r="AI88" s="107"/>
      <c r="AJ88" s="107"/>
      <c r="AK88" s="107">
        <v>10</v>
      </c>
      <c r="AL88" s="303" t="s">
        <v>1477</v>
      </c>
      <c r="AM88" s="108">
        <f t="shared" si="16"/>
        <v>96</v>
      </c>
      <c r="AN88" s="108">
        <f t="shared" si="17"/>
        <v>100</v>
      </c>
      <c r="AO88" s="115">
        <f t="shared" si="18"/>
        <v>9</v>
      </c>
      <c r="AP88" s="115">
        <f t="shared" si="19"/>
        <v>13</v>
      </c>
      <c r="AQ88" s="115">
        <f t="shared" si="20"/>
        <v>6</v>
      </c>
      <c r="AR88" s="115">
        <f t="shared" si="21"/>
        <v>6</v>
      </c>
      <c r="AS88" s="115">
        <f t="shared" si="22"/>
        <v>17</v>
      </c>
      <c r="AT88" s="115">
        <f t="shared" si="23"/>
        <v>0</v>
      </c>
      <c r="AU88" s="115">
        <f t="shared" si="24"/>
        <v>18</v>
      </c>
      <c r="AV88" s="115">
        <f t="shared" si="25"/>
        <v>0</v>
      </c>
      <c r="AW88" s="115">
        <f t="shared" si="26"/>
        <v>0</v>
      </c>
      <c r="AX88" s="115">
        <f t="shared" ref="AX88:AY88" si="111">IF(S88=1,2,0)</f>
        <v>0</v>
      </c>
      <c r="AY88" s="115">
        <f t="shared" si="111"/>
        <v>0</v>
      </c>
      <c r="AZ88" s="115">
        <f t="shared" si="28"/>
        <v>10</v>
      </c>
      <c r="BA88" s="115">
        <f t="shared" si="29"/>
        <v>0</v>
      </c>
      <c r="BB88" s="115">
        <f t="shared" si="30"/>
        <v>10</v>
      </c>
      <c r="BC88" s="115">
        <f t="shared" si="31"/>
        <v>8</v>
      </c>
      <c r="BD88" s="115">
        <f t="shared" si="32"/>
        <v>0</v>
      </c>
      <c r="BE88" s="115">
        <f t="shared" si="33"/>
        <v>0</v>
      </c>
      <c r="BF88" s="115">
        <f t="shared" si="34"/>
        <v>0</v>
      </c>
      <c r="BG88" s="115">
        <f t="shared" si="35"/>
        <v>15</v>
      </c>
      <c r="BH88" s="115">
        <f t="shared" si="36"/>
        <v>0</v>
      </c>
      <c r="BI88" s="115">
        <f t="shared" si="37"/>
        <v>0</v>
      </c>
      <c r="BJ88" s="115"/>
      <c r="BK88" s="115">
        <f t="shared" si="38"/>
        <v>0</v>
      </c>
      <c r="BL88" s="109"/>
    </row>
    <row r="89" spans="1:64" ht="15" customHeight="1">
      <c r="A89" s="110" t="s">
        <v>231</v>
      </c>
      <c r="B89" s="114"/>
      <c r="C89" s="111">
        <v>1</v>
      </c>
      <c r="D89" s="111">
        <v>1</v>
      </c>
      <c r="E89" s="111">
        <v>1</v>
      </c>
      <c r="F89" s="111"/>
      <c r="G89" s="111">
        <v>1</v>
      </c>
      <c r="H89" s="111"/>
      <c r="I89" s="111"/>
      <c r="J89" s="111">
        <v>1</v>
      </c>
      <c r="K89" s="111"/>
      <c r="L89" s="111"/>
      <c r="M89" s="111"/>
      <c r="N89" s="111"/>
      <c r="O89" s="111"/>
      <c r="P89" s="111">
        <v>1</v>
      </c>
      <c r="Q89" s="111"/>
      <c r="R89" s="111"/>
      <c r="S89" s="111">
        <v>1</v>
      </c>
      <c r="T89" s="111"/>
      <c r="U89" s="111">
        <v>1</v>
      </c>
      <c r="V89" s="111"/>
      <c r="W89" s="111"/>
      <c r="X89" s="111"/>
      <c r="Y89" s="111">
        <v>1</v>
      </c>
      <c r="Z89" s="111"/>
      <c r="AA89" s="111"/>
      <c r="AB89" s="111"/>
      <c r="AC89" s="111"/>
      <c r="AD89" s="111"/>
      <c r="AE89" s="111"/>
      <c r="AF89" s="111"/>
      <c r="AG89" s="111">
        <v>1</v>
      </c>
      <c r="AH89" s="111"/>
      <c r="AI89" s="111"/>
      <c r="AJ89" s="111"/>
      <c r="AK89" s="111">
        <f>SUM(B89:AJ89)</f>
        <v>10</v>
      </c>
      <c r="AL89" s="304" t="s">
        <v>1478</v>
      </c>
      <c r="AM89" s="112">
        <f t="shared" si="16"/>
        <v>89</v>
      </c>
      <c r="AN89" s="112">
        <f t="shared" si="17"/>
        <v>98</v>
      </c>
      <c r="AO89" s="114">
        <f t="shared" si="18"/>
        <v>9</v>
      </c>
      <c r="AP89" s="114">
        <f t="shared" si="19"/>
        <v>13</v>
      </c>
      <c r="AQ89" s="114">
        <f t="shared" si="20"/>
        <v>6</v>
      </c>
      <c r="AR89" s="114">
        <f t="shared" si="21"/>
        <v>6</v>
      </c>
      <c r="AS89" s="114">
        <f t="shared" si="22"/>
        <v>17</v>
      </c>
      <c r="AT89" s="114">
        <f t="shared" si="23"/>
        <v>0</v>
      </c>
      <c r="AU89" s="114">
        <f t="shared" si="24"/>
        <v>18</v>
      </c>
      <c r="AV89" s="114">
        <f t="shared" si="25"/>
        <v>0</v>
      </c>
      <c r="AW89" s="114">
        <f t="shared" si="26"/>
        <v>0</v>
      </c>
      <c r="AX89" s="114">
        <f t="shared" ref="AX89:AY89" si="112">IF(S89=1,2,0)</f>
        <v>2</v>
      </c>
      <c r="AY89" s="114">
        <f t="shared" si="112"/>
        <v>0</v>
      </c>
      <c r="AZ89" s="114">
        <f t="shared" si="28"/>
        <v>10</v>
      </c>
      <c r="BA89" s="114">
        <f t="shared" si="29"/>
        <v>0</v>
      </c>
      <c r="BB89" s="114">
        <f t="shared" si="30"/>
        <v>10</v>
      </c>
      <c r="BC89" s="114">
        <f t="shared" si="31"/>
        <v>0</v>
      </c>
      <c r="BD89" s="114">
        <f t="shared" si="32"/>
        <v>0</v>
      </c>
      <c r="BE89" s="114">
        <f t="shared" si="33"/>
        <v>0</v>
      </c>
      <c r="BF89" s="114">
        <f t="shared" si="34"/>
        <v>0</v>
      </c>
      <c r="BG89" s="114">
        <f t="shared" si="35"/>
        <v>15</v>
      </c>
      <c r="BH89" s="114">
        <f t="shared" si="36"/>
        <v>0</v>
      </c>
      <c r="BI89" s="114">
        <f t="shared" si="37"/>
        <v>0</v>
      </c>
      <c r="BJ89" s="114"/>
      <c r="BK89" s="114">
        <f t="shared" si="38"/>
        <v>0</v>
      </c>
      <c r="BL89" s="113"/>
    </row>
    <row r="90" spans="1:64" ht="15" customHeight="1">
      <c r="A90" s="106" t="s">
        <v>1312</v>
      </c>
      <c r="B90" s="115"/>
      <c r="C90" s="107">
        <v>1</v>
      </c>
      <c r="D90" s="107">
        <v>1</v>
      </c>
      <c r="E90" s="107"/>
      <c r="F90" s="107"/>
      <c r="G90" s="107"/>
      <c r="H90" s="107"/>
      <c r="I90" s="107"/>
      <c r="J90" s="107">
        <v>1</v>
      </c>
      <c r="K90" s="107"/>
      <c r="L90" s="107"/>
      <c r="M90" s="107"/>
      <c r="N90" s="107"/>
      <c r="O90" s="107"/>
      <c r="P90" s="107">
        <v>1</v>
      </c>
      <c r="Q90" s="107"/>
      <c r="R90" s="107"/>
      <c r="S90" s="107"/>
      <c r="T90" s="107"/>
      <c r="U90" s="107">
        <v>1</v>
      </c>
      <c r="V90" s="107">
        <v>1</v>
      </c>
      <c r="W90" s="107"/>
      <c r="X90" s="107"/>
      <c r="Y90" s="107">
        <v>1</v>
      </c>
      <c r="Z90" s="107">
        <v>1</v>
      </c>
      <c r="AA90" s="107"/>
      <c r="AB90" s="107"/>
      <c r="AC90" s="107"/>
      <c r="AD90" s="107"/>
      <c r="AE90" s="107"/>
      <c r="AF90" s="107"/>
      <c r="AG90" s="107">
        <v>1</v>
      </c>
      <c r="AH90" s="107"/>
      <c r="AI90" s="107">
        <v>1</v>
      </c>
      <c r="AJ90" s="107"/>
      <c r="AK90" s="107">
        <v>10</v>
      </c>
      <c r="AL90" s="303" t="s">
        <v>1479</v>
      </c>
      <c r="AM90" s="108">
        <f t="shared" si="16"/>
        <v>78</v>
      </c>
      <c r="AN90" s="108">
        <f t="shared" si="17"/>
        <v>100</v>
      </c>
      <c r="AO90" s="115">
        <f t="shared" si="18"/>
        <v>9</v>
      </c>
      <c r="AP90" s="115">
        <f t="shared" si="19"/>
        <v>13</v>
      </c>
      <c r="AQ90" s="115">
        <f t="shared" si="20"/>
        <v>0</v>
      </c>
      <c r="AR90" s="115">
        <f t="shared" si="21"/>
        <v>0</v>
      </c>
      <c r="AS90" s="115">
        <f t="shared" si="22"/>
        <v>17</v>
      </c>
      <c r="AT90" s="115">
        <f t="shared" si="23"/>
        <v>0</v>
      </c>
      <c r="AU90" s="115">
        <f t="shared" si="24"/>
        <v>18</v>
      </c>
      <c r="AV90" s="115">
        <f t="shared" si="25"/>
        <v>0</v>
      </c>
      <c r="AW90" s="115">
        <f t="shared" si="26"/>
        <v>0</v>
      </c>
      <c r="AX90" s="115">
        <f t="shared" ref="AX90:AY90" si="113">IF(S90=1,2,0)</f>
        <v>0</v>
      </c>
      <c r="AY90" s="115">
        <f t="shared" si="113"/>
        <v>0</v>
      </c>
      <c r="AZ90" s="115">
        <f t="shared" si="28"/>
        <v>10</v>
      </c>
      <c r="BA90" s="115">
        <f t="shared" si="29"/>
        <v>3</v>
      </c>
      <c r="BB90" s="115">
        <f t="shared" si="30"/>
        <v>10</v>
      </c>
      <c r="BC90" s="115">
        <f t="shared" si="31"/>
        <v>8</v>
      </c>
      <c r="BD90" s="115">
        <f t="shared" si="32"/>
        <v>0</v>
      </c>
      <c r="BE90" s="115">
        <f t="shared" si="33"/>
        <v>0</v>
      </c>
      <c r="BF90" s="115">
        <f t="shared" si="34"/>
        <v>0</v>
      </c>
      <c r="BG90" s="115">
        <f t="shared" si="35"/>
        <v>15</v>
      </c>
      <c r="BH90" s="115">
        <f t="shared" si="36"/>
        <v>3</v>
      </c>
      <c r="BI90" s="115">
        <f t="shared" si="37"/>
        <v>0</v>
      </c>
      <c r="BJ90" s="115"/>
      <c r="BK90" s="115">
        <f t="shared" si="38"/>
        <v>0</v>
      </c>
      <c r="BL90" s="109"/>
    </row>
    <row r="91" spans="1:64" ht="15" customHeight="1">
      <c r="A91" s="110" t="s">
        <v>232</v>
      </c>
      <c r="B91" s="114"/>
      <c r="C91" s="111">
        <v>1</v>
      </c>
      <c r="D91" s="111">
        <v>1</v>
      </c>
      <c r="E91" s="111">
        <v>1</v>
      </c>
      <c r="F91" s="111"/>
      <c r="G91" s="111">
        <v>1</v>
      </c>
      <c r="H91" s="111"/>
      <c r="I91" s="111"/>
      <c r="J91" s="111">
        <v>1</v>
      </c>
      <c r="K91" s="111"/>
      <c r="L91" s="111"/>
      <c r="M91" s="111"/>
      <c r="N91" s="111"/>
      <c r="O91" s="111"/>
      <c r="P91" s="111">
        <v>1</v>
      </c>
      <c r="Q91" s="111"/>
      <c r="R91" s="111"/>
      <c r="S91" s="111"/>
      <c r="T91" s="111"/>
      <c r="U91" s="111"/>
      <c r="V91" s="111"/>
      <c r="W91" s="111"/>
      <c r="X91" s="111"/>
      <c r="Y91" s="111">
        <v>1</v>
      </c>
      <c r="Z91" s="111">
        <v>1</v>
      </c>
      <c r="AA91" s="111"/>
      <c r="AB91" s="111"/>
      <c r="AC91" s="111"/>
      <c r="AD91" s="111"/>
      <c r="AE91" s="111"/>
      <c r="AF91" s="111"/>
      <c r="AG91" s="111">
        <v>1</v>
      </c>
      <c r="AH91" s="111"/>
      <c r="AI91" s="111">
        <v>1</v>
      </c>
      <c r="AJ91" s="111"/>
      <c r="AK91" s="111">
        <f>SUM(B91:AJ91)</f>
        <v>10</v>
      </c>
      <c r="AL91" s="304" t="s">
        <v>1480</v>
      </c>
      <c r="AM91" s="112">
        <f t="shared" si="16"/>
        <v>100</v>
      </c>
      <c r="AN91" s="112">
        <f t="shared" si="17"/>
        <v>96</v>
      </c>
      <c r="AO91" s="114">
        <f t="shared" si="18"/>
        <v>9</v>
      </c>
      <c r="AP91" s="114">
        <f t="shared" si="19"/>
        <v>13</v>
      </c>
      <c r="AQ91" s="114">
        <f t="shared" si="20"/>
        <v>6</v>
      </c>
      <c r="AR91" s="114">
        <f t="shared" si="21"/>
        <v>6</v>
      </c>
      <c r="AS91" s="114">
        <f t="shared" si="22"/>
        <v>17</v>
      </c>
      <c r="AT91" s="114">
        <f t="shared" si="23"/>
        <v>0</v>
      </c>
      <c r="AU91" s="114">
        <f t="shared" si="24"/>
        <v>18</v>
      </c>
      <c r="AV91" s="114">
        <f t="shared" si="25"/>
        <v>0</v>
      </c>
      <c r="AW91" s="114">
        <f t="shared" si="26"/>
        <v>0</v>
      </c>
      <c r="AX91" s="114">
        <f t="shared" ref="AX91:AY91" si="114">IF(S91=1,2,0)</f>
        <v>0</v>
      </c>
      <c r="AY91" s="114">
        <f t="shared" si="114"/>
        <v>0</v>
      </c>
      <c r="AZ91" s="114">
        <f t="shared" si="28"/>
        <v>0</v>
      </c>
      <c r="BA91" s="114">
        <f t="shared" si="29"/>
        <v>0</v>
      </c>
      <c r="BB91" s="114">
        <f t="shared" si="30"/>
        <v>10</v>
      </c>
      <c r="BC91" s="114">
        <f t="shared" si="31"/>
        <v>8</v>
      </c>
      <c r="BD91" s="114">
        <f t="shared" si="32"/>
        <v>0</v>
      </c>
      <c r="BE91" s="114">
        <f t="shared" si="33"/>
        <v>0</v>
      </c>
      <c r="BF91" s="114">
        <f t="shared" si="34"/>
        <v>0</v>
      </c>
      <c r="BG91" s="114">
        <f t="shared" si="35"/>
        <v>15</v>
      </c>
      <c r="BH91" s="114">
        <f t="shared" si="36"/>
        <v>3</v>
      </c>
      <c r="BI91" s="114">
        <f t="shared" si="37"/>
        <v>0</v>
      </c>
      <c r="BJ91" s="114"/>
      <c r="BK91" s="114">
        <f t="shared" si="38"/>
        <v>0</v>
      </c>
      <c r="BL91" s="113"/>
    </row>
    <row r="92" spans="1:64" ht="15" customHeight="1">
      <c r="A92" s="106" t="s">
        <v>235</v>
      </c>
      <c r="B92" s="115"/>
      <c r="C92" s="107"/>
      <c r="D92" s="107">
        <v>1</v>
      </c>
      <c r="E92" s="107"/>
      <c r="F92" s="107"/>
      <c r="G92" s="107"/>
      <c r="H92" s="107"/>
      <c r="I92" s="107"/>
      <c r="J92" s="107">
        <v>1</v>
      </c>
      <c r="K92" s="107"/>
      <c r="L92" s="107"/>
      <c r="M92" s="107"/>
      <c r="N92" s="107"/>
      <c r="O92" s="107"/>
      <c r="P92" s="107">
        <v>1</v>
      </c>
      <c r="Q92" s="107"/>
      <c r="R92" s="107"/>
      <c r="S92" s="107"/>
      <c r="T92" s="107"/>
      <c r="U92" s="107"/>
      <c r="V92" s="107"/>
      <c r="W92" s="107"/>
      <c r="X92" s="107"/>
      <c r="Y92" s="107">
        <v>1</v>
      </c>
      <c r="Z92" s="107"/>
      <c r="AA92" s="107"/>
      <c r="AB92" s="107"/>
      <c r="AC92" s="107"/>
      <c r="AD92" s="107"/>
      <c r="AE92" s="107"/>
      <c r="AF92" s="107"/>
      <c r="AG92" s="107">
        <v>1</v>
      </c>
      <c r="AH92" s="107"/>
      <c r="AI92" s="107"/>
      <c r="AJ92" s="107"/>
      <c r="AK92" s="107">
        <v>5</v>
      </c>
      <c r="AL92" s="303" t="s">
        <v>1455</v>
      </c>
      <c r="AM92" s="108">
        <f t="shared" si="16"/>
        <v>24</v>
      </c>
      <c r="AN92" s="108">
        <f t="shared" si="17"/>
        <v>73</v>
      </c>
      <c r="AO92" s="115">
        <f t="shared" si="18"/>
        <v>0</v>
      </c>
      <c r="AP92" s="115">
        <f t="shared" si="19"/>
        <v>13</v>
      </c>
      <c r="AQ92" s="115">
        <f t="shared" si="20"/>
        <v>0</v>
      </c>
      <c r="AR92" s="115">
        <f t="shared" si="21"/>
        <v>0</v>
      </c>
      <c r="AS92" s="115">
        <f t="shared" si="22"/>
        <v>17</v>
      </c>
      <c r="AT92" s="115">
        <f t="shared" si="23"/>
        <v>0</v>
      </c>
      <c r="AU92" s="115">
        <f t="shared" si="24"/>
        <v>18</v>
      </c>
      <c r="AV92" s="115">
        <f t="shared" si="25"/>
        <v>0</v>
      </c>
      <c r="AW92" s="115">
        <f t="shared" si="26"/>
        <v>0</v>
      </c>
      <c r="AX92" s="115">
        <f t="shared" ref="AX92:AY92" si="115">IF(S92=1,2,0)</f>
        <v>0</v>
      </c>
      <c r="AY92" s="115">
        <f t="shared" si="115"/>
        <v>0</v>
      </c>
      <c r="AZ92" s="115">
        <f t="shared" si="28"/>
        <v>0</v>
      </c>
      <c r="BA92" s="115">
        <f t="shared" si="29"/>
        <v>0</v>
      </c>
      <c r="BB92" s="115">
        <f t="shared" si="30"/>
        <v>10</v>
      </c>
      <c r="BC92" s="115">
        <f t="shared" si="31"/>
        <v>0</v>
      </c>
      <c r="BD92" s="115">
        <f t="shared" si="32"/>
        <v>0</v>
      </c>
      <c r="BE92" s="115">
        <f t="shared" si="33"/>
        <v>0</v>
      </c>
      <c r="BF92" s="115">
        <f t="shared" si="34"/>
        <v>0</v>
      </c>
      <c r="BG92" s="115">
        <f t="shared" si="35"/>
        <v>15</v>
      </c>
      <c r="BH92" s="115">
        <f t="shared" si="36"/>
        <v>0</v>
      </c>
      <c r="BI92" s="115">
        <f t="shared" si="37"/>
        <v>0</v>
      </c>
      <c r="BJ92" s="115"/>
      <c r="BK92" s="115">
        <f t="shared" si="38"/>
        <v>25</v>
      </c>
      <c r="BL92" s="109"/>
    </row>
    <row r="93" spans="1:64" ht="15" customHeight="1">
      <c r="A93" s="110" t="s">
        <v>1165</v>
      </c>
      <c r="B93" s="114"/>
      <c r="C93" s="111"/>
      <c r="D93" s="111">
        <v>1</v>
      </c>
      <c r="E93" s="111"/>
      <c r="F93" s="111"/>
      <c r="G93" s="111"/>
      <c r="H93" s="111"/>
      <c r="I93" s="111"/>
      <c r="J93" s="111">
        <v>1</v>
      </c>
      <c r="K93" s="111"/>
      <c r="L93" s="111"/>
      <c r="M93" s="111"/>
      <c r="N93" s="111"/>
      <c r="O93" s="111"/>
      <c r="P93" s="111">
        <v>1</v>
      </c>
      <c r="Q93" s="111">
        <v>1</v>
      </c>
      <c r="R93" s="111">
        <v>1</v>
      </c>
      <c r="S93" s="111"/>
      <c r="T93" s="111"/>
      <c r="U93" s="111">
        <v>1</v>
      </c>
      <c r="V93" s="111"/>
      <c r="W93" s="111"/>
      <c r="X93" s="111"/>
      <c r="Y93" s="111"/>
      <c r="Z93" s="111">
        <v>1</v>
      </c>
      <c r="AA93" s="111"/>
      <c r="AB93" s="111"/>
      <c r="AC93" s="111"/>
      <c r="AD93" s="111">
        <v>1</v>
      </c>
      <c r="AE93" s="111"/>
      <c r="AF93" s="111"/>
      <c r="AG93" s="111">
        <v>1</v>
      </c>
      <c r="AH93" s="111"/>
      <c r="AI93" s="111"/>
      <c r="AJ93" s="111">
        <v>1</v>
      </c>
      <c r="AK93" s="111">
        <v>10</v>
      </c>
      <c r="AL93" s="304" t="s">
        <v>1466</v>
      </c>
      <c r="AM93" s="112">
        <f t="shared" si="16"/>
        <v>60</v>
      </c>
      <c r="AN93" s="112">
        <f t="shared" si="17"/>
        <v>90</v>
      </c>
      <c r="AO93" s="114">
        <f t="shared" si="18"/>
        <v>0</v>
      </c>
      <c r="AP93" s="114">
        <f t="shared" si="19"/>
        <v>13</v>
      </c>
      <c r="AQ93" s="114">
        <f t="shared" si="20"/>
        <v>0</v>
      </c>
      <c r="AR93" s="114">
        <f t="shared" si="21"/>
        <v>0</v>
      </c>
      <c r="AS93" s="114">
        <f t="shared" si="22"/>
        <v>17</v>
      </c>
      <c r="AT93" s="114">
        <f t="shared" si="23"/>
        <v>0</v>
      </c>
      <c r="AU93" s="114">
        <f t="shared" si="24"/>
        <v>18</v>
      </c>
      <c r="AV93" s="114">
        <f t="shared" si="25"/>
        <v>4</v>
      </c>
      <c r="AW93" s="114">
        <f t="shared" si="26"/>
        <v>1</v>
      </c>
      <c r="AX93" s="114">
        <f t="shared" ref="AX93:AY93" si="116">IF(S93=1,2,0)</f>
        <v>0</v>
      </c>
      <c r="AY93" s="114">
        <f t="shared" si="116"/>
        <v>0</v>
      </c>
      <c r="AZ93" s="114">
        <f t="shared" si="28"/>
        <v>10</v>
      </c>
      <c r="BA93" s="114">
        <f t="shared" si="29"/>
        <v>0</v>
      </c>
      <c r="BB93" s="114">
        <f t="shared" si="30"/>
        <v>0</v>
      </c>
      <c r="BC93" s="114">
        <f t="shared" si="31"/>
        <v>8</v>
      </c>
      <c r="BD93" s="114">
        <f t="shared" si="32"/>
        <v>0</v>
      </c>
      <c r="BE93" s="114">
        <f t="shared" si="33"/>
        <v>5</v>
      </c>
      <c r="BF93" s="114">
        <f t="shared" si="34"/>
        <v>0</v>
      </c>
      <c r="BG93" s="114">
        <f t="shared" si="35"/>
        <v>15</v>
      </c>
      <c r="BH93" s="114">
        <f t="shared" si="36"/>
        <v>0</v>
      </c>
      <c r="BI93" s="114">
        <f t="shared" si="37"/>
        <v>2</v>
      </c>
      <c r="BJ93" s="114"/>
      <c r="BK93" s="114">
        <f t="shared" si="38"/>
        <v>0</v>
      </c>
      <c r="BL93" s="113"/>
    </row>
    <row r="94" spans="1:64" ht="15" customHeight="1">
      <c r="A94" s="106" t="s">
        <v>236</v>
      </c>
      <c r="B94" s="115"/>
      <c r="C94" s="107"/>
      <c r="D94" s="107">
        <v>1</v>
      </c>
      <c r="E94" s="107">
        <v>1</v>
      </c>
      <c r="F94" s="107"/>
      <c r="G94" s="107">
        <v>1</v>
      </c>
      <c r="H94" s="107"/>
      <c r="I94" s="107"/>
      <c r="J94" s="107">
        <v>1</v>
      </c>
      <c r="K94" s="107"/>
      <c r="L94" s="107"/>
      <c r="M94" s="107"/>
      <c r="N94" s="107"/>
      <c r="O94" s="107"/>
      <c r="P94" s="107">
        <v>1</v>
      </c>
      <c r="Q94" s="107"/>
      <c r="R94" s="107"/>
      <c r="S94" s="107"/>
      <c r="T94" s="107">
        <v>1</v>
      </c>
      <c r="U94" s="107"/>
      <c r="V94" s="107"/>
      <c r="W94" s="107"/>
      <c r="X94" s="107">
        <v>1</v>
      </c>
      <c r="Y94" s="107">
        <v>1</v>
      </c>
      <c r="Z94" s="107"/>
      <c r="AA94" s="107"/>
      <c r="AB94" s="107"/>
      <c r="AC94" s="107"/>
      <c r="AD94" s="107"/>
      <c r="AE94" s="107"/>
      <c r="AF94" s="107">
        <v>1</v>
      </c>
      <c r="AG94" s="107">
        <v>1</v>
      </c>
      <c r="AH94" s="107"/>
      <c r="AI94" s="107"/>
      <c r="AJ94" s="107"/>
      <c r="AK94" s="107">
        <f>SUM(B94:AJ94)</f>
        <v>10</v>
      </c>
      <c r="AL94" s="115" t="s">
        <v>1481</v>
      </c>
      <c r="AM94" s="108">
        <f t="shared" si="16"/>
        <v>87</v>
      </c>
      <c r="AN94" s="108">
        <f t="shared" si="17"/>
        <v>87</v>
      </c>
      <c r="AO94" s="115">
        <f t="shared" si="18"/>
        <v>0</v>
      </c>
      <c r="AP94" s="115">
        <f t="shared" si="19"/>
        <v>13</v>
      </c>
      <c r="AQ94" s="115">
        <f t="shared" si="20"/>
        <v>6</v>
      </c>
      <c r="AR94" s="115">
        <f t="shared" si="21"/>
        <v>6</v>
      </c>
      <c r="AS94" s="115">
        <f t="shared" si="22"/>
        <v>17</v>
      </c>
      <c r="AT94" s="115">
        <f t="shared" si="23"/>
        <v>0</v>
      </c>
      <c r="AU94" s="115">
        <f t="shared" si="24"/>
        <v>18</v>
      </c>
      <c r="AV94" s="115">
        <f t="shared" si="25"/>
        <v>0</v>
      </c>
      <c r="AW94" s="115">
        <f t="shared" si="26"/>
        <v>0</v>
      </c>
      <c r="AX94" s="115">
        <f t="shared" ref="AX94:AY94" si="117">IF(S94=1,2,0)</f>
        <v>0</v>
      </c>
      <c r="AY94" s="115">
        <f t="shared" si="117"/>
        <v>2</v>
      </c>
      <c r="AZ94" s="115">
        <f t="shared" si="28"/>
        <v>0</v>
      </c>
      <c r="BA94" s="115">
        <f t="shared" si="29"/>
        <v>0</v>
      </c>
      <c r="BB94" s="115">
        <f t="shared" si="30"/>
        <v>10</v>
      </c>
      <c r="BC94" s="115">
        <f t="shared" si="31"/>
        <v>0</v>
      </c>
      <c r="BD94" s="115">
        <f t="shared" si="32"/>
        <v>0</v>
      </c>
      <c r="BE94" s="115">
        <f t="shared" si="33"/>
        <v>0</v>
      </c>
      <c r="BF94" s="115">
        <f t="shared" si="34"/>
        <v>1</v>
      </c>
      <c r="BG94" s="115">
        <f t="shared" si="35"/>
        <v>15</v>
      </c>
      <c r="BH94" s="115">
        <f t="shared" si="36"/>
        <v>0</v>
      </c>
      <c r="BI94" s="115">
        <f t="shared" si="37"/>
        <v>0</v>
      </c>
      <c r="BJ94" s="115"/>
      <c r="BK94" s="115">
        <f t="shared" si="38"/>
        <v>0</v>
      </c>
      <c r="BL94" s="109"/>
    </row>
    <row r="95" spans="1:64" ht="15" customHeight="1">
      <c r="A95" s="110" t="s">
        <v>978</v>
      </c>
      <c r="B95" s="114"/>
      <c r="C95" s="111"/>
      <c r="D95" s="111">
        <v>1</v>
      </c>
      <c r="E95" s="111"/>
      <c r="F95" s="111"/>
      <c r="G95" s="111"/>
      <c r="H95" s="111"/>
      <c r="I95" s="111"/>
      <c r="J95" s="111">
        <v>1</v>
      </c>
      <c r="K95" s="111"/>
      <c r="L95" s="111"/>
      <c r="M95" s="111"/>
      <c r="N95" s="111"/>
      <c r="O95" s="111"/>
      <c r="P95" s="111">
        <v>1</v>
      </c>
      <c r="Q95" s="111"/>
      <c r="R95" s="111"/>
      <c r="S95" s="111"/>
      <c r="T95" s="111"/>
      <c r="U95" s="111"/>
      <c r="V95" s="111"/>
      <c r="W95" s="111"/>
      <c r="X95" s="111"/>
      <c r="Y95" s="111">
        <v>1</v>
      </c>
      <c r="Z95" s="111"/>
      <c r="AA95" s="111"/>
      <c r="AB95" s="111"/>
      <c r="AC95" s="111"/>
      <c r="AD95" s="111"/>
      <c r="AE95" s="111"/>
      <c r="AF95" s="111"/>
      <c r="AG95" s="111">
        <v>1</v>
      </c>
      <c r="AH95" s="111"/>
      <c r="AI95" s="111"/>
      <c r="AJ95" s="111"/>
      <c r="AK95" s="111">
        <v>5</v>
      </c>
      <c r="AL95" s="304" t="s">
        <v>1482</v>
      </c>
      <c r="AM95" s="112">
        <f t="shared" si="16"/>
        <v>24</v>
      </c>
      <c r="AN95" s="112">
        <f t="shared" si="17"/>
        <v>73</v>
      </c>
      <c r="AO95" s="114">
        <f t="shared" si="18"/>
        <v>0</v>
      </c>
      <c r="AP95" s="114">
        <f t="shared" si="19"/>
        <v>13</v>
      </c>
      <c r="AQ95" s="114">
        <f t="shared" si="20"/>
        <v>0</v>
      </c>
      <c r="AR95" s="114">
        <f t="shared" si="21"/>
        <v>0</v>
      </c>
      <c r="AS95" s="114">
        <f t="shared" si="22"/>
        <v>17</v>
      </c>
      <c r="AT95" s="114">
        <f t="shared" si="23"/>
        <v>0</v>
      </c>
      <c r="AU95" s="114">
        <f t="shared" si="24"/>
        <v>18</v>
      </c>
      <c r="AV95" s="114">
        <f t="shared" si="25"/>
        <v>0</v>
      </c>
      <c r="AW95" s="114">
        <f t="shared" si="26"/>
        <v>0</v>
      </c>
      <c r="AX95" s="114">
        <f t="shared" ref="AX95:AY95" si="118">IF(S95=1,2,0)</f>
        <v>0</v>
      </c>
      <c r="AY95" s="114">
        <f t="shared" si="118"/>
        <v>0</v>
      </c>
      <c r="AZ95" s="114">
        <f t="shared" si="28"/>
        <v>0</v>
      </c>
      <c r="BA95" s="114">
        <f t="shared" si="29"/>
        <v>0</v>
      </c>
      <c r="BB95" s="114">
        <f t="shared" si="30"/>
        <v>10</v>
      </c>
      <c r="BC95" s="114">
        <f t="shared" si="31"/>
        <v>0</v>
      </c>
      <c r="BD95" s="114">
        <f t="shared" si="32"/>
        <v>0</v>
      </c>
      <c r="BE95" s="114">
        <f t="shared" si="33"/>
        <v>0</v>
      </c>
      <c r="BF95" s="114">
        <f t="shared" si="34"/>
        <v>0</v>
      </c>
      <c r="BG95" s="114">
        <f t="shared" si="35"/>
        <v>15</v>
      </c>
      <c r="BH95" s="114">
        <f t="shared" si="36"/>
        <v>0</v>
      </c>
      <c r="BI95" s="114">
        <f t="shared" si="37"/>
        <v>0</v>
      </c>
      <c r="BJ95" s="114"/>
      <c r="BK95" s="114">
        <f t="shared" si="38"/>
        <v>25</v>
      </c>
      <c r="BL95" s="113"/>
    </row>
    <row r="96" spans="1:64" ht="15" customHeight="1">
      <c r="A96" s="106" t="s">
        <v>237</v>
      </c>
      <c r="B96" s="115"/>
      <c r="C96" s="107"/>
      <c r="D96" s="107">
        <v>1</v>
      </c>
      <c r="E96" s="107"/>
      <c r="F96" s="107"/>
      <c r="G96" s="107"/>
      <c r="H96" s="107"/>
      <c r="I96" s="107"/>
      <c r="J96" s="107">
        <v>1</v>
      </c>
      <c r="K96" s="107"/>
      <c r="L96" s="107"/>
      <c r="M96" s="107"/>
      <c r="N96" s="107"/>
      <c r="O96" s="107"/>
      <c r="P96" s="107">
        <v>1</v>
      </c>
      <c r="Q96" s="107"/>
      <c r="R96" s="107">
        <v>1</v>
      </c>
      <c r="S96" s="107">
        <v>1</v>
      </c>
      <c r="T96" s="107"/>
      <c r="U96" s="107">
        <v>1</v>
      </c>
      <c r="V96" s="107"/>
      <c r="W96" s="107"/>
      <c r="X96" s="107"/>
      <c r="Y96" s="107"/>
      <c r="Z96" s="107">
        <v>1</v>
      </c>
      <c r="AA96" s="107"/>
      <c r="AB96" s="107">
        <v>1</v>
      </c>
      <c r="AC96" s="107"/>
      <c r="AD96" s="107"/>
      <c r="AE96" s="107"/>
      <c r="AF96" s="107"/>
      <c r="AG96" s="107">
        <v>1</v>
      </c>
      <c r="AH96" s="107"/>
      <c r="AI96" s="107">
        <v>1</v>
      </c>
      <c r="AJ96" s="107"/>
      <c r="AK96" s="107">
        <v>10</v>
      </c>
      <c r="AL96" s="303" t="s">
        <v>1483</v>
      </c>
      <c r="AM96" s="108">
        <f t="shared" si="16"/>
        <v>63</v>
      </c>
      <c r="AN96" s="108">
        <f t="shared" si="17"/>
        <v>89</v>
      </c>
      <c r="AO96" s="115">
        <f t="shared" si="18"/>
        <v>0</v>
      </c>
      <c r="AP96" s="115">
        <f t="shared" si="19"/>
        <v>13</v>
      </c>
      <c r="AQ96" s="115">
        <f t="shared" si="20"/>
        <v>0</v>
      </c>
      <c r="AR96" s="115">
        <f t="shared" si="21"/>
        <v>0</v>
      </c>
      <c r="AS96" s="115">
        <f t="shared" si="22"/>
        <v>17</v>
      </c>
      <c r="AT96" s="115">
        <f t="shared" si="23"/>
        <v>0</v>
      </c>
      <c r="AU96" s="115">
        <f t="shared" si="24"/>
        <v>18</v>
      </c>
      <c r="AV96" s="115">
        <f t="shared" si="25"/>
        <v>0</v>
      </c>
      <c r="AW96" s="115">
        <f t="shared" si="26"/>
        <v>1</v>
      </c>
      <c r="AX96" s="115">
        <f t="shared" ref="AX96:AY96" si="119">IF(S96=1,2,0)</f>
        <v>2</v>
      </c>
      <c r="AY96" s="115">
        <f t="shared" si="119"/>
        <v>0</v>
      </c>
      <c r="AZ96" s="115">
        <f t="shared" si="28"/>
        <v>10</v>
      </c>
      <c r="BA96" s="115">
        <f t="shared" si="29"/>
        <v>0</v>
      </c>
      <c r="BB96" s="115">
        <f t="shared" si="30"/>
        <v>0</v>
      </c>
      <c r="BC96" s="115">
        <f t="shared" si="31"/>
        <v>8</v>
      </c>
      <c r="BD96" s="115">
        <f t="shared" si="32"/>
        <v>5</v>
      </c>
      <c r="BE96" s="115">
        <f t="shared" si="33"/>
        <v>0</v>
      </c>
      <c r="BF96" s="115">
        <f t="shared" si="34"/>
        <v>0</v>
      </c>
      <c r="BG96" s="115">
        <f t="shared" si="35"/>
        <v>15</v>
      </c>
      <c r="BH96" s="115">
        <f t="shared" si="36"/>
        <v>3</v>
      </c>
      <c r="BI96" s="115">
        <f t="shared" si="37"/>
        <v>0</v>
      </c>
      <c r="BJ96" s="115"/>
      <c r="BK96" s="115">
        <f t="shared" si="38"/>
        <v>0</v>
      </c>
      <c r="BL96" s="109"/>
    </row>
    <row r="97" spans="1:64" ht="15" customHeight="1">
      <c r="A97" s="110" t="s">
        <v>585</v>
      </c>
      <c r="B97" s="114"/>
      <c r="C97" s="111"/>
      <c r="D97" s="111"/>
      <c r="E97" s="111">
        <v>1</v>
      </c>
      <c r="F97" s="111"/>
      <c r="G97" s="111"/>
      <c r="H97" s="111"/>
      <c r="I97" s="111"/>
      <c r="J97" s="111">
        <v>1</v>
      </c>
      <c r="K97" s="111"/>
      <c r="L97" s="111"/>
      <c r="M97" s="111"/>
      <c r="N97" s="111">
        <v>1</v>
      </c>
      <c r="O97" s="111"/>
      <c r="P97" s="111">
        <v>1</v>
      </c>
      <c r="Q97" s="111">
        <v>1</v>
      </c>
      <c r="R97" s="111"/>
      <c r="S97" s="111"/>
      <c r="T97" s="111">
        <v>1</v>
      </c>
      <c r="U97" s="111">
        <v>1</v>
      </c>
      <c r="V97" s="111"/>
      <c r="W97" s="111"/>
      <c r="X97" s="111"/>
      <c r="Y97" s="111"/>
      <c r="Z97" s="111"/>
      <c r="AA97" s="111"/>
      <c r="AB97" s="111"/>
      <c r="AC97" s="111"/>
      <c r="AD97" s="111">
        <v>1</v>
      </c>
      <c r="AE97" s="111"/>
      <c r="AF97" s="111"/>
      <c r="AG97" s="111"/>
      <c r="AH97" s="111"/>
      <c r="AI97" s="111"/>
      <c r="AJ97" s="111"/>
      <c r="AK97" s="111">
        <v>8</v>
      </c>
      <c r="AL97" s="304" t="s">
        <v>1484</v>
      </c>
      <c r="AM97" s="112">
        <f t="shared" si="16"/>
        <v>46</v>
      </c>
      <c r="AN97" s="112">
        <f t="shared" si="17"/>
        <v>64</v>
      </c>
      <c r="AO97" s="114">
        <f t="shared" si="18"/>
        <v>0</v>
      </c>
      <c r="AP97" s="114">
        <f t="shared" si="19"/>
        <v>0</v>
      </c>
      <c r="AQ97" s="114">
        <f t="shared" si="20"/>
        <v>6</v>
      </c>
      <c r="AR97" s="114">
        <f t="shared" si="21"/>
        <v>0</v>
      </c>
      <c r="AS97" s="114">
        <f t="shared" si="22"/>
        <v>17</v>
      </c>
      <c r="AT97" s="114">
        <f t="shared" si="23"/>
        <v>2</v>
      </c>
      <c r="AU97" s="114">
        <f t="shared" si="24"/>
        <v>18</v>
      </c>
      <c r="AV97" s="114">
        <f t="shared" si="25"/>
        <v>4</v>
      </c>
      <c r="AW97" s="114">
        <f t="shared" si="26"/>
        <v>0</v>
      </c>
      <c r="AX97" s="114">
        <f t="shared" ref="AX97:AY97" si="120">IF(S97=1,2,0)</f>
        <v>0</v>
      </c>
      <c r="AY97" s="114">
        <f t="shared" si="120"/>
        <v>2</v>
      </c>
      <c r="AZ97" s="114">
        <f t="shared" si="28"/>
        <v>10</v>
      </c>
      <c r="BA97" s="114">
        <f t="shared" si="29"/>
        <v>0</v>
      </c>
      <c r="BB97" s="114">
        <f t="shared" si="30"/>
        <v>0</v>
      </c>
      <c r="BC97" s="114">
        <f t="shared" si="31"/>
        <v>0</v>
      </c>
      <c r="BD97" s="114">
        <f t="shared" si="32"/>
        <v>0</v>
      </c>
      <c r="BE97" s="114">
        <f t="shared" si="33"/>
        <v>5</v>
      </c>
      <c r="BF97" s="114">
        <f t="shared" si="34"/>
        <v>0</v>
      </c>
      <c r="BG97" s="114">
        <f t="shared" si="35"/>
        <v>0</v>
      </c>
      <c r="BH97" s="114">
        <f t="shared" si="36"/>
        <v>0</v>
      </c>
      <c r="BI97" s="114">
        <f t="shared" si="37"/>
        <v>0</v>
      </c>
      <c r="BJ97" s="114"/>
      <c r="BK97" s="114">
        <f t="shared" si="38"/>
        <v>4</v>
      </c>
      <c r="BL97" s="113"/>
    </row>
    <row r="98" spans="1:64" ht="15" customHeight="1">
      <c r="A98" s="106" t="s">
        <v>1172</v>
      </c>
      <c r="B98" s="115"/>
      <c r="C98" s="107"/>
      <c r="D98" s="107">
        <v>1</v>
      </c>
      <c r="E98" s="107"/>
      <c r="F98" s="107"/>
      <c r="G98" s="107"/>
      <c r="H98" s="107"/>
      <c r="I98" s="107"/>
      <c r="J98" s="107">
        <v>1</v>
      </c>
      <c r="K98" s="107"/>
      <c r="L98" s="107"/>
      <c r="M98" s="107"/>
      <c r="N98" s="107">
        <v>1</v>
      </c>
      <c r="O98" s="107"/>
      <c r="P98" s="107">
        <v>1</v>
      </c>
      <c r="Q98" s="107"/>
      <c r="R98" s="107"/>
      <c r="S98" s="107"/>
      <c r="T98" s="107"/>
      <c r="U98" s="107">
        <v>1</v>
      </c>
      <c r="V98" s="107">
        <v>1</v>
      </c>
      <c r="W98" s="107"/>
      <c r="X98" s="107"/>
      <c r="Y98" s="107"/>
      <c r="Z98" s="107"/>
      <c r="AA98" s="107"/>
      <c r="AB98" s="107"/>
      <c r="AC98" s="107"/>
      <c r="AD98" s="107"/>
      <c r="AE98" s="107"/>
      <c r="AF98" s="107"/>
      <c r="AG98" s="107">
        <v>1</v>
      </c>
      <c r="AH98" s="107"/>
      <c r="AI98" s="107"/>
      <c r="AJ98" s="107"/>
      <c r="AK98" s="107">
        <v>7</v>
      </c>
      <c r="AL98" s="303" t="s">
        <v>1485</v>
      </c>
      <c r="AM98" s="108">
        <f t="shared" si="16"/>
        <v>40</v>
      </c>
      <c r="AN98" s="108">
        <f t="shared" si="17"/>
        <v>78</v>
      </c>
      <c r="AO98" s="115">
        <f t="shared" si="18"/>
        <v>0</v>
      </c>
      <c r="AP98" s="115">
        <f t="shared" si="19"/>
        <v>13</v>
      </c>
      <c r="AQ98" s="115">
        <f t="shared" si="20"/>
        <v>0</v>
      </c>
      <c r="AR98" s="115">
        <f t="shared" si="21"/>
        <v>0</v>
      </c>
      <c r="AS98" s="115">
        <f t="shared" si="22"/>
        <v>17</v>
      </c>
      <c r="AT98" s="115">
        <f t="shared" si="23"/>
        <v>2</v>
      </c>
      <c r="AU98" s="115">
        <f t="shared" si="24"/>
        <v>18</v>
      </c>
      <c r="AV98" s="115">
        <f t="shared" si="25"/>
        <v>0</v>
      </c>
      <c r="AW98" s="115">
        <f t="shared" si="26"/>
        <v>0</v>
      </c>
      <c r="AX98" s="115">
        <f t="shared" ref="AX98:AY98" si="121">IF(S98=1,2,0)</f>
        <v>0</v>
      </c>
      <c r="AY98" s="115">
        <f t="shared" si="121"/>
        <v>0</v>
      </c>
      <c r="AZ98" s="115">
        <f t="shared" si="28"/>
        <v>10</v>
      </c>
      <c r="BA98" s="115">
        <f t="shared" si="29"/>
        <v>3</v>
      </c>
      <c r="BB98" s="115">
        <f t="shared" si="30"/>
        <v>0</v>
      </c>
      <c r="BC98" s="115">
        <f t="shared" si="31"/>
        <v>0</v>
      </c>
      <c r="BD98" s="115">
        <f t="shared" si="32"/>
        <v>0</v>
      </c>
      <c r="BE98" s="115">
        <f t="shared" si="33"/>
        <v>0</v>
      </c>
      <c r="BF98" s="115">
        <f t="shared" si="34"/>
        <v>0</v>
      </c>
      <c r="BG98" s="115">
        <f t="shared" si="35"/>
        <v>15</v>
      </c>
      <c r="BH98" s="115">
        <f t="shared" si="36"/>
        <v>0</v>
      </c>
      <c r="BI98" s="115">
        <f t="shared" si="37"/>
        <v>0</v>
      </c>
      <c r="BJ98" s="115"/>
      <c r="BK98" s="115">
        <f t="shared" si="38"/>
        <v>9</v>
      </c>
      <c r="BL98" s="109"/>
    </row>
    <row r="99" spans="1:64" ht="15" customHeight="1">
      <c r="A99" s="110" t="s">
        <v>588</v>
      </c>
      <c r="B99" s="114"/>
      <c r="C99" s="111">
        <v>1</v>
      </c>
      <c r="D99" s="111">
        <v>1</v>
      </c>
      <c r="E99" s="111"/>
      <c r="F99" s="111"/>
      <c r="G99" s="111"/>
      <c r="H99" s="111"/>
      <c r="I99" s="111"/>
      <c r="J99" s="111">
        <v>1</v>
      </c>
      <c r="K99" s="111"/>
      <c r="L99" s="111"/>
      <c r="M99" s="111"/>
      <c r="N99" s="111"/>
      <c r="O99" s="111"/>
      <c r="P99" s="111">
        <v>1</v>
      </c>
      <c r="Q99" s="111">
        <v>1</v>
      </c>
      <c r="R99" s="111"/>
      <c r="S99" s="111"/>
      <c r="T99" s="111"/>
      <c r="U99" s="111">
        <v>1</v>
      </c>
      <c r="V99" s="111"/>
      <c r="W99" s="111"/>
      <c r="X99" s="111"/>
      <c r="Y99" s="111"/>
      <c r="Z99" s="111">
        <v>1</v>
      </c>
      <c r="AA99" s="111"/>
      <c r="AB99" s="111"/>
      <c r="AC99" s="111"/>
      <c r="AD99" s="111">
        <v>1</v>
      </c>
      <c r="AE99" s="111"/>
      <c r="AF99" s="111"/>
      <c r="AG99" s="111">
        <v>1</v>
      </c>
      <c r="AH99" s="111"/>
      <c r="AI99" s="111">
        <v>1</v>
      </c>
      <c r="AJ99" s="111"/>
      <c r="AK99" s="111">
        <v>10</v>
      </c>
      <c r="AL99" s="304" t="s">
        <v>1486</v>
      </c>
      <c r="AM99" s="112">
        <f t="shared" si="16"/>
        <v>70</v>
      </c>
      <c r="AN99" s="112">
        <f t="shared" si="17"/>
        <v>95</v>
      </c>
      <c r="AO99" s="114">
        <f t="shared" si="18"/>
        <v>9</v>
      </c>
      <c r="AP99" s="114">
        <f t="shared" si="19"/>
        <v>13</v>
      </c>
      <c r="AQ99" s="114">
        <f t="shared" si="20"/>
        <v>0</v>
      </c>
      <c r="AR99" s="114">
        <f t="shared" si="21"/>
        <v>0</v>
      </c>
      <c r="AS99" s="114">
        <f t="shared" si="22"/>
        <v>17</v>
      </c>
      <c r="AT99" s="114">
        <f t="shared" si="23"/>
        <v>0</v>
      </c>
      <c r="AU99" s="114">
        <f t="shared" si="24"/>
        <v>18</v>
      </c>
      <c r="AV99" s="114">
        <f t="shared" si="25"/>
        <v>4</v>
      </c>
      <c r="AW99" s="114">
        <f t="shared" si="26"/>
        <v>0</v>
      </c>
      <c r="AX99" s="114">
        <f t="shared" ref="AX99:AY99" si="122">IF(S99=1,2,0)</f>
        <v>0</v>
      </c>
      <c r="AY99" s="114">
        <f t="shared" si="122"/>
        <v>0</v>
      </c>
      <c r="AZ99" s="114">
        <f t="shared" si="28"/>
        <v>10</v>
      </c>
      <c r="BA99" s="114">
        <f t="shared" si="29"/>
        <v>0</v>
      </c>
      <c r="BB99" s="114">
        <f t="shared" si="30"/>
        <v>0</v>
      </c>
      <c r="BC99" s="114">
        <f t="shared" si="31"/>
        <v>8</v>
      </c>
      <c r="BD99" s="114">
        <f t="shared" si="32"/>
        <v>0</v>
      </c>
      <c r="BE99" s="114">
        <f t="shared" si="33"/>
        <v>5</v>
      </c>
      <c r="BF99" s="114">
        <f t="shared" si="34"/>
        <v>0</v>
      </c>
      <c r="BG99" s="114">
        <f t="shared" si="35"/>
        <v>15</v>
      </c>
      <c r="BH99" s="114">
        <f t="shared" si="36"/>
        <v>3</v>
      </c>
      <c r="BI99" s="114">
        <f t="shared" si="37"/>
        <v>0</v>
      </c>
      <c r="BJ99" s="114"/>
      <c r="BK99" s="114">
        <f t="shared" si="38"/>
        <v>0</v>
      </c>
      <c r="BL99" s="113"/>
    </row>
    <row r="100" spans="1:64" ht="15" customHeight="1">
      <c r="A100" s="106" t="s">
        <v>1487</v>
      </c>
      <c r="B100" s="115"/>
      <c r="C100" s="107"/>
      <c r="D100" s="107">
        <v>1</v>
      </c>
      <c r="E100" s="107"/>
      <c r="F100" s="107"/>
      <c r="G100" s="107"/>
      <c r="H100" s="107"/>
      <c r="I100" s="107"/>
      <c r="J100" s="107">
        <v>1</v>
      </c>
      <c r="K100" s="107"/>
      <c r="L100" s="107"/>
      <c r="M100" s="107"/>
      <c r="N100" s="107"/>
      <c r="O100" s="107"/>
      <c r="P100" s="107">
        <v>1</v>
      </c>
      <c r="Q100" s="107"/>
      <c r="R100" s="107"/>
      <c r="S100" s="107"/>
      <c r="T100" s="107"/>
      <c r="U100" s="107"/>
      <c r="V100" s="107"/>
      <c r="W100" s="107"/>
      <c r="X100" s="107"/>
      <c r="Y100" s="107"/>
      <c r="Z100" s="107"/>
      <c r="AA100" s="107"/>
      <c r="AB100" s="107"/>
      <c r="AC100" s="107"/>
      <c r="AD100" s="107"/>
      <c r="AE100" s="107"/>
      <c r="AF100" s="107"/>
      <c r="AG100" s="107"/>
      <c r="AH100" s="107"/>
      <c r="AI100" s="107"/>
      <c r="AJ100" s="107"/>
      <c r="AK100" s="107">
        <v>3</v>
      </c>
      <c r="AL100" s="303" t="s">
        <v>1475</v>
      </c>
      <c r="AM100" s="108">
        <f t="shared" si="16"/>
        <v>-21</v>
      </c>
      <c r="AN100" s="108">
        <f t="shared" si="17"/>
        <v>48</v>
      </c>
      <c r="AO100" s="115">
        <f t="shared" si="18"/>
        <v>0</v>
      </c>
      <c r="AP100" s="115">
        <f t="shared" si="19"/>
        <v>13</v>
      </c>
      <c r="AQ100" s="115">
        <f t="shared" si="20"/>
        <v>0</v>
      </c>
      <c r="AR100" s="115">
        <f t="shared" si="21"/>
        <v>0</v>
      </c>
      <c r="AS100" s="115">
        <f t="shared" si="22"/>
        <v>17</v>
      </c>
      <c r="AT100" s="115">
        <f t="shared" si="23"/>
        <v>0</v>
      </c>
      <c r="AU100" s="115">
        <f t="shared" si="24"/>
        <v>18</v>
      </c>
      <c r="AV100" s="115">
        <f t="shared" si="25"/>
        <v>0</v>
      </c>
      <c r="AW100" s="115">
        <f t="shared" si="26"/>
        <v>0</v>
      </c>
      <c r="AX100" s="115">
        <f t="shared" ref="AX100:AY100" si="123">IF(S100=1,2,0)</f>
        <v>0</v>
      </c>
      <c r="AY100" s="115">
        <f t="shared" si="123"/>
        <v>0</v>
      </c>
      <c r="AZ100" s="115">
        <f t="shared" si="28"/>
        <v>0</v>
      </c>
      <c r="BA100" s="115">
        <f t="shared" si="29"/>
        <v>0</v>
      </c>
      <c r="BB100" s="115">
        <f t="shared" si="30"/>
        <v>0</v>
      </c>
      <c r="BC100" s="115">
        <f t="shared" si="31"/>
        <v>0</v>
      </c>
      <c r="BD100" s="115">
        <f t="shared" si="32"/>
        <v>0</v>
      </c>
      <c r="BE100" s="115">
        <f t="shared" si="33"/>
        <v>0</v>
      </c>
      <c r="BF100" s="115">
        <f t="shared" si="34"/>
        <v>0</v>
      </c>
      <c r="BG100" s="115">
        <f t="shared" si="35"/>
        <v>0</v>
      </c>
      <c r="BH100" s="115">
        <f t="shared" si="36"/>
        <v>0</v>
      </c>
      <c r="BI100" s="115">
        <f t="shared" si="37"/>
        <v>0</v>
      </c>
      <c r="BJ100" s="115"/>
      <c r="BK100" s="115">
        <f t="shared" si="38"/>
        <v>49</v>
      </c>
      <c r="BL100" s="109"/>
    </row>
    <row r="101" spans="1:64" ht="15" customHeight="1">
      <c r="A101" s="110" t="s">
        <v>1174</v>
      </c>
      <c r="B101" s="114"/>
      <c r="C101" s="111"/>
      <c r="D101" s="111">
        <v>1</v>
      </c>
      <c r="E101" s="111">
        <v>1</v>
      </c>
      <c r="F101" s="111"/>
      <c r="G101" s="111">
        <v>1</v>
      </c>
      <c r="H101" s="111"/>
      <c r="I101" s="111"/>
      <c r="J101" s="111"/>
      <c r="K101" s="111"/>
      <c r="L101" s="111"/>
      <c r="M101" s="111"/>
      <c r="N101" s="111"/>
      <c r="O101" s="111"/>
      <c r="P101" s="111">
        <v>1</v>
      </c>
      <c r="Q101" s="111">
        <v>1</v>
      </c>
      <c r="R101" s="111"/>
      <c r="S101" s="111"/>
      <c r="T101" s="111"/>
      <c r="U101" s="111">
        <v>1</v>
      </c>
      <c r="V101" s="111"/>
      <c r="W101" s="111"/>
      <c r="X101" s="111"/>
      <c r="Y101" s="111">
        <v>1</v>
      </c>
      <c r="Z101" s="111">
        <v>1</v>
      </c>
      <c r="AA101" s="111"/>
      <c r="AB101" s="111">
        <v>1</v>
      </c>
      <c r="AC101" s="111"/>
      <c r="AD101" s="111">
        <v>1</v>
      </c>
      <c r="AE101" s="111"/>
      <c r="AF101" s="111"/>
      <c r="AG101" s="111"/>
      <c r="AH101" s="111"/>
      <c r="AI101" s="111"/>
      <c r="AJ101" s="111"/>
      <c r="AK101" s="111">
        <v>10</v>
      </c>
      <c r="AL101" s="304" t="s">
        <v>1484</v>
      </c>
      <c r="AM101" s="112">
        <f t="shared" si="16"/>
        <v>79</v>
      </c>
      <c r="AN101" s="112">
        <f t="shared" si="17"/>
        <v>76</v>
      </c>
      <c r="AO101" s="114">
        <f t="shared" si="18"/>
        <v>0</v>
      </c>
      <c r="AP101" s="114">
        <f t="shared" si="19"/>
        <v>13</v>
      </c>
      <c r="AQ101" s="114">
        <f t="shared" si="20"/>
        <v>6</v>
      </c>
      <c r="AR101" s="114">
        <f t="shared" si="21"/>
        <v>6</v>
      </c>
      <c r="AS101" s="114">
        <f t="shared" si="22"/>
        <v>0</v>
      </c>
      <c r="AT101" s="114">
        <f t="shared" si="23"/>
        <v>0</v>
      </c>
      <c r="AU101" s="114">
        <f t="shared" si="24"/>
        <v>18</v>
      </c>
      <c r="AV101" s="114">
        <f t="shared" si="25"/>
        <v>4</v>
      </c>
      <c r="AW101" s="114">
        <f t="shared" si="26"/>
        <v>0</v>
      </c>
      <c r="AX101" s="114">
        <f t="shared" ref="AX101:AY101" si="124">IF(S101=1,2,0)</f>
        <v>0</v>
      </c>
      <c r="AY101" s="114">
        <f t="shared" si="124"/>
        <v>0</v>
      </c>
      <c r="AZ101" s="114">
        <f t="shared" si="28"/>
        <v>10</v>
      </c>
      <c r="BA101" s="114">
        <f t="shared" si="29"/>
        <v>0</v>
      </c>
      <c r="BB101" s="114">
        <f t="shared" si="30"/>
        <v>10</v>
      </c>
      <c r="BC101" s="114">
        <f t="shared" si="31"/>
        <v>8</v>
      </c>
      <c r="BD101" s="114">
        <f t="shared" si="32"/>
        <v>5</v>
      </c>
      <c r="BE101" s="114">
        <f t="shared" si="33"/>
        <v>5</v>
      </c>
      <c r="BF101" s="114">
        <f t="shared" si="34"/>
        <v>0</v>
      </c>
      <c r="BG101" s="114">
        <f t="shared" si="35"/>
        <v>0</v>
      </c>
      <c r="BH101" s="114">
        <f t="shared" si="36"/>
        <v>0</v>
      </c>
      <c r="BI101" s="114">
        <f t="shared" si="37"/>
        <v>0</v>
      </c>
      <c r="BJ101" s="114"/>
      <c r="BK101" s="114">
        <f t="shared" si="38"/>
        <v>0</v>
      </c>
      <c r="BL101" s="113"/>
    </row>
    <row r="102" spans="1:64" ht="15" customHeight="1">
      <c r="A102" s="106" t="s">
        <v>241</v>
      </c>
      <c r="B102" s="115"/>
      <c r="C102" s="107"/>
      <c r="D102" s="107"/>
      <c r="E102" s="107">
        <v>1</v>
      </c>
      <c r="F102" s="107"/>
      <c r="G102" s="107">
        <v>1</v>
      </c>
      <c r="H102" s="107"/>
      <c r="I102" s="107"/>
      <c r="J102" s="107">
        <v>1</v>
      </c>
      <c r="K102" s="107"/>
      <c r="L102" s="107"/>
      <c r="M102" s="107"/>
      <c r="N102" s="107"/>
      <c r="O102" s="107"/>
      <c r="P102" s="107">
        <v>1</v>
      </c>
      <c r="Q102" s="107"/>
      <c r="R102" s="107"/>
      <c r="S102" s="107"/>
      <c r="T102" s="107">
        <v>1</v>
      </c>
      <c r="U102" s="107">
        <v>1</v>
      </c>
      <c r="V102" s="107"/>
      <c r="W102" s="107"/>
      <c r="X102" s="107"/>
      <c r="Y102" s="107">
        <v>1</v>
      </c>
      <c r="Z102" s="107"/>
      <c r="AA102" s="107"/>
      <c r="AB102" s="107">
        <v>1</v>
      </c>
      <c r="AC102" s="107"/>
      <c r="AD102" s="107"/>
      <c r="AE102" s="107"/>
      <c r="AF102" s="107">
        <v>1</v>
      </c>
      <c r="AG102" s="107">
        <v>1</v>
      </c>
      <c r="AH102" s="107"/>
      <c r="AI102" s="107"/>
      <c r="AJ102" s="107"/>
      <c r="AK102" s="107">
        <f t="shared" ref="AK102:AK103" si="125">SUM(B102:AJ102)</f>
        <v>10</v>
      </c>
      <c r="AL102" s="303" t="s">
        <v>1488</v>
      </c>
      <c r="AM102" s="108">
        <f t="shared" si="16"/>
        <v>84</v>
      </c>
      <c r="AN102" s="108">
        <f t="shared" si="17"/>
        <v>87</v>
      </c>
      <c r="AO102" s="115">
        <f t="shared" si="18"/>
        <v>0</v>
      </c>
      <c r="AP102" s="115">
        <f t="shared" si="19"/>
        <v>0</v>
      </c>
      <c r="AQ102" s="115">
        <f t="shared" si="20"/>
        <v>6</v>
      </c>
      <c r="AR102" s="115">
        <f t="shared" si="21"/>
        <v>6</v>
      </c>
      <c r="AS102" s="115">
        <f t="shared" si="22"/>
        <v>17</v>
      </c>
      <c r="AT102" s="115">
        <f t="shared" si="23"/>
        <v>0</v>
      </c>
      <c r="AU102" s="115">
        <f t="shared" si="24"/>
        <v>18</v>
      </c>
      <c r="AV102" s="115">
        <f t="shared" si="25"/>
        <v>0</v>
      </c>
      <c r="AW102" s="115">
        <f t="shared" si="26"/>
        <v>0</v>
      </c>
      <c r="AX102" s="115">
        <f t="shared" ref="AX102:AY102" si="126">IF(S102=1,2,0)</f>
        <v>0</v>
      </c>
      <c r="AY102" s="115">
        <f t="shared" si="126"/>
        <v>2</v>
      </c>
      <c r="AZ102" s="115">
        <f t="shared" si="28"/>
        <v>10</v>
      </c>
      <c r="BA102" s="115">
        <f t="shared" si="29"/>
        <v>0</v>
      </c>
      <c r="BB102" s="115">
        <f t="shared" si="30"/>
        <v>10</v>
      </c>
      <c r="BC102" s="115">
        <f t="shared" si="31"/>
        <v>0</v>
      </c>
      <c r="BD102" s="115">
        <f t="shared" si="32"/>
        <v>5</v>
      </c>
      <c r="BE102" s="115">
        <f t="shared" si="33"/>
        <v>0</v>
      </c>
      <c r="BF102" s="115">
        <f t="shared" si="34"/>
        <v>1</v>
      </c>
      <c r="BG102" s="115">
        <f t="shared" si="35"/>
        <v>15</v>
      </c>
      <c r="BH102" s="115">
        <f t="shared" si="36"/>
        <v>0</v>
      </c>
      <c r="BI102" s="115">
        <f t="shared" si="37"/>
        <v>0</v>
      </c>
      <c r="BJ102" s="115"/>
      <c r="BK102" s="115">
        <f t="shared" si="38"/>
        <v>0</v>
      </c>
      <c r="BL102" s="109"/>
    </row>
    <row r="103" spans="1:64" ht="15" customHeight="1">
      <c r="A103" s="110" t="s">
        <v>1176</v>
      </c>
      <c r="B103" s="114"/>
      <c r="C103" s="111">
        <v>1</v>
      </c>
      <c r="D103" s="111">
        <v>1</v>
      </c>
      <c r="E103" s="111"/>
      <c r="F103" s="111"/>
      <c r="G103" s="111"/>
      <c r="H103" s="111"/>
      <c r="I103" s="111"/>
      <c r="J103" s="111">
        <v>1</v>
      </c>
      <c r="K103" s="111"/>
      <c r="L103" s="111"/>
      <c r="M103" s="111"/>
      <c r="N103" s="111"/>
      <c r="O103" s="111"/>
      <c r="P103" s="111">
        <v>1</v>
      </c>
      <c r="Q103" s="111">
        <v>1</v>
      </c>
      <c r="R103" s="111"/>
      <c r="S103" s="111">
        <v>1</v>
      </c>
      <c r="T103" s="111"/>
      <c r="U103" s="111">
        <v>1</v>
      </c>
      <c r="V103" s="111">
        <v>1</v>
      </c>
      <c r="W103" s="111"/>
      <c r="X103" s="111"/>
      <c r="Y103" s="111"/>
      <c r="Z103" s="111">
        <v>1</v>
      </c>
      <c r="AA103" s="111"/>
      <c r="AB103" s="111"/>
      <c r="AC103" s="111"/>
      <c r="AD103" s="111"/>
      <c r="AE103" s="111"/>
      <c r="AF103" s="111"/>
      <c r="AG103" s="111">
        <v>1</v>
      </c>
      <c r="AH103" s="111"/>
      <c r="AI103" s="111"/>
      <c r="AJ103" s="111"/>
      <c r="AK103" s="111">
        <f t="shared" si="125"/>
        <v>10</v>
      </c>
      <c r="AL103" s="304" t="s">
        <v>1489</v>
      </c>
      <c r="AM103" s="112">
        <f t="shared" si="16"/>
        <v>71</v>
      </c>
      <c r="AN103" s="112">
        <f t="shared" si="17"/>
        <v>94</v>
      </c>
      <c r="AO103" s="114">
        <f t="shared" si="18"/>
        <v>9</v>
      </c>
      <c r="AP103" s="114">
        <f t="shared" si="19"/>
        <v>13</v>
      </c>
      <c r="AQ103" s="114">
        <f t="shared" si="20"/>
        <v>0</v>
      </c>
      <c r="AR103" s="114">
        <f t="shared" si="21"/>
        <v>0</v>
      </c>
      <c r="AS103" s="114">
        <f t="shared" si="22"/>
        <v>17</v>
      </c>
      <c r="AT103" s="114">
        <f t="shared" si="23"/>
        <v>0</v>
      </c>
      <c r="AU103" s="114">
        <f t="shared" si="24"/>
        <v>18</v>
      </c>
      <c r="AV103" s="114">
        <f t="shared" si="25"/>
        <v>4</v>
      </c>
      <c r="AW103" s="114">
        <f t="shared" si="26"/>
        <v>0</v>
      </c>
      <c r="AX103" s="114">
        <f t="shared" ref="AX103:AY103" si="127">IF(S103=1,2,0)</f>
        <v>2</v>
      </c>
      <c r="AY103" s="114">
        <f t="shared" si="127"/>
        <v>0</v>
      </c>
      <c r="AZ103" s="114">
        <f t="shared" si="28"/>
        <v>10</v>
      </c>
      <c r="BA103" s="114">
        <f t="shared" si="29"/>
        <v>3</v>
      </c>
      <c r="BB103" s="114">
        <f t="shared" si="30"/>
        <v>0</v>
      </c>
      <c r="BC103" s="114">
        <f t="shared" si="31"/>
        <v>8</v>
      </c>
      <c r="BD103" s="114">
        <f t="shared" si="32"/>
        <v>0</v>
      </c>
      <c r="BE103" s="114">
        <f t="shared" si="33"/>
        <v>0</v>
      </c>
      <c r="BF103" s="114">
        <f t="shared" si="34"/>
        <v>0</v>
      </c>
      <c r="BG103" s="114">
        <f t="shared" si="35"/>
        <v>15</v>
      </c>
      <c r="BH103" s="114">
        <f t="shared" si="36"/>
        <v>0</v>
      </c>
      <c r="BI103" s="114">
        <f t="shared" si="37"/>
        <v>0</v>
      </c>
      <c r="BJ103" s="114"/>
      <c r="BK103" s="114">
        <f t="shared" si="38"/>
        <v>0</v>
      </c>
      <c r="BL103" s="113"/>
    </row>
    <row r="104" spans="1:64" ht="15" customHeight="1">
      <c r="A104" s="106" t="s">
        <v>1490</v>
      </c>
      <c r="B104" s="115"/>
      <c r="C104" s="107"/>
      <c r="D104" s="107">
        <v>1</v>
      </c>
      <c r="E104" s="107"/>
      <c r="F104" s="107"/>
      <c r="G104" s="107"/>
      <c r="H104" s="107"/>
      <c r="I104" s="107"/>
      <c r="J104" s="107"/>
      <c r="K104" s="107"/>
      <c r="L104" s="107"/>
      <c r="M104" s="107"/>
      <c r="N104" s="107"/>
      <c r="O104" s="107"/>
      <c r="P104" s="107">
        <v>1</v>
      </c>
      <c r="Q104" s="107"/>
      <c r="R104" s="107"/>
      <c r="S104" s="107"/>
      <c r="T104" s="107"/>
      <c r="U104" s="107">
        <v>1</v>
      </c>
      <c r="V104" s="107"/>
      <c r="W104" s="107"/>
      <c r="X104" s="107"/>
      <c r="Y104" s="107"/>
      <c r="Z104" s="107"/>
      <c r="AA104" s="107"/>
      <c r="AB104" s="107"/>
      <c r="AC104" s="107"/>
      <c r="AD104" s="107"/>
      <c r="AE104" s="107"/>
      <c r="AF104" s="107"/>
      <c r="AG104" s="107"/>
      <c r="AH104" s="107"/>
      <c r="AI104" s="107"/>
      <c r="AJ104" s="107"/>
      <c r="AK104" s="107">
        <v>3</v>
      </c>
      <c r="AL104" s="303" t="s">
        <v>1444</v>
      </c>
      <c r="AM104" s="108">
        <f t="shared" si="16"/>
        <v>-27</v>
      </c>
      <c r="AN104" s="108">
        <f t="shared" si="17"/>
        <v>41</v>
      </c>
      <c r="AO104" s="115">
        <f t="shared" si="18"/>
        <v>0</v>
      </c>
      <c r="AP104" s="115">
        <f t="shared" si="19"/>
        <v>13</v>
      </c>
      <c r="AQ104" s="115">
        <f t="shared" si="20"/>
        <v>0</v>
      </c>
      <c r="AR104" s="115">
        <f t="shared" si="21"/>
        <v>0</v>
      </c>
      <c r="AS104" s="115">
        <f t="shared" si="22"/>
        <v>0</v>
      </c>
      <c r="AT104" s="115">
        <f t="shared" si="23"/>
        <v>0</v>
      </c>
      <c r="AU104" s="115">
        <f t="shared" si="24"/>
        <v>18</v>
      </c>
      <c r="AV104" s="115">
        <f t="shared" si="25"/>
        <v>0</v>
      </c>
      <c r="AW104" s="115">
        <f t="shared" si="26"/>
        <v>0</v>
      </c>
      <c r="AX104" s="115">
        <f t="shared" ref="AX104:AY104" si="128">IF(S104=1,2,0)</f>
        <v>0</v>
      </c>
      <c r="AY104" s="115">
        <f t="shared" si="128"/>
        <v>0</v>
      </c>
      <c r="AZ104" s="115">
        <f t="shared" si="28"/>
        <v>10</v>
      </c>
      <c r="BA104" s="115">
        <f t="shared" si="29"/>
        <v>0</v>
      </c>
      <c r="BB104" s="115">
        <f t="shared" si="30"/>
        <v>0</v>
      </c>
      <c r="BC104" s="115">
        <f t="shared" si="31"/>
        <v>0</v>
      </c>
      <c r="BD104" s="115">
        <f t="shared" si="32"/>
        <v>0</v>
      </c>
      <c r="BE104" s="115">
        <f t="shared" si="33"/>
        <v>0</v>
      </c>
      <c r="BF104" s="115">
        <f t="shared" si="34"/>
        <v>0</v>
      </c>
      <c r="BG104" s="115">
        <f t="shared" si="35"/>
        <v>0</v>
      </c>
      <c r="BH104" s="115">
        <f t="shared" si="36"/>
        <v>0</v>
      </c>
      <c r="BI104" s="115">
        <f t="shared" si="37"/>
        <v>0</v>
      </c>
      <c r="BJ104" s="115"/>
      <c r="BK104" s="115">
        <f t="shared" si="38"/>
        <v>49</v>
      </c>
      <c r="BL104" s="109"/>
    </row>
    <row r="105" spans="1:64" ht="15" customHeight="1">
      <c r="A105" s="110" t="s">
        <v>242</v>
      </c>
      <c r="B105" s="114"/>
      <c r="C105" s="111">
        <v>1</v>
      </c>
      <c r="D105" s="111">
        <v>1</v>
      </c>
      <c r="E105" s="111"/>
      <c r="F105" s="111"/>
      <c r="G105" s="111"/>
      <c r="H105" s="111"/>
      <c r="I105" s="111"/>
      <c r="J105" s="111">
        <v>1</v>
      </c>
      <c r="K105" s="111"/>
      <c r="L105" s="111"/>
      <c r="M105" s="111"/>
      <c r="N105" s="111"/>
      <c r="O105" s="111"/>
      <c r="P105" s="111">
        <v>1</v>
      </c>
      <c r="Q105" s="111">
        <v>1</v>
      </c>
      <c r="R105" s="111"/>
      <c r="S105" s="111"/>
      <c r="T105" s="111"/>
      <c r="U105" s="111">
        <v>1</v>
      </c>
      <c r="V105" s="111"/>
      <c r="W105" s="111"/>
      <c r="X105" s="111"/>
      <c r="Y105" s="111">
        <v>1</v>
      </c>
      <c r="Z105" s="111">
        <v>1</v>
      </c>
      <c r="AA105" s="111"/>
      <c r="AB105" s="111">
        <v>1</v>
      </c>
      <c r="AC105" s="111"/>
      <c r="AD105" s="111"/>
      <c r="AE105" s="111"/>
      <c r="AF105" s="111"/>
      <c r="AG105" s="111">
        <v>1</v>
      </c>
      <c r="AH105" s="111"/>
      <c r="AI105" s="111"/>
      <c r="AJ105" s="111"/>
      <c r="AK105" s="111">
        <v>10</v>
      </c>
      <c r="AL105" s="304" t="s">
        <v>1491</v>
      </c>
      <c r="AM105" s="112">
        <f t="shared" si="16"/>
        <v>78</v>
      </c>
      <c r="AN105" s="112">
        <f t="shared" si="17"/>
        <v>100</v>
      </c>
      <c r="AO105" s="114">
        <f t="shared" si="18"/>
        <v>9</v>
      </c>
      <c r="AP105" s="114">
        <f t="shared" si="19"/>
        <v>13</v>
      </c>
      <c r="AQ105" s="114">
        <f t="shared" si="20"/>
        <v>0</v>
      </c>
      <c r="AR105" s="114">
        <f t="shared" si="21"/>
        <v>0</v>
      </c>
      <c r="AS105" s="114">
        <f t="shared" si="22"/>
        <v>17</v>
      </c>
      <c r="AT105" s="114">
        <f t="shared" si="23"/>
        <v>0</v>
      </c>
      <c r="AU105" s="114">
        <f t="shared" si="24"/>
        <v>18</v>
      </c>
      <c r="AV105" s="114">
        <f t="shared" si="25"/>
        <v>4</v>
      </c>
      <c r="AW105" s="114">
        <f t="shared" si="26"/>
        <v>0</v>
      </c>
      <c r="AX105" s="114">
        <f t="shared" ref="AX105:AY105" si="129">IF(S105=1,2,0)</f>
        <v>0</v>
      </c>
      <c r="AY105" s="114">
        <f t="shared" si="129"/>
        <v>0</v>
      </c>
      <c r="AZ105" s="114">
        <f t="shared" si="28"/>
        <v>10</v>
      </c>
      <c r="BA105" s="114">
        <f t="shared" si="29"/>
        <v>0</v>
      </c>
      <c r="BB105" s="114">
        <f t="shared" si="30"/>
        <v>10</v>
      </c>
      <c r="BC105" s="114">
        <f t="shared" si="31"/>
        <v>8</v>
      </c>
      <c r="BD105" s="114">
        <f t="shared" si="32"/>
        <v>5</v>
      </c>
      <c r="BE105" s="114">
        <f t="shared" si="33"/>
        <v>0</v>
      </c>
      <c r="BF105" s="114">
        <f t="shared" si="34"/>
        <v>0</v>
      </c>
      <c r="BG105" s="114">
        <f t="shared" si="35"/>
        <v>15</v>
      </c>
      <c r="BH105" s="114">
        <f t="shared" si="36"/>
        <v>0</v>
      </c>
      <c r="BI105" s="114">
        <f t="shared" si="37"/>
        <v>0</v>
      </c>
      <c r="BJ105" s="114"/>
      <c r="BK105" s="114">
        <f t="shared" si="38"/>
        <v>0</v>
      </c>
      <c r="BL105" s="113"/>
    </row>
    <row r="106" spans="1:64" ht="15" customHeight="1">
      <c r="A106" s="106" t="s">
        <v>247</v>
      </c>
      <c r="B106" s="115"/>
      <c r="C106" s="107">
        <v>1</v>
      </c>
      <c r="D106" s="107">
        <v>1</v>
      </c>
      <c r="E106" s="107"/>
      <c r="F106" s="107"/>
      <c r="G106" s="107"/>
      <c r="H106" s="107"/>
      <c r="I106" s="107"/>
      <c r="J106" s="107">
        <v>1</v>
      </c>
      <c r="K106" s="107"/>
      <c r="L106" s="107"/>
      <c r="M106" s="107"/>
      <c r="N106" s="107"/>
      <c r="O106" s="107"/>
      <c r="P106" s="107">
        <v>1</v>
      </c>
      <c r="Q106" s="107"/>
      <c r="R106" s="107"/>
      <c r="S106" s="107"/>
      <c r="T106" s="107"/>
      <c r="U106" s="107">
        <v>1</v>
      </c>
      <c r="V106" s="107">
        <v>1</v>
      </c>
      <c r="W106" s="107"/>
      <c r="X106" s="107"/>
      <c r="Y106" s="107"/>
      <c r="Z106" s="107">
        <v>1</v>
      </c>
      <c r="AA106" s="107"/>
      <c r="AB106" s="107">
        <v>1</v>
      </c>
      <c r="AC106" s="107"/>
      <c r="AD106" s="107"/>
      <c r="AE106" s="107"/>
      <c r="AF106" s="107"/>
      <c r="AG106" s="107">
        <v>1</v>
      </c>
      <c r="AH106" s="107"/>
      <c r="AI106" s="107">
        <v>1</v>
      </c>
      <c r="AJ106" s="107"/>
      <c r="AK106" s="107">
        <f>SUM(B106:AJ106)</f>
        <v>10</v>
      </c>
      <c r="AL106" s="303" t="s">
        <v>1492</v>
      </c>
      <c r="AM106" s="108">
        <f t="shared" si="16"/>
        <v>74</v>
      </c>
      <c r="AN106" s="108">
        <f t="shared" si="17"/>
        <v>95</v>
      </c>
      <c r="AO106" s="115">
        <f t="shared" si="18"/>
        <v>9</v>
      </c>
      <c r="AP106" s="115">
        <f t="shared" si="19"/>
        <v>13</v>
      </c>
      <c r="AQ106" s="115">
        <f t="shared" si="20"/>
        <v>0</v>
      </c>
      <c r="AR106" s="115">
        <f t="shared" si="21"/>
        <v>0</v>
      </c>
      <c r="AS106" s="115">
        <f t="shared" si="22"/>
        <v>17</v>
      </c>
      <c r="AT106" s="115">
        <f t="shared" si="23"/>
        <v>0</v>
      </c>
      <c r="AU106" s="115">
        <f t="shared" si="24"/>
        <v>18</v>
      </c>
      <c r="AV106" s="115">
        <f t="shared" si="25"/>
        <v>0</v>
      </c>
      <c r="AW106" s="115">
        <f t="shared" si="26"/>
        <v>0</v>
      </c>
      <c r="AX106" s="115">
        <f t="shared" ref="AX106:AY106" si="130">IF(S106=1,2,0)</f>
        <v>0</v>
      </c>
      <c r="AY106" s="115">
        <f t="shared" si="130"/>
        <v>0</v>
      </c>
      <c r="AZ106" s="115">
        <f t="shared" si="28"/>
        <v>10</v>
      </c>
      <c r="BA106" s="115">
        <f t="shared" si="29"/>
        <v>3</v>
      </c>
      <c r="BB106" s="115">
        <f t="shared" si="30"/>
        <v>0</v>
      </c>
      <c r="BC106" s="115">
        <f t="shared" si="31"/>
        <v>8</v>
      </c>
      <c r="BD106" s="115">
        <f t="shared" si="32"/>
        <v>5</v>
      </c>
      <c r="BE106" s="115">
        <f t="shared" si="33"/>
        <v>0</v>
      </c>
      <c r="BF106" s="115">
        <f t="shared" si="34"/>
        <v>0</v>
      </c>
      <c r="BG106" s="115">
        <f t="shared" si="35"/>
        <v>15</v>
      </c>
      <c r="BH106" s="115">
        <f t="shared" si="36"/>
        <v>3</v>
      </c>
      <c r="BI106" s="115">
        <f t="shared" si="37"/>
        <v>0</v>
      </c>
      <c r="BJ106" s="115"/>
      <c r="BK106" s="115">
        <f t="shared" si="38"/>
        <v>0</v>
      </c>
      <c r="BL106" s="109"/>
    </row>
    <row r="107" spans="1:64" ht="15" customHeight="1">
      <c r="A107" s="110" t="s">
        <v>1493</v>
      </c>
      <c r="B107" s="114"/>
      <c r="C107" s="111">
        <v>1</v>
      </c>
      <c r="D107" s="111">
        <v>1</v>
      </c>
      <c r="E107" s="111"/>
      <c r="F107" s="111"/>
      <c r="G107" s="111"/>
      <c r="H107" s="111"/>
      <c r="I107" s="111"/>
      <c r="J107" s="111">
        <v>1</v>
      </c>
      <c r="K107" s="111"/>
      <c r="L107" s="111"/>
      <c r="M107" s="111"/>
      <c r="N107" s="111"/>
      <c r="O107" s="111"/>
      <c r="P107" s="111">
        <v>1</v>
      </c>
      <c r="Q107" s="111"/>
      <c r="R107" s="111"/>
      <c r="S107" s="111"/>
      <c r="T107" s="111"/>
      <c r="U107" s="111">
        <v>1</v>
      </c>
      <c r="V107" s="111"/>
      <c r="W107" s="111"/>
      <c r="X107" s="111"/>
      <c r="Y107" s="111"/>
      <c r="Z107" s="111"/>
      <c r="AA107" s="111"/>
      <c r="AB107" s="111"/>
      <c r="AC107" s="111"/>
      <c r="AD107" s="111">
        <v>1</v>
      </c>
      <c r="AE107" s="111"/>
      <c r="AF107" s="111"/>
      <c r="AG107" s="111"/>
      <c r="AH107" s="111"/>
      <c r="AI107" s="111">
        <v>1</v>
      </c>
      <c r="AJ107" s="111"/>
      <c r="AK107" s="111">
        <v>7</v>
      </c>
      <c r="AL107" s="304" t="s">
        <v>1417</v>
      </c>
      <c r="AM107" s="112">
        <f t="shared" si="16"/>
        <v>35</v>
      </c>
      <c r="AN107" s="112">
        <f t="shared" si="17"/>
        <v>75</v>
      </c>
      <c r="AO107" s="114">
        <f t="shared" si="18"/>
        <v>9</v>
      </c>
      <c r="AP107" s="114">
        <f t="shared" si="19"/>
        <v>13</v>
      </c>
      <c r="AQ107" s="114">
        <f t="shared" si="20"/>
        <v>0</v>
      </c>
      <c r="AR107" s="114">
        <f t="shared" si="21"/>
        <v>0</v>
      </c>
      <c r="AS107" s="114">
        <f t="shared" si="22"/>
        <v>17</v>
      </c>
      <c r="AT107" s="114">
        <f t="shared" si="23"/>
        <v>0</v>
      </c>
      <c r="AU107" s="114">
        <f t="shared" si="24"/>
        <v>18</v>
      </c>
      <c r="AV107" s="114">
        <f t="shared" si="25"/>
        <v>0</v>
      </c>
      <c r="AW107" s="114">
        <f t="shared" si="26"/>
        <v>0</v>
      </c>
      <c r="AX107" s="114">
        <f t="shared" ref="AX107:AY107" si="131">IF(S107=1,2,0)</f>
        <v>0</v>
      </c>
      <c r="AY107" s="114">
        <f t="shared" si="131"/>
        <v>0</v>
      </c>
      <c r="AZ107" s="114">
        <f t="shared" si="28"/>
        <v>10</v>
      </c>
      <c r="BA107" s="114">
        <f t="shared" si="29"/>
        <v>0</v>
      </c>
      <c r="BB107" s="114">
        <f t="shared" si="30"/>
        <v>0</v>
      </c>
      <c r="BC107" s="114">
        <f t="shared" si="31"/>
        <v>0</v>
      </c>
      <c r="BD107" s="114">
        <f t="shared" si="32"/>
        <v>0</v>
      </c>
      <c r="BE107" s="114">
        <f t="shared" si="33"/>
        <v>5</v>
      </c>
      <c r="BF107" s="114">
        <f t="shared" si="34"/>
        <v>0</v>
      </c>
      <c r="BG107" s="114">
        <f t="shared" si="35"/>
        <v>0</v>
      </c>
      <c r="BH107" s="114">
        <f t="shared" si="36"/>
        <v>3</v>
      </c>
      <c r="BI107" s="114">
        <f t="shared" si="37"/>
        <v>0</v>
      </c>
      <c r="BJ107" s="114"/>
      <c r="BK107" s="114">
        <f t="shared" si="38"/>
        <v>9</v>
      </c>
      <c r="BL107" s="113"/>
    </row>
    <row r="108" spans="1:64" ht="15" customHeight="1">
      <c r="A108" s="106" t="s">
        <v>250</v>
      </c>
      <c r="B108" s="115"/>
      <c r="C108" s="107">
        <v>1</v>
      </c>
      <c r="D108" s="107">
        <v>1</v>
      </c>
      <c r="E108" s="107">
        <v>1</v>
      </c>
      <c r="F108" s="107"/>
      <c r="G108" s="107">
        <v>1</v>
      </c>
      <c r="H108" s="107"/>
      <c r="I108" s="107"/>
      <c r="J108" s="107">
        <v>1</v>
      </c>
      <c r="K108" s="107"/>
      <c r="L108" s="107"/>
      <c r="M108" s="107"/>
      <c r="N108" s="107"/>
      <c r="O108" s="107"/>
      <c r="P108" s="107">
        <v>1</v>
      </c>
      <c r="Q108" s="107"/>
      <c r="R108" s="107"/>
      <c r="S108" s="107"/>
      <c r="T108" s="107"/>
      <c r="U108" s="107">
        <v>1</v>
      </c>
      <c r="V108" s="107"/>
      <c r="W108" s="107"/>
      <c r="X108" s="107"/>
      <c r="Y108" s="107"/>
      <c r="Z108" s="107">
        <v>1</v>
      </c>
      <c r="AA108" s="107"/>
      <c r="AB108" s="107">
        <v>1</v>
      </c>
      <c r="AC108" s="107"/>
      <c r="AD108" s="107"/>
      <c r="AE108" s="107"/>
      <c r="AF108" s="107"/>
      <c r="AG108" s="107">
        <v>1</v>
      </c>
      <c r="AH108" s="107"/>
      <c r="AI108" s="107"/>
      <c r="AJ108" s="107"/>
      <c r="AK108" s="107">
        <f>SUM(B108:AJ108)</f>
        <v>10</v>
      </c>
      <c r="AL108" s="303" t="s">
        <v>1494</v>
      </c>
      <c r="AM108" s="108">
        <f t="shared" si="16"/>
        <v>92</v>
      </c>
      <c r="AN108" s="108">
        <f t="shared" si="17"/>
        <v>96</v>
      </c>
      <c r="AO108" s="115">
        <f t="shared" si="18"/>
        <v>9</v>
      </c>
      <c r="AP108" s="115">
        <f t="shared" si="19"/>
        <v>13</v>
      </c>
      <c r="AQ108" s="115">
        <f t="shared" si="20"/>
        <v>6</v>
      </c>
      <c r="AR108" s="115">
        <f t="shared" si="21"/>
        <v>6</v>
      </c>
      <c r="AS108" s="115">
        <f t="shared" si="22"/>
        <v>17</v>
      </c>
      <c r="AT108" s="115">
        <f t="shared" si="23"/>
        <v>0</v>
      </c>
      <c r="AU108" s="115">
        <f t="shared" si="24"/>
        <v>18</v>
      </c>
      <c r="AV108" s="115">
        <f t="shared" si="25"/>
        <v>0</v>
      </c>
      <c r="AW108" s="115">
        <f t="shared" si="26"/>
        <v>0</v>
      </c>
      <c r="AX108" s="115">
        <f t="shared" ref="AX108:AY108" si="132">IF(S108=1,2,0)</f>
        <v>0</v>
      </c>
      <c r="AY108" s="115">
        <f t="shared" si="132"/>
        <v>0</v>
      </c>
      <c r="AZ108" s="115">
        <f t="shared" si="28"/>
        <v>10</v>
      </c>
      <c r="BA108" s="115">
        <f t="shared" si="29"/>
        <v>0</v>
      </c>
      <c r="BB108" s="115">
        <f t="shared" si="30"/>
        <v>0</v>
      </c>
      <c r="BC108" s="115">
        <f t="shared" si="31"/>
        <v>8</v>
      </c>
      <c r="BD108" s="115">
        <f t="shared" si="32"/>
        <v>5</v>
      </c>
      <c r="BE108" s="115">
        <f t="shared" si="33"/>
        <v>0</v>
      </c>
      <c r="BF108" s="115">
        <f t="shared" si="34"/>
        <v>0</v>
      </c>
      <c r="BG108" s="115">
        <f t="shared" si="35"/>
        <v>15</v>
      </c>
      <c r="BH108" s="115">
        <f t="shared" si="36"/>
        <v>0</v>
      </c>
      <c r="BI108" s="115">
        <f t="shared" si="37"/>
        <v>0</v>
      </c>
      <c r="BJ108" s="115"/>
      <c r="BK108" s="115">
        <f t="shared" si="38"/>
        <v>0</v>
      </c>
      <c r="BL108" s="109"/>
    </row>
    <row r="109" spans="1:64" ht="15" customHeight="1">
      <c r="A109" s="110" t="s">
        <v>251</v>
      </c>
      <c r="B109" s="114"/>
      <c r="C109" s="111"/>
      <c r="D109" s="111">
        <v>1</v>
      </c>
      <c r="E109" s="111"/>
      <c r="F109" s="111"/>
      <c r="G109" s="111"/>
      <c r="H109" s="111"/>
      <c r="I109" s="111"/>
      <c r="J109" s="111">
        <v>1</v>
      </c>
      <c r="K109" s="111"/>
      <c r="L109" s="111"/>
      <c r="M109" s="111"/>
      <c r="N109" s="111"/>
      <c r="O109" s="111"/>
      <c r="P109" s="111">
        <v>1</v>
      </c>
      <c r="Q109" s="111"/>
      <c r="R109" s="111"/>
      <c r="S109" s="111"/>
      <c r="T109" s="111"/>
      <c r="U109" s="111">
        <v>1</v>
      </c>
      <c r="V109" s="111"/>
      <c r="W109" s="111"/>
      <c r="X109" s="111"/>
      <c r="Y109" s="111">
        <v>1</v>
      </c>
      <c r="Z109" s="111">
        <v>1</v>
      </c>
      <c r="AA109" s="111"/>
      <c r="AB109" s="111"/>
      <c r="AC109" s="111"/>
      <c r="AD109" s="111"/>
      <c r="AE109" s="111"/>
      <c r="AF109" s="111"/>
      <c r="AG109" s="111">
        <v>1</v>
      </c>
      <c r="AH109" s="111"/>
      <c r="AI109" s="111"/>
      <c r="AJ109" s="111"/>
      <c r="AK109" s="111">
        <v>7</v>
      </c>
      <c r="AL109" s="304" t="s">
        <v>1436</v>
      </c>
      <c r="AM109" s="112">
        <f t="shared" si="16"/>
        <v>50</v>
      </c>
      <c r="AN109" s="112">
        <f t="shared" si="17"/>
        <v>91</v>
      </c>
      <c r="AO109" s="114">
        <f t="shared" si="18"/>
        <v>0</v>
      </c>
      <c r="AP109" s="114">
        <f t="shared" si="19"/>
        <v>13</v>
      </c>
      <c r="AQ109" s="114">
        <f t="shared" si="20"/>
        <v>0</v>
      </c>
      <c r="AR109" s="114">
        <f t="shared" si="21"/>
        <v>0</v>
      </c>
      <c r="AS109" s="114">
        <f t="shared" si="22"/>
        <v>17</v>
      </c>
      <c r="AT109" s="114">
        <f t="shared" si="23"/>
        <v>0</v>
      </c>
      <c r="AU109" s="114">
        <f t="shared" si="24"/>
        <v>18</v>
      </c>
      <c r="AV109" s="114">
        <f t="shared" si="25"/>
        <v>0</v>
      </c>
      <c r="AW109" s="114">
        <f t="shared" si="26"/>
        <v>0</v>
      </c>
      <c r="AX109" s="114">
        <f t="shared" ref="AX109:AY109" si="133">IF(S109=1,2,0)</f>
        <v>0</v>
      </c>
      <c r="AY109" s="114">
        <f t="shared" si="133"/>
        <v>0</v>
      </c>
      <c r="AZ109" s="114">
        <f t="shared" si="28"/>
        <v>10</v>
      </c>
      <c r="BA109" s="114">
        <f t="shared" si="29"/>
        <v>0</v>
      </c>
      <c r="BB109" s="114">
        <f t="shared" si="30"/>
        <v>10</v>
      </c>
      <c r="BC109" s="114">
        <f t="shared" si="31"/>
        <v>8</v>
      </c>
      <c r="BD109" s="114">
        <f t="shared" si="32"/>
        <v>0</v>
      </c>
      <c r="BE109" s="114">
        <f t="shared" si="33"/>
        <v>0</v>
      </c>
      <c r="BF109" s="114">
        <f t="shared" si="34"/>
        <v>0</v>
      </c>
      <c r="BG109" s="114">
        <f t="shared" si="35"/>
        <v>15</v>
      </c>
      <c r="BH109" s="114">
        <f t="shared" si="36"/>
        <v>0</v>
      </c>
      <c r="BI109" s="114">
        <f t="shared" si="37"/>
        <v>0</v>
      </c>
      <c r="BJ109" s="114"/>
      <c r="BK109" s="114">
        <f t="shared" si="38"/>
        <v>9</v>
      </c>
      <c r="BL109" s="113"/>
    </row>
    <row r="110" spans="1:64" ht="15" customHeight="1">
      <c r="A110" s="106" t="s">
        <v>1495</v>
      </c>
      <c r="B110" s="115"/>
      <c r="C110" s="107"/>
      <c r="D110" s="107">
        <v>1</v>
      </c>
      <c r="E110" s="107">
        <v>1</v>
      </c>
      <c r="F110" s="107"/>
      <c r="G110" s="107">
        <v>1</v>
      </c>
      <c r="H110" s="107"/>
      <c r="I110" s="107"/>
      <c r="J110" s="107">
        <v>1</v>
      </c>
      <c r="K110" s="107"/>
      <c r="L110" s="107"/>
      <c r="M110" s="107"/>
      <c r="N110" s="107"/>
      <c r="O110" s="107"/>
      <c r="P110" s="107">
        <v>1</v>
      </c>
      <c r="Q110" s="107"/>
      <c r="R110" s="107"/>
      <c r="S110" s="107"/>
      <c r="T110" s="107">
        <v>1</v>
      </c>
      <c r="U110" s="107"/>
      <c r="V110" s="107"/>
      <c r="W110" s="107"/>
      <c r="X110" s="107">
        <v>1</v>
      </c>
      <c r="Y110" s="107">
        <v>1</v>
      </c>
      <c r="Z110" s="107"/>
      <c r="AA110" s="107"/>
      <c r="AB110" s="107"/>
      <c r="AC110" s="107"/>
      <c r="AD110" s="107"/>
      <c r="AE110" s="107"/>
      <c r="AF110" s="107">
        <v>1</v>
      </c>
      <c r="AG110" s="107">
        <v>1</v>
      </c>
      <c r="AH110" s="107"/>
      <c r="AI110" s="107"/>
      <c r="AJ110" s="107"/>
      <c r="AK110" s="107">
        <v>10</v>
      </c>
      <c r="AL110" s="303" t="s">
        <v>1436</v>
      </c>
      <c r="AM110" s="108">
        <f t="shared" si="16"/>
        <v>87</v>
      </c>
      <c r="AN110" s="108">
        <f t="shared" si="17"/>
        <v>87</v>
      </c>
      <c r="AO110" s="115">
        <f t="shared" si="18"/>
        <v>0</v>
      </c>
      <c r="AP110" s="115">
        <f t="shared" si="19"/>
        <v>13</v>
      </c>
      <c r="AQ110" s="115">
        <f t="shared" si="20"/>
        <v>6</v>
      </c>
      <c r="AR110" s="115">
        <f t="shared" si="21"/>
        <v>6</v>
      </c>
      <c r="AS110" s="115">
        <f t="shared" si="22"/>
        <v>17</v>
      </c>
      <c r="AT110" s="115">
        <f t="shared" si="23"/>
        <v>0</v>
      </c>
      <c r="AU110" s="115">
        <f t="shared" si="24"/>
        <v>18</v>
      </c>
      <c r="AV110" s="115">
        <f t="shared" si="25"/>
        <v>0</v>
      </c>
      <c r="AW110" s="115">
        <f t="shared" si="26"/>
        <v>0</v>
      </c>
      <c r="AX110" s="115">
        <f t="shared" ref="AX110:AY110" si="134">IF(S110=1,2,0)</f>
        <v>0</v>
      </c>
      <c r="AY110" s="115">
        <f t="shared" si="134"/>
        <v>2</v>
      </c>
      <c r="AZ110" s="115">
        <f t="shared" si="28"/>
        <v>0</v>
      </c>
      <c r="BA110" s="115">
        <f t="shared" si="29"/>
        <v>0</v>
      </c>
      <c r="BB110" s="115">
        <f t="shared" si="30"/>
        <v>10</v>
      </c>
      <c r="BC110" s="115">
        <f t="shared" si="31"/>
        <v>0</v>
      </c>
      <c r="BD110" s="115">
        <f t="shared" si="32"/>
        <v>0</v>
      </c>
      <c r="BE110" s="115">
        <f t="shared" si="33"/>
        <v>0</v>
      </c>
      <c r="BF110" s="115">
        <f t="shared" si="34"/>
        <v>1</v>
      </c>
      <c r="BG110" s="115">
        <f t="shared" si="35"/>
        <v>15</v>
      </c>
      <c r="BH110" s="115">
        <f t="shared" si="36"/>
        <v>0</v>
      </c>
      <c r="BI110" s="115">
        <f t="shared" si="37"/>
        <v>0</v>
      </c>
      <c r="BJ110" s="115"/>
      <c r="BK110" s="115">
        <f t="shared" si="38"/>
        <v>0</v>
      </c>
      <c r="BL110" s="109"/>
    </row>
    <row r="111" spans="1:64" ht="15" customHeight="1">
      <c r="A111" s="110" t="s">
        <v>254</v>
      </c>
      <c r="B111" s="114"/>
      <c r="C111" s="111">
        <v>1</v>
      </c>
      <c r="D111" s="111">
        <v>1</v>
      </c>
      <c r="E111" s="111">
        <v>1</v>
      </c>
      <c r="F111" s="111"/>
      <c r="G111" s="111">
        <v>1</v>
      </c>
      <c r="H111" s="111"/>
      <c r="I111" s="111"/>
      <c r="J111" s="111">
        <v>1</v>
      </c>
      <c r="K111" s="111"/>
      <c r="L111" s="111"/>
      <c r="M111" s="111"/>
      <c r="N111" s="111"/>
      <c r="O111" s="111"/>
      <c r="P111" s="111">
        <v>1</v>
      </c>
      <c r="Q111" s="111"/>
      <c r="R111" s="111"/>
      <c r="S111" s="111"/>
      <c r="T111" s="111"/>
      <c r="U111" s="111"/>
      <c r="V111" s="111">
        <v>1</v>
      </c>
      <c r="W111" s="111"/>
      <c r="X111" s="111"/>
      <c r="Y111" s="111">
        <v>1</v>
      </c>
      <c r="Z111" s="111">
        <v>1</v>
      </c>
      <c r="AA111" s="111"/>
      <c r="AB111" s="111"/>
      <c r="AC111" s="111"/>
      <c r="AD111" s="111"/>
      <c r="AE111" s="111"/>
      <c r="AF111" s="111"/>
      <c r="AG111" s="111">
        <v>1</v>
      </c>
      <c r="AH111" s="111"/>
      <c r="AI111" s="111"/>
      <c r="AJ111" s="111"/>
      <c r="AK111" s="111">
        <f t="shared" ref="AK111:AK112" si="135">SUM(B111:AJ111)</f>
        <v>10</v>
      </c>
      <c r="AL111" s="304" t="s">
        <v>1496</v>
      </c>
      <c r="AM111" s="112">
        <f t="shared" si="16"/>
        <v>100</v>
      </c>
      <c r="AN111" s="112">
        <f t="shared" si="17"/>
        <v>96</v>
      </c>
      <c r="AO111" s="114">
        <f t="shared" si="18"/>
        <v>9</v>
      </c>
      <c r="AP111" s="114">
        <f t="shared" si="19"/>
        <v>13</v>
      </c>
      <c r="AQ111" s="114">
        <f t="shared" si="20"/>
        <v>6</v>
      </c>
      <c r="AR111" s="114">
        <f t="shared" si="21"/>
        <v>6</v>
      </c>
      <c r="AS111" s="114">
        <f t="shared" si="22"/>
        <v>17</v>
      </c>
      <c r="AT111" s="114">
        <f t="shared" si="23"/>
        <v>0</v>
      </c>
      <c r="AU111" s="114">
        <f t="shared" si="24"/>
        <v>18</v>
      </c>
      <c r="AV111" s="114">
        <f t="shared" si="25"/>
        <v>0</v>
      </c>
      <c r="AW111" s="114">
        <f t="shared" si="26"/>
        <v>0</v>
      </c>
      <c r="AX111" s="114">
        <f t="shared" ref="AX111:AY111" si="136">IF(S111=1,2,0)</f>
        <v>0</v>
      </c>
      <c r="AY111" s="114">
        <f t="shared" si="136"/>
        <v>0</v>
      </c>
      <c r="AZ111" s="114">
        <f t="shared" si="28"/>
        <v>0</v>
      </c>
      <c r="BA111" s="114">
        <f t="shared" si="29"/>
        <v>3</v>
      </c>
      <c r="BB111" s="114">
        <f t="shared" si="30"/>
        <v>10</v>
      </c>
      <c r="BC111" s="114">
        <f t="shared" si="31"/>
        <v>8</v>
      </c>
      <c r="BD111" s="114">
        <f t="shared" si="32"/>
        <v>0</v>
      </c>
      <c r="BE111" s="114">
        <f t="shared" si="33"/>
        <v>0</v>
      </c>
      <c r="BF111" s="114">
        <f t="shared" si="34"/>
        <v>0</v>
      </c>
      <c r="BG111" s="114">
        <f t="shared" si="35"/>
        <v>15</v>
      </c>
      <c r="BH111" s="114">
        <f t="shared" si="36"/>
        <v>0</v>
      </c>
      <c r="BI111" s="114">
        <f t="shared" si="37"/>
        <v>0</v>
      </c>
      <c r="BJ111" s="114"/>
      <c r="BK111" s="114">
        <f t="shared" si="38"/>
        <v>0</v>
      </c>
      <c r="BL111" s="113"/>
    </row>
    <row r="112" spans="1:64" ht="15" customHeight="1">
      <c r="A112" s="106" t="s">
        <v>1185</v>
      </c>
      <c r="B112" s="115"/>
      <c r="C112" s="107"/>
      <c r="D112" s="107">
        <v>1</v>
      </c>
      <c r="E112" s="107"/>
      <c r="F112" s="107"/>
      <c r="G112" s="107"/>
      <c r="H112" s="107"/>
      <c r="I112" s="107"/>
      <c r="J112" s="107">
        <v>1</v>
      </c>
      <c r="K112" s="107"/>
      <c r="L112" s="107"/>
      <c r="M112" s="107"/>
      <c r="N112" s="107"/>
      <c r="O112" s="107"/>
      <c r="P112" s="107">
        <v>1</v>
      </c>
      <c r="Q112" s="107">
        <v>1</v>
      </c>
      <c r="R112" s="107"/>
      <c r="S112" s="107"/>
      <c r="T112" s="107"/>
      <c r="U112" s="107">
        <v>1</v>
      </c>
      <c r="V112" s="107"/>
      <c r="W112" s="107"/>
      <c r="X112" s="107"/>
      <c r="Y112" s="107">
        <v>1</v>
      </c>
      <c r="Z112" s="107"/>
      <c r="AA112" s="107"/>
      <c r="AB112" s="107">
        <v>1</v>
      </c>
      <c r="AC112" s="107"/>
      <c r="AD112" s="107">
        <v>1</v>
      </c>
      <c r="AE112" s="107"/>
      <c r="AF112" s="107"/>
      <c r="AG112" s="107">
        <v>1</v>
      </c>
      <c r="AH112" s="107"/>
      <c r="AI112" s="107">
        <v>1</v>
      </c>
      <c r="AJ112" s="107"/>
      <c r="AK112" s="107">
        <f t="shared" si="135"/>
        <v>10</v>
      </c>
      <c r="AL112" s="303" t="s">
        <v>1497</v>
      </c>
      <c r="AM112" s="108">
        <f t="shared" si="16"/>
        <v>66</v>
      </c>
      <c r="AN112" s="108">
        <f t="shared" si="17"/>
        <v>93</v>
      </c>
      <c r="AO112" s="115">
        <f t="shared" si="18"/>
        <v>0</v>
      </c>
      <c r="AP112" s="115">
        <f t="shared" si="19"/>
        <v>13</v>
      </c>
      <c r="AQ112" s="115">
        <f t="shared" si="20"/>
        <v>0</v>
      </c>
      <c r="AR112" s="115">
        <f t="shared" si="21"/>
        <v>0</v>
      </c>
      <c r="AS112" s="115">
        <f t="shared" si="22"/>
        <v>17</v>
      </c>
      <c r="AT112" s="115">
        <f t="shared" si="23"/>
        <v>0</v>
      </c>
      <c r="AU112" s="115">
        <f t="shared" si="24"/>
        <v>18</v>
      </c>
      <c r="AV112" s="115">
        <f t="shared" si="25"/>
        <v>4</v>
      </c>
      <c r="AW112" s="115">
        <f t="shared" si="26"/>
        <v>0</v>
      </c>
      <c r="AX112" s="115">
        <f t="shared" ref="AX112:AY112" si="137">IF(S112=1,2,0)</f>
        <v>0</v>
      </c>
      <c r="AY112" s="115">
        <f t="shared" si="137"/>
        <v>0</v>
      </c>
      <c r="AZ112" s="115">
        <f t="shared" si="28"/>
        <v>10</v>
      </c>
      <c r="BA112" s="115">
        <f t="shared" si="29"/>
        <v>0</v>
      </c>
      <c r="BB112" s="115">
        <f t="shared" si="30"/>
        <v>10</v>
      </c>
      <c r="BC112" s="115">
        <f t="shared" si="31"/>
        <v>0</v>
      </c>
      <c r="BD112" s="115">
        <f t="shared" si="32"/>
        <v>5</v>
      </c>
      <c r="BE112" s="115">
        <f t="shared" si="33"/>
        <v>5</v>
      </c>
      <c r="BF112" s="115">
        <f t="shared" si="34"/>
        <v>0</v>
      </c>
      <c r="BG112" s="115">
        <f t="shared" si="35"/>
        <v>15</v>
      </c>
      <c r="BH112" s="115">
        <f t="shared" si="36"/>
        <v>3</v>
      </c>
      <c r="BI112" s="115">
        <f t="shared" si="37"/>
        <v>0</v>
      </c>
      <c r="BJ112" s="115"/>
      <c r="BK112" s="115">
        <f t="shared" si="38"/>
        <v>0</v>
      </c>
      <c r="BL112" s="109"/>
    </row>
    <row r="113" spans="1:64" ht="15" customHeight="1">
      <c r="A113" s="110" t="s">
        <v>1498</v>
      </c>
      <c r="B113" s="114"/>
      <c r="C113" s="111"/>
      <c r="D113" s="111">
        <v>1</v>
      </c>
      <c r="E113" s="111">
        <v>1</v>
      </c>
      <c r="F113" s="111"/>
      <c r="G113" s="111">
        <v>1</v>
      </c>
      <c r="H113" s="111"/>
      <c r="I113" s="111"/>
      <c r="J113" s="111">
        <v>1</v>
      </c>
      <c r="K113" s="111"/>
      <c r="L113" s="111"/>
      <c r="M113" s="111"/>
      <c r="N113" s="111"/>
      <c r="O113" s="111"/>
      <c r="P113" s="111">
        <v>1</v>
      </c>
      <c r="Q113" s="111"/>
      <c r="R113" s="111"/>
      <c r="S113" s="111"/>
      <c r="T113" s="111"/>
      <c r="U113" s="111"/>
      <c r="V113" s="111"/>
      <c r="W113" s="111"/>
      <c r="X113" s="111"/>
      <c r="Y113" s="111">
        <v>1</v>
      </c>
      <c r="Z113" s="111"/>
      <c r="AA113" s="111"/>
      <c r="AB113" s="111"/>
      <c r="AC113" s="111"/>
      <c r="AD113" s="111"/>
      <c r="AE113" s="111"/>
      <c r="AF113" s="111"/>
      <c r="AG113" s="111">
        <v>1</v>
      </c>
      <c r="AH113" s="111"/>
      <c r="AI113" s="111"/>
      <c r="AJ113" s="111"/>
      <c r="AK113" s="111">
        <v>7</v>
      </c>
      <c r="AL113" s="304" t="s">
        <v>1499</v>
      </c>
      <c r="AM113" s="112">
        <f t="shared" si="16"/>
        <v>68</v>
      </c>
      <c r="AN113" s="112">
        <f t="shared" si="17"/>
        <v>85</v>
      </c>
      <c r="AO113" s="114">
        <f t="shared" si="18"/>
        <v>0</v>
      </c>
      <c r="AP113" s="114">
        <f t="shared" si="19"/>
        <v>13</v>
      </c>
      <c r="AQ113" s="114">
        <f t="shared" si="20"/>
        <v>6</v>
      </c>
      <c r="AR113" s="114">
        <f t="shared" si="21"/>
        <v>6</v>
      </c>
      <c r="AS113" s="114">
        <f t="shared" si="22"/>
        <v>17</v>
      </c>
      <c r="AT113" s="114">
        <f t="shared" si="23"/>
        <v>0</v>
      </c>
      <c r="AU113" s="114">
        <f t="shared" si="24"/>
        <v>18</v>
      </c>
      <c r="AV113" s="114">
        <f t="shared" si="25"/>
        <v>0</v>
      </c>
      <c r="AW113" s="114">
        <f t="shared" si="26"/>
        <v>0</v>
      </c>
      <c r="AX113" s="114">
        <f t="shared" ref="AX113:AY113" si="138">IF(S113=1,2,0)</f>
        <v>0</v>
      </c>
      <c r="AY113" s="114">
        <f t="shared" si="138"/>
        <v>0</v>
      </c>
      <c r="AZ113" s="114">
        <f t="shared" si="28"/>
        <v>0</v>
      </c>
      <c r="BA113" s="114">
        <f t="shared" si="29"/>
        <v>0</v>
      </c>
      <c r="BB113" s="114">
        <f t="shared" si="30"/>
        <v>10</v>
      </c>
      <c r="BC113" s="114">
        <f t="shared" si="31"/>
        <v>0</v>
      </c>
      <c r="BD113" s="114">
        <f t="shared" si="32"/>
        <v>0</v>
      </c>
      <c r="BE113" s="114">
        <f t="shared" si="33"/>
        <v>0</v>
      </c>
      <c r="BF113" s="114">
        <f t="shared" si="34"/>
        <v>0</v>
      </c>
      <c r="BG113" s="114">
        <f t="shared" si="35"/>
        <v>15</v>
      </c>
      <c r="BH113" s="114">
        <f t="shared" si="36"/>
        <v>0</v>
      </c>
      <c r="BI113" s="114">
        <f t="shared" si="37"/>
        <v>0</v>
      </c>
      <c r="BJ113" s="114"/>
      <c r="BK113" s="114">
        <f t="shared" si="38"/>
        <v>9</v>
      </c>
      <c r="BL113" s="113"/>
    </row>
    <row r="114" spans="1:64" ht="15" customHeight="1">
      <c r="A114" s="106" t="s">
        <v>255</v>
      </c>
      <c r="B114" s="115"/>
      <c r="C114" s="107"/>
      <c r="D114" s="107">
        <v>1</v>
      </c>
      <c r="E114" s="107"/>
      <c r="F114" s="107"/>
      <c r="G114" s="107"/>
      <c r="H114" s="107"/>
      <c r="I114" s="107"/>
      <c r="J114" s="107">
        <v>1</v>
      </c>
      <c r="K114" s="107"/>
      <c r="L114" s="107"/>
      <c r="M114" s="107"/>
      <c r="N114" s="107">
        <v>1</v>
      </c>
      <c r="O114" s="107"/>
      <c r="P114" s="107">
        <v>1</v>
      </c>
      <c r="Q114" s="107">
        <v>1</v>
      </c>
      <c r="R114" s="107"/>
      <c r="S114" s="107"/>
      <c r="T114" s="107"/>
      <c r="U114" s="107"/>
      <c r="V114" s="107"/>
      <c r="W114" s="107"/>
      <c r="X114" s="107"/>
      <c r="Y114" s="107">
        <v>1</v>
      </c>
      <c r="Z114" s="107"/>
      <c r="AA114" s="107"/>
      <c r="AB114" s="107"/>
      <c r="AC114" s="107"/>
      <c r="AD114" s="107">
        <v>1</v>
      </c>
      <c r="AE114" s="107"/>
      <c r="AF114" s="107"/>
      <c r="AG114" s="107">
        <v>1</v>
      </c>
      <c r="AH114" s="107"/>
      <c r="AI114" s="107"/>
      <c r="AJ114" s="107"/>
      <c r="AK114" s="107">
        <v>8</v>
      </c>
      <c r="AL114" s="303" t="s">
        <v>1440</v>
      </c>
      <c r="AM114" s="108">
        <f t="shared" si="16"/>
        <v>54</v>
      </c>
      <c r="AN114" s="108">
        <f t="shared" si="17"/>
        <v>84</v>
      </c>
      <c r="AO114" s="115">
        <f t="shared" si="18"/>
        <v>0</v>
      </c>
      <c r="AP114" s="115">
        <f t="shared" si="19"/>
        <v>13</v>
      </c>
      <c r="AQ114" s="115">
        <f t="shared" si="20"/>
        <v>0</v>
      </c>
      <c r="AR114" s="115">
        <f t="shared" si="21"/>
        <v>0</v>
      </c>
      <c r="AS114" s="115">
        <f t="shared" si="22"/>
        <v>17</v>
      </c>
      <c r="AT114" s="115">
        <f t="shared" si="23"/>
        <v>2</v>
      </c>
      <c r="AU114" s="115">
        <f t="shared" si="24"/>
        <v>18</v>
      </c>
      <c r="AV114" s="115">
        <f t="shared" si="25"/>
        <v>4</v>
      </c>
      <c r="AW114" s="115">
        <f t="shared" si="26"/>
        <v>0</v>
      </c>
      <c r="AX114" s="115">
        <f t="shared" ref="AX114:AY114" si="139">IF(S114=1,2,0)</f>
        <v>0</v>
      </c>
      <c r="AY114" s="115">
        <f t="shared" si="139"/>
        <v>0</v>
      </c>
      <c r="AZ114" s="115">
        <f t="shared" si="28"/>
        <v>0</v>
      </c>
      <c r="BA114" s="115">
        <f t="shared" si="29"/>
        <v>0</v>
      </c>
      <c r="BB114" s="115">
        <f t="shared" si="30"/>
        <v>10</v>
      </c>
      <c r="BC114" s="115">
        <f t="shared" si="31"/>
        <v>0</v>
      </c>
      <c r="BD114" s="115">
        <f t="shared" si="32"/>
        <v>0</v>
      </c>
      <c r="BE114" s="115">
        <f t="shared" si="33"/>
        <v>5</v>
      </c>
      <c r="BF114" s="115">
        <f t="shared" si="34"/>
        <v>0</v>
      </c>
      <c r="BG114" s="115">
        <f t="shared" si="35"/>
        <v>15</v>
      </c>
      <c r="BH114" s="115">
        <f t="shared" si="36"/>
        <v>0</v>
      </c>
      <c r="BI114" s="115">
        <f t="shared" si="37"/>
        <v>0</v>
      </c>
      <c r="BJ114" s="115"/>
      <c r="BK114" s="115">
        <f t="shared" si="38"/>
        <v>4</v>
      </c>
      <c r="BL114" s="109"/>
    </row>
    <row r="115" spans="1:64" ht="15" customHeight="1">
      <c r="A115" s="110" t="s">
        <v>593</v>
      </c>
      <c r="B115" s="114"/>
      <c r="C115" s="111"/>
      <c r="D115" s="111">
        <v>1</v>
      </c>
      <c r="E115" s="111"/>
      <c r="F115" s="111"/>
      <c r="G115" s="111"/>
      <c r="H115" s="111"/>
      <c r="I115" s="111"/>
      <c r="J115" s="111">
        <v>1</v>
      </c>
      <c r="K115" s="111"/>
      <c r="L115" s="111"/>
      <c r="M115" s="111"/>
      <c r="N115" s="111"/>
      <c r="O115" s="111"/>
      <c r="P115" s="111">
        <v>1</v>
      </c>
      <c r="Q115" s="111"/>
      <c r="R115" s="111"/>
      <c r="S115" s="111"/>
      <c r="T115" s="111"/>
      <c r="U115" s="111"/>
      <c r="V115" s="111"/>
      <c r="W115" s="111"/>
      <c r="X115" s="111"/>
      <c r="Y115" s="111"/>
      <c r="Z115" s="111"/>
      <c r="AA115" s="111"/>
      <c r="AB115" s="111"/>
      <c r="AC115" s="111"/>
      <c r="AD115" s="111"/>
      <c r="AE115" s="111"/>
      <c r="AF115" s="111"/>
      <c r="AG115" s="111">
        <v>1</v>
      </c>
      <c r="AH115" s="111"/>
      <c r="AI115" s="111"/>
      <c r="AJ115" s="111"/>
      <c r="AK115" s="111">
        <v>4</v>
      </c>
      <c r="AL115" s="304" t="s">
        <v>1500</v>
      </c>
      <c r="AM115" s="112">
        <f t="shared" si="16"/>
        <v>4</v>
      </c>
      <c r="AN115" s="112">
        <f t="shared" si="17"/>
        <v>63</v>
      </c>
      <c r="AO115" s="114">
        <f t="shared" si="18"/>
        <v>0</v>
      </c>
      <c r="AP115" s="114">
        <f t="shared" si="19"/>
        <v>13</v>
      </c>
      <c r="AQ115" s="114">
        <f t="shared" si="20"/>
        <v>0</v>
      </c>
      <c r="AR115" s="114">
        <f t="shared" si="21"/>
        <v>0</v>
      </c>
      <c r="AS115" s="114">
        <f t="shared" si="22"/>
        <v>17</v>
      </c>
      <c r="AT115" s="114">
        <f t="shared" si="23"/>
        <v>0</v>
      </c>
      <c r="AU115" s="114">
        <f t="shared" si="24"/>
        <v>18</v>
      </c>
      <c r="AV115" s="114">
        <f t="shared" si="25"/>
        <v>0</v>
      </c>
      <c r="AW115" s="114">
        <f t="shared" si="26"/>
        <v>0</v>
      </c>
      <c r="AX115" s="114">
        <f t="shared" ref="AX115:AY115" si="140">IF(S115=1,2,0)</f>
        <v>0</v>
      </c>
      <c r="AY115" s="114">
        <f t="shared" si="140"/>
        <v>0</v>
      </c>
      <c r="AZ115" s="114">
        <f t="shared" si="28"/>
        <v>0</v>
      </c>
      <c r="BA115" s="114">
        <f t="shared" si="29"/>
        <v>0</v>
      </c>
      <c r="BB115" s="114">
        <f t="shared" si="30"/>
        <v>0</v>
      </c>
      <c r="BC115" s="114">
        <f t="shared" si="31"/>
        <v>0</v>
      </c>
      <c r="BD115" s="114">
        <f t="shared" si="32"/>
        <v>0</v>
      </c>
      <c r="BE115" s="114">
        <f t="shared" si="33"/>
        <v>0</v>
      </c>
      <c r="BF115" s="114">
        <f t="shared" si="34"/>
        <v>0</v>
      </c>
      <c r="BG115" s="114">
        <f t="shared" si="35"/>
        <v>15</v>
      </c>
      <c r="BH115" s="114">
        <f t="shared" si="36"/>
        <v>0</v>
      </c>
      <c r="BI115" s="114">
        <f t="shared" si="37"/>
        <v>0</v>
      </c>
      <c r="BJ115" s="114"/>
      <c r="BK115" s="114">
        <f t="shared" si="38"/>
        <v>36</v>
      </c>
      <c r="BL115" s="113"/>
    </row>
    <row r="116" spans="1:64" ht="15" customHeight="1">
      <c r="A116" s="106" t="s">
        <v>863</v>
      </c>
      <c r="B116" s="115"/>
      <c r="C116" s="107">
        <v>1</v>
      </c>
      <c r="D116" s="107">
        <v>1</v>
      </c>
      <c r="E116" s="107"/>
      <c r="F116" s="107"/>
      <c r="G116" s="107"/>
      <c r="H116" s="107"/>
      <c r="I116" s="107"/>
      <c r="J116" s="107">
        <v>1</v>
      </c>
      <c r="K116" s="107"/>
      <c r="L116" s="107"/>
      <c r="M116" s="107"/>
      <c r="N116" s="107"/>
      <c r="O116" s="107"/>
      <c r="P116" s="107">
        <v>1</v>
      </c>
      <c r="Q116" s="107">
        <v>1</v>
      </c>
      <c r="R116" s="107"/>
      <c r="S116" s="107"/>
      <c r="T116" s="107"/>
      <c r="U116" s="107">
        <v>1</v>
      </c>
      <c r="V116" s="107"/>
      <c r="W116" s="107"/>
      <c r="X116" s="107"/>
      <c r="Y116" s="107">
        <v>1</v>
      </c>
      <c r="Z116" s="107">
        <v>1</v>
      </c>
      <c r="AA116" s="107"/>
      <c r="AB116" s="107"/>
      <c r="AC116" s="107"/>
      <c r="AD116" s="107"/>
      <c r="AE116" s="107"/>
      <c r="AF116" s="107"/>
      <c r="AG116" s="107">
        <v>1</v>
      </c>
      <c r="AH116" s="107"/>
      <c r="AI116" s="107">
        <v>1</v>
      </c>
      <c r="AJ116" s="107"/>
      <c r="AK116" s="107">
        <v>10</v>
      </c>
      <c r="AL116" s="303" t="s">
        <v>1501</v>
      </c>
      <c r="AM116" s="108">
        <f t="shared" si="16"/>
        <v>78</v>
      </c>
      <c r="AN116" s="108">
        <f t="shared" si="17"/>
        <v>100</v>
      </c>
      <c r="AO116" s="115">
        <f t="shared" si="18"/>
        <v>9</v>
      </c>
      <c r="AP116" s="115">
        <f t="shared" si="19"/>
        <v>13</v>
      </c>
      <c r="AQ116" s="115">
        <f t="shared" si="20"/>
        <v>0</v>
      </c>
      <c r="AR116" s="115">
        <f t="shared" si="21"/>
        <v>0</v>
      </c>
      <c r="AS116" s="115">
        <f t="shared" si="22"/>
        <v>17</v>
      </c>
      <c r="AT116" s="115">
        <f t="shared" si="23"/>
        <v>0</v>
      </c>
      <c r="AU116" s="115">
        <f t="shared" si="24"/>
        <v>18</v>
      </c>
      <c r="AV116" s="115">
        <f t="shared" si="25"/>
        <v>4</v>
      </c>
      <c r="AW116" s="115">
        <f t="shared" si="26"/>
        <v>0</v>
      </c>
      <c r="AX116" s="115">
        <f t="shared" ref="AX116:AY116" si="141">IF(S116=1,2,0)</f>
        <v>0</v>
      </c>
      <c r="AY116" s="115">
        <f t="shared" si="141"/>
        <v>0</v>
      </c>
      <c r="AZ116" s="115">
        <f t="shared" si="28"/>
        <v>10</v>
      </c>
      <c r="BA116" s="115">
        <f t="shared" si="29"/>
        <v>0</v>
      </c>
      <c r="BB116" s="115">
        <f t="shared" si="30"/>
        <v>10</v>
      </c>
      <c r="BC116" s="115">
        <f t="shared" si="31"/>
        <v>8</v>
      </c>
      <c r="BD116" s="115">
        <f t="shared" si="32"/>
        <v>0</v>
      </c>
      <c r="BE116" s="115">
        <f t="shared" si="33"/>
        <v>0</v>
      </c>
      <c r="BF116" s="115">
        <f t="shared" si="34"/>
        <v>0</v>
      </c>
      <c r="BG116" s="115">
        <f t="shared" si="35"/>
        <v>15</v>
      </c>
      <c r="BH116" s="115">
        <f t="shared" si="36"/>
        <v>3</v>
      </c>
      <c r="BI116" s="115">
        <f t="shared" si="37"/>
        <v>0</v>
      </c>
      <c r="BJ116" s="115"/>
      <c r="BK116" s="115">
        <f t="shared" si="38"/>
        <v>0</v>
      </c>
      <c r="BL116" s="109"/>
    </row>
    <row r="117" spans="1:64" ht="15" customHeight="1">
      <c r="A117" s="110" t="s">
        <v>258</v>
      </c>
      <c r="B117" s="114"/>
      <c r="C117" s="111">
        <v>1</v>
      </c>
      <c r="D117" s="111">
        <v>1</v>
      </c>
      <c r="E117" s="111"/>
      <c r="F117" s="111"/>
      <c r="G117" s="111"/>
      <c r="H117" s="111"/>
      <c r="I117" s="111"/>
      <c r="J117" s="111">
        <v>1</v>
      </c>
      <c r="K117" s="111"/>
      <c r="L117" s="111"/>
      <c r="M117" s="111"/>
      <c r="N117" s="111"/>
      <c r="O117" s="111"/>
      <c r="P117" s="111">
        <v>1</v>
      </c>
      <c r="Q117" s="111">
        <v>1</v>
      </c>
      <c r="R117" s="111"/>
      <c r="S117" s="111"/>
      <c r="T117" s="111"/>
      <c r="U117" s="111">
        <v>1</v>
      </c>
      <c r="V117" s="111">
        <v>1</v>
      </c>
      <c r="W117" s="111"/>
      <c r="X117" s="111"/>
      <c r="Y117" s="111">
        <v>1</v>
      </c>
      <c r="Z117" s="111">
        <v>1</v>
      </c>
      <c r="AA117" s="111"/>
      <c r="AB117" s="111"/>
      <c r="AC117" s="111"/>
      <c r="AD117" s="111"/>
      <c r="AE117" s="111"/>
      <c r="AF117" s="111"/>
      <c r="AG117" s="111">
        <v>1</v>
      </c>
      <c r="AH117" s="111"/>
      <c r="AI117" s="111"/>
      <c r="AJ117" s="111"/>
      <c r="AK117" s="111">
        <v>10</v>
      </c>
      <c r="AL117" s="304" t="s">
        <v>1502</v>
      </c>
      <c r="AM117" s="112">
        <f t="shared" si="16"/>
        <v>78</v>
      </c>
      <c r="AN117" s="112">
        <f t="shared" si="17"/>
        <v>100</v>
      </c>
      <c r="AO117" s="114">
        <f t="shared" si="18"/>
        <v>9</v>
      </c>
      <c r="AP117" s="114">
        <f t="shared" si="19"/>
        <v>13</v>
      </c>
      <c r="AQ117" s="114">
        <f t="shared" si="20"/>
        <v>0</v>
      </c>
      <c r="AR117" s="114">
        <f t="shared" si="21"/>
        <v>0</v>
      </c>
      <c r="AS117" s="114">
        <f t="shared" si="22"/>
        <v>17</v>
      </c>
      <c r="AT117" s="114">
        <f t="shared" si="23"/>
        <v>0</v>
      </c>
      <c r="AU117" s="114">
        <f t="shared" si="24"/>
        <v>18</v>
      </c>
      <c r="AV117" s="114">
        <f t="shared" si="25"/>
        <v>4</v>
      </c>
      <c r="AW117" s="114">
        <f t="shared" si="26"/>
        <v>0</v>
      </c>
      <c r="AX117" s="114">
        <f t="shared" ref="AX117:AY117" si="142">IF(S117=1,2,0)</f>
        <v>0</v>
      </c>
      <c r="AY117" s="114">
        <f t="shared" si="142"/>
        <v>0</v>
      </c>
      <c r="AZ117" s="114">
        <f t="shared" si="28"/>
        <v>10</v>
      </c>
      <c r="BA117" s="114">
        <f t="shared" si="29"/>
        <v>3</v>
      </c>
      <c r="BB117" s="114">
        <f t="shared" si="30"/>
        <v>10</v>
      </c>
      <c r="BC117" s="114">
        <f t="shared" si="31"/>
        <v>8</v>
      </c>
      <c r="BD117" s="114">
        <f t="shared" si="32"/>
        <v>0</v>
      </c>
      <c r="BE117" s="114">
        <f t="shared" si="33"/>
        <v>0</v>
      </c>
      <c r="BF117" s="114">
        <f t="shared" si="34"/>
        <v>0</v>
      </c>
      <c r="BG117" s="114">
        <f t="shared" si="35"/>
        <v>15</v>
      </c>
      <c r="BH117" s="114">
        <f t="shared" si="36"/>
        <v>0</v>
      </c>
      <c r="BI117" s="114">
        <f t="shared" si="37"/>
        <v>0</v>
      </c>
      <c r="BJ117" s="114"/>
      <c r="BK117" s="114">
        <f t="shared" si="38"/>
        <v>0</v>
      </c>
      <c r="BL117" s="113"/>
    </row>
    <row r="118" spans="1:64" ht="15" customHeight="1">
      <c r="A118" s="106" t="s">
        <v>259</v>
      </c>
      <c r="B118" s="115"/>
      <c r="C118" s="107">
        <v>1</v>
      </c>
      <c r="D118" s="107">
        <v>1</v>
      </c>
      <c r="E118" s="107">
        <v>1</v>
      </c>
      <c r="F118" s="107"/>
      <c r="G118" s="107">
        <v>1</v>
      </c>
      <c r="H118" s="107"/>
      <c r="I118" s="107"/>
      <c r="J118" s="107">
        <v>1</v>
      </c>
      <c r="K118" s="107"/>
      <c r="L118" s="107"/>
      <c r="M118" s="107"/>
      <c r="N118" s="107"/>
      <c r="O118" s="107"/>
      <c r="P118" s="107">
        <v>1</v>
      </c>
      <c r="Q118" s="107"/>
      <c r="R118" s="107"/>
      <c r="S118" s="107"/>
      <c r="T118" s="107"/>
      <c r="U118" s="107">
        <v>1</v>
      </c>
      <c r="V118" s="107"/>
      <c r="W118" s="107"/>
      <c r="X118" s="107"/>
      <c r="Y118" s="107">
        <v>1</v>
      </c>
      <c r="Z118" s="107">
        <v>1</v>
      </c>
      <c r="AA118" s="107"/>
      <c r="AB118" s="107"/>
      <c r="AC118" s="107"/>
      <c r="AD118" s="107"/>
      <c r="AE118" s="107"/>
      <c r="AF118" s="107"/>
      <c r="AG118" s="107">
        <v>1</v>
      </c>
      <c r="AH118" s="107"/>
      <c r="AI118" s="107"/>
      <c r="AJ118" s="107"/>
      <c r="AK118" s="107">
        <v>10</v>
      </c>
      <c r="AL118" s="303" t="s">
        <v>1440</v>
      </c>
      <c r="AM118" s="108">
        <f t="shared" si="16"/>
        <v>96</v>
      </c>
      <c r="AN118" s="108">
        <f t="shared" si="17"/>
        <v>100</v>
      </c>
      <c r="AO118" s="115">
        <f t="shared" si="18"/>
        <v>9</v>
      </c>
      <c r="AP118" s="115">
        <f t="shared" si="19"/>
        <v>13</v>
      </c>
      <c r="AQ118" s="115">
        <f t="shared" si="20"/>
        <v>6</v>
      </c>
      <c r="AR118" s="115">
        <f t="shared" si="21"/>
        <v>6</v>
      </c>
      <c r="AS118" s="115">
        <f t="shared" si="22"/>
        <v>17</v>
      </c>
      <c r="AT118" s="115">
        <f t="shared" si="23"/>
        <v>0</v>
      </c>
      <c r="AU118" s="115">
        <f t="shared" si="24"/>
        <v>18</v>
      </c>
      <c r="AV118" s="115">
        <f t="shared" si="25"/>
        <v>0</v>
      </c>
      <c r="AW118" s="115">
        <f t="shared" si="26"/>
        <v>0</v>
      </c>
      <c r="AX118" s="115">
        <f t="shared" ref="AX118:AY118" si="143">IF(S118=1,2,0)</f>
        <v>0</v>
      </c>
      <c r="AY118" s="115">
        <f t="shared" si="143"/>
        <v>0</v>
      </c>
      <c r="AZ118" s="115">
        <f t="shared" si="28"/>
        <v>10</v>
      </c>
      <c r="BA118" s="115">
        <f t="shared" si="29"/>
        <v>0</v>
      </c>
      <c r="BB118" s="115">
        <f t="shared" si="30"/>
        <v>10</v>
      </c>
      <c r="BC118" s="115">
        <f t="shared" si="31"/>
        <v>8</v>
      </c>
      <c r="BD118" s="115">
        <f t="shared" si="32"/>
        <v>0</v>
      </c>
      <c r="BE118" s="115">
        <f t="shared" si="33"/>
        <v>0</v>
      </c>
      <c r="BF118" s="115">
        <f t="shared" si="34"/>
        <v>0</v>
      </c>
      <c r="BG118" s="115">
        <f t="shared" si="35"/>
        <v>15</v>
      </c>
      <c r="BH118" s="115">
        <f t="shared" si="36"/>
        <v>0</v>
      </c>
      <c r="BI118" s="115">
        <f t="shared" si="37"/>
        <v>0</v>
      </c>
      <c r="BJ118" s="115"/>
      <c r="BK118" s="115">
        <f t="shared" si="38"/>
        <v>0</v>
      </c>
      <c r="BL118" s="109"/>
    </row>
    <row r="119" spans="1:64" ht="15" customHeight="1">
      <c r="A119" s="110" t="s">
        <v>262</v>
      </c>
      <c r="B119" s="114"/>
      <c r="C119" s="111">
        <v>1</v>
      </c>
      <c r="D119" s="111">
        <v>1</v>
      </c>
      <c r="E119" s="111"/>
      <c r="F119" s="111"/>
      <c r="G119" s="111"/>
      <c r="H119" s="111"/>
      <c r="I119" s="111"/>
      <c r="J119" s="111">
        <v>1</v>
      </c>
      <c r="K119" s="111"/>
      <c r="L119" s="111"/>
      <c r="M119" s="111"/>
      <c r="N119" s="111"/>
      <c r="O119" s="111"/>
      <c r="P119" s="111">
        <v>1</v>
      </c>
      <c r="Q119" s="111">
        <v>1</v>
      </c>
      <c r="R119" s="111"/>
      <c r="S119" s="111"/>
      <c r="T119" s="111"/>
      <c r="U119" s="111">
        <v>1</v>
      </c>
      <c r="V119" s="111"/>
      <c r="W119" s="111"/>
      <c r="X119" s="111"/>
      <c r="Y119" s="111">
        <v>1</v>
      </c>
      <c r="Z119" s="111"/>
      <c r="AA119" s="111"/>
      <c r="AB119" s="111">
        <v>1</v>
      </c>
      <c r="AC119" s="111"/>
      <c r="AD119" s="111"/>
      <c r="AE119" s="111"/>
      <c r="AF119" s="111"/>
      <c r="AG119" s="111">
        <v>1</v>
      </c>
      <c r="AH119" s="111"/>
      <c r="AI119" s="111">
        <v>1</v>
      </c>
      <c r="AJ119" s="111"/>
      <c r="AK119" s="111">
        <v>10</v>
      </c>
      <c r="AL119" s="304" t="s">
        <v>1503</v>
      </c>
      <c r="AM119" s="112">
        <f t="shared" si="16"/>
        <v>74</v>
      </c>
      <c r="AN119" s="112">
        <f t="shared" si="17"/>
        <v>97</v>
      </c>
      <c r="AO119" s="114">
        <f t="shared" si="18"/>
        <v>9</v>
      </c>
      <c r="AP119" s="114">
        <f t="shared" si="19"/>
        <v>13</v>
      </c>
      <c r="AQ119" s="114">
        <f t="shared" si="20"/>
        <v>0</v>
      </c>
      <c r="AR119" s="114">
        <f t="shared" si="21"/>
        <v>0</v>
      </c>
      <c r="AS119" s="114">
        <f t="shared" si="22"/>
        <v>17</v>
      </c>
      <c r="AT119" s="114">
        <f t="shared" si="23"/>
        <v>0</v>
      </c>
      <c r="AU119" s="114">
        <f t="shared" si="24"/>
        <v>18</v>
      </c>
      <c r="AV119" s="114">
        <f t="shared" si="25"/>
        <v>4</v>
      </c>
      <c r="AW119" s="114">
        <f t="shared" si="26"/>
        <v>0</v>
      </c>
      <c r="AX119" s="114">
        <f t="shared" ref="AX119:AY119" si="144">IF(S119=1,2,0)</f>
        <v>0</v>
      </c>
      <c r="AY119" s="114">
        <f t="shared" si="144"/>
        <v>0</v>
      </c>
      <c r="AZ119" s="114">
        <f t="shared" si="28"/>
        <v>10</v>
      </c>
      <c r="BA119" s="114">
        <f t="shared" si="29"/>
        <v>0</v>
      </c>
      <c r="BB119" s="114">
        <f t="shared" si="30"/>
        <v>10</v>
      </c>
      <c r="BC119" s="114">
        <f t="shared" si="31"/>
        <v>0</v>
      </c>
      <c r="BD119" s="114">
        <f t="shared" si="32"/>
        <v>5</v>
      </c>
      <c r="BE119" s="114">
        <f t="shared" si="33"/>
        <v>0</v>
      </c>
      <c r="BF119" s="114">
        <f t="shared" si="34"/>
        <v>0</v>
      </c>
      <c r="BG119" s="114">
        <f t="shared" si="35"/>
        <v>15</v>
      </c>
      <c r="BH119" s="114">
        <f t="shared" si="36"/>
        <v>3</v>
      </c>
      <c r="BI119" s="114">
        <f t="shared" si="37"/>
        <v>0</v>
      </c>
      <c r="BJ119" s="114"/>
      <c r="BK119" s="114">
        <f t="shared" si="38"/>
        <v>0</v>
      </c>
      <c r="BL119" s="113"/>
    </row>
    <row r="120" spans="1:64" ht="15" customHeight="1">
      <c r="A120" s="106" t="s">
        <v>1504</v>
      </c>
      <c r="B120" s="115"/>
      <c r="C120" s="107"/>
      <c r="D120" s="107">
        <v>1</v>
      </c>
      <c r="E120" s="107"/>
      <c r="F120" s="107"/>
      <c r="G120" s="107"/>
      <c r="H120" s="107"/>
      <c r="I120" s="107"/>
      <c r="J120" s="107">
        <v>1</v>
      </c>
      <c r="K120" s="107"/>
      <c r="L120" s="107"/>
      <c r="M120" s="107"/>
      <c r="N120" s="107"/>
      <c r="O120" s="107"/>
      <c r="P120" s="107">
        <v>1</v>
      </c>
      <c r="Q120" s="107"/>
      <c r="R120" s="107"/>
      <c r="S120" s="107">
        <v>1</v>
      </c>
      <c r="T120" s="107"/>
      <c r="U120" s="107"/>
      <c r="V120" s="107">
        <v>1</v>
      </c>
      <c r="W120" s="107"/>
      <c r="X120" s="107"/>
      <c r="Y120" s="107">
        <v>1</v>
      </c>
      <c r="Z120" s="107"/>
      <c r="AA120" s="107"/>
      <c r="AB120" s="107"/>
      <c r="AC120" s="107"/>
      <c r="AD120" s="107">
        <v>1</v>
      </c>
      <c r="AE120" s="107"/>
      <c r="AF120" s="107"/>
      <c r="AG120" s="107">
        <v>1</v>
      </c>
      <c r="AH120" s="107"/>
      <c r="AI120" s="107"/>
      <c r="AJ120" s="107"/>
      <c r="AK120" s="107">
        <f>SUM(B120:AJ120)</f>
        <v>8</v>
      </c>
      <c r="AL120" s="303" t="s">
        <v>1505</v>
      </c>
      <c r="AM120" s="108">
        <f t="shared" si="16"/>
        <v>53</v>
      </c>
      <c r="AN120" s="108">
        <f t="shared" si="17"/>
        <v>83</v>
      </c>
      <c r="AO120" s="115">
        <f t="shared" si="18"/>
        <v>0</v>
      </c>
      <c r="AP120" s="115">
        <f t="shared" si="19"/>
        <v>13</v>
      </c>
      <c r="AQ120" s="115">
        <f t="shared" si="20"/>
        <v>0</v>
      </c>
      <c r="AR120" s="115">
        <f t="shared" si="21"/>
        <v>0</v>
      </c>
      <c r="AS120" s="115">
        <f t="shared" si="22"/>
        <v>17</v>
      </c>
      <c r="AT120" s="115">
        <f t="shared" si="23"/>
        <v>0</v>
      </c>
      <c r="AU120" s="115">
        <f t="shared" si="24"/>
        <v>18</v>
      </c>
      <c r="AV120" s="115">
        <f t="shared" si="25"/>
        <v>0</v>
      </c>
      <c r="AW120" s="115">
        <f t="shared" si="26"/>
        <v>0</v>
      </c>
      <c r="AX120" s="115">
        <f t="shared" ref="AX120:AY120" si="145">IF(S120=1,2,0)</f>
        <v>2</v>
      </c>
      <c r="AY120" s="115">
        <f t="shared" si="145"/>
        <v>0</v>
      </c>
      <c r="AZ120" s="115">
        <f t="shared" si="28"/>
        <v>0</v>
      </c>
      <c r="BA120" s="115">
        <f t="shared" si="29"/>
        <v>3</v>
      </c>
      <c r="BB120" s="115">
        <f t="shared" si="30"/>
        <v>10</v>
      </c>
      <c r="BC120" s="115">
        <f t="shared" si="31"/>
        <v>0</v>
      </c>
      <c r="BD120" s="115">
        <f t="shared" si="32"/>
        <v>0</v>
      </c>
      <c r="BE120" s="115">
        <f t="shared" si="33"/>
        <v>5</v>
      </c>
      <c r="BF120" s="115">
        <f t="shared" si="34"/>
        <v>0</v>
      </c>
      <c r="BG120" s="115">
        <f t="shared" si="35"/>
        <v>15</v>
      </c>
      <c r="BH120" s="115">
        <f t="shared" si="36"/>
        <v>0</v>
      </c>
      <c r="BI120" s="115">
        <f t="shared" si="37"/>
        <v>0</v>
      </c>
      <c r="BJ120" s="115"/>
      <c r="BK120" s="115">
        <f t="shared" si="38"/>
        <v>4</v>
      </c>
      <c r="BL120" s="109"/>
    </row>
    <row r="121" spans="1:64" ht="13.5" customHeight="1">
      <c r="A121" s="110" t="s">
        <v>601</v>
      </c>
      <c r="B121" s="114"/>
      <c r="C121" s="111">
        <v>1</v>
      </c>
      <c r="D121" s="111">
        <v>1</v>
      </c>
      <c r="E121" s="111">
        <v>1</v>
      </c>
      <c r="F121" s="111"/>
      <c r="G121" s="111">
        <v>1</v>
      </c>
      <c r="H121" s="111"/>
      <c r="I121" s="111"/>
      <c r="J121" s="111">
        <v>1</v>
      </c>
      <c r="K121" s="111"/>
      <c r="L121" s="111"/>
      <c r="M121" s="111"/>
      <c r="N121" s="111"/>
      <c r="O121" s="111"/>
      <c r="P121" s="111">
        <v>1</v>
      </c>
      <c r="Q121" s="111"/>
      <c r="R121" s="111"/>
      <c r="S121" s="111"/>
      <c r="T121" s="111">
        <v>1</v>
      </c>
      <c r="U121" s="111"/>
      <c r="V121" s="111"/>
      <c r="W121" s="111"/>
      <c r="X121" s="111"/>
      <c r="Y121" s="111">
        <v>1</v>
      </c>
      <c r="Z121" s="111"/>
      <c r="AA121" s="111"/>
      <c r="AB121" s="111"/>
      <c r="AC121" s="111"/>
      <c r="AD121" s="111">
        <v>1</v>
      </c>
      <c r="AE121" s="111"/>
      <c r="AF121" s="111"/>
      <c r="AG121" s="111">
        <v>1</v>
      </c>
      <c r="AH121" s="111"/>
      <c r="AI121" s="111"/>
      <c r="AJ121" s="111"/>
      <c r="AK121" s="111">
        <v>10</v>
      </c>
      <c r="AL121" s="304" t="s">
        <v>1484</v>
      </c>
      <c r="AM121" s="112">
        <f t="shared" si="16"/>
        <v>92</v>
      </c>
      <c r="AN121" s="112">
        <f t="shared" si="17"/>
        <v>94</v>
      </c>
      <c r="AO121" s="114">
        <f t="shared" si="18"/>
        <v>9</v>
      </c>
      <c r="AP121" s="114">
        <f t="shared" si="19"/>
        <v>13</v>
      </c>
      <c r="AQ121" s="114">
        <f t="shared" si="20"/>
        <v>6</v>
      </c>
      <c r="AR121" s="114">
        <f t="shared" si="21"/>
        <v>6</v>
      </c>
      <c r="AS121" s="114">
        <f t="shared" si="22"/>
        <v>17</v>
      </c>
      <c r="AT121" s="114">
        <f t="shared" si="23"/>
        <v>0</v>
      </c>
      <c r="AU121" s="114">
        <f t="shared" si="24"/>
        <v>18</v>
      </c>
      <c r="AV121" s="114">
        <f t="shared" si="25"/>
        <v>0</v>
      </c>
      <c r="AW121" s="114">
        <f t="shared" si="26"/>
        <v>0</v>
      </c>
      <c r="AX121" s="114">
        <f t="shared" ref="AX121:AY121" si="146">IF(S121=1,2,0)</f>
        <v>0</v>
      </c>
      <c r="AY121" s="114">
        <f t="shared" si="146"/>
        <v>2</v>
      </c>
      <c r="AZ121" s="114">
        <f t="shared" si="28"/>
        <v>0</v>
      </c>
      <c r="BA121" s="114">
        <f t="shared" si="29"/>
        <v>0</v>
      </c>
      <c r="BB121" s="114">
        <f t="shared" si="30"/>
        <v>10</v>
      </c>
      <c r="BC121" s="114">
        <f t="shared" si="31"/>
        <v>0</v>
      </c>
      <c r="BD121" s="114">
        <f t="shared" si="32"/>
        <v>0</v>
      </c>
      <c r="BE121" s="114">
        <f t="shared" si="33"/>
        <v>5</v>
      </c>
      <c r="BF121" s="114">
        <f t="shared" si="34"/>
        <v>0</v>
      </c>
      <c r="BG121" s="114">
        <f t="shared" si="35"/>
        <v>15</v>
      </c>
      <c r="BH121" s="114">
        <f t="shared" si="36"/>
        <v>0</v>
      </c>
      <c r="BI121" s="114">
        <f t="shared" si="37"/>
        <v>0</v>
      </c>
      <c r="BJ121" s="114"/>
      <c r="BK121" s="114">
        <f t="shared" si="38"/>
        <v>0</v>
      </c>
      <c r="BL121" s="113"/>
    </row>
    <row r="122" spans="1:64" ht="13.5" customHeight="1">
      <c r="A122" s="106" t="s">
        <v>267</v>
      </c>
      <c r="B122" s="115"/>
      <c r="C122" s="107">
        <v>1</v>
      </c>
      <c r="D122" s="107">
        <v>1</v>
      </c>
      <c r="E122" s="107">
        <v>1</v>
      </c>
      <c r="F122" s="107"/>
      <c r="G122" s="107">
        <v>1</v>
      </c>
      <c r="H122" s="107"/>
      <c r="I122" s="107"/>
      <c r="J122" s="107">
        <v>1</v>
      </c>
      <c r="K122" s="107"/>
      <c r="L122" s="107"/>
      <c r="M122" s="107"/>
      <c r="N122" s="107"/>
      <c r="O122" s="107"/>
      <c r="P122" s="107">
        <v>1</v>
      </c>
      <c r="Q122" s="107"/>
      <c r="R122" s="107"/>
      <c r="S122" s="107"/>
      <c r="T122" s="107"/>
      <c r="U122" s="107"/>
      <c r="V122" s="107"/>
      <c r="W122" s="107"/>
      <c r="X122" s="107"/>
      <c r="Y122" s="107">
        <v>1</v>
      </c>
      <c r="Z122" s="107">
        <v>1</v>
      </c>
      <c r="AA122" s="107"/>
      <c r="AB122" s="107">
        <v>1</v>
      </c>
      <c r="AC122" s="107"/>
      <c r="AD122" s="107"/>
      <c r="AE122" s="107"/>
      <c r="AF122" s="107"/>
      <c r="AG122" s="107">
        <v>1</v>
      </c>
      <c r="AH122" s="107"/>
      <c r="AI122" s="107"/>
      <c r="AJ122" s="107"/>
      <c r="AK122" s="107">
        <f t="shared" ref="AK122:AK123" si="147">SUM(B122:AJ122)</f>
        <v>10</v>
      </c>
      <c r="AL122" s="303" t="s">
        <v>1506</v>
      </c>
      <c r="AM122" s="108">
        <f t="shared" si="16"/>
        <v>100</v>
      </c>
      <c r="AN122" s="108">
        <f t="shared" si="17"/>
        <v>96</v>
      </c>
      <c r="AO122" s="115">
        <f t="shared" si="18"/>
        <v>9</v>
      </c>
      <c r="AP122" s="115">
        <f t="shared" si="19"/>
        <v>13</v>
      </c>
      <c r="AQ122" s="115">
        <f t="shared" si="20"/>
        <v>6</v>
      </c>
      <c r="AR122" s="115">
        <f t="shared" si="21"/>
        <v>6</v>
      </c>
      <c r="AS122" s="115">
        <f t="shared" si="22"/>
        <v>17</v>
      </c>
      <c r="AT122" s="115">
        <f t="shared" si="23"/>
        <v>0</v>
      </c>
      <c r="AU122" s="115">
        <f t="shared" si="24"/>
        <v>18</v>
      </c>
      <c r="AV122" s="115">
        <f t="shared" si="25"/>
        <v>0</v>
      </c>
      <c r="AW122" s="115">
        <f t="shared" si="26"/>
        <v>0</v>
      </c>
      <c r="AX122" s="115">
        <f t="shared" ref="AX122:AY122" si="148">IF(S122=1,2,0)</f>
        <v>0</v>
      </c>
      <c r="AY122" s="115">
        <f t="shared" si="148"/>
        <v>0</v>
      </c>
      <c r="AZ122" s="115">
        <f t="shared" si="28"/>
        <v>0</v>
      </c>
      <c r="BA122" s="115">
        <f t="shared" si="29"/>
        <v>0</v>
      </c>
      <c r="BB122" s="115">
        <f t="shared" si="30"/>
        <v>10</v>
      </c>
      <c r="BC122" s="115">
        <f t="shared" si="31"/>
        <v>8</v>
      </c>
      <c r="BD122" s="115">
        <f t="shared" si="32"/>
        <v>5</v>
      </c>
      <c r="BE122" s="115">
        <f t="shared" si="33"/>
        <v>0</v>
      </c>
      <c r="BF122" s="115">
        <f t="shared" si="34"/>
        <v>0</v>
      </c>
      <c r="BG122" s="115">
        <f t="shared" si="35"/>
        <v>15</v>
      </c>
      <c r="BH122" s="115">
        <f t="shared" si="36"/>
        <v>0</v>
      </c>
      <c r="BI122" s="115">
        <f t="shared" si="37"/>
        <v>0</v>
      </c>
      <c r="BJ122" s="115"/>
      <c r="BK122" s="115">
        <f t="shared" si="38"/>
        <v>0</v>
      </c>
      <c r="BL122" s="109"/>
    </row>
    <row r="123" spans="1:64" ht="13.5" customHeight="1">
      <c r="A123" s="110" t="s">
        <v>271</v>
      </c>
      <c r="B123" s="114"/>
      <c r="C123" s="111">
        <v>1</v>
      </c>
      <c r="D123" s="111">
        <v>1</v>
      </c>
      <c r="E123" s="111"/>
      <c r="F123" s="111"/>
      <c r="G123" s="111"/>
      <c r="H123" s="111"/>
      <c r="I123" s="111"/>
      <c r="J123" s="111">
        <v>1</v>
      </c>
      <c r="K123" s="111"/>
      <c r="L123" s="111"/>
      <c r="M123" s="111"/>
      <c r="N123" s="111"/>
      <c r="O123" s="111"/>
      <c r="P123" s="111">
        <v>1</v>
      </c>
      <c r="Q123" s="111"/>
      <c r="R123" s="111"/>
      <c r="S123" s="111">
        <v>1</v>
      </c>
      <c r="T123" s="111"/>
      <c r="U123" s="111">
        <v>1</v>
      </c>
      <c r="V123" s="111">
        <v>1</v>
      </c>
      <c r="W123" s="111"/>
      <c r="X123" s="111"/>
      <c r="Y123" s="111">
        <v>1</v>
      </c>
      <c r="Z123" s="111"/>
      <c r="AA123" s="111"/>
      <c r="AB123" s="111">
        <v>1</v>
      </c>
      <c r="AC123" s="111"/>
      <c r="AD123" s="111"/>
      <c r="AE123" s="111"/>
      <c r="AF123" s="111"/>
      <c r="AG123" s="111">
        <v>1</v>
      </c>
      <c r="AH123" s="111"/>
      <c r="AI123" s="111"/>
      <c r="AJ123" s="111"/>
      <c r="AK123" s="111">
        <f t="shared" si="147"/>
        <v>10</v>
      </c>
      <c r="AL123" s="304" t="s">
        <v>1507</v>
      </c>
      <c r="AM123" s="112">
        <f t="shared" si="16"/>
        <v>71</v>
      </c>
      <c r="AN123" s="112">
        <f t="shared" si="17"/>
        <v>97</v>
      </c>
      <c r="AO123" s="114">
        <f t="shared" si="18"/>
        <v>9</v>
      </c>
      <c r="AP123" s="114">
        <f t="shared" si="19"/>
        <v>13</v>
      </c>
      <c r="AQ123" s="114">
        <f t="shared" si="20"/>
        <v>0</v>
      </c>
      <c r="AR123" s="114">
        <f t="shared" si="21"/>
        <v>0</v>
      </c>
      <c r="AS123" s="114">
        <f t="shared" si="22"/>
        <v>17</v>
      </c>
      <c r="AT123" s="114">
        <f t="shared" si="23"/>
        <v>0</v>
      </c>
      <c r="AU123" s="114">
        <f t="shared" si="24"/>
        <v>18</v>
      </c>
      <c r="AV123" s="114">
        <f t="shared" si="25"/>
        <v>0</v>
      </c>
      <c r="AW123" s="114">
        <f t="shared" si="26"/>
        <v>0</v>
      </c>
      <c r="AX123" s="114">
        <f t="shared" ref="AX123:AY123" si="149">IF(S123=1,2,0)</f>
        <v>2</v>
      </c>
      <c r="AY123" s="114">
        <f t="shared" si="149"/>
        <v>0</v>
      </c>
      <c r="AZ123" s="114">
        <f t="shared" si="28"/>
        <v>10</v>
      </c>
      <c r="BA123" s="114">
        <f t="shared" si="29"/>
        <v>3</v>
      </c>
      <c r="BB123" s="114">
        <f t="shared" si="30"/>
        <v>10</v>
      </c>
      <c r="BC123" s="114">
        <f t="shared" si="31"/>
        <v>0</v>
      </c>
      <c r="BD123" s="114">
        <f t="shared" si="32"/>
        <v>5</v>
      </c>
      <c r="BE123" s="114">
        <f t="shared" si="33"/>
        <v>0</v>
      </c>
      <c r="BF123" s="114">
        <f t="shared" si="34"/>
        <v>0</v>
      </c>
      <c r="BG123" s="114">
        <f t="shared" si="35"/>
        <v>15</v>
      </c>
      <c r="BH123" s="114">
        <f t="shared" si="36"/>
        <v>0</v>
      </c>
      <c r="BI123" s="114">
        <f t="shared" si="37"/>
        <v>0</v>
      </c>
      <c r="BJ123" s="114"/>
      <c r="BK123" s="114">
        <f t="shared" si="38"/>
        <v>0</v>
      </c>
      <c r="BL123" s="113"/>
    </row>
    <row r="124" spans="1:64" ht="13.5" customHeight="1">
      <c r="A124" s="106" t="s">
        <v>272</v>
      </c>
      <c r="B124" s="115"/>
      <c r="C124" s="107"/>
      <c r="D124" s="107"/>
      <c r="E124" s="107">
        <v>1</v>
      </c>
      <c r="F124" s="107"/>
      <c r="G124" s="107">
        <v>1</v>
      </c>
      <c r="H124" s="107"/>
      <c r="I124" s="107"/>
      <c r="J124" s="107">
        <v>1</v>
      </c>
      <c r="K124" s="107"/>
      <c r="L124" s="107"/>
      <c r="M124" s="107"/>
      <c r="N124" s="107"/>
      <c r="O124" s="107"/>
      <c r="P124" s="107">
        <v>1</v>
      </c>
      <c r="Q124" s="107"/>
      <c r="R124" s="107"/>
      <c r="S124" s="107"/>
      <c r="T124" s="107">
        <v>1</v>
      </c>
      <c r="U124" s="107"/>
      <c r="V124" s="107"/>
      <c r="W124" s="107"/>
      <c r="X124" s="107">
        <v>1</v>
      </c>
      <c r="Y124" s="107">
        <v>1</v>
      </c>
      <c r="Z124" s="107"/>
      <c r="AA124" s="107"/>
      <c r="AB124" s="107">
        <v>1</v>
      </c>
      <c r="AC124" s="107"/>
      <c r="AD124" s="107"/>
      <c r="AE124" s="107"/>
      <c r="AF124" s="107">
        <v>1</v>
      </c>
      <c r="AG124" s="107">
        <v>1</v>
      </c>
      <c r="AH124" s="107"/>
      <c r="AI124" s="107"/>
      <c r="AJ124" s="107"/>
      <c r="AK124" s="107">
        <v>10</v>
      </c>
      <c r="AL124" s="303" t="s">
        <v>1508</v>
      </c>
      <c r="AM124" s="108">
        <f t="shared" si="16"/>
        <v>85</v>
      </c>
      <c r="AN124" s="108">
        <f t="shared" si="17"/>
        <v>79</v>
      </c>
      <c r="AO124" s="115">
        <f t="shared" si="18"/>
        <v>0</v>
      </c>
      <c r="AP124" s="115">
        <f t="shared" si="19"/>
        <v>0</v>
      </c>
      <c r="AQ124" s="115">
        <f t="shared" si="20"/>
        <v>6</v>
      </c>
      <c r="AR124" s="115">
        <f t="shared" si="21"/>
        <v>6</v>
      </c>
      <c r="AS124" s="115">
        <f t="shared" si="22"/>
        <v>17</v>
      </c>
      <c r="AT124" s="115">
        <f t="shared" si="23"/>
        <v>0</v>
      </c>
      <c r="AU124" s="115">
        <f t="shared" si="24"/>
        <v>18</v>
      </c>
      <c r="AV124" s="115">
        <f t="shared" si="25"/>
        <v>0</v>
      </c>
      <c r="AW124" s="115">
        <f t="shared" si="26"/>
        <v>0</v>
      </c>
      <c r="AX124" s="115">
        <f t="shared" ref="AX124:AY124" si="150">IF(S124=1,2,0)</f>
        <v>0</v>
      </c>
      <c r="AY124" s="115">
        <f t="shared" si="150"/>
        <v>2</v>
      </c>
      <c r="AZ124" s="115">
        <f t="shared" si="28"/>
        <v>0</v>
      </c>
      <c r="BA124" s="115">
        <f t="shared" si="29"/>
        <v>0</v>
      </c>
      <c r="BB124" s="115">
        <f t="shared" si="30"/>
        <v>10</v>
      </c>
      <c r="BC124" s="115">
        <f t="shared" si="31"/>
        <v>0</v>
      </c>
      <c r="BD124" s="115">
        <f t="shared" si="32"/>
        <v>5</v>
      </c>
      <c r="BE124" s="115">
        <f t="shared" si="33"/>
        <v>0</v>
      </c>
      <c r="BF124" s="115">
        <f t="shared" si="34"/>
        <v>1</v>
      </c>
      <c r="BG124" s="115">
        <f t="shared" si="35"/>
        <v>15</v>
      </c>
      <c r="BH124" s="115">
        <f t="shared" si="36"/>
        <v>0</v>
      </c>
      <c r="BI124" s="115">
        <f t="shared" si="37"/>
        <v>0</v>
      </c>
      <c r="BJ124" s="115"/>
      <c r="BK124" s="115">
        <f t="shared" si="38"/>
        <v>0</v>
      </c>
      <c r="BL124" s="109"/>
    </row>
    <row r="125" spans="1:64" ht="13.5" customHeight="1">
      <c r="A125" s="110" t="s">
        <v>450</v>
      </c>
      <c r="B125" s="114"/>
      <c r="C125" s="111"/>
      <c r="D125" s="111">
        <v>1</v>
      </c>
      <c r="E125" s="111"/>
      <c r="F125" s="111"/>
      <c r="G125" s="111"/>
      <c r="H125" s="111"/>
      <c r="I125" s="111"/>
      <c r="J125" s="111">
        <v>1</v>
      </c>
      <c r="K125" s="111"/>
      <c r="L125" s="111"/>
      <c r="M125" s="111"/>
      <c r="N125" s="111">
        <v>1</v>
      </c>
      <c r="O125" s="111"/>
      <c r="P125" s="111">
        <v>1</v>
      </c>
      <c r="Q125" s="111"/>
      <c r="R125" s="111"/>
      <c r="S125" s="111">
        <v>1</v>
      </c>
      <c r="T125" s="111"/>
      <c r="U125" s="111">
        <v>1</v>
      </c>
      <c r="V125" s="111"/>
      <c r="W125" s="111"/>
      <c r="X125" s="111"/>
      <c r="Y125" s="111"/>
      <c r="Z125" s="111"/>
      <c r="AA125" s="111"/>
      <c r="AB125" s="111">
        <v>1</v>
      </c>
      <c r="AC125" s="111"/>
      <c r="AD125" s="111"/>
      <c r="AE125" s="111"/>
      <c r="AF125" s="111"/>
      <c r="AG125" s="111">
        <v>1</v>
      </c>
      <c r="AH125" s="111"/>
      <c r="AI125" s="111"/>
      <c r="AJ125" s="111"/>
      <c r="AK125" s="111">
        <v>8</v>
      </c>
      <c r="AL125" s="304" t="s">
        <v>1509</v>
      </c>
      <c r="AM125" s="112">
        <f t="shared" si="16"/>
        <v>47</v>
      </c>
      <c r="AN125" s="112">
        <f t="shared" si="17"/>
        <v>82</v>
      </c>
      <c r="AO125" s="114">
        <f t="shared" si="18"/>
        <v>0</v>
      </c>
      <c r="AP125" s="114">
        <f t="shared" si="19"/>
        <v>13</v>
      </c>
      <c r="AQ125" s="114">
        <f t="shared" si="20"/>
        <v>0</v>
      </c>
      <c r="AR125" s="114">
        <f t="shared" si="21"/>
        <v>0</v>
      </c>
      <c r="AS125" s="114">
        <f t="shared" si="22"/>
        <v>17</v>
      </c>
      <c r="AT125" s="114">
        <f t="shared" si="23"/>
        <v>2</v>
      </c>
      <c r="AU125" s="114">
        <f t="shared" si="24"/>
        <v>18</v>
      </c>
      <c r="AV125" s="114">
        <f t="shared" si="25"/>
        <v>0</v>
      </c>
      <c r="AW125" s="114">
        <f t="shared" si="26"/>
        <v>0</v>
      </c>
      <c r="AX125" s="114">
        <f t="shared" ref="AX125:AY125" si="151">IF(S125=1,2,0)</f>
        <v>2</v>
      </c>
      <c r="AY125" s="114">
        <f t="shared" si="151"/>
        <v>0</v>
      </c>
      <c r="AZ125" s="114">
        <f t="shared" si="28"/>
        <v>10</v>
      </c>
      <c r="BA125" s="114">
        <f t="shared" si="29"/>
        <v>0</v>
      </c>
      <c r="BB125" s="114">
        <f t="shared" si="30"/>
        <v>0</v>
      </c>
      <c r="BC125" s="114">
        <f t="shared" si="31"/>
        <v>0</v>
      </c>
      <c r="BD125" s="114">
        <f t="shared" si="32"/>
        <v>5</v>
      </c>
      <c r="BE125" s="114">
        <f t="shared" si="33"/>
        <v>0</v>
      </c>
      <c r="BF125" s="114">
        <f t="shared" si="34"/>
        <v>0</v>
      </c>
      <c r="BG125" s="114">
        <f t="shared" si="35"/>
        <v>15</v>
      </c>
      <c r="BH125" s="114">
        <f t="shared" si="36"/>
        <v>0</v>
      </c>
      <c r="BI125" s="114">
        <f t="shared" si="37"/>
        <v>0</v>
      </c>
      <c r="BJ125" s="114"/>
      <c r="BK125" s="114">
        <f t="shared" si="38"/>
        <v>4</v>
      </c>
      <c r="BL125" s="113"/>
    </row>
    <row r="126" spans="1:64" ht="13.5" customHeight="1">
      <c r="A126" s="106" t="s">
        <v>274</v>
      </c>
      <c r="B126" s="115"/>
      <c r="C126" s="107">
        <v>1</v>
      </c>
      <c r="D126" s="107">
        <v>1</v>
      </c>
      <c r="E126" s="107">
        <v>1</v>
      </c>
      <c r="F126" s="107"/>
      <c r="G126" s="107">
        <v>1</v>
      </c>
      <c r="H126" s="107"/>
      <c r="I126" s="107"/>
      <c r="J126" s="107"/>
      <c r="K126" s="107"/>
      <c r="L126" s="107"/>
      <c r="M126" s="107"/>
      <c r="N126" s="107"/>
      <c r="O126" s="107"/>
      <c r="P126" s="107">
        <v>1</v>
      </c>
      <c r="Q126" s="107"/>
      <c r="R126" s="107"/>
      <c r="S126" s="107"/>
      <c r="T126" s="107"/>
      <c r="U126" s="107"/>
      <c r="V126" s="107"/>
      <c r="W126" s="107"/>
      <c r="X126" s="107">
        <v>1</v>
      </c>
      <c r="Y126" s="107">
        <v>1</v>
      </c>
      <c r="Z126" s="107"/>
      <c r="AA126" s="107"/>
      <c r="AB126" s="107"/>
      <c r="AC126" s="107"/>
      <c r="AD126" s="107"/>
      <c r="AE126" s="107"/>
      <c r="AF126" s="107">
        <v>1</v>
      </c>
      <c r="AG126" s="107">
        <v>1</v>
      </c>
      <c r="AH126" s="107"/>
      <c r="AI126" s="107"/>
      <c r="AJ126" s="107">
        <v>1</v>
      </c>
      <c r="AK126" s="107">
        <v>10</v>
      </c>
      <c r="AL126" s="303" t="s">
        <v>1510</v>
      </c>
      <c r="AM126" s="108">
        <f t="shared" si="16"/>
        <v>87</v>
      </c>
      <c r="AN126" s="108">
        <f t="shared" si="17"/>
        <v>79</v>
      </c>
      <c r="AO126" s="115">
        <f t="shared" si="18"/>
        <v>9</v>
      </c>
      <c r="AP126" s="115">
        <f t="shared" si="19"/>
        <v>13</v>
      </c>
      <c r="AQ126" s="115">
        <f t="shared" si="20"/>
        <v>6</v>
      </c>
      <c r="AR126" s="115">
        <f t="shared" si="21"/>
        <v>6</v>
      </c>
      <c r="AS126" s="115">
        <f t="shared" si="22"/>
        <v>0</v>
      </c>
      <c r="AT126" s="115">
        <f t="shared" si="23"/>
        <v>0</v>
      </c>
      <c r="AU126" s="115">
        <f t="shared" si="24"/>
        <v>18</v>
      </c>
      <c r="AV126" s="115">
        <f t="shared" si="25"/>
        <v>0</v>
      </c>
      <c r="AW126" s="115">
        <f t="shared" si="26"/>
        <v>0</v>
      </c>
      <c r="AX126" s="115">
        <f t="shared" ref="AX126:AY126" si="152">IF(S126=1,2,0)</f>
        <v>0</v>
      </c>
      <c r="AY126" s="115">
        <f t="shared" si="152"/>
        <v>0</v>
      </c>
      <c r="AZ126" s="115">
        <f t="shared" si="28"/>
        <v>0</v>
      </c>
      <c r="BA126" s="115">
        <f t="shared" si="29"/>
        <v>0</v>
      </c>
      <c r="BB126" s="115">
        <f t="shared" si="30"/>
        <v>10</v>
      </c>
      <c r="BC126" s="115">
        <f t="shared" si="31"/>
        <v>0</v>
      </c>
      <c r="BD126" s="115">
        <f t="shared" si="32"/>
        <v>0</v>
      </c>
      <c r="BE126" s="115">
        <f t="shared" si="33"/>
        <v>0</v>
      </c>
      <c r="BF126" s="115">
        <f t="shared" si="34"/>
        <v>1</v>
      </c>
      <c r="BG126" s="115">
        <f t="shared" si="35"/>
        <v>15</v>
      </c>
      <c r="BH126" s="115">
        <f t="shared" si="36"/>
        <v>0</v>
      </c>
      <c r="BI126" s="115">
        <f t="shared" si="37"/>
        <v>2</v>
      </c>
      <c r="BJ126" s="115"/>
      <c r="BK126" s="115">
        <f t="shared" si="38"/>
        <v>0</v>
      </c>
      <c r="BL126" s="109"/>
    </row>
    <row r="127" spans="1:64" ht="13.5" customHeight="1">
      <c r="A127" s="110" t="s">
        <v>276</v>
      </c>
      <c r="B127" s="114"/>
      <c r="C127" s="111"/>
      <c r="D127" s="111"/>
      <c r="E127" s="111"/>
      <c r="F127" s="111"/>
      <c r="G127" s="111"/>
      <c r="H127" s="111"/>
      <c r="I127" s="111"/>
      <c r="J127" s="111"/>
      <c r="K127" s="111"/>
      <c r="L127" s="111"/>
      <c r="M127" s="111"/>
      <c r="N127" s="111"/>
      <c r="O127" s="111"/>
      <c r="P127" s="111">
        <v>1</v>
      </c>
      <c r="Q127" s="111"/>
      <c r="R127" s="111"/>
      <c r="S127" s="111"/>
      <c r="T127" s="111"/>
      <c r="U127" s="111">
        <v>1</v>
      </c>
      <c r="V127" s="111"/>
      <c r="W127" s="111"/>
      <c r="X127" s="111"/>
      <c r="Y127" s="111"/>
      <c r="Z127" s="111"/>
      <c r="AA127" s="111"/>
      <c r="AB127" s="111"/>
      <c r="AC127" s="111"/>
      <c r="AD127" s="111"/>
      <c r="AE127" s="111"/>
      <c r="AF127" s="111"/>
      <c r="AG127" s="111">
        <v>1</v>
      </c>
      <c r="AH127" s="111"/>
      <c r="AI127" s="111"/>
      <c r="AJ127" s="111"/>
      <c r="AK127" s="111">
        <v>3</v>
      </c>
      <c r="AL127" s="304" t="s">
        <v>1511</v>
      </c>
      <c r="AM127" s="112">
        <f t="shared" si="16"/>
        <v>-22</v>
      </c>
      <c r="AN127" s="112">
        <f t="shared" si="17"/>
        <v>43</v>
      </c>
      <c r="AO127" s="114">
        <f t="shared" si="18"/>
        <v>0</v>
      </c>
      <c r="AP127" s="114">
        <f t="shared" si="19"/>
        <v>0</v>
      </c>
      <c r="AQ127" s="114">
        <f t="shared" si="20"/>
        <v>0</v>
      </c>
      <c r="AR127" s="114">
        <f t="shared" si="21"/>
        <v>0</v>
      </c>
      <c r="AS127" s="114">
        <f t="shared" si="22"/>
        <v>0</v>
      </c>
      <c r="AT127" s="114">
        <f t="shared" si="23"/>
        <v>0</v>
      </c>
      <c r="AU127" s="114">
        <f t="shared" si="24"/>
        <v>18</v>
      </c>
      <c r="AV127" s="114">
        <f t="shared" si="25"/>
        <v>0</v>
      </c>
      <c r="AW127" s="114">
        <f t="shared" si="26"/>
        <v>0</v>
      </c>
      <c r="AX127" s="114">
        <f t="shared" ref="AX127:AY127" si="153">IF(S127=1,2,0)</f>
        <v>0</v>
      </c>
      <c r="AY127" s="114">
        <f t="shared" si="153"/>
        <v>0</v>
      </c>
      <c r="AZ127" s="114">
        <f t="shared" si="28"/>
        <v>10</v>
      </c>
      <c r="BA127" s="114">
        <f t="shared" si="29"/>
        <v>0</v>
      </c>
      <c r="BB127" s="114">
        <f t="shared" si="30"/>
        <v>0</v>
      </c>
      <c r="BC127" s="114">
        <f t="shared" si="31"/>
        <v>0</v>
      </c>
      <c r="BD127" s="114">
        <f t="shared" si="32"/>
        <v>0</v>
      </c>
      <c r="BE127" s="114">
        <f t="shared" si="33"/>
        <v>0</v>
      </c>
      <c r="BF127" s="114">
        <f t="shared" si="34"/>
        <v>0</v>
      </c>
      <c r="BG127" s="114">
        <f t="shared" si="35"/>
        <v>15</v>
      </c>
      <c r="BH127" s="114">
        <f t="shared" si="36"/>
        <v>0</v>
      </c>
      <c r="BI127" s="114">
        <f t="shared" si="37"/>
        <v>0</v>
      </c>
      <c r="BJ127" s="114"/>
      <c r="BK127" s="114">
        <f t="shared" si="38"/>
        <v>49</v>
      </c>
      <c r="BL127" s="113"/>
    </row>
    <row r="128" spans="1:64" ht="13.5" customHeight="1">
      <c r="A128" s="106" t="s">
        <v>277</v>
      </c>
      <c r="B128" s="115"/>
      <c r="C128" s="107"/>
      <c r="D128" s="107">
        <v>1</v>
      </c>
      <c r="E128" s="107">
        <v>1</v>
      </c>
      <c r="F128" s="107"/>
      <c r="G128" s="107">
        <v>1</v>
      </c>
      <c r="H128" s="107"/>
      <c r="I128" s="107"/>
      <c r="J128" s="107">
        <v>1</v>
      </c>
      <c r="K128" s="107"/>
      <c r="L128" s="107"/>
      <c r="M128" s="107"/>
      <c r="N128" s="107"/>
      <c r="O128" s="107"/>
      <c r="P128" s="107">
        <v>1</v>
      </c>
      <c r="Q128" s="107"/>
      <c r="R128" s="107"/>
      <c r="S128" s="107"/>
      <c r="T128" s="107">
        <v>1</v>
      </c>
      <c r="U128" s="107"/>
      <c r="V128" s="107">
        <v>1</v>
      </c>
      <c r="W128" s="107"/>
      <c r="X128" s="107"/>
      <c r="Y128" s="107">
        <v>1</v>
      </c>
      <c r="Z128" s="107"/>
      <c r="AA128" s="107"/>
      <c r="AB128" s="107"/>
      <c r="AC128" s="107"/>
      <c r="AD128" s="107"/>
      <c r="AE128" s="107"/>
      <c r="AF128" s="107">
        <v>1</v>
      </c>
      <c r="AG128" s="107">
        <v>1</v>
      </c>
      <c r="AH128" s="107"/>
      <c r="AI128" s="107"/>
      <c r="AJ128" s="107"/>
      <c r="AK128" s="107">
        <f>SUM(B128:AJ128)</f>
        <v>10</v>
      </c>
      <c r="AL128" s="303" t="s">
        <v>1512</v>
      </c>
      <c r="AM128" s="108">
        <f t="shared" si="16"/>
        <v>90</v>
      </c>
      <c r="AN128" s="108">
        <f t="shared" si="17"/>
        <v>88</v>
      </c>
      <c r="AO128" s="115">
        <f t="shared" si="18"/>
        <v>0</v>
      </c>
      <c r="AP128" s="115">
        <f t="shared" si="19"/>
        <v>13</v>
      </c>
      <c r="AQ128" s="115">
        <f t="shared" si="20"/>
        <v>6</v>
      </c>
      <c r="AR128" s="115">
        <f t="shared" si="21"/>
        <v>6</v>
      </c>
      <c r="AS128" s="115">
        <f t="shared" si="22"/>
        <v>17</v>
      </c>
      <c r="AT128" s="115">
        <f t="shared" si="23"/>
        <v>0</v>
      </c>
      <c r="AU128" s="115">
        <f t="shared" si="24"/>
        <v>18</v>
      </c>
      <c r="AV128" s="115">
        <f t="shared" si="25"/>
        <v>0</v>
      </c>
      <c r="AW128" s="115">
        <f t="shared" si="26"/>
        <v>0</v>
      </c>
      <c r="AX128" s="115">
        <f t="shared" ref="AX128:AY128" si="154">IF(S128=1,2,0)</f>
        <v>0</v>
      </c>
      <c r="AY128" s="115">
        <f t="shared" si="154"/>
        <v>2</v>
      </c>
      <c r="AZ128" s="115">
        <f t="shared" si="28"/>
        <v>0</v>
      </c>
      <c r="BA128" s="115">
        <f t="shared" si="29"/>
        <v>3</v>
      </c>
      <c r="BB128" s="115">
        <f t="shared" si="30"/>
        <v>10</v>
      </c>
      <c r="BC128" s="115">
        <f t="shared" si="31"/>
        <v>0</v>
      </c>
      <c r="BD128" s="115">
        <f t="shared" si="32"/>
        <v>0</v>
      </c>
      <c r="BE128" s="115">
        <f t="shared" si="33"/>
        <v>0</v>
      </c>
      <c r="BF128" s="115">
        <f t="shared" si="34"/>
        <v>1</v>
      </c>
      <c r="BG128" s="115">
        <f t="shared" si="35"/>
        <v>15</v>
      </c>
      <c r="BH128" s="115">
        <f t="shared" si="36"/>
        <v>0</v>
      </c>
      <c r="BI128" s="115">
        <f t="shared" si="37"/>
        <v>0</v>
      </c>
      <c r="BJ128" s="115"/>
      <c r="BK128" s="115">
        <f t="shared" si="38"/>
        <v>0</v>
      </c>
      <c r="BL128" s="109"/>
    </row>
    <row r="129" spans="1:64" ht="13.5" customHeight="1">
      <c r="A129" s="110" t="s">
        <v>278</v>
      </c>
      <c r="B129" s="114"/>
      <c r="C129" s="111"/>
      <c r="D129" s="111"/>
      <c r="E129" s="111">
        <v>1</v>
      </c>
      <c r="F129" s="111"/>
      <c r="G129" s="111">
        <v>1</v>
      </c>
      <c r="H129" s="111"/>
      <c r="I129" s="111"/>
      <c r="J129" s="111">
        <v>1</v>
      </c>
      <c r="K129" s="111"/>
      <c r="L129" s="111"/>
      <c r="M129" s="111"/>
      <c r="N129" s="111"/>
      <c r="O129" s="111"/>
      <c r="P129" s="111">
        <v>1</v>
      </c>
      <c r="Q129" s="111">
        <v>1</v>
      </c>
      <c r="R129" s="111"/>
      <c r="S129" s="111"/>
      <c r="T129" s="111"/>
      <c r="U129" s="111"/>
      <c r="V129" s="111"/>
      <c r="W129" s="111"/>
      <c r="X129" s="111"/>
      <c r="Y129" s="111"/>
      <c r="Z129" s="111"/>
      <c r="AA129" s="111"/>
      <c r="AB129" s="111"/>
      <c r="AC129" s="111"/>
      <c r="AD129" s="111"/>
      <c r="AE129" s="111"/>
      <c r="AF129" s="111"/>
      <c r="AG129" s="111">
        <v>1</v>
      </c>
      <c r="AH129" s="111"/>
      <c r="AI129" s="111"/>
      <c r="AJ129" s="111"/>
      <c r="AK129" s="111">
        <v>6</v>
      </c>
      <c r="AL129" s="304" t="s">
        <v>1513</v>
      </c>
      <c r="AM129" s="112">
        <f t="shared" si="16"/>
        <v>50</v>
      </c>
      <c r="AN129" s="112">
        <f t="shared" si="17"/>
        <v>66</v>
      </c>
      <c r="AO129" s="114">
        <f t="shared" si="18"/>
        <v>0</v>
      </c>
      <c r="AP129" s="114">
        <f t="shared" si="19"/>
        <v>0</v>
      </c>
      <c r="AQ129" s="114">
        <f t="shared" si="20"/>
        <v>6</v>
      </c>
      <c r="AR129" s="114">
        <f t="shared" si="21"/>
        <v>6</v>
      </c>
      <c r="AS129" s="114">
        <f t="shared" si="22"/>
        <v>17</v>
      </c>
      <c r="AT129" s="114">
        <f t="shared" si="23"/>
        <v>0</v>
      </c>
      <c r="AU129" s="114">
        <f t="shared" si="24"/>
        <v>18</v>
      </c>
      <c r="AV129" s="114">
        <f t="shared" si="25"/>
        <v>4</v>
      </c>
      <c r="AW129" s="114">
        <f t="shared" si="26"/>
        <v>0</v>
      </c>
      <c r="AX129" s="114">
        <f t="shared" ref="AX129:AY129" si="155">IF(S129=1,2,0)</f>
        <v>0</v>
      </c>
      <c r="AY129" s="114">
        <f t="shared" si="155"/>
        <v>0</v>
      </c>
      <c r="AZ129" s="114">
        <f t="shared" si="28"/>
        <v>0</v>
      </c>
      <c r="BA129" s="114">
        <f t="shared" si="29"/>
        <v>0</v>
      </c>
      <c r="BB129" s="114">
        <f t="shared" si="30"/>
        <v>0</v>
      </c>
      <c r="BC129" s="114">
        <f t="shared" si="31"/>
        <v>0</v>
      </c>
      <c r="BD129" s="114">
        <f t="shared" si="32"/>
        <v>0</v>
      </c>
      <c r="BE129" s="114">
        <f t="shared" si="33"/>
        <v>0</v>
      </c>
      <c r="BF129" s="114">
        <f t="shared" si="34"/>
        <v>0</v>
      </c>
      <c r="BG129" s="114">
        <f t="shared" si="35"/>
        <v>15</v>
      </c>
      <c r="BH129" s="114">
        <f t="shared" si="36"/>
        <v>0</v>
      </c>
      <c r="BI129" s="114">
        <f t="shared" si="37"/>
        <v>0</v>
      </c>
      <c r="BJ129" s="114"/>
      <c r="BK129" s="114">
        <f t="shared" si="38"/>
        <v>16</v>
      </c>
      <c r="BL129" s="113"/>
    </row>
    <row r="130" spans="1:64" ht="13.5" customHeight="1">
      <c r="A130" s="106" t="s">
        <v>1514</v>
      </c>
      <c r="B130" s="115"/>
      <c r="C130" s="107">
        <v>1</v>
      </c>
      <c r="D130" s="107">
        <v>1</v>
      </c>
      <c r="E130" s="107"/>
      <c r="F130" s="107"/>
      <c r="G130" s="107"/>
      <c r="H130" s="107"/>
      <c r="I130" s="107"/>
      <c r="J130" s="107">
        <v>1</v>
      </c>
      <c r="K130" s="107"/>
      <c r="L130" s="107"/>
      <c r="M130" s="107"/>
      <c r="N130" s="107"/>
      <c r="O130" s="107"/>
      <c r="P130" s="107">
        <v>1</v>
      </c>
      <c r="Q130" s="107"/>
      <c r="R130" s="107"/>
      <c r="S130" s="107"/>
      <c r="T130" s="107"/>
      <c r="U130" s="107"/>
      <c r="V130" s="107">
        <v>1</v>
      </c>
      <c r="W130" s="107"/>
      <c r="X130" s="107"/>
      <c r="Y130" s="107">
        <v>1</v>
      </c>
      <c r="Z130" s="107">
        <v>1</v>
      </c>
      <c r="AA130" s="107"/>
      <c r="AB130" s="107">
        <v>1</v>
      </c>
      <c r="AC130" s="107"/>
      <c r="AD130" s="107"/>
      <c r="AE130" s="107"/>
      <c r="AF130" s="107"/>
      <c r="AG130" s="107">
        <v>1</v>
      </c>
      <c r="AH130" s="107"/>
      <c r="AI130" s="107"/>
      <c r="AJ130" s="107">
        <v>1</v>
      </c>
      <c r="AK130" s="107">
        <f t="shared" ref="AK130:AK131" si="156">SUM(B130:AJ130)</f>
        <v>10</v>
      </c>
      <c r="AL130" s="303" t="s">
        <v>1515</v>
      </c>
      <c r="AM130" s="108">
        <f t="shared" si="16"/>
        <v>80</v>
      </c>
      <c r="AN130" s="108">
        <f t="shared" si="17"/>
        <v>95</v>
      </c>
      <c r="AO130" s="115">
        <f t="shared" si="18"/>
        <v>9</v>
      </c>
      <c r="AP130" s="115">
        <f t="shared" si="19"/>
        <v>13</v>
      </c>
      <c r="AQ130" s="115">
        <f t="shared" si="20"/>
        <v>0</v>
      </c>
      <c r="AR130" s="115">
        <f t="shared" si="21"/>
        <v>0</v>
      </c>
      <c r="AS130" s="115">
        <f t="shared" si="22"/>
        <v>17</v>
      </c>
      <c r="AT130" s="115">
        <f t="shared" si="23"/>
        <v>0</v>
      </c>
      <c r="AU130" s="115">
        <f t="shared" si="24"/>
        <v>18</v>
      </c>
      <c r="AV130" s="115">
        <f t="shared" si="25"/>
        <v>0</v>
      </c>
      <c r="AW130" s="115">
        <f t="shared" si="26"/>
        <v>0</v>
      </c>
      <c r="AX130" s="115">
        <f t="shared" ref="AX130:AY130" si="157">IF(S130=1,2,0)</f>
        <v>0</v>
      </c>
      <c r="AY130" s="115">
        <f t="shared" si="157"/>
        <v>0</v>
      </c>
      <c r="AZ130" s="115">
        <f t="shared" si="28"/>
        <v>0</v>
      </c>
      <c r="BA130" s="115">
        <f t="shared" si="29"/>
        <v>3</v>
      </c>
      <c r="BB130" s="115">
        <f t="shared" si="30"/>
        <v>10</v>
      </c>
      <c r="BC130" s="115">
        <f t="shared" si="31"/>
        <v>8</v>
      </c>
      <c r="BD130" s="115">
        <f t="shared" si="32"/>
        <v>5</v>
      </c>
      <c r="BE130" s="115">
        <f t="shared" si="33"/>
        <v>0</v>
      </c>
      <c r="BF130" s="115">
        <f t="shared" si="34"/>
        <v>0</v>
      </c>
      <c r="BG130" s="115">
        <f t="shared" si="35"/>
        <v>15</v>
      </c>
      <c r="BH130" s="115">
        <f t="shared" si="36"/>
        <v>0</v>
      </c>
      <c r="BI130" s="115">
        <f t="shared" si="37"/>
        <v>2</v>
      </c>
      <c r="BJ130" s="115"/>
      <c r="BK130" s="115">
        <f t="shared" si="38"/>
        <v>0</v>
      </c>
      <c r="BL130" s="109"/>
    </row>
    <row r="131" spans="1:64" ht="13.5" customHeight="1">
      <c r="A131" s="110" t="s">
        <v>1516</v>
      </c>
      <c r="B131" s="114"/>
      <c r="C131" s="111"/>
      <c r="D131" s="111">
        <v>1</v>
      </c>
      <c r="E131" s="111">
        <v>1</v>
      </c>
      <c r="F131" s="111"/>
      <c r="G131" s="111">
        <v>1</v>
      </c>
      <c r="H131" s="111"/>
      <c r="I131" s="111"/>
      <c r="J131" s="111">
        <v>1</v>
      </c>
      <c r="K131" s="111"/>
      <c r="L131" s="111"/>
      <c r="M131" s="111"/>
      <c r="N131" s="111">
        <v>1</v>
      </c>
      <c r="O131" s="111"/>
      <c r="P131" s="111">
        <v>1</v>
      </c>
      <c r="Q131" s="111">
        <v>1</v>
      </c>
      <c r="R131" s="111"/>
      <c r="S131" s="111"/>
      <c r="T131" s="111"/>
      <c r="U131" s="111">
        <v>1</v>
      </c>
      <c r="V131" s="111"/>
      <c r="W131" s="111"/>
      <c r="X131" s="111"/>
      <c r="Y131" s="111">
        <v>1</v>
      </c>
      <c r="Z131" s="111">
        <v>1</v>
      </c>
      <c r="AA131" s="111"/>
      <c r="AB131" s="111"/>
      <c r="AC131" s="111"/>
      <c r="AD131" s="111"/>
      <c r="AE131" s="111"/>
      <c r="AF131" s="111"/>
      <c r="AG131" s="111"/>
      <c r="AH131" s="111"/>
      <c r="AI131" s="111"/>
      <c r="AJ131" s="111"/>
      <c r="AK131" s="111">
        <f t="shared" si="156"/>
        <v>10</v>
      </c>
      <c r="AL131" s="304" t="s">
        <v>1517</v>
      </c>
      <c r="AM131" s="112">
        <f t="shared" si="16"/>
        <v>83</v>
      </c>
      <c r="AN131" s="112">
        <f t="shared" si="17"/>
        <v>88</v>
      </c>
      <c r="AO131" s="114">
        <f t="shared" si="18"/>
        <v>0</v>
      </c>
      <c r="AP131" s="114">
        <f t="shared" si="19"/>
        <v>13</v>
      </c>
      <c r="AQ131" s="114">
        <f t="shared" si="20"/>
        <v>6</v>
      </c>
      <c r="AR131" s="114">
        <f t="shared" si="21"/>
        <v>6</v>
      </c>
      <c r="AS131" s="114">
        <f t="shared" si="22"/>
        <v>17</v>
      </c>
      <c r="AT131" s="114">
        <f t="shared" si="23"/>
        <v>2</v>
      </c>
      <c r="AU131" s="114">
        <f t="shared" si="24"/>
        <v>18</v>
      </c>
      <c r="AV131" s="114">
        <f t="shared" si="25"/>
        <v>4</v>
      </c>
      <c r="AW131" s="114">
        <f t="shared" si="26"/>
        <v>0</v>
      </c>
      <c r="AX131" s="114">
        <f t="shared" ref="AX131:AY131" si="158">IF(S131=1,2,0)</f>
        <v>0</v>
      </c>
      <c r="AY131" s="114">
        <f t="shared" si="158"/>
        <v>0</v>
      </c>
      <c r="AZ131" s="114">
        <f t="shared" si="28"/>
        <v>10</v>
      </c>
      <c r="BA131" s="114">
        <f t="shared" si="29"/>
        <v>0</v>
      </c>
      <c r="BB131" s="114">
        <f t="shared" si="30"/>
        <v>10</v>
      </c>
      <c r="BC131" s="114">
        <f t="shared" si="31"/>
        <v>8</v>
      </c>
      <c r="BD131" s="114">
        <f t="shared" si="32"/>
        <v>0</v>
      </c>
      <c r="BE131" s="114">
        <f t="shared" si="33"/>
        <v>0</v>
      </c>
      <c r="BF131" s="114">
        <f t="shared" si="34"/>
        <v>0</v>
      </c>
      <c r="BG131" s="114">
        <f t="shared" si="35"/>
        <v>0</v>
      </c>
      <c r="BH131" s="114">
        <f t="shared" si="36"/>
        <v>0</v>
      </c>
      <c r="BI131" s="114">
        <f t="shared" si="37"/>
        <v>0</v>
      </c>
      <c r="BJ131" s="114"/>
      <c r="BK131" s="114">
        <f t="shared" si="38"/>
        <v>0</v>
      </c>
      <c r="BL131" s="113"/>
    </row>
    <row r="132" spans="1:64" ht="13.5" customHeight="1">
      <c r="A132" s="106" t="s">
        <v>280</v>
      </c>
      <c r="B132" s="115"/>
      <c r="C132" s="107">
        <v>1</v>
      </c>
      <c r="D132" s="107"/>
      <c r="E132" s="107"/>
      <c r="F132" s="107"/>
      <c r="G132" s="107"/>
      <c r="H132" s="107"/>
      <c r="I132" s="107"/>
      <c r="J132" s="107">
        <v>1</v>
      </c>
      <c r="K132" s="107"/>
      <c r="L132" s="107"/>
      <c r="M132" s="107"/>
      <c r="N132" s="107"/>
      <c r="O132" s="107"/>
      <c r="P132" s="107">
        <v>1</v>
      </c>
      <c r="Q132" s="107"/>
      <c r="R132" s="107"/>
      <c r="S132" s="107"/>
      <c r="T132" s="107"/>
      <c r="U132" s="107"/>
      <c r="V132" s="107"/>
      <c r="W132" s="107"/>
      <c r="X132" s="107"/>
      <c r="Y132" s="107"/>
      <c r="Z132" s="107"/>
      <c r="AA132" s="107"/>
      <c r="AB132" s="107">
        <v>1</v>
      </c>
      <c r="AC132" s="107"/>
      <c r="AD132" s="107"/>
      <c r="AE132" s="107"/>
      <c r="AF132" s="107"/>
      <c r="AG132" s="107">
        <v>1</v>
      </c>
      <c r="AH132" s="107"/>
      <c r="AI132" s="107"/>
      <c r="AJ132" s="107"/>
      <c r="AK132" s="107">
        <v>5</v>
      </c>
      <c r="AL132" s="303" t="s">
        <v>1518</v>
      </c>
      <c r="AM132" s="108">
        <f t="shared" si="16"/>
        <v>22</v>
      </c>
      <c r="AN132" s="108">
        <f t="shared" si="17"/>
        <v>64</v>
      </c>
      <c r="AO132" s="115">
        <f t="shared" si="18"/>
        <v>9</v>
      </c>
      <c r="AP132" s="115">
        <f t="shared" si="19"/>
        <v>0</v>
      </c>
      <c r="AQ132" s="115">
        <f t="shared" si="20"/>
        <v>0</v>
      </c>
      <c r="AR132" s="115">
        <f t="shared" si="21"/>
        <v>0</v>
      </c>
      <c r="AS132" s="115">
        <f t="shared" si="22"/>
        <v>17</v>
      </c>
      <c r="AT132" s="115">
        <f t="shared" si="23"/>
        <v>0</v>
      </c>
      <c r="AU132" s="115">
        <f t="shared" si="24"/>
        <v>18</v>
      </c>
      <c r="AV132" s="115">
        <f t="shared" si="25"/>
        <v>0</v>
      </c>
      <c r="AW132" s="115">
        <f t="shared" si="26"/>
        <v>0</v>
      </c>
      <c r="AX132" s="115">
        <f t="shared" ref="AX132:AY132" si="159">IF(S132=1,2,0)</f>
        <v>0</v>
      </c>
      <c r="AY132" s="115">
        <f t="shared" si="159"/>
        <v>0</v>
      </c>
      <c r="AZ132" s="115">
        <f t="shared" si="28"/>
        <v>0</v>
      </c>
      <c r="BA132" s="115">
        <f t="shared" si="29"/>
        <v>0</v>
      </c>
      <c r="BB132" s="115">
        <f t="shared" si="30"/>
        <v>0</v>
      </c>
      <c r="BC132" s="115">
        <f t="shared" si="31"/>
        <v>0</v>
      </c>
      <c r="BD132" s="115">
        <f t="shared" si="32"/>
        <v>5</v>
      </c>
      <c r="BE132" s="115">
        <f t="shared" si="33"/>
        <v>0</v>
      </c>
      <c r="BF132" s="115">
        <f t="shared" si="34"/>
        <v>0</v>
      </c>
      <c r="BG132" s="115">
        <f t="shared" si="35"/>
        <v>15</v>
      </c>
      <c r="BH132" s="115">
        <f t="shared" si="36"/>
        <v>0</v>
      </c>
      <c r="BI132" s="115">
        <f t="shared" si="37"/>
        <v>0</v>
      </c>
      <c r="BJ132" s="115"/>
      <c r="BK132" s="115">
        <f t="shared" si="38"/>
        <v>25</v>
      </c>
      <c r="BL132" s="109"/>
    </row>
    <row r="133" spans="1:64" ht="13.5" customHeight="1">
      <c r="A133" s="110" t="s">
        <v>281</v>
      </c>
      <c r="B133" s="114"/>
      <c r="C133" s="111"/>
      <c r="D133" s="111">
        <v>1</v>
      </c>
      <c r="E133" s="111">
        <v>1</v>
      </c>
      <c r="F133" s="111"/>
      <c r="G133" s="111">
        <v>1</v>
      </c>
      <c r="H133" s="111"/>
      <c r="I133" s="111"/>
      <c r="J133" s="111">
        <v>1</v>
      </c>
      <c r="K133" s="111"/>
      <c r="L133" s="111"/>
      <c r="M133" s="111"/>
      <c r="N133" s="111"/>
      <c r="O133" s="111"/>
      <c r="P133" s="111">
        <v>1</v>
      </c>
      <c r="Q133" s="111"/>
      <c r="R133" s="111"/>
      <c r="S133" s="111"/>
      <c r="T133" s="111">
        <v>1</v>
      </c>
      <c r="U133" s="111">
        <v>1</v>
      </c>
      <c r="V133" s="111"/>
      <c r="W133" s="111"/>
      <c r="X133" s="111"/>
      <c r="Y133" s="111">
        <v>1</v>
      </c>
      <c r="Z133" s="111"/>
      <c r="AA133" s="111"/>
      <c r="AB133" s="111"/>
      <c r="AC133" s="111"/>
      <c r="AD133" s="111"/>
      <c r="AE133" s="111"/>
      <c r="AF133" s="111"/>
      <c r="AG133" s="111">
        <v>1</v>
      </c>
      <c r="AH133" s="111"/>
      <c r="AI133" s="111"/>
      <c r="AJ133" s="111"/>
      <c r="AK133" s="111">
        <f>SUM(B133:AJ133)</f>
        <v>9</v>
      </c>
      <c r="AL133" s="304" t="s">
        <v>1519</v>
      </c>
      <c r="AM133" s="112">
        <f t="shared" si="16"/>
        <v>82</v>
      </c>
      <c r="AN133" s="112">
        <f t="shared" si="17"/>
        <v>95</v>
      </c>
      <c r="AO133" s="114">
        <f t="shared" si="18"/>
        <v>0</v>
      </c>
      <c r="AP133" s="114">
        <f t="shared" si="19"/>
        <v>13</v>
      </c>
      <c r="AQ133" s="114">
        <f t="shared" si="20"/>
        <v>6</v>
      </c>
      <c r="AR133" s="114">
        <f t="shared" si="21"/>
        <v>6</v>
      </c>
      <c r="AS133" s="114">
        <f t="shared" si="22"/>
        <v>17</v>
      </c>
      <c r="AT133" s="114">
        <f t="shared" si="23"/>
        <v>0</v>
      </c>
      <c r="AU133" s="114">
        <f t="shared" si="24"/>
        <v>18</v>
      </c>
      <c r="AV133" s="114">
        <f t="shared" si="25"/>
        <v>0</v>
      </c>
      <c r="AW133" s="114">
        <f t="shared" si="26"/>
        <v>0</v>
      </c>
      <c r="AX133" s="114">
        <f t="shared" ref="AX133:AY133" si="160">IF(S133=1,2,0)</f>
        <v>0</v>
      </c>
      <c r="AY133" s="114">
        <f t="shared" si="160"/>
        <v>2</v>
      </c>
      <c r="AZ133" s="114">
        <f t="shared" si="28"/>
        <v>10</v>
      </c>
      <c r="BA133" s="114">
        <f t="shared" si="29"/>
        <v>0</v>
      </c>
      <c r="BB133" s="114">
        <f t="shared" si="30"/>
        <v>10</v>
      </c>
      <c r="BC133" s="114">
        <f t="shared" si="31"/>
        <v>0</v>
      </c>
      <c r="BD133" s="114">
        <f t="shared" si="32"/>
        <v>0</v>
      </c>
      <c r="BE133" s="114">
        <f t="shared" si="33"/>
        <v>0</v>
      </c>
      <c r="BF133" s="114">
        <f t="shared" si="34"/>
        <v>0</v>
      </c>
      <c r="BG133" s="114">
        <f t="shared" si="35"/>
        <v>15</v>
      </c>
      <c r="BH133" s="114">
        <f t="shared" si="36"/>
        <v>0</v>
      </c>
      <c r="BI133" s="114">
        <f t="shared" si="37"/>
        <v>0</v>
      </c>
      <c r="BJ133" s="114"/>
      <c r="BK133" s="114">
        <f t="shared" si="38"/>
        <v>1</v>
      </c>
      <c r="BL133" s="113"/>
    </row>
    <row r="134" spans="1:64" ht="13.5" customHeight="1">
      <c r="A134" s="106" t="s">
        <v>283</v>
      </c>
      <c r="B134" s="115"/>
      <c r="C134" s="107">
        <v>1</v>
      </c>
      <c r="D134" s="107"/>
      <c r="E134" s="107"/>
      <c r="F134" s="107"/>
      <c r="G134" s="107"/>
      <c r="H134" s="107"/>
      <c r="I134" s="107"/>
      <c r="J134" s="107">
        <v>1</v>
      </c>
      <c r="K134" s="107"/>
      <c r="L134" s="107"/>
      <c r="M134" s="107"/>
      <c r="N134" s="107"/>
      <c r="O134" s="107"/>
      <c r="P134" s="107">
        <v>1</v>
      </c>
      <c r="Q134" s="107">
        <v>1</v>
      </c>
      <c r="R134" s="107"/>
      <c r="S134" s="107"/>
      <c r="T134" s="107"/>
      <c r="U134" s="107">
        <v>1</v>
      </c>
      <c r="V134" s="107">
        <v>1</v>
      </c>
      <c r="W134" s="107"/>
      <c r="X134" s="107"/>
      <c r="Y134" s="107">
        <v>1</v>
      </c>
      <c r="Z134" s="107">
        <v>1</v>
      </c>
      <c r="AA134" s="107"/>
      <c r="AB134" s="107">
        <v>1</v>
      </c>
      <c r="AC134" s="107"/>
      <c r="AD134" s="107"/>
      <c r="AE134" s="107"/>
      <c r="AF134" s="107"/>
      <c r="AG134" s="107">
        <v>1</v>
      </c>
      <c r="AH134" s="107"/>
      <c r="AI134" s="107"/>
      <c r="AJ134" s="107"/>
      <c r="AK134" s="107">
        <v>10</v>
      </c>
      <c r="AL134" s="303" t="s">
        <v>1509</v>
      </c>
      <c r="AM134" s="108">
        <f t="shared" si="16"/>
        <v>76</v>
      </c>
      <c r="AN134" s="108">
        <f t="shared" si="17"/>
        <v>92</v>
      </c>
      <c r="AO134" s="115">
        <f t="shared" si="18"/>
        <v>9</v>
      </c>
      <c r="AP134" s="115">
        <f t="shared" si="19"/>
        <v>0</v>
      </c>
      <c r="AQ134" s="115">
        <f t="shared" si="20"/>
        <v>0</v>
      </c>
      <c r="AR134" s="115">
        <f t="shared" si="21"/>
        <v>0</v>
      </c>
      <c r="AS134" s="115">
        <f t="shared" si="22"/>
        <v>17</v>
      </c>
      <c r="AT134" s="115">
        <f t="shared" si="23"/>
        <v>0</v>
      </c>
      <c r="AU134" s="115">
        <f t="shared" si="24"/>
        <v>18</v>
      </c>
      <c r="AV134" s="115">
        <f t="shared" si="25"/>
        <v>4</v>
      </c>
      <c r="AW134" s="115">
        <f t="shared" si="26"/>
        <v>0</v>
      </c>
      <c r="AX134" s="115">
        <f t="shared" ref="AX134:AY134" si="161">IF(S134=1,2,0)</f>
        <v>0</v>
      </c>
      <c r="AY134" s="115">
        <f t="shared" si="161"/>
        <v>0</v>
      </c>
      <c r="AZ134" s="115">
        <f t="shared" si="28"/>
        <v>10</v>
      </c>
      <c r="BA134" s="115">
        <f t="shared" si="29"/>
        <v>3</v>
      </c>
      <c r="BB134" s="115">
        <f t="shared" si="30"/>
        <v>10</v>
      </c>
      <c r="BC134" s="115">
        <f t="shared" si="31"/>
        <v>8</v>
      </c>
      <c r="BD134" s="115">
        <f t="shared" si="32"/>
        <v>5</v>
      </c>
      <c r="BE134" s="115">
        <f t="shared" si="33"/>
        <v>0</v>
      </c>
      <c r="BF134" s="115">
        <f t="shared" si="34"/>
        <v>0</v>
      </c>
      <c r="BG134" s="115">
        <f t="shared" si="35"/>
        <v>15</v>
      </c>
      <c r="BH134" s="115">
        <f t="shared" si="36"/>
        <v>0</v>
      </c>
      <c r="BI134" s="115">
        <f t="shared" si="37"/>
        <v>0</v>
      </c>
      <c r="BJ134" s="115"/>
      <c r="BK134" s="115">
        <f t="shared" si="38"/>
        <v>0</v>
      </c>
      <c r="BL134" s="109"/>
    </row>
    <row r="135" spans="1:64" ht="13.5" customHeight="1">
      <c r="A135" s="110" t="s">
        <v>1520</v>
      </c>
      <c r="B135" s="114"/>
      <c r="C135" s="111"/>
      <c r="D135" s="111">
        <v>1</v>
      </c>
      <c r="E135" s="111"/>
      <c r="F135" s="111"/>
      <c r="G135" s="111"/>
      <c r="H135" s="111"/>
      <c r="I135" s="111"/>
      <c r="J135" s="111">
        <v>1</v>
      </c>
      <c r="K135" s="111"/>
      <c r="L135" s="111"/>
      <c r="M135" s="111"/>
      <c r="N135" s="111"/>
      <c r="O135" s="111"/>
      <c r="P135" s="111">
        <v>1</v>
      </c>
      <c r="Q135" s="111"/>
      <c r="R135" s="111"/>
      <c r="S135" s="111"/>
      <c r="T135" s="111"/>
      <c r="U135" s="111">
        <v>1</v>
      </c>
      <c r="V135" s="111">
        <v>1</v>
      </c>
      <c r="W135" s="111"/>
      <c r="X135" s="111"/>
      <c r="Y135" s="111"/>
      <c r="Z135" s="111"/>
      <c r="AA135" s="111"/>
      <c r="AB135" s="111">
        <v>1</v>
      </c>
      <c r="AC135" s="111"/>
      <c r="AD135" s="111"/>
      <c r="AE135" s="111"/>
      <c r="AF135" s="111"/>
      <c r="AG135" s="111">
        <v>1</v>
      </c>
      <c r="AH135" s="111"/>
      <c r="AI135" s="111">
        <v>1</v>
      </c>
      <c r="AJ135" s="111"/>
      <c r="AK135" s="111">
        <f>SUM(B135:AJ135)</f>
        <v>8</v>
      </c>
      <c r="AL135" s="304" t="s">
        <v>1521</v>
      </c>
      <c r="AM135" s="112">
        <f t="shared" si="16"/>
        <v>52</v>
      </c>
      <c r="AN135" s="112">
        <f t="shared" si="17"/>
        <v>84</v>
      </c>
      <c r="AO135" s="114">
        <f t="shared" si="18"/>
        <v>0</v>
      </c>
      <c r="AP135" s="114">
        <f t="shared" si="19"/>
        <v>13</v>
      </c>
      <c r="AQ135" s="114">
        <f t="shared" si="20"/>
        <v>0</v>
      </c>
      <c r="AR135" s="114">
        <f t="shared" si="21"/>
        <v>0</v>
      </c>
      <c r="AS135" s="114">
        <f t="shared" si="22"/>
        <v>17</v>
      </c>
      <c r="AT135" s="114">
        <f t="shared" si="23"/>
        <v>0</v>
      </c>
      <c r="AU135" s="114">
        <f t="shared" si="24"/>
        <v>18</v>
      </c>
      <c r="AV135" s="114">
        <f t="shared" si="25"/>
        <v>0</v>
      </c>
      <c r="AW135" s="114">
        <f t="shared" si="26"/>
        <v>0</v>
      </c>
      <c r="AX135" s="114">
        <f t="shared" ref="AX135:AY135" si="162">IF(S135=1,2,0)</f>
        <v>0</v>
      </c>
      <c r="AY135" s="114">
        <f t="shared" si="162"/>
        <v>0</v>
      </c>
      <c r="AZ135" s="114">
        <f t="shared" si="28"/>
        <v>10</v>
      </c>
      <c r="BA135" s="114">
        <f t="shared" si="29"/>
        <v>3</v>
      </c>
      <c r="BB135" s="114">
        <f t="shared" si="30"/>
        <v>0</v>
      </c>
      <c r="BC135" s="114">
        <f t="shared" si="31"/>
        <v>0</v>
      </c>
      <c r="BD135" s="114">
        <f t="shared" si="32"/>
        <v>5</v>
      </c>
      <c r="BE135" s="114">
        <f t="shared" si="33"/>
        <v>0</v>
      </c>
      <c r="BF135" s="114">
        <f t="shared" si="34"/>
        <v>0</v>
      </c>
      <c r="BG135" s="114">
        <f t="shared" si="35"/>
        <v>15</v>
      </c>
      <c r="BH135" s="114">
        <f t="shared" si="36"/>
        <v>3</v>
      </c>
      <c r="BI135" s="114">
        <f t="shared" si="37"/>
        <v>0</v>
      </c>
      <c r="BJ135" s="114"/>
      <c r="BK135" s="114">
        <f t="shared" si="38"/>
        <v>4</v>
      </c>
      <c r="BL135" s="113"/>
    </row>
    <row r="136" spans="1:64" ht="13.5" customHeight="1">
      <c r="A136" s="106" t="s">
        <v>1207</v>
      </c>
      <c r="B136" s="115"/>
      <c r="C136" s="107">
        <v>1</v>
      </c>
      <c r="D136" s="107">
        <v>1</v>
      </c>
      <c r="E136" s="107"/>
      <c r="F136" s="107"/>
      <c r="G136" s="107"/>
      <c r="H136" s="107"/>
      <c r="I136" s="107"/>
      <c r="J136" s="107">
        <v>1</v>
      </c>
      <c r="K136" s="107"/>
      <c r="L136" s="107"/>
      <c r="M136" s="107"/>
      <c r="N136" s="107"/>
      <c r="O136" s="107"/>
      <c r="P136" s="107">
        <v>1</v>
      </c>
      <c r="Q136" s="107"/>
      <c r="R136" s="107"/>
      <c r="S136" s="107"/>
      <c r="T136" s="107"/>
      <c r="U136" s="107"/>
      <c r="V136" s="107"/>
      <c r="W136" s="107"/>
      <c r="X136" s="107"/>
      <c r="Y136" s="107">
        <v>1</v>
      </c>
      <c r="Z136" s="107">
        <v>1</v>
      </c>
      <c r="AA136" s="107"/>
      <c r="AB136" s="107">
        <v>1</v>
      </c>
      <c r="AC136" s="107"/>
      <c r="AD136" s="107"/>
      <c r="AE136" s="107"/>
      <c r="AF136" s="107"/>
      <c r="AG136" s="107">
        <v>1</v>
      </c>
      <c r="AH136" s="107"/>
      <c r="AI136" s="107"/>
      <c r="AJ136" s="107"/>
      <c r="AK136" s="107">
        <v>8</v>
      </c>
      <c r="AL136" s="303" t="s">
        <v>1522</v>
      </c>
      <c r="AM136" s="108">
        <f t="shared" si="16"/>
        <v>68</v>
      </c>
      <c r="AN136" s="108">
        <f t="shared" si="17"/>
        <v>95</v>
      </c>
      <c r="AO136" s="115">
        <f t="shared" si="18"/>
        <v>9</v>
      </c>
      <c r="AP136" s="115">
        <f t="shared" si="19"/>
        <v>13</v>
      </c>
      <c r="AQ136" s="115">
        <f t="shared" si="20"/>
        <v>0</v>
      </c>
      <c r="AR136" s="115">
        <f t="shared" si="21"/>
        <v>0</v>
      </c>
      <c r="AS136" s="115">
        <f t="shared" si="22"/>
        <v>17</v>
      </c>
      <c r="AT136" s="115">
        <f t="shared" si="23"/>
        <v>0</v>
      </c>
      <c r="AU136" s="115">
        <f t="shared" si="24"/>
        <v>18</v>
      </c>
      <c r="AV136" s="115">
        <f t="shared" si="25"/>
        <v>0</v>
      </c>
      <c r="AW136" s="115">
        <f t="shared" si="26"/>
        <v>0</v>
      </c>
      <c r="AX136" s="115">
        <f t="shared" ref="AX136:AY136" si="163">IF(S136=1,2,0)</f>
        <v>0</v>
      </c>
      <c r="AY136" s="115">
        <f t="shared" si="163"/>
        <v>0</v>
      </c>
      <c r="AZ136" s="115">
        <f t="shared" si="28"/>
        <v>0</v>
      </c>
      <c r="BA136" s="115">
        <f t="shared" si="29"/>
        <v>0</v>
      </c>
      <c r="BB136" s="115">
        <f t="shared" si="30"/>
        <v>10</v>
      </c>
      <c r="BC136" s="115">
        <f t="shared" si="31"/>
        <v>8</v>
      </c>
      <c r="BD136" s="115">
        <f t="shared" si="32"/>
        <v>5</v>
      </c>
      <c r="BE136" s="115">
        <f t="shared" si="33"/>
        <v>0</v>
      </c>
      <c r="BF136" s="115">
        <f t="shared" si="34"/>
        <v>0</v>
      </c>
      <c r="BG136" s="115">
        <f t="shared" si="35"/>
        <v>15</v>
      </c>
      <c r="BH136" s="115">
        <f t="shared" si="36"/>
        <v>0</v>
      </c>
      <c r="BI136" s="115">
        <f t="shared" si="37"/>
        <v>0</v>
      </c>
      <c r="BJ136" s="115"/>
      <c r="BK136" s="115">
        <f t="shared" si="38"/>
        <v>4</v>
      </c>
      <c r="BL136" s="109"/>
    </row>
    <row r="137" spans="1:64" ht="12" customHeight="1">
      <c r="A137" s="110" t="s">
        <v>289</v>
      </c>
      <c r="B137" s="114"/>
      <c r="C137" s="111">
        <v>1</v>
      </c>
      <c r="D137" s="111">
        <v>1</v>
      </c>
      <c r="E137" s="111"/>
      <c r="F137" s="111"/>
      <c r="G137" s="111"/>
      <c r="H137" s="111"/>
      <c r="I137" s="111"/>
      <c r="J137" s="111">
        <v>1</v>
      </c>
      <c r="K137" s="111"/>
      <c r="L137" s="111"/>
      <c r="M137" s="111"/>
      <c r="N137" s="111"/>
      <c r="O137" s="111"/>
      <c r="P137" s="111">
        <v>1</v>
      </c>
      <c r="Q137" s="111"/>
      <c r="R137" s="111"/>
      <c r="S137" s="111"/>
      <c r="T137" s="111"/>
      <c r="U137" s="111">
        <v>1</v>
      </c>
      <c r="V137" s="111"/>
      <c r="W137" s="111"/>
      <c r="X137" s="111"/>
      <c r="Y137" s="111">
        <v>1</v>
      </c>
      <c r="Z137" s="111">
        <v>1</v>
      </c>
      <c r="AA137" s="111"/>
      <c r="AB137" s="111">
        <v>1</v>
      </c>
      <c r="AC137" s="111"/>
      <c r="AD137" s="111">
        <v>1</v>
      </c>
      <c r="AE137" s="111"/>
      <c r="AF137" s="111"/>
      <c r="AG137" s="111">
        <v>1</v>
      </c>
      <c r="AH137" s="111"/>
      <c r="AI137" s="111"/>
      <c r="AJ137" s="111"/>
      <c r="AK137" s="111">
        <f>SUM(B137:AJ137)</f>
        <v>10</v>
      </c>
      <c r="AL137" s="304" t="s">
        <v>1488</v>
      </c>
      <c r="AM137" s="112">
        <f t="shared" si="16"/>
        <v>74</v>
      </c>
      <c r="AN137" s="112">
        <f t="shared" si="17"/>
        <v>100</v>
      </c>
      <c r="AO137" s="114">
        <f t="shared" si="18"/>
        <v>9</v>
      </c>
      <c r="AP137" s="114">
        <f t="shared" si="19"/>
        <v>13</v>
      </c>
      <c r="AQ137" s="114">
        <f t="shared" si="20"/>
        <v>0</v>
      </c>
      <c r="AR137" s="114">
        <f t="shared" si="21"/>
        <v>0</v>
      </c>
      <c r="AS137" s="114">
        <f t="shared" si="22"/>
        <v>17</v>
      </c>
      <c r="AT137" s="114">
        <f t="shared" si="23"/>
        <v>0</v>
      </c>
      <c r="AU137" s="114">
        <f t="shared" si="24"/>
        <v>18</v>
      </c>
      <c r="AV137" s="114">
        <f t="shared" si="25"/>
        <v>0</v>
      </c>
      <c r="AW137" s="114">
        <f t="shared" si="26"/>
        <v>0</v>
      </c>
      <c r="AX137" s="114">
        <f t="shared" ref="AX137:AY137" si="164">IF(S137=1,2,0)</f>
        <v>0</v>
      </c>
      <c r="AY137" s="114">
        <f t="shared" si="164"/>
        <v>0</v>
      </c>
      <c r="AZ137" s="114">
        <f t="shared" si="28"/>
        <v>10</v>
      </c>
      <c r="BA137" s="114">
        <f t="shared" si="29"/>
        <v>0</v>
      </c>
      <c r="BB137" s="114">
        <f t="shared" si="30"/>
        <v>10</v>
      </c>
      <c r="BC137" s="114">
        <f t="shared" si="31"/>
        <v>8</v>
      </c>
      <c r="BD137" s="114">
        <f t="shared" si="32"/>
        <v>5</v>
      </c>
      <c r="BE137" s="114">
        <f t="shared" si="33"/>
        <v>5</v>
      </c>
      <c r="BF137" s="114">
        <f t="shared" si="34"/>
        <v>0</v>
      </c>
      <c r="BG137" s="114">
        <f t="shared" si="35"/>
        <v>15</v>
      </c>
      <c r="BH137" s="114">
        <f t="shared" si="36"/>
        <v>0</v>
      </c>
      <c r="BI137" s="114">
        <f t="shared" si="37"/>
        <v>0</v>
      </c>
      <c r="BJ137" s="114"/>
      <c r="BK137" s="114">
        <f t="shared" si="38"/>
        <v>0</v>
      </c>
      <c r="BL137" s="113"/>
    </row>
    <row r="138" spans="1:64" ht="12" customHeight="1">
      <c r="A138" s="106" t="s">
        <v>293</v>
      </c>
      <c r="B138" s="115"/>
      <c r="C138" s="107"/>
      <c r="D138" s="107">
        <v>1</v>
      </c>
      <c r="E138" s="107"/>
      <c r="F138" s="107"/>
      <c r="G138" s="107"/>
      <c r="H138" s="107"/>
      <c r="I138" s="107"/>
      <c r="J138" s="107">
        <v>1</v>
      </c>
      <c r="K138" s="107"/>
      <c r="L138" s="107"/>
      <c r="M138" s="107"/>
      <c r="N138" s="107">
        <v>1</v>
      </c>
      <c r="O138" s="107"/>
      <c r="P138" s="107">
        <v>1</v>
      </c>
      <c r="Q138" s="107"/>
      <c r="R138" s="107"/>
      <c r="S138" s="107">
        <v>1</v>
      </c>
      <c r="T138" s="107"/>
      <c r="U138" s="107">
        <v>1</v>
      </c>
      <c r="V138" s="107"/>
      <c r="W138" s="107"/>
      <c r="X138" s="107"/>
      <c r="Y138" s="107"/>
      <c r="Z138" s="107">
        <v>1</v>
      </c>
      <c r="AA138" s="107"/>
      <c r="AB138" s="107">
        <v>1</v>
      </c>
      <c r="AC138" s="107"/>
      <c r="AD138" s="107"/>
      <c r="AE138" s="107"/>
      <c r="AF138" s="107"/>
      <c r="AG138" s="107">
        <v>1</v>
      </c>
      <c r="AH138" s="107"/>
      <c r="AI138" s="107">
        <v>1</v>
      </c>
      <c r="AJ138" s="107"/>
      <c r="AK138" s="107">
        <v>10</v>
      </c>
      <c r="AL138" s="303" t="s">
        <v>1523</v>
      </c>
      <c r="AM138" s="108">
        <f t="shared" si="16"/>
        <v>65</v>
      </c>
      <c r="AN138" s="108">
        <f t="shared" si="17"/>
        <v>89</v>
      </c>
      <c r="AO138" s="115">
        <f t="shared" si="18"/>
        <v>0</v>
      </c>
      <c r="AP138" s="115">
        <f t="shared" si="19"/>
        <v>13</v>
      </c>
      <c r="AQ138" s="115">
        <f t="shared" si="20"/>
        <v>0</v>
      </c>
      <c r="AR138" s="115">
        <f t="shared" si="21"/>
        <v>0</v>
      </c>
      <c r="AS138" s="115">
        <f t="shared" si="22"/>
        <v>17</v>
      </c>
      <c r="AT138" s="115">
        <f t="shared" si="23"/>
        <v>2</v>
      </c>
      <c r="AU138" s="115">
        <f t="shared" si="24"/>
        <v>18</v>
      </c>
      <c r="AV138" s="115">
        <f t="shared" si="25"/>
        <v>0</v>
      </c>
      <c r="AW138" s="115">
        <f t="shared" si="26"/>
        <v>0</v>
      </c>
      <c r="AX138" s="115">
        <f t="shared" ref="AX138:AY138" si="165">IF(S138=1,2,0)</f>
        <v>2</v>
      </c>
      <c r="AY138" s="115">
        <f t="shared" si="165"/>
        <v>0</v>
      </c>
      <c r="AZ138" s="115">
        <f t="shared" si="28"/>
        <v>10</v>
      </c>
      <c r="BA138" s="115">
        <f t="shared" si="29"/>
        <v>0</v>
      </c>
      <c r="BB138" s="115">
        <f t="shared" si="30"/>
        <v>0</v>
      </c>
      <c r="BC138" s="115">
        <f t="shared" si="31"/>
        <v>8</v>
      </c>
      <c r="BD138" s="115">
        <f t="shared" si="32"/>
        <v>5</v>
      </c>
      <c r="BE138" s="115">
        <f t="shared" si="33"/>
        <v>0</v>
      </c>
      <c r="BF138" s="115">
        <f t="shared" si="34"/>
        <v>0</v>
      </c>
      <c r="BG138" s="115">
        <f t="shared" si="35"/>
        <v>15</v>
      </c>
      <c r="BH138" s="115">
        <f t="shared" si="36"/>
        <v>3</v>
      </c>
      <c r="BI138" s="115">
        <f t="shared" si="37"/>
        <v>0</v>
      </c>
      <c r="BJ138" s="115"/>
      <c r="BK138" s="115">
        <f t="shared" si="38"/>
        <v>0</v>
      </c>
      <c r="BL138" s="109"/>
    </row>
    <row r="139" spans="1:64" ht="12" customHeight="1">
      <c r="A139" s="110" t="s">
        <v>456</v>
      </c>
      <c r="B139" s="114"/>
      <c r="C139" s="111"/>
      <c r="D139" s="111"/>
      <c r="E139" s="111"/>
      <c r="F139" s="111"/>
      <c r="G139" s="111"/>
      <c r="H139" s="111"/>
      <c r="I139" s="111"/>
      <c r="J139" s="111">
        <v>1</v>
      </c>
      <c r="K139" s="111"/>
      <c r="L139" s="111"/>
      <c r="M139" s="111"/>
      <c r="N139" s="111">
        <v>1</v>
      </c>
      <c r="O139" s="111"/>
      <c r="P139" s="111">
        <v>1</v>
      </c>
      <c r="Q139" s="111"/>
      <c r="R139" s="111"/>
      <c r="S139" s="111"/>
      <c r="T139" s="111"/>
      <c r="U139" s="111">
        <v>1</v>
      </c>
      <c r="V139" s="111"/>
      <c r="W139" s="111"/>
      <c r="X139" s="111"/>
      <c r="Y139" s="111"/>
      <c r="Z139" s="111">
        <v>1</v>
      </c>
      <c r="AA139" s="111"/>
      <c r="AB139" s="111"/>
      <c r="AC139" s="111"/>
      <c r="AD139" s="111">
        <v>1</v>
      </c>
      <c r="AE139" s="111"/>
      <c r="AF139" s="111"/>
      <c r="AG139" s="111">
        <v>1</v>
      </c>
      <c r="AH139" s="111"/>
      <c r="AI139" s="111"/>
      <c r="AJ139" s="111"/>
      <c r="AK139" s="111">
        <v>7</v>
      </c>
      <c r="AL139" s="304" t="s">
        <v>1466</v>
      </c>
      <c r="AM139" s="112">
        <f t="shared" si="16"/>
        <v>38</v>
      </c>
      <c r="AN139" s="112">
        <f t="shared" si="17"/>
        <v>75</v>
      </c>
      <c r="AO139" s="114">
        <f t="shared" si="18"/>
        <v>0</v>
      </c>
      <c r="AP139" s="114">
        <f t="shared" si="19"/>
        <v>0</v>
      </c>
      <c r="AQ139" s="114">
        <f t="shared" si="20"/>
        <v>0</v>
      </c>
      <c r="AR139" s="114">
        <f t="shared" si="21"/>
        <v>0</v>
      </c>
      <c r="AS139" s="114">
        <f t="shared" si="22"/>
        <v>17</v>
      </c>
      <c r="AT139" s="114">
        <f t="shared" si="23"/>
        <v>2</v>
      </c>
      <c r="AU139" s="114">
        <f t="shared" si="24"/>
        <v>18</v>
      </c>
      <c r="AV139" s="114">
        <f t="shared" si="25"/>
        <v>0</v>
      </c>
      <c r="AW139" s="114">
        <f t="shared" si="26"/>
        <v>0</v>
      </c>
      <c r="AX139" s="114">
        <f t="shared" ref="AX139:AY139" si="166">IF(S139=1,2,0)</f>
        <v>0</v>
      </c>
      <c r="AY139" s="114">
        <f t="shared" si="166"/>
        <v>0</v>
      </c>
      <c r="AZ139" s="114">
        <f t="shared" si="28"/>
        <v>10</v>
      </c>
      <c r="BA139" s="114">
        <f t="shared" si="29"/>
        <v>0</v>
      </c>
      <c r="BB139" s="114">
        <f t="shared" si="30"/>
        <v>0</v>
      </c>
      <c r="BC139" s="114">
        <f t="shared" si="31"/>
        <v>8</v>
      </c>
      <c r="BD139" s="114">
        <f t="shared" si="32"/>
        <v>0</v>
      </c>
      <c r="BE139" s="114">
        <f t="shared" si="33"/>
        <v>5</v>
      </c>
      <c r="BF139" s="114">
        <f t="shared" si="34"/>
        <v>0</v>
      </c>
      <c r="BG139" s="114">
        <f t="shared" si="35"/>
        <v>15</v>
      </c>
      <c r="BH139" s="114">
        <f t="shared" si="36"/>
        <v>0</v>
      </c>
      <c r="BI139" s="114">
        <f t="shared" si="37"/>
        <v>0</v>
      </c>
      <c r="BJ139" s="114"/>
      <c r="BK139" s="114">
        <f t="shared" si="38"/>
        <v>9</v>
      </c>
      <c r="BL139" s="113"/>
    </row>
    <row r="140" spans="1:64" ht="12" customHeight="1">
      <c r="A140" s="106" t="s">
        <v>295</v>
      </c>
      <c r="B140" s="115"/>
      <c r="C140" s="107"/>
      <c r="D140" s="107">
        <v>1</v>
      </c>
      <c r="E140" s="107"/>
      <c r="F140" s="107"/>
      <c r="G140" s="107"/>
      <c r="H140" s="107"/>
      <c r="I140" s="107"/>
      <c r="J140" s="107">
        <v>1</v>
      </c>
      <c r="K140" s="107"/>
      <c r="L140" s="107"/>
      <c r="M140" s="107"/>
      <c r="N140" s="107"/>
      <c r="O140" s="107"/>
      <c r="P140" s="107">
        <v>1</v>
      </c>
      <c r="Q140" s="107">
        <v>1</v>
      </c>
      <c r="R140" s="107"/>
      <c r="S140" s="107">
        <v>1</v>
      </c>
      <c r="T140" s="107"/>
      <c r="U140" s="107">
        <v>1</v>
      </c>
      <c r="V140" s="107"/>
      <c r="W140" s="107"/>
      <c r="X140" s="107"/>
      <c r="Y140" s="107"/>
      <c r="Z140" s="107">
        <v>1</v>
      </c>
      <c r="AA140" s="107"/>
      <c r="AB140" s="107">
        <v>1</v>
      </c>
      <c r="AC140" s="107"/>
      <c r="AD140" s="107"/>
      <c r="AE140" s="107"/>
      <c r="AF140" s="107"/>
      <c r="AG140" s="107">
        <v>1</v>
      </c>
      <c r="AH140" s="107"/>
      <c r="AI140" s="107">
        <v>1</v>
      </c>
      <c r="AJ140" s="107"/>
      <c r="AK140" s="107">
        <v>10</v>
      </c>
      <c r="AL140" s="303" t="s">
        <v>1524</v>
      </c>
      <c r="AM140" s="108">
        <f t="shared" si="16"/>
        <v>67</v>
      </c>
      <c r="AN140" s="108">
        <f t="shared" si="17"/>
        <v>90</v>
      </c>
      <c r="AO140" s="115">
        <f t="shared" si="18"/>
        <v>0</v>
      </c>
      <c r="AP140" s="115">
        <f t="shared" si="19"/>
        <v>13</v>
      </c>
      <c r="AQ140" s="115">
        <f t="shared" si="20"/>
        <v>0</v>
      </c>
      <c r="AR140" s="115">
        <f t="shared" si="21"/>
        <v>0</v>
      </c>
      <c r="AS140" s="115">
        <f t="shared" si="22"/>
        <v>17</v>
      </c>
      <c r="AT140" s="115">
        <f t="shared" si="23"/>
        <v>0</v>
      </c>
      <c r="AU140" s="115">
        <f t="shared" si="24"/>
        <v>18</v>
      </c>
      <c r="AV140" s="115">
        <f t="shared" si="25"/>
        <v>4</v>
      </c>
      <c r="AW140" s="115">
        <f t="shared" si="26"/>
        <v>0</v>
      </c>
      <c r="AX140" s="115">
        <f t="shared" ref="AX140:AY140" si="167">IF(S140=1,2,0)</f>
        <v>2</v>
      </c>
      <c r="AY140" s="115">
        <f t="shared" si="167"/>
        <v>0</v>
      </c>
      <c r="AZ140" s="115">
        <f t="shared" si="28"/>
        <v>10</v>
      </c>
      <c r="BA140" s="115">
        <f t="shared" si="29"/>
        <v>0</v>
      </c>
      <c r="BB140" s="115">
        <f t="shared" si="30"/>
        <v>0</v>
      </c>
      <c r="BC140" s="115">
        <f t="shared" si="31"/>
        <v>8</v>
      </c>
      <c r="BD140" s="115">
        <f t="shared" si="32"/>
        <v>5</v>
      </c>
      <c r="BE140" s="115">
        <f t="shared" si="33"/>
        <v>0</v>
      </c>
      <c r="BF140" s="115">
        <f t="shared" si="34"/>
        <v>0</v>
      </c>
      <c r="BG140" s="115">
        <f t="shared" si="35"/>
        <v>15</v>
      </c>
      <c r="BH140" s="115">
        <f t="shared" si="36"/>
        <v>3</v>
      </c>
      <c r="BI140" s="115">
        <f t="shared" si="37"/>
        <v>0</v>
      </c>
      <c r="BJ140" s="115"/>
      <c r="BK140" s="115">
        <f t="shared" si="38"/>
        <v>0</v>
      </c>
      <c r="BL140" s="109"/>
    </row>
    <row r="141" spans="1:64" ht="12" customHeight="1">
      <c r="A141" s="110" t="s">
        <v>296</v>
      </c>
      <c r="B141" s="114"/>
      <c r="C141" s="111"/>
      <c r="D141" s="111"/>
      <c r="E141" s="111"/>
      <c r="F141" s="111"/>
      <c r="G141" s="111"/>
      <c r="H141" s="111"/>
      <c r="I141" s="111"/>
      <c r="J141" s="111">
        <v>1</v>
      </c>
      <c r="K141" s="111"/>
      <c r="L141" s="111"/>
      <c r="M141" s="111"/>
      <c r="N141" s="111"/>
      <c r="O141" s="111"/>
      <c r="P141" s="111">
        <v>1</v>
      </c>
      <c r="Q141" s="111"/>
      <c r="R141" s="111"/>
      <c r="S141" s="111">
        <v>1</v>
      </c>
      <c r="T141" s="111"/>
      <c r="U141" s="111"/>
      <c r="V141" s="111"/>
      <c r="W141" s="111"/>
      <c r="X141" s="111"/>
      <c r="Y141" s="111"/>
      <c r="Z141" s="111"/>
      <c r="AA141" s="111"/>
      <c r="AB141" s="111"/>
      <c r="AC141" s="111"/>
      <c r="AD141" s="111">
        <v>1</v>
      </c>
      <c r="AE141" s="111"/>
      <c r="AF141" s="111"/>
      <c r="AG141" s="111">
        <v>1</v>
      </c>
      <c r="AH141" s="111"/>
      <c r="AI141" s="111"/>
      <c r="AJ141" s="111"/>
      <c r="AK141" s="111">
        <v>5</v>
      </c>
      <c r="AL141" s="304" t="s">
        <v>1417</v>
      </c>
      <c r="AM141" s="112">
        <f t="shared" si="16"/>
        <v>11</v>
      </c>
      <c r="AN141" s="112">
        <f t="shared" si="17"/>
        <v>57</v>
      </c>
      <c r="AO141" s="114">
        <f t="shared" si="18"/>
        <v>0</v>
      </c>
      <c r="AP141" s="114">
        <f t="shared" si="19"/>
        <v>0</v>
      </c>
      <c r="AQ141" s="114">
        <f t="shared" si="20"/>
        <v>0</v>
      </c>
      <c r="AR141" s="114">
        <f t="shared" si="21"/>
        <v>0</v>
      </c>
      <c r="AS141" s="114">
        <f t="shared" si="22"/>
        <v>17</v>
      </c>
      <c r="AT141" s="114">
        <f t="shared" si="23"/>
        <v>0</v>
      </c>
      <c r="AU141" s="114">
        <f t="shared" si="24"/>
        <v>18</v>
      </c>
      <c r="AV141" s="114">
        <f t="shared" si="25"/>
        <v>0</v>
      </c>
      <c r="AW141" s="114">
        <f t="shared" si="26"/>
        <v>0</v>
      </c>
      <c r="AX141" s="114">
        <f t="shared" ref="AX141:AY141" si="168">IF(S141=1,2,0)</f>
        <v>2</v>
      </c>
      <c r="AY141" s="114">
        <f t="shared" si="168"/>
        <v>0</v>
      </c>
      <c r="AZ141" s="114">
        <f t="shared" si="28"/>
        <v>0</v>
      </c>
      <c r="BA141" s="114">
        <f t="shared" si="29"/>
        <v>0</v>
      </c>
      <c r="BB141" s="114">
        <f t="shared" si="30"/>
        <v>0</v>
      </c>
      <c r="BC141" s="114">
        <f t="shared" si="31"/>
        <v>0</v>
      </c>
      <c r="BD141" s="114">
        <f t="shared" si="32"/>
        <v>0</v>
      </c>
      <c r="BE141" s="114">
        <f t="shared" si="33"/>
        <v>5</v>
      </c>
      <c r="BF141" s="114">
        <f t="shared" si="34"/>
        <v>0</v>
      </c>
      <c r="BG141" s="114">
        <f t="shared" si="35"/>
        <v>15</v>
      </c>
      <c r="BH141" s="114">
        <f t="shared" si="36"/>
        <v>0</v>
      </c>
      <c r="BI141" s="114">
        <f t="shared" si="37"/>
        <v>0</v>
      </c>
      <c r="BJ141" s="114"/>
      <c r="BK141" s="114">
        <f t="shared" si="38"/>
        <v>25</v>
      </c>
      <c r="BL141" s="113"/>
    </row>
    <row r="142" spans="1:64" ht="12" customHeight="1">
      <c r="A142" s="106" t="s">
        <v>297</v>
      </c>
      <c r="B142" s="115"/>
      <c r="C142" s="107"/>
      <c r="D142" s="107">
        <v>1</v>
      </c>
      <c r="E142" s="107">
        <v>1</v>
      </c>
      <c r="F142" s="107"/>
      <c r="G142" s="107">
        <v>1</v>
      </c>
      <c r="H142" s="107"/>
      <c r="I142" s="107"/>
      <c r="J142" s="107">
        <v>1</v>
      </c>
      <c r="K142" s="107"/>
      <c r="L142" s="107"/>
      <c r="M142" s="107"/>
      <c r="N142" s="107"/>
      <c r="O142" s="107"/>
      <c r="P142" s="107">
        <v>1</v>
      </c>
      <c r="Q142" s="107"/>
      <c r="R142" s="107"/>
      <c r="S142" s="107"/>
      <c r="T142" s="107">
        <v>1</v>
      </c>
      <c r="U142" s="107"/>
      <c r="V142" s="107"/>
      <c r="W142" s="107"/>
      <c r="X142" s="107">
        <v>1</v>
      </c>
      <c r="Y142" s="107">
        <v>1</v>
      </c>
      <c r="Z142" s="107"/>
      <c r="AA142" s="107"/>
      <c r="AB142" s="107"/>
      <c r="AC142" s="107"/>
      <c r="AD142" s="107"/>
      <c r="AE142" s="107"/>
      <c r="AF142" s="107">
        <v>1</v>
      </c>
      <c r="AG142" s="107">
        <v>1</v>
      </c>
      <c r="AH142" s="107"/>
      <c r="AI142" s="107"/>
      <c r="AJ142" s="107"/>
      <c r="AK142" s="107">
        <v>10</v>
      </c>
      <c r="AL142" s="303" t="s">
        <v>1525</v>
      </c>
      <c r="AM142" s="108">
        <f t="shared" si="16"/>
        <v>87</v>
      </c>
      <c r="AN142" s="108">
        <f t="shared" si="17"/>
        <v>87</v>
      </c>
      <c r="AO142" s="115">
        <f t="shared" si="18"/>
        <v>0</v>
      </c>
      <c r="AP142" s="115">
        <f t="shared" si="19"/>
        <v>13</v>
      </c>
      <c r="AQ142" s="115">
        <f t="shared" si="20"/>
        <v>6</v>
      </c>
      <c r="AR142" s="115">
        <f t="shared" si="21"/>
        <v>6</v>
      </c>
      <c r="AS142" s="115">
        <f t="shared" si="22"/>
        <v>17</v>
      </c>
      <c r="AT142" s="115">
        <f t="shared" si="23"/>
        <v>0</v>
      </c>
      <c r="AU142" s="115">
        <f t="shared" si="24"/>
        <v>18</v>
      </c>
      <c r="AV142" s="115">
        <f t="shared" si="25"/>
        <v>0</v>
      </c>
      <c r="AW142" s="115">
        <f t="shared" si="26"/>
        <v>0</v>
      </c>
      <c r="AX142" s="115">
        <f t="shared" ref="AX142:AY142" si="169">IF(S142=1,2,0)</f>
        <v>0</v>
      </c>
      <c r="AY142" s="115">
        <f t="shared" si="169"/>
        <v>2</v>
      </c>
      <c r="AZ142" s="115">
        <f t="shared" si="28"/>
        <v>0</v>
      </c>
      <c r="BA142" s="115">
        <f t="shared" si="29"/>
        <v>0</v>
      </c>
      <c r="BB142" s="115">
        <f t="shared" si="30"/>
        <v>10</v>
      </c>
      <c r="BC142" s="115">
        <f t="shared" si="31"/>
        <v>0</v>
      </c>
      <c r="BD142" s="115">
        <f t="shared" si="32"/>
        <v>0</v>
      </c>
      <c r="BE142" s="115">
        <f t="shared" si="33"/>
        <v>0</v>
      </c>
      <c r="BF142" s="115">
        <f t="shared" si="34"/>
        <v>1</v>
      </c>
      <c r="BG142" s="115">
        <f t="shared" si="35"/>
        <v>15</v>
      </c>
      <c r="BH142" s="115">
        <f t="shared" si="36"/>
        <v>0</v>
      </c>
      <c r="BI142" s="115">
        <f t="shared" si="37"/>
        <v>0</v>
      </c>
      <c r="BJ142" s="115"/>
      <c r="BK142" s="115">
        <f t="shared" si="38"/>
        <v>0</v>
      </c>
      <c r="BL142" s="109"/>
    </row>
    <row r="143" spans="1:64" ht="12" customHeight="1">
      <c r="A143" s="110" t="s">
        <v>300</v>
      </c>
      <c r="B143" s="114"/>
      <c r="C143" s="111"/>
      <c r="D143" s="111"/>
      <c r="E143" s="111"/>
      <c r="F143" s="111"/>
      <c r="G143" s="111"/>
      <c r="H143" s="111"/>
      <c r="I143" s="111"/>
      <c r="J143" s="111">
        <v>1</v>
      </c>
      <c r="K143" s="111"/>
      <c r="L143" s="111"/>
      <c r="M143" s="111"/>
      <c r="N143" s="111"/>
      <c r="O143" s="111"/>
      <c r="P143" s="111">
        <v>1</v>
      </c>
      <c r="Q143" s="111"/>
      <c r="R143" s="111"/>
      <c r="S143" s="111"/>
      <c r="T143" s="111"/>
      <c r="U143" s="111"/>
      <c r="V143" s="111"/>
      <c r="W143" s="111"/>
      <c r="X143" s="111"/>
      <c r="Y143" s="111"/>
      <c r="Z143" s="111"/>
      <c r="AA143" s="111"/>
      <c r="AB143" s="111"/>
      <c r="AC143" s="111"/>
      <c r="AD143" s="111"/>
      <c r="AE143" s="111"/>
      <c r="AF143" s="111"/>
      <c r="AG143" s="111">
        <v>1</v>
      </c>
      <c r="AH143" s="111"/>
      <c r="AI143" s="111"/>
      <c r="AJ143" s="111"/>
      <c r="AK143" s="111">
        <v>3</v>
      </c>
      <c r="AL143" s="304" t="s">
        <v>1526</v>
      </c>
      <c r="AM143" s="112">
        <f t="shared" si="16"/>
        <v>-16</v>
      </c>
      <c r="AN143" s="112">
        <f t="shared" si="17"/>
        <v>50</v>
      </c>
      <c r="AO143" s="114">
        <f t="shared" si="18"/>
        <v>0</v>
      </c>
      <c r="AP143" s="114">
        <f t="shared" si="19"/>
        <v>0</v>
      </c>
      <c r="AQ143" s="114">
        <f t="shared" si="20"/>
        <v>0</v>
      </c>
      <c r="AR143" s="114">
        <f t="shared" si="21"/>
        <v>0</v>
      </c>
      <c r="AS143" s="114">
        <f t="shared" si="22"/>
        <v>17</v>
      </c>
      <c r="AT143" s="114">
        <f t="shared" si="23"/>
        <v>0</v>
      </c>
      <c r="AU143" s="114">
        <f t="shared" si="24"/>
        <v>18</v>
      </c>
      <c r="AV143" s="114">
        <f t="shared" si="25"/>
        <v>0</v>
      </c>
      <c r="AW143" s="114">
        <f t="shared" si="26"/>
        <v>0</v>
      </c>
      <c r="AX143" s="114">
        <f t="shared" ref="AX143:AY143" si="170">IF(S143=1,2,0)</f>
        <v>0</v>
      </c>
      <c r="AY143" s="114">
        <f t="shared" si="170"/>
        <v>0</v>
      </c>
      <c r="AZ143" s="114">
        <f t="shared" si="28"/>
        <v>0</v>
      </c>
      <c r="BA143" s="114">
        <f t="shared" si="29"/>
        <v>0</v>
      </c>
      <c r="BB143" s="114">
        <f t="shared" si="30"/>
        <v>0</v>
      </c>
      <c r="BC143" s="114">
        <f t="shared" si="31"/>
        <v>0</v>
      </c>
      <c r="BD143" s="114">
        <f t="shared" si="32"/>
        <v>0</v>
      </c>
      <c r="BE143" s="114">
        <f t="shared" si="33"/>
        <v>0</v>
      </c>
      <c r="BF143" s="114">
        <f t="shared" si="34"/>
        <v>0</v>
      </c>
      <c r="BG143" s="114">
        <f t="shared" si="35"/>
        <v>15</v>
      </c>
      <c r="BH143" s="114">
        <f t="shared" si="36"/>
        <v>0</v>
      </c>
      <c r="BI143" s="114">
        <f t="shared" si="37"/>
        <v>0</v>
      </c>
      <c r="BJ143" s="114"/>
      <c r="BK143" s="114">
        <f t="shared" si="38"/>
        <v>49</v>
      </c>
      <c r="BL143" s="113"/>
    </row>
    <row r="144" spans="1:64" ht="12" customHeight="1">
      <c r="A144" s="106" t="s">
        <v>301</v>
      </c>
      <c r="B144" s="115"/>
      <c r="C144" s="107"/>
      <c r="D144" s="107">
        <v>1</v>
      </c>
      <c r="E144" s="107">
        <v>1</v>
      </c>
      <c r="F144" s="107"/>
      <c r="G144" s="107">
        <v>1</v>
      </c>
      <c r="H144" s="107"/>
      <c r="I144" s="107"/>
      <c r="J144" s="107">
        <v>1</v>
      </c>
      <c r="K144" s="107"/>
      <c r="L144" s="107"/>
      <c r="M144" s="107"/>
      <c r="N144" s="107"/>
      <c r="O144" s="107"/>
      <c r="P144" s="107">
        <v>1</v>
      </c>
      <c r="Q144" s="107"/>
      <c r="R144" s="107"/>
      <c r="S144" s="107"/>
      <c r="T144" s="107"/>
      <c r="U144" s="107"/>
      <c r="V144" s="107"/>
      <c r="W144" s="107"/>
      <c r="X144" s="107"/>
      <c r="Y144" s="107"/>
      <c r="Z144" s="107">
        <v>1</v>
      </c>
      <c r="AA144" s="107"/>
      <c r="AB144" s="107"/>
      <c r="AC144" s="107"/>
      <c r="AD144" s="107"/>
      <c r="AE144" s="107"/>
      <c r="AF144" s="107"/>
      <c r="AG144" s="107">
        <v>1</v>
      </c>
      <c r="AH144" s="107"/>
      <c r="AI144" s="107">
        <v>1</v>
      </c>
      <c r="AJ144" s="107"/>
      <c r="AK144" s="107">
        <v>8</v>
      </c>
      <c r="AL144" s="303" t="s">
        <v>1417</v>
      </c>
      <c r="AM144" s="108">
        <f t="shared" si="16"/>
        <v>78</v>
      </c>
      <c r="AN144" s="108">
        <f t="shared" si="17"/>
        <v>86</v>
      </c>
      <c r="AO144" s="115">
        <f t="shared" si="18"/>
        <v>0</v>
      </c>
      <c r="AP144" s="115">
        <f t="shared" si="19"/>
        <v>13</v>
      </c>
      <c r="AQ144" s="115">
        <f t="shared" si="20"/>
        <v>6</v>
      </c>
      <c r="AR144" s="115">
        <f t="shared" si="21"/>
        <v>6</v>
      </c>
      <c r="AS144" s="115">
        <f t="shared" si="22"/>
        <v>17</v>
      </c>
      <c r="AT144" s="115">
        <f t="shared" si="23"/>
        <v>0</v>
      </c>
      <c r="AU144" s="115">
        <f t="shared" si="24"/>
        <v>18</v>
      </c>
      <c r="AV144" s="115">
        <f t="shared" si="25"/>
        <v>0</v>
      </c>
      <c r="AW144" s="115">
        <f t="shared" si="26"/>
        <v>0</v>
      </c>
      <c r="AX144" s="115">
        <f t="shared" ref="AX144:AY144" si="171">IF(S144=1,2,0)</f>
        <v>0</v>
      </c>
      <c r="AY144" s="115">
        <f t="shared" si="171"/>
        <v>0</v>
      </c>
      <c r="AZ144" s="115">
        <f t="shared" si="28"/>
        <v>0</v>
      </c>
      <c r="BA144" s="115">
        <f t="shared" si="29"/>
        <v>0</v>
      </c>
      <c r="BB144" s="115">
        <f t="shared" si="30"/>
        <v>0</v>
      </c>
      <c r="BC144" s="115">
        <f t="shared" si="31"/>
        <v>8</v>
      </c>
      <c r="BD144" s="115">
        <f t="shared" si="32"/>
        <v>0</v>
      </c>
      <c r="BE144" s="115">
        <f t="shared" si="33"/>
        <v>0</v>
      </c>
      <c r="BF144" s="115">
        <f t="shared" si="34"/>
        <v>0</v>
      </c>
      <c r="BG144" s="115">
        <f t="shared" si="35"/>
        <v>15</v>
      </c>
      <c r="BH144" s="115">
        <f t="shared" si="36"/>
        <v>3</v>
      </c>
      <c r="BI144" s="115">
        <f t="shared" si="37"/>
        <v>0</v>
      </c>
      <c r="BJ144" s="115"/>
      <c r="BK144" s="115">
        <f t="shared" si="38"/>
        <v>4</v>
      </c>
      <c r="BL144" s="109"/>
    </row>
    <row r="145" spans="1:64" ht="12" customHeight="1">
      <c r="A145" s="110" t="s">
        <v>302</v>
      </c>
      <c r="B145" s="114"/>
      <c r="C145" s="111">
        <v>1</v>
      </c>
      <c r="D145" s="111">
        <v>1</v>
      </c>
      <c r="E145" s="111"/>
      <c r="F145" s="111"/>
      <c r="G145" s="111"/>
      <c r="H145" s="111"/>
      <c r="I145" s="111"/>
      <c r="J145" s="111">
        <v>1</v>
      </c>
      <c r="K145" s="111"/>
      <c r="L145" s="111"/>
      <c r="M145" s="111"/>
      <c r="N145" s="111"/>
      <c r="O145" s="111"/>
      <c r="P145" s="111">
        <v>1</v>
      </c>
      <c r="Q145" s="111">
        <v>1</v>
      </c>
      <c r="R145" s="111"/>
      <c r="S145" s="111"/>
      <c r="T145" s="111"/>
      <c r="U145" s="111">
        <v>1</v>
      </c>
      <c r="V145" s="111">
        <v>1</v>
      </c>
      <c r="W145" s="111"/>
      <c r="X145" s="111"/>
      <c r="Y145" s="111"/>
      <c r="Z145" s="111">
        <v>1</v>
      </c>
      <c r="AA145" s="111"/>
      <c r="AB145" s="111"/>
      <c r="AC145" s="111"/>
      <c r="AD145" s="111"/>
      <c r="AE145" s="111"/>
      <c r="AF145" s="111"/>
      <c r="AG145" s="111">
        <v>1</v>
      </c>
      <c r="AH145" s="111"/>
      <c r="AI145" s="111">
        <v>1</v>
      </c>
      <c r="AJ145" s="111"/>
      <c r="AK145" s="111">
        <v>10</v>
      </c>
      <c r="AL145" s="304" t="s">
        <v>1527</v>
      </c>
      <c r="AM145" s="112">
        <f t="shared" si="16"/>
        <v>74</v>
      </c>
      <c r="AN145" s="112">
        <f t="shared" si="17"/>
        <v>94</v>
      </c>
      <c r="AO145" s="114">
        <f t="shared" si="18"/>
        <v>9</v>
      </c>
      <c r="AP145" s="114">
        <f t="shared" si="19"/>
        <v>13</v>
      </c>
      <c r="AQ145" s="114">
        <f t="shared" si="20"/>
        <v>0</v>
      </c>
      <c r="AR145" s="114">
        <f t="shared" si="21"/>
        <v>0</v>
      </c>
      <c r="AS145" s="114">
        <f t="shared" si="22"/>
        <v>17</v>
      </c>
      <c r="AT145" s="114">
        <f t="shared" si="23"/>
        <v>0</v>
      </c>
      <c r="AU145" s="114">
        <f t="shared" si="24"/>
        <v>18</v>
      </c>
      <c r="AV145" s="114">
        <f t="shared" si="25"/>
        <v>4</v>
      </c>
      <c r="AW145" s="114">
        <f t="shared" si="26"/>
        <v>0</v>
      </c>
      <c r="AX145" s="114">
        <f t="shared" ref="AX145:AY145" si="172">IF(S145=1,2,0)</f>
        <v>0</v>
      </c>
      <c r="AY145" s="114">
        <f t="shared" si="172"/>
        <v>0</v>
      </c>
      <c r="AZ145" s="114">
        <f t="shared" si="28"/>
        <v>10</v>
      </c>
      <c r="BA145" s="114">
        <f t="shared" si="29"/>
        <v>3</v>
      </c>
      <c r="BB145" s="114">
        <f t="shared" si="30"/>
        <v>0</v>
      </c>
      <c r="BC145" s="114">
        <f t="shared" si="31"/>
        <v>8</v>
      </c>
      <c r="BD145" s="114">
        <f t="shared" si="32"/>
        <v>0</v>
      </c>
      <c r="BE145" s="114">
        <f t="shared" si="33"/>
        <v>0</v>
      </c>
      <c r="BF145" s="114">
        <f t="shared" si="34"/>
        <v>0</v>
      </c>
      <c r="BG145" s="114">
        <f t="shared" si="35"/>
        <v>15</v>
      </c>
      <c r="BH145" s="114">
        <f t="shared" si="36"/>
        <v>3</v>
      </c>
      <c r="BI145" s="114">
        <f t="shared" si="37"/>
        <v>0</v>
      </c>
      <c r="BJ145" s="114"/>
      <c r="BK145" s="114">
        <f t="shared" si="38"/>
        <v>0</v>
      </c>
      <c r="BL145" s="113"/>
    </row>
    <row r="146" spans="1:64" ht="12" customHeight="1">
      <c r="A146" s="106" t="s">
        <v>303</v>
      </c>
      <c r="B146" s="115"/>
      <c r="C146" s="107">
        <v>1</v>
      </c>
      <c r="D146" s="107">
        <v>1</v>
      </c>
      <c r="E146" s="107"/>
      <c r="F146" s="107"/>
      <c r="G146" s="107"/>
      <c r="H146" s="107"/>
      <c r="I146" s="107"/>
      <c r="J146" s="107">
        <v>1</v>
      </c>
      <c r="K146" s="107"/>
      <c r="L146" s="107"/>
      <c r="M146" s="107"/>
      <c r="N146" s="107"/>
      <c r="O146" s="107"/>
      <c r="P146" s="107">
        <v>1</v>
      </c>
      <c r="Q146" s="107"/>
      <c r="R146" s="107"/>
      <c r="S146" s="107"/>
      <c r="T146" s="107"/>
      <c r="U146" s="107">
        <v>1</v>
      </c>
      <c r="V146" s="107">
        <v>1</v>
      </c>
      <c r="W146" s="107"/>
      <c r="X146" s="107"/>
      <c r="Y146" s="107">
        <v>1</v>
      </c>
      <c r="Z146" s="107">
        <v>1</v>
      </c>
      <c r="AA146" s="107"/>
      <c r="AB146" s="107">
        <v>1</v>
      </c>
      <c r="AC146" s="107"/>
      <c r="AD146" s="107"/>
      <c r="AE146" s="107"/>
      <c r="AF146" s="107"/>
      <c r="AG146" s="107">
        <v>1</v>
      </c>
      <c r="AH146" s="107"/>
      <c r="AI146" s="107"/>
      <c r="AJ146" s="107"/>
      <c r="AK146" s="107">
        <f t="shared" ref="AK146:AK147" si="173">SUM(B146:AJ146)</f>
        <v>10</v>
      </c>
      <c r="AL146" s="303" t="s">
        <v>1528</v>
      </c>
      <c r="AM146" s="108">
        <f t="shared" si="16"/>
        <v>78</v>
      </c>
      <c r="AN146" s="108">
        <f t="shared" si="17"/>
        <v>100</v>
      </c>
      <c r="AO146" s="115">
        <f t="shared" si="18"/>
        <v>9</v>
      </c>
      <c r="AP146" s="115">
        <f t="shared" si="19"/>
        <v>13</v>
      </c>
      <c r="AQ146" s="115">
        <f t="shared" si="20"/>
        <v>0</v>
      </c>
      <c r="AR146" s="115">
        <f t="shared" si="21"/>
        <v>0</v>
      </c>
      <c r="AS146" s="115">
        <f t="shared" si="22"/>
        <v>17</v>
      </c>
      <c r="AT146" s="115">
        <f t="shared" si="23"/>
        <v>0</v>
      </c>
      <c r="AU146" s="115">
        <f t="shared" si="24"/>
        <v>18</v>
      </c>
      <c r="AV146" s="115">
        <f t="shared" si="25"/>
        <v>0</v>
      </c>
      <c r="AW146" s="115">
        <f t="shared" si="26"/>
        <v>0</v>
      </c>
      <c r="AX146" s="115">
        <f t="shared" ref="AX146:AY146" si="174">IF(S146=1,2,0)</f>
        <v>0</v>
      </c>
      <c r="AY146" s="115">
        <f t="shared" si="174"/>
        <v>0</v>
      </c>
      <c r="AZ146" s="115">
        <f t="shared" si="28"/>
        <v>10</v>
      </c>
      <c r="BA146" s="115">
        <f t="shared" si="29"/>
        <v>3</v>
      </c>
      <c r="BB146" s="115">
        <f t="shared" si="30"/>
        <v>10</v>
      </c>
      <c r="BC146" s="115">
        <f t="shared" si="31"/>
        <v>8</v>
      </c>
      <c r="BD146" s="115">
        <f t="shared" si="32"/>
        <v>5</v>
      </c>
      <c r="BE146" s="115">
        <f t="shared" si="33"/>
        <v>0</v>
      </c>
      <c r="BF146" s="115">
        <f t="shared" si="34"/>
        <v>0</v>
      </c>
      <c r="BG146" s="115">
        <f t="shared" si="35"/>
        <v>15</v>
      </c>
      <c r="BH146" s="115">
        <f t="shared" si="36"/>
        <v>0</v>
      </c>
      <c r="BI146" s="115">
        <f t="shared" si="37"/>
        <v>0</v>
      </c>
      <c r="BJ146" s="115"/>
      <c r="BK146" s="115">
        <f t="shared" si="38"/>
        <v>0</v>
      </c>
      <c r="BL146" s="109"/>
    </row>
    <row r="147" spans="1:64" ht="12" customHeight="1">
      <c r="A147" s="110" t="s">
        <v>901</v>
      </c>
      <c r="B147" s="114"/>
      <c r="C147" s="111"/>
      <c r="D147" s="111">
        <v>1</v>
      </c>
      <c r="E147" s="111"/>
      <c r="F147" s="111"/>
      <c r="G147" s="111"/>
      <c r="H147" s="111"/>
      <c r="I147" s="111"/>
      <c r="J147" s="111">
        <v>1</v>
      </c>
      <c r="K147" s="111"/>
      <c r="L147" s="111"/>
      <c r="M147" s="111"/>
      <c r="N147" s="111">
        <v>1</v>
      </c>
      <c r="O147" s="111"/>
      <c r="P147" s="111">
        <v>1</v>
      </c>
      <c r="Q147" s="111">
        <v>1</v>
      </c>
      <c r="R147" s="111"/>
      <c r="S147" s="111"/>
      <c r="T147" s="111"/>
      <c r="U147" s="111">
        <v>1</v>
      </c>
      <c r="V147" s="111"/>
      <c r="W147" s="111"/>
      <c r="X147" s="111"/>
      <c r="Y147" s="111">
        <v>1</v>
      </c>
      <c r="Z147" s="111"/>
      <c r="AA147" s="111"/>
      <c r="AB147" s="111">
        <v>1</v>
      </c>
      <c r="AC147" s="111"/>
      <c r="AD147" s="111">
        <v>1</v>
      </c>
      <c r="AE147" s="111"/>
      <c r="AF147" s="111"/>
      <c r="AG147" s="111">
        <v>1</v>
      </c>
      <c r="AH147" s="111"/>
      <c r="AI147" s="111"/>
      <c r="AJ147" s="111"/>
      <c r="AK147" s="111">
        <f t="shared" si="173"/>
        <v>10</v>
      </c>
      <c r="AL147" s="304" t="s">
        <v>1529</v>
      </c>
      <c r="AM147" s="112">
        <f t="shared" si="16"/>
        <v>64</v>
      </c>
      <c r="AN147" s="112">
        <f t="shared" si="17"/>
        <v>93</v>
      </c>
      <c r="AO147" s="114">
        <f t="shared" si="18"/>
        <v>0</v>
      </c>
      <c r="AP147" s="114">
        <f t="shared" si="19"/>
        <v>13</v>
      </c>
      <c r="AQ147" s="114">
        <f t="shared" si="20"/>
        <v>0</v>
      </c>
      <c r="AR147" s="114">
        <f t="shared" si="21"/>
        <v>0</v>
      </c>
      <c r="AS147" s="114">
        <f t="shared" si="22"/>
        <v>17</v>
      </c>
      <c r="AT147" s="114">
        <f t="shared" si="23"/>
        <v>2</v>
      </c>
      <c r="AU147" s="114">
        <f t="shared" si="24"/>
        <v>18</v>
      </c>
      <c r="AV147" s="114">
        <f t="shared" si="25"/>
        <v>4</v>
      </c>
      <c r="AW147" s="114">
        <f t="shared" si="26"/>
        <v>0</v>
      </c>
      <c r="AX147" s="114">
        <f t="shared" ref="AX147:AY147" si="175">IF(S147=1,2,0)</f>
        <v>0</v>
      </c>
      <c r="AY147" s="114">
        <f t="shared" si="175"/>
        <v>0</v>
      </c>
      <c r="AZ147" s="114">
        <f t="shared" si="28"/>
        <v>10</v>
      </c>
      <c r="BA147" s="114">
        <f t="shared" si="29"/>
        <v>0</v>
      </c>
      <c r="BB147" s="114">
        <f t="shared" si="30"/>
        <v>10</v>
      </c>
      <c r="BC147" s="114">
        <f t="shared" si="31"/>
        <v>0</v>
      </c>
      <c r="BD147" s="114">
        <f t="shared" si="32"/>
        <v>5</v>
      </c>
      <c r="BE147" s="114">
        <f t="shared" si="33"/>
        <v>5</v>
      </c>
      <c r="BF147" s="114">
        <f t="shared" si="34"/>
        <v>0</v>
      </c>
      <c r="BG147" s="114">
        <f t="shared" si="35"/>
        <v>15</v>
      </c>
      <c r="BH147" s="114">
        <f t="shared" si="36"/>
        <v>0</v>
      </c>
      <c r="BI147" s="114">
        <f t="shared" si="37"/>
        <v>0</v>
      </c>
      <c r="BJ147" s="114"/>
      <c r="BK147" s="114">
        <f t="shared" si="38"/>
        <v>0</v>
      </c>
      <c r="BL147" s="113"/>
    </row>
    <row r="148" spans="1:64" ht="12" customHeight="1">
      <c r="A148" s="106" t="s">
        <v>306</v>
      </c>
      <c r="B148" s="115"/>
      <c r="C148" s="107"/>
      <c r="D148" s="107">
        <v>1</v>
      </c>
      <c r="E148" s="107">
        <v>1</v>
      </c>
      <c r="F148" s="107"/>
      <c r="G148" s="107">
        <v>1</v>
      </c>
      <c r="H148" s="107"/>
      <c r="I148" s="107"/>
      <c r="J148" s="107">
        <v>1</v>
      </c>
      <c r="K148" s="107"/>
      <c r="L148" s="107"/>
      <c r="M148" s="107"/>
      <c r="N148" s="107"/>
      <c r="O148" s="107"/>
      <c r="P148" s="107">
        <v>1</v>
      </c>
      <c r="Q148" s="107"/>
      <c r="R148" s="107"/>
      <c r="S148" s="107"/>
      <c r="T148" s="107"/>
      <c r="U148" s="107">
        <v>1</v>
      </c>
      <c r="V148" s="107"/>
      <c r="W148" s="107"/>
      <c r="X148" s="107"/>
      <c r="Y148" s="107">
        <v>1</v>
      </c>
      <c r="Z148" s="107"/>
      <c r="AA148" s="107"/>
      <c r="AB148" s="107"/>
      <c r="AC148" s="107"/>
      <c r="AD148" s="107">
        <v>1</v>
      </c>
      <c r="AE148" s="107"/>
      <c r="AF148" s="107"/>
      <c r="AG148" s="107">
        <v>1</v>
      </c>
      <c r="AH148" s="107"/>
      <c r="AI148" s="107"/>
      <c r="AJ148" s="107"/>
      <c r="AK148" s="107">
        <v>9</v>
      </c>
      <c r="AL148" s="303" t="s">
        <v>1417</v>
      </c>
      <c r="AM148" s="108">
        <f t="shared" si="16"/>
        <v>78</v>
      </c>
      <c r="AN148" s="108">
        <f t="shared" si="17"/>
        <v>95</v>
      </c>
      <c r="AO148" s="115">
        <f t="shared" si="18"/>
        <v>0</v>
      </c>
      <c r="AP148" s="115">
        <f t="shared" si="19"/>
        <v>13</v>
      </c>
      <c r="AQ148" s="115">
        <f t="shared" si="20"/>
        <v>6</v>
      </c>
      <c r="AR148" s="115">
        <f t="shared" si="21"/>
        <v>6</v>
      </c>
      <c r="AS148" s="115">
        <f t="shared" si="22"/>
        <v>17</v>
      </c>
      <c r="AT148" s="115">
        <f t="shared" si="23"/>
        <v>0</v>
      </c>
      <c r="AU148" s="115">
        <f t="shared" si="24"/>
        <v>18</v>
      </c>
      <c r="AV148" s="115">
        <f t="shared" si="25"/>
        <v>0</v>
      </c>
      <c r="AW148" s="115">
        <f t="shared" si="26"/>
        <v>0</v>
      </c>
      <c r="AX148" s="115">
        <f t="shared" ref="AX148:AY148" si="176">IF(S148=1,2,0)</f>
        <v>0</v>
      </c>
      <c r="AY148" s="115">
        <f t="shared" si="176"/>
        <v>0</v>
      </c>
      <c r="AZ148" s="115">
        <f t="shared" si="28"/>
        <v>10</v>
      </c>
      <c r="BA148" s="115">
        <f t="shared" si="29"/>
        <v>0</v>
      </c>
      <c r="BB148" s="115">
        <f t="shared" si="30"/>
        <v>10</v>
      </c>
      <c r="BC148" s="115">
        <f t="shared" si="31"/>
        <v>0</v>
      </c>
      <c r="BD148" s="115">
        <f t="shared" si="32"/>
        <v>0</v>
      </c>
      <c r="BE148" s="115">
        <f t="shared" si="33"/>
        <v>5</v>
      </c>
      <c r="BF148" s="115">
        <f t="shared" si="34"/>
        <v>0</v>
      </c>
      <c r="BG148" s="115">
        <f t="shared" si="35"/>
        <v>15</v>
      </c>
      <c r="BH148" s="115">
        <f t="shared" si="36"/>
        <v>0</v>
      </c>
      <c r="BI148" s="115">
        <f t="shared" si="37"/>
        <v>0</v>
      </c>
      <c r="BJ148" s="115"/>
      <c r="BK148" s="115">
        <f t="shared" si="38"/>
        <v>1</v>
      </c>
      <c r="BL148" s="109"/>
    </row>
    <row r="149" spans="1:64">
      <c r="A149" s="110" t="s">
        <v>308</v>
      </c>
      <c r="B149" s="114"/>
      <c r="C149" s="111"/>
      <c r="D149" s="111">
        <v>1</v>
      </c>
      <c r="E149" s="111">
        <v>1</v>
      </c>
      <c r="F149" s="111"/>
      <c r="G149" s="111">
        <v>1</v>
      </c>
      <c r="H149" s="111"/>
      <c r="I149" s="111"/>
      <c r="J149" s="111">
        <v>1</v>
      </c>
      <c r="K149" s="111"/>
      <c r="L149" s="111"/>
      <c r="M149" s="111"/>
      <c r="N149" s="111"/>
      <c r="O149" s="111"/>
      <c r="P149" s="111">
        <v>1</v>
      </c>
      <c r="Q149" s="111"/>
      <c r="R149" s="111"/>
      <c r="S149" s="111">
        <v>1</v>
      </c>
      <c r="T149" s="111"/>
      <c r="U149" s="111">
        <v>1</v>
      </c>
      <c r="V149" s="111"/>
      <c r="W149" s="111"/>
      <c r="X149" s="111"/>
      <c r="Y149" s="111">
        <v>1</v>
      </c>
      <c r="Z149" s="111"/>
      <c r="AA149" s="111"/>
      <c r="AB149" s="111"/>
      <c r="AC149" s="111"/>
      <c r="AD149" s="111"/>
      <c r="AE149" s="111"/>
      <c r="AF149" s="111">
        <v>1</v>
      </c>
      <c r="AG149" s="111">
        <v>1</v>
      </c>
      <c r="AH149" s="111"/>
      <c r="AI149" s="111"/>
      <c r="AJ149" s="111"/>
      <c r="AK149" s="111">
        <f>SUM(B149:AJ149)</f>
        <v>10</v>
      </c>
      <c r="AL149" s="304" t="s">
        <v>1530</v>
      </c>
      <c r="AM149" s="112">
        <f t="shared" si="16"/>
        <v>83</v>
      </c>
      <c r="AN149" s="112">
        <f t="shared" si="17"/>
        <v>95</v>
      </c>
      <c r="AO149" s="114">
        <f t="shared" si="18"/>
        <v>0</v>
      </c>
      <c r="AP149" s="114">
        <f t="shared" si="19"/>
        <v>13</v>
      </c>
      <c r="AQ149" s="114">
        <f t="shared" si="20"/>
        <v>6</v>
      </c>
      <c r="AR149" s="114">
        <f t="shared" si="21"/>
        <v>6</v>
      </c>
      <c r="AS149" s="114">
        <f t="shared" si="22"/>
        <v>17</v>
      </c>
      <c r="AT149" s="114">
        <f t="shared" si="23"/>
        <v>0</v>
      </c>
      <c r="AU149" s="114">
        <f t="shared" si="24"/>
        <v>18</v>
      </c>
      <c r="AV149" s="114">
        <f t="shared" si="25"/>
        <v>0</v>
      </c>
      <c r="AW149" s="114">
        <f t="shared" si="26"/>
        <v>0</v>
      </c>
      <c r="AX149" s="114">
        <f t="shared" ref="AX149:AY149" si="177">IF(S149=1,2,0)</f>
        <v>2</v>
      </c>
      <c r="AY149" s="114">
        <f t="shared" si="177"/>
        <v>0</v>
      </c>
      <c r="AZ149" s="114">
        <f t="shared" si="28"/>
        <v>10</v>
      </c>
      <c r="BA149" s="114">
        <f t="shared" si="29"/>
        <v>0</v>
      </c>
      <c r="BB149" s="114">
        <f t="shared" si="30"/>
        <v>10</v>
      </c>
      <c r="BC149" s="114">
        <f t="shared" si="31"/>
        <v>0</v>
      </c>
      <c r="BD149" s="114">
        <f t="shared" si="32"/>
        <v>0</v>
      </c>
      <c r="BE149" s="114">
        <f t="shared" si="33"/>
        <v>0</v>
      </c>
      <c r="BF149" s="114">
        <f t="shared" si="34"/>
        <v>1</v>
      </c>
      <c r="BG149" s="114">
        <f t="shared" si="35"/>
        <v>15</v>
      </c>
      <c r="BH149" s="114">
        <f t="shared" si="36"/>
        <v>0</v>
      </c>
      <c r="BI149" s="114">
        <f t="shared" si="37"/>
        <v>0</v>
      </c>
      <c r="BJ149" s="114"/>
      <c r="BK149" s="114">
        <f t="shared" si="38"/>
        <v>0</v>
      </c>
      <c r="BL149" s="113"/>
    </row>
    <row r="150" spans="1:64">
      <c r="A150" s="106" t="s">
        <v>903</v>
      </c>
      <c r="B150" s="115"/>
      <c r="C150" s="107"/>
      <c r="D150" s="107"/>
      <c r="E150" s="107"/>
      <c r="F150" s="107"/>
      <c r="G150" s="107"/>
      <c r="H150" s="107"/>
      <c r="I150" s="107"/>
      <c r="J150" s="107">
        <v>1</v>
      </c>
      <c r="K150" s="107"/>
      <c r="L150" s="107"/>
      <c r="M150" s="107"/>
      <c r="N150" s="107"/>
      <c r="O150" s="107"/>
      <c r="P150" s="107">
        <v>1</v>
      </c>
      <c r="Q150" s="107"/>
      <c r="R150" s="107"/>
      <c r="S150" s="107"/>
      <c r="T150" s="107"/>
      <c r="U150" s="107">
        <v>1</v>
      </c>
      <c r="V150" s="107"/>
      <c r="W150" s="107"/>
      <c r="X150" s="107"/>
      <c r="Y150" s="107"/>
      <c r="Z150" s="107"/>
      <c r="AA150" s="107"/>
      <c r="AB150" s="107"/>
      <c r="AC150" s="107"/>
      <c r="AD150" s="107"/>
      <c r="AE150" s="107"/>
      <c r="AF150" s="107"/>
      <c r="AG150" s="107"/>
      <c r="AH150" s="107"/>
      <c r="AI150" s="107"/>
      <c r="AJ150" s="107"/>
      <c r="AK150" s="107">
        <v>3</v>
      </c>
      <c r="AL150" s="303" t="s">
        <v>1417</v>
      </c>
      <c r="AM150" s="108">
        <f t="shared" si="16"/>
        <v>-27</v>
      </c>
      <c r="AN150" s="108">
        <f t="shared" si="17"/>
        <v>45</v>
      </c>
      <c r="AO150" s="115">
        <f t="shared" si="18"/>
        <v>0</v>
      </c>
      <c r="AP150" s="115">
        <f t="shared" si="19"/>
        <v>0</v>
      </c>
      <c r="AQ150" s="115">
        <f t="shared" si="20"/>
        <v>0</v>
      </c>
      <c r="AR150" s="115">
        <f t="shared" si="21"/>
        <v>0</v>
      </c>
      <c r="AS150" s="115">
        <f t="shared" si="22"/>
        <v>17</v>
      </c>
      <c r="AT150" s="115">
        <f t="shared" si="23"/>
        <v>0</v>
      </c>
      <c r="AU150" s="115">
        <f t="shared" si="24"/>
        <v>18</v>
      </c>
      <c r="AV150" s="115">
        <f t="shared" si="25"/>
        <v>0</v>
      </c>
      <c r="AW150" s="115">
        <f t="shared" si="26"/>
        <v>0</v>
      </c>
      <c r="AX150" s="115">
        <f t="shared" ref="AX150:AY150" si="178">IF(S150=1,2,0)</f>
        <v>0</v>
      </c>
      <c r="AY150" s="115">
        <f t="shared" si="178"/>
        <v>0</v>
      </c>
      <c r="AZ150" s="115">
        <f t="shared" si="28"/>
        <v>10</v>
      </c>
      <c r="BA150" s="115">
        <f t="shared" si="29"/>
        <v>0</v>
      </c>
      <c r="BB150" s="115">
        <f t="shared" si="30"/>
        <v>0</v>
      </c>
      <c r="BC150" s="115">
        <f t="shared" si="31"/>
        <v>0</v>
      </c>
      <c r="BD150" s="115">
        <f t="shared" si="32"/>
        <v>0</v>
      </c>
      <c r="BE150" s="115">
        <f t="shared" si="33"/>
        <v>0</v>
      </c>
      <c r="BF150" s="115">
        <f t="shared" si="34"/>
        <v>0</v>
      </c>
      <c r="BG150" s="115">
        <f t="shared" si="35"/>
        <v>0</v>
      </c>
      <c r="BH150" s="115">
        <f t="shared" si="36"/>
        <v>0</v>
      </c>
      <c r="BI150" s="115">
        <f t="shared" si="37"/>
        <v>0</v>
      </c>
      <c r="BJ150" s="115"/>
      <c r="BK150" s="115">
        <f t="shared" si="38"/>
        <v>49</v>
      </c>
      <c r="BL150" s="109"/>
    </row>
    <row r="151" spans="1:64">
      <c r="A151" s="110" t="s">
        <v>310</v>
      </c>
      <c r="B151" s="114"/>
      <c r="C151" s="111">
        <v>1</v>
      </c>
      <c r="D151" s="111">
        <v>1</v>
      </c>
      <c r="E151" s="111">
        <v>1</v>
      </c>
      <c r="F151" s="111"/>
      <c r="G151" s="111">
        <v>1</v>
      </c>
      <c r="H151" s="111"/>
      <c r="I151" s="111"/>
      <c r="J151" s="111"/>
      <c r="K151" s="111"/>
      <c r="L151" s="111"/>
      <c r="M151" s="111"/>
      <c r="N151" s="111"/>
      <c r="O151" s="111"/>
      <c r="P151" s="111">
        <v>1</v>
      </c>
      <c r="Q151" s="111"/>
      <c r="R151" s="111"/>
      <c r="S151" s="111"/>
      <c r="T151" s="111"/>
      <c r="U151" s="111">
        <v>1</v>
      </c>
      <c r="V151" s="111"/>
      <c r="W151" s="111"/>
      <c r="X151" s="111"/>
      <c r="Y151" s="111">
        <v>1</v>
      </c>
      <c r="Z151" s="111">
        <v>1</v>
      </c>
      <c r="AA151" s="111"/>
      <c r="AB151" s="111">
        <v>1</v>
      </c>
      <c r="AC151" s="111"/>
      <c r="AD151" s="111"/>
      <c r="AE151" s="111"/>
      <c r="AF151" s="111"/>
      <c r="AG151" s="111">
        <v>1</v>
      </c>
      <c r="AH151" s="111"/>
      <c r="AI151" s="111"/>
      <c r="AJ151" s="111"/>
      <c r="AK151" s="111">
        <v>10</v>
      </c>
      <c r="AL151" s="304" t="s">
        <v>1440</v>
      </c>
      <c r="AM151" s="112">
        <f t="shared" si="16"/>
        <v>94</v>
      </c>
      <c r="AN151" s="112">
        <f t="shared" si="17"/>
        <v>89</v>
      </c>
      <c r="AO151" s="114">
        <f t="shared" si="18"/>
        <v>9</v>
      </c>
      <c r="AP151" s="114">
        <f t="shared" si="19"/>
        <v>13</v>
      </c>
      <c r="AQ151" s="114">
        <f t="shared" si="20"/>
        <v>6</v>
      </c>
      <c r="AR151" s="114">
        <f t="shared" si="21"/>
        <v>6</v>
      </c>
      <c r="AS151" s="114">
        <f t="shared" si="22"/>
        <v>0</v>
      </c>
      <c r="AT151" s="114">
        <f t="shared" si="23"/>
        <v>0</v>
      </c>
      <c r="AU151" s="114">
        <f t="shared" si="24"/>
        <v>18</v>
      </c>
      <c r="AV151" s="114">
        <f t="shared" si="25"/>
        <v>0</v>
      </c>
      <c r="AW151" s="114">
        <f t="shared" si="26"/>
        <v>0</v>
      </c>
      <c r="AX151" s="114">
        <f t="shared" ref="AX151:AY151" si="179">IF(S151=1,2,0)</f>
        <v>0</v>
      </c>
      <c r="AY151" s="114">
        <f t="shared" si="179"/>
        <v>0</v>
      </c>
      <c r="AZ151" s="114">
        <f t="shared" si="28"/>
        <v>10</v>
      </c>
      <c r="BA151" s="114">
        <f t="shared" si="29"/>
        <v>0</v>
      </c>
      <c r="BB151" s="114">
        <f t="shared" si="30"/>
        <v>10</v>
      </c>
      <c r="BC151" s="114">
        <f t="shared" si="31"/>
        <v>8</v>
      </c>
      <c r="BD151" s="114">
        <f t="shared" si="32"/>
        <v>5</v>
      </c>
      <c r="BE151" s="114">
        <f t="shared" si="33"/>
        <v>0</v>
      </c>
      <c r="BF151" s="114">
        <f t="shared" si="34"/>
        <v>0</v>
      </c>
      <c r="BG151" s="114">
        <f t="shared" si="35"/>
        <v>15</v>
      </c>
      <c r="BH151" s="114">
        <f t="shared" si="36"/>
        <v>0</v>
      </c>
      <c r="BI151" s="114">
        <f t="shared" si="37"/>
        <v>0</v>
      </c>
      <c r="BJ151" s="114"/>
      <c r="BK151" s="114">
        <f t="shared" si="38"/>
        <v>0</v>
      </c>
      <c r="BL151" s="113"/>
    </row>
    <row r="152" spans="1:64">
      <c r="A152" s="106" t="s">
        <v>1531</v>
      </c>
      <c r="B152" s="115"/>
      <c r="C152" s="107">
        <v>1</v>
      </c>
      <c r="D152" s="107">
        <v>1</v>
      </c>
      <c r="E152" s="107">
        <v>1</v>
      </c>
      <c r="F152" s="107"/>
      <c r="G152" s="107">
        <v>1</v>
      </c>
      <c r="H152" s="107"/>
      <c r="I152" s="107"/>
      <c r="J152" s="107">
        <v>1</v>
      </c>
      <c r="K152" s="107"/>
      <c r="L152" s="107"/>
      <c r="M152" s="107"/>
      <c r="N152" s="107"/>
      <c r="O152" s="107"/>
      <c r="P152" s="107">
        <v>1</v>
      </c>
      <c r="Q152" s="107"/>
      <c r="R152" s="107"/>
      <c r="S152" s="107"/>
      <c r="T152" s="107"/>
      <c r="U152" s="107">
        <v>1</v>
      </c>
      <c r="V152" s="107"/>
      <c r="W152" s="107"/>
      <c r="X152" s="107">
        <v>1</v>
      </c>
      <c r="Y152" s="107">
        <v>1</v>
      </c>
      <c r="Z152" s="107"/>
      <c r="AA152" s="107"/>
      <c r="AB152" s="107"/>
      <c r="AC152" s="107"/>
      <c r="AD152" s="107"/>
      <c r="AE152" s="107"/>
      <c r="AF152" s="107"/>
      <c r="AG152" s="107">
        <v>1</v>
      </c>
      <c r="AH152" s="107"/>
      <c r="AI152" s="107"/>
      <c r="AJ152" s="107"/>
      <c r="AK152" s="107">
        <v>10</v>
      </c>
      <c r="AL152" s="303" t="s">
        <v>1440</v>
      </c>
      <c r="AM152" s="108">
        <f t="shared" si="16"/>
        <v>89</v>
      </c>
      <c r="AN152" s="108">
        <f t="shared" si="17"/>
        <v>98</v>
      </c>
      <c r="AO152" s="115">
        <f t="shared" si="18"/>
        <v>9</v>
      </c>
      <c r="AP152" s="115">
        <f t="shared" si="19"/>
        <v>13</v>
      </c>
      <c r="AQ152" s="115">
        <f t="shared" si="20"/>
        <v>6</v>
      </c>
      <c r="AR152" s="115">
        <f t="shared" si="21"/>
        <v>6</v>
      </c>
      <c r="AS152" s="115">
        <f t="shared" si="22"/>
        <v>17</v>
      </c>
      <c r="AT152" s="115">
        <f t="shared" si="23"/>
        <v>0</v>
      </c>
      <c r="AU152" s="115">
        <f t="shared" si="24"/>
        <v>18</v>
      </c>
      <c r="AV152" s="115">
        <f t="shared" si="25"/>
        <v>0</v>
      </c>
      <c r="AW152" s="115">
        <f t="shared" si="26"/>
        <v>0</v>
      </c>
      <c r="AX152" s="115">
        <f t="shared" ref="AX152:AY152" si="180">IF(S152=1,2,0)</f>
        <v>0</v>
      </c>
      <c r="AY152" s="115">
        <f t="shared" si="180"/>
        <v>0</v>
      </c>
      <c r="AZ152" s="115">
        <f t="shared" si="28"/>
        <v>10</v>
      </c>
      <c r="BA152" s="115">
        <f t="shared" si="29"/>
        <v>0</v>
      </c>
      <c r="BB152" s="115">
        <f t="shared" si="30"/>
        <v>10</v>
      </c>
      <c r="BC152" s="115">
        <f t="shared" si="31"/>
        <v>0</v>
      </c>
      <c r="BD152" s="115">
        <f t="shared" si="32"/>
        <v>0</v>
      </c>
      <c r="BE152" s="115">
        <f t="shared" si="33"/>
        <v>0</v>
      </c>
      <c r="BF152" s="115">
        <f t="shared" si="34"/>
        <v>0</v>
      </c>
      <c r="BG152" s="115">
        <f t="shared" si="35"/>
        <v>15</v>
      </c>
      <c r="BH152" s="115">
        <f t="shared" si="36"/>
        <v>0</v>
      </c>
      <c r="BI152" s="115">
        <f t="shared" si="37"/>
        <v>0</v>
      </c>
      <c r="BJ152" s="115"/>
      <c r="BK152" s="115">
        <f t="shared" si="38"/>
        <v>0</v>
      </c>
      <c r="BL152" s="109"/>
    </row>
    <row r="153" spans="1:64">
      <c r="A153" s="110" t="s">
        <v>312</v>
      </c>
      <c r="B153" s="114"/>
      <c r="C153" s="111">
        <v>1</v>
      </c>
      <c r="D153" s="111">
        <v>1</v>
      </c>
      <c r="E153" s="111">
        <v>1</v>
      </c>
      <c r="F153" s="111"/>
      <c r="G153" s="111">
        <v>1</v>
      </c>
      <c r="H153" s="111"/>
      <c r="I153" s="111"/>
      <c r="J153" s="111">
        <v>1</v>
      </c>
      <c r="K153" s="111"/>
      <c r="L153" s="111"/>
      <c r="M153" s="111"/>
      <c r="N153" s="111">
        <v>1</v>
      </c>
      <c r="O153" s="111"/>
      <c r="P153" s="111">
        <v>1</v>
      </c>
      <c r="Q153" s="111"/>
      <c r="R153" s="111"/>
      <c r="S153" s="111"/>
      <c r="T153" s="111"/>
      <c r="U153" s="111"/>
      <c r="V153" s="111">
        <v>1</v>
      </c>
      <c r="W153" s="111"/>
      <c r="X153" s="111"/>
      <c r="Y153" s="111">
        <v>1</v>
      </c>
      <c r="Z153" s="111"/>
      <c r="AA153" s="111"/>
      <c r="AB153" s="111">
        <v>1</v>
      </c>
      <c r="AC153" s="111"/>
      <c r="AD153" s="111"/>
      <c r="AE153" s="111"/>
      <c r="AF153" s="111"/>
      <c r="AG153" s="111"/>
      <c r="AH153" s="111"/>
      <c r="AI153" s="111"/>
      <c r="AJ153" s="111"/>
      <c r="AK153" s="111">
        <v>10</v>
      </c>
      <c r="AL153" s="304" t="s">
        <v>1532</v>
      </c>
      <c r="AM153" s="112">
        <f t="shared" si="16"/>
        <v>87</v>
      </c>
      <c r="AN153" s="112">
        <f t="shared" si="17"/>
        <v>84</v>
      </c>
      <c r="AO153" s="114">
        <f t="shared" si="18"/>
        <v>9</v>
      </c>
      <c r="AP153" s="114">
        <f t="shared" si="19"/>
        <v>13</v>
      </c>
      <c r="AQ153" s="114">
        <f t="shared" si="20"/>
        <v>6</v>
      </c>
      <c r="AR153" s="114">
        <f t="shared" si="21"/>
        <v>6</v>
      </c>
      <c r="AS153" s="114">
        <f t="shared" si="22"/>
        <v>17</v>
      </c>
      <c r="AT153" s="114">
        <f t="shared" si="23"/>
        <v>2</v>
      </c>
      <c r="AU153" s="114">
        <f t="shared" si="24"/>
        <v>18</v>
      </c>
      <c r="AV153" s="114">
        <f t="shared" si="25"/>
        <v>0</v>
      </c>
      <c r="AW153" s="114">
        <f t="shared" si="26"/>
        <v>0</v>
      </c>
      <c r="AX153" s="114">
        <f t="shared" ref="AX153:AY153" si="181">IF(S153=1,2,0)</f>
        <v>0</v>
      </c>
      <c r="AY153" s="114">
        <f t="shared" si="181"/>
        <v>0</v>
      </c>
      <c r="AZ153" s="114">
        <f t="shared" si="28"/>
        <v>0</v>
      </c>
      <c r="BA153" s="114">
        <f t="shared" si="29"/>
        <v>3</v>
      </c>
      <c r="BB153" s="114">
        <f t="shared" si="30"/>
        <v>10</v>
      </c>
      <c r="BC153" s="114">
        <f t="shared" si="31"/>
        <v>0</v>
      </c>
      <c r="BD153" s="114">
        <f t="shared" si="32"/>
        <v>5</v>
      </c>
      <c r="BE153" s="114">
        <f t="shared" si="33"/>
        <v>0</v>
      </c>
      <c r="BF153" s="114">
        <f t="shared" si="34"/>
        <v>0</v>
      </c>
      <c r="BG153" s="114">
        <f t="shared" si="35"/>
        <v>0</v>
      </c>
      <c r="BH153" s="114">
        <f t="shared" si="36"/>
        <v>0</v>
      </c>
      <c r="BI153" s="114">
        <f t="shared" si="37"/>
        <v>0</v>
      </c>
      <c r="BJ153" s="114"/>
      <c r="BK153" s="114">
        <f t="shared" si="38"/>
        <v>0</v>
      </c>
      <c r="BL153" s="113"/>
    </row>
    <row r="154" spans="1:64">
      <c r="A154" s="106" t="s">
        <v>313</v>
      </c>
      <c r="B154" s="115"/>
      <c r="C154" s="107"/>
      <c r="D154" s="107">
        <v>1</v>
      </c>
      <c r="E154" s="107">
        <v>1</v>
      </c>
      <c r="F154" s="107"/>
      <c r="G154" s="107">
        <v>1</v>
      </c>
      <c r="H154" s="107"/>
      <c r="I154" s="107"/>
      <c r="J154" s="107">
        <v>1</v>
      </c>
      <c r="K154" s="107"/>
      <c r="L154" s="107"/>
      <c r="M154" s="107"/>
      <c r="N154" s="107"/>
      <c r="O154" s="107"/>
      <c r="P154" s="107">
        <v>1</v>
      </c>
      <c r="Q154" s="107"/>
      <c r="R154" s="107"/>
      <c r="S154" s="107"/>
      <c r="T154" s="107">
        <v>1</v>
      </c>
      <c r="U154" s="107"/>
      <c r="V154" s="107"/>
      <c r="W154" s="107"/>
      <c r="X154" s="107"/>
      <c r="Y154" s="107"/>
      <c r="Z154" s="107"/>
      <c r="AA154" s="107"/>
      <c r="AB154" s="107"/>
      <c r="AC154" s="107"/>
      <c r="AD154" s="107">
        <v>1</v>
      </c>
      <c r="AE154" s="107"/>
      <c r="AF154" s="107">
        <v>1</v>
      </c>
      <c r="AG154" s="107">
        <v>1</v>
      </c>
      <c r="AH154" s="107"/>
      <c r="AI154" s="107"/>
      <c r="AJ154" s="107"/>
      <c r="AK154" s="107">
        <f>SUM(B154:AJ154)</f>
        <v>9</v>
      </c>
      <c r="AL154" s="303" t="s">
        <v>1533</v>
      </c>
      <c r="AM154" s="108">
        <f t="shared" si="16"/>
        <v>76</v>
      </c>
      <c r="AN154" s="108">
        <f t="shared" si="17"/>
        <v>82</v>
      </c>
      <c r="AO154" s="115">
        <f t="shared" si="18"/>
        <v>0</v>
      </c>
      <c r="AP154" s="115">
        <f t="shared" si="19"/>
        <v>13</v>
      </c>
      <c r="AQ154" s="115">
        <f t="shared" si="20"/>
        <v>6</v>
      </c>
      <c r="AR154" s="115">
        <f t="shared" si="21"/>
        <v>6</v>
      </c>
      <c r="AS154" s="115">
        <f t="shared" si="22"/>
        <v>17</v>
      </c>
      <c r="AT154" s="115">
        <f t="shared" si="23"/>
        <v>0</v>
      </c>
      <c r="AU154" s="115">
        <f t="shared" si="24"/>
        <v>18</v>
      </c>
      <c r="AV154" s="115">
        <f t="shared" si="25"/>
        <v>0</v>
      </c>
      <c r="AW154" s="115">
        <f t="shared" si="26"/>
        <v>0</v>
      </c>
      <c r="AX154" s="115">
        <f t="shared" ref="AX154:AY154" si="182">IF(S154=1,2,0)</f>
        <v>0</v>
      </c>
      <c r="AY154" s="115">
        <f t="shared" si="182"/>
        <v>2</v>
      </c>
      <c r="AZ154" s="115">
        <f t="shared" si="28"/>
        <v>0</v>
      </c>
      <c r="BA154" s="115">
        <f t="shared" si="29"/>
        <v>0</v>
      </c>
      <c r="BB154" s="115">
        <f t="shared" si="30"/>
        <v>0</v>
      </c>
      <c r="BC154" s="115">
        <f t="shared" si="31"/>
        <v>0</v>
      </c>
      <c r="BD154" s="115">
        <f t="shared" si="32"/>
        <v>0</v>
      </c>
      <c r="BE154" s="115">
        <f t="shared" si="33"/>
        <v>5</v>
      </c>
      <c r="BF154" s="115">
        <f t="shared" si="34"/>
        <v>1</v>
      </c>
      <c r="BG154" s="115">
        <f t="shared" si="35"/>
        <v>15</v>
      </c>
      <c r="BH154" s="115">
        <f t="shared" si="36"/>
        <v>0</v>
      </c>
      <c r="BI154" s="115">
        <f t="shared" si="37"/>
        <v>0</v>
      </c>
      <c r="BJ154" s="115"/>
      <c r="BK154" s="115">
        <f t="shared" si="38"/>
        <v>1</v>
      </c>
      <c r="BL154" s="109"/>
    </row>
    <row r="155" spans="1:64">
      <c r="A155" s="110" t="s">
        <v>909</v>
      </c>
      <c r="B155" s="114"/>
      <c r="C155" s="111">
        <v>1</v>
      </c>
      <c r="D155" s="111">
        <v>1</v>
      </c>
      <c r="E155" s="111">
        <v>1</v>
      </c>
      <c r="F155" s="111"/>
      <c r="G155" s="111">
        <v>1</v>
      </c>
      <c r="H155" s="111"/>
      <c r="I155" s="111"/>
      <c r="J155" s="111">
        <v>1</v>
      </c>
      <c r="K155" s="111"/>
      <c r="L155" s="111"/>
      <c r="M155" s="111"/>
      <c r="N155" s="111"/>
      <c r="O155" s="111"/>
      <c r="P155" s="111">
        <v>1</v>
      </c>
      <c r="Q155" s="111"/>
      <c r="R155" s="111"/>
      <c r="S155" s="111"/>
      <c r="T155" s="111"/>
      <c r="U155" s="111"/>
      <c r="V155" s="111"/>
      <c r="W155" s="111"/>
      <c r="X155" s="111"/>
      <c r="Y155" s="111">
        <v>1</v>
      </c>
      <c r="Z155" s="111">
        <v>1</v>
      </c>
      <c r="AA155" s="111"/>
      <c r="AB155" s="111"/>
      <c r="AC155" s="111"/>
      <c r="AD155" s="111"/>
      <c r="AE155" s="111"/>
      <c r="AF155" s="111"/>
      <c r="AG155" s="111">
        <v>1</v>
      </c>
      <c r="AH155" s="111"/>
      <c r="AI155" s="111"/>
      <c r="AJ155" s="111"/>
      <c r="AK155" s="111">
        <v>9</v>
      </c>
      <c r="AL155" s="304" t="s">
        <v>1440</v>
      </c>
      <c r="AM155" s="112">
        <f t="shared" si="16"/>
        <v>94</v>
      </c>
      <c r="AN155" s="112">
        <f t="shared" si="17"/>
        <v>96</v>
      </c>
      <c r="AO155" s="114">
        <f t="shared" si="18"/>
        <v>9</v>
      </c>
      <c r="AP155" s="114">
        <f t="shared" si="19"/>
        <v>13</v>
      </c>
      <c r="AQ155" s="114">
        <f t="shared" si="20"/>
        <v>6</v>
      </c>
      <c r="AR155" s="114">
        <f t="shared" si="21"/>
        <v>6</v>
      </c>
      <c r="AS155" s="114">
        <f t="shared" si="22"/>
        <v>17</v>
      </c>
      <c r="AT155" s="114">
        <f t="shared" si="23"/>
        <v>0</v>
      </c>
      <c r="AU155" s="114">
        <f t="shared" si="24"/>
        <v>18</v>
      </c>
      <c r="AV155" s="114">
        <f t="shared" si="25"/>
        <v>0</v>
      </c>
      <c r="AW155" s="114">
        <f t="shared" si="26"/>
        <v>0</v>
      </c>
      <c r="AX155" s="114">
        <f t="shared" ref="AX155:AY155" si="183">IF(S155=1,2,0)</f>
        <v>0</v>
      </c>
      <c r="AY155" s="114">
        <f t="shared" si="183"/>
        <v>0</v>
      </c>
      <c r="AZ155" s="114">
        <f t="shared" si="28"/>
        <v>0</v>
      </c>
      <c r="BA155" s="114">
        <f t="shared" si="29"/>
        <v>0</v>
      </c>
      <c r="BB155" s="114">
        <f t="shared" si="30"/>
        <v>10</v>
      </c>
      <c r="BC155" s="114">
        <f t="shared" si="31"/>
        <v>8</v>
      </c>
      <c r="BD155" s="114">
        <f t="shared" si="32"/>
        <v>0</v>
      </c>
      <c r="BE155" s="114">
        <f t="shared" si="33"/>
        <v>0</v>
      </c>
      <c r="BF155" s="114">
        <f t="shared" si="34"/>
        <v>0</v>
      </c>
      <c r="BG155" s="114">
        <f t="shared" si="35"/>
        <v>15</v>
      </c>
      <c r="BH155" s="114">
        <f t="shared" si="36"/>
        <v>0</v>
      </c>
      <c r="BI155" s="114">
        <f t="shared" si="37"/>
        <v>0</v>
      </c>
      <c r="BJ155" s="114"/>
      <c r="BK155" s="114">
        <f t="shared" si="38"/>
        <v>1</v>
      </c>
      <c r="BL155" s="113"/>
    </row>
    <row r="156" spans="1:64">
      <c r="A156" s="106" t="s">
        <v>627</v>
      </c>
      <c r="B156" s="115"/>
      <c r="C156" s="107">
        <v>1</v>
      </c>
      <c r="D156" s="107">
        <v>1</v>
      </c>
      <c r="E156" s="107">
        <v>1</v>
      </c>
      <c r="F156" s="107"/>
      <c r="G156" s="107">
        <v>1</v>
      </c>
      <c r="H156" s="107"/>
      <c r="I156" s="107"/>
      <c r="J156" s="107">
        <v>1</v>
      </c>
      <c r="K156" s="107"/>
      <c r="L156" s="107"/>
      <c r="M156" s="107"/>
      <c r="N156" s="107"/>
      <c r="O156" s="107"/>
      <c r="P156" s="107">
        <v>1</v>
      </c>
      <c r="Q156" s="107"/>
      <c r="R156" s="107"/>
      <c r="S156" s="107"/>
      <c r="T156" s="107"/>
      <c r="U156" s="107"/>
      <c r="V156" s="107"/>
      <c r="W156" s="107"/>
      <c r="X156" s="107"/>
      <c r="Y156" s="107">
        <v>1</v>
      </c>
      <c r="Z156" s="107">
        <v>1</v>
      </c>
      <c r="AA156" s="107"/>
      <c r="AB156" s="107">
        <v>1</v>
      </c>
      <c r="AC156" s="107"/>
      <c r="AD156" s="107"/>
      <c r="AE156" s="107"/>
      <c r="AF156" s="107"/>
      <c r="AG156" s="107">
        <v>1</v>
      </c>
      <c r="AH156" s="107"/>
      <c r="AI156" s="107"/>
      <c r="AJ156" s="107"/>
      <c r="AK156" s="107">
        <f t="shared" ref="AK156:AK157" si="184">SUM(B156:AJ156)</f>
        <v>10</v>
      </c>
      <c r="AL156" s="303" t="s">
        <v>1534</v>
      </c>
      <c r="AM156" s="108">
        <f t="shared" si="16"/>
        <v>100</v>
      </c>
      <c r="AN156" s="108">
        <f t="shared" si="17"/>
        <v>96</v>
      </c>
      <c r="AO156" s="115">
        <f t="shared" si="18"/>
        <v>9</v>
      </c>
      <c r="AP156" s="115">
        <f t="shared" si="19"/>
        <v>13</v>
      </c>
      <c r="AQ156" s="115">
        <f t="shared" si="20"/>
        <v>6</v>
      </c>
      <c r="AR156" s="115">
        <f t="shared" si="21"/>
        <v>6</v>
      </c>
      <c r="AS156" s="115">
        <f t="shared" si="22"/>
        <v>17</v>
      </c>
      <c r="AT156" s="115">
        <f t="shared" si="23"/>
        <v>0</v>
      </c>
      <c r="AU156" s="115">
        <f t="shared" si="24"/>
        <v>18</v>
      </c>
      <c r="AV156" s="115">
        <f t="shared" si="25"/>
        <v>0</v>
      </c>
      <c r="AW156" s="115">
        <f t="shared" si="26"/>
        <v>0</v>
      </c>
      <c r="AX156" s="115">
        <f t="shared" ref="AX156:AY156" si="185">IF(S156=1,2,0)</f>
        <v>0</v>
      </c>
      <c r="AY156" s="115">
        <f t="shared" si="185"/>
        <v>0</v>
      </c>
      <c r="AZ156" s="115">
        <f t="shared" si="28"/>
        <v>0</v>
      </c>
      <c r="BA156" s="115">
        <f t="shared" si="29"/>
        <v>0</v>
      </c>
      <c r="BB156" s="115">
        <f t="shared" si="30"/>
        <v>10</v>
      </c>
      <c r="BC156" s="115">
        <f t="shared" si="31"/>
        <v>8</v>
      </c>
      <c r="BD156" s="115">
        <f t="shared" si="32"/>
        <v>5</v>
      </c>
      <c r="BE156" s="115">
        <f t="shared" si="33"/>
        <v>0</v>
      </c>
      <c r="BF156" s="115">
        <f t="shared" si="34"/>
        <v>0</v>
      </c>
      <c r="BG156" s="115">
        <f t="shared" si="35"/>
        <v>15</v>
      </c>
      <c r="BH156" s="115">
        <f t="shared" si="36"/>
        <v>0</v>
      </c>
      <c r="BI156" s="115">
        <f t="shared" si="37"/>
        <v>0</v>
      </c>
      <c r="BJ156" s="115"/>
      <c r="BK156" s="115">
        <f t="shared" si="38"/>
        <v>0</v>
      </c>
      <c r="BL156" s="109"/>
    </row>
    <row r="157" spans="1:64">
      <c r="A157" s="110" t="s">
        <v>315</v>
      </c>
      <c r="B157" s="114"/>
      <c r="C157" s="111">
        <v>1</v>
      </c>
      <c r="D157" s="111">
        <v>1</v>
      </c>
      <c r="E157" s="111">
        <v>1</v>
      </c>
      <c r="F157" s="111"/>
      <c r="G157" s="111">
        <v>1</v>
      </c>
      <c r="H157" s="111"/>
      <c r="I157" s="111"/>
      <c r="J157" s="111">
        <v>1</v>
      </c>
      <c r="K157" s="111"/>
      <c r="L157" s="111"/>
      <c r="M157" s="111"/>
      <c r="N157" s="111"/>
      <c r="O157" s="111"/>
      <c r="P157" s="111">
        <v>1</v>
      </c>
      <c r="Q157" s="111"/>
      <c r="R157" s="111"/>
      <c r="S157" s="111"/>
      <c r="T157" s="111"/>
      <c r="U157" s="111">
        <v>1</v>
      </c>
      <c r="V157" s="111"/>
      <c r="W157" s="111"/>
      <c r="X157" s="111"/>
      <c r="Y157" s="111">
        <v>1</v>
      </c>
      <c r="Z157" s="111"/>
      <c r="AA157" s="111"/>
      <c r="AB157" s="111"/>
      <c r="AC157" s="111"/>
      <c r="AD157" s="111"/>
      <c r="AE157" s="111"/>
      <c r="AF157" s="111"/>
      <c r="AG157" s="111">
        <v>1</v>
      </c>
      <c r="AH157" s="111"/>
      <c r="AI157" s="111"/>
      <c r="AJ157" s="111">
        <v>1</v>
      </c>
      <c r="AK157" s="111">
        <f t="shared" si="184"/>
        <v>10</v>
      </c>
      <c r="AL157" s="114" t="s">
        <v>1535</v>
      </c>
      <c r="AM157" s="112">
        <f t="shared" si="16"/>
        <v>90</v>
      </c>
      <c r="AN157" s="112">
        <f t="shared" si="17"/>
        <v>98</v>
      </c>
      <c r="AO157" s="114">
        <f t="shared" si="18"/>
        <v>9</v>
      </c>
      <c r="AP157" s="114">
        <f t="shared" si="19"/>
        <v>13</v>
      </c>
      <c r="AQ157" s="114">
        <f t="shared" si="20"/>
        <v>6</v>
      </c>
      <c r="AR157" s="114">
        <f t="shared" si="21"/>
        <v>6</v>
      </c>
      <c r="AS157" s="114">
        <f t="shared" si="22"/>
        <v>17</v>
      </c>
      <c r="AT157" s="114">
        <f t="shared" si="23"/>
        <v>0</v>
      </c>
      <c r="AU157" s="114">
        <f t="shared" si="24"/>
        <v>18</v>
      </c>
      <c r="AV157" s="114">
        <f t="shared" si="25"/>
        <v>0</v>
      </c>
      <c r="AW157" s="114">
        <f t="shared" si="26"/>
        <v>0</v>
      </c>
      <c r="AX157" s="114">
        <f t="shared" ref="AX157:AY157" si="186">IF(S157=1,2,0)</f>
        <v>0</v>
      </c>
      <c r="AY157" s="114">
        <f t="shared" si="186"/>
        <v>0</v>
      </c>
      <c r="AZ157" s="114">
        <f t="shared" si="28"/>
        <v>10</v>
      </c>
      <c r="BA157" s="114">
        <f t="shared" si="29"/>
        <v>0</v>
      </c>
      <c r="BB157" s="114">
        <f t="shared" si="30"/>
        <v>10</v>
      </c>
      <c r="BC157" s="114">
        <f t="shared" si="31"/>
        <v>0</v>
      </c>
      <c r="BD157" s="114">
        <f t="shared" si="32"/>
        <v>0</v>
      </c>
      <c r="BE157" s="114">
        <f t="shared" si="33"/>
        <v>0</v>
      </c>
      <c r="BF157" s="114">
        <f t="shared" si="34"/>
        <v>0</v>
      </c>
      <c r="BG157" s="114">
        <f t="shared" si="35"/>
        <v>15</v>
      </c>
      <c r="BH157" s="114">
        <f t="shared" si="36"/>
        <v>0</v>
      </c>
      <c r="BI157" s="114">
        <f t="shared" si="37"/>
        <v>2</v>
      </c>
      <c r="BJ157" s="114"/>
      <c r="BK157" s="114">
        <f t="shared" si="38"/>
        <v>0</v>
      </c>
      <c r="BL157" s="113"/>
    </row>
    <row r="158" spans="1:64" ht="14.25" customHeight="1">
      <c r="A158" s="106" t="s">
        <v>316</v>
      </c>
      <c r="B158" s="115"/>
      <c r="C158" s="107">
        <v>1</v>
      </c>
      <c r="D158" s="107">
        <v>1</v>
      </c>
      <c r="E158" s="107">
        <v>1</v>
      </c>
      <c r="F158" s="107"/>
      <c r="G158" s="107">
        <v>1</v>
      </c>
      <c r="H158" s="107"/>
      <c r="I158" s="107"/>
      <c r="J158" s="107">
        <v>1</v>
      </c>
      <c r="K158" s="107"/>
      <c r="L158" s="107"/>
      <c r="M158" s="107"/>
      <c r="N158" s="107"/>
      <c r="O158" s="107"/>
      <c r="P158" s="107">
        <v>1</v>
      </c>
      <c r="Q158" s="107"/>
      <c r="R158" s="107"/>
      <c r="S158" s="107"/>
      <c r="T158" s="107"/>
      <c r="U158" s="107"/>
      <c r="V158" s="107">
        <v>1</v>
      </c>
      <c r="W158" s="107"/>
      <c r="X158" s="107"/>
      <c r="Y158" s="107"/>
      <c r="Z158" s="107"/>
      <c r="AA158" s="107"/>
      <c r="AB158" s="107">
        <v>1</v>
      </c>
      <c r="AC158" s="107"/>
      <c r="AD158" s="107"/>
      <c r="AE158" s="107"/>
      <c r="AF158" s="107"/>
      <c r="AG158" s="107">
        <v>1</v>
      </c>
      <c r="AH158" s="107"/>
      <c r="AI158" s="107"/>
      <c r="AJ158" s="107">
        <v>1</v>
      </c>
      <c r="AK158" s="107">
        <v>10</v>
      </c>
      <c r="AL158" s="303" t="s">
        <v>1536</v>
      </c>
      <c r="AM158" s="108">
        <f t="shared" si="16"/>
        <v>90</v>
      </c>
      <c r="AN158" s="108">
        <f t="shared" si="17"/>
        <v>89</v>
      </c>
      <c r="AO158" s="115">
        <f t="shared" si="18"/>
        <v>9</v>
      </c>
      <c r="AP158" s="115">
        <f t="shared" si="19"/>
        <v>13</v>
      </c>
      <c r="AQ158" s="115">
        <f t="shared" si="20"/>
        <v>6</v>
      </c>
      <c r="AR158" s="115">
        <f t="shared" si="21"/>
        <v>6</v>
      </c>
      <c r="AS158" s="115">
        <f t="shared" si="22"/>
        <v>17</v>
      </c>
      <c r="AT158" s="115">
        <f t="shared" si="23"/>
        <v>0</v>
      </c>
      <c r="AU158" s="115">
        <f t="shared" si="24"/>
        <v>18</v>
      </c>
      <c r="AV158" s="115">
        <f t="shared" si="25"/>
        <v>0</v>
      </c>
      <c r="AW158" s="115">
        <f t="shared" si="26"/>
        <v>0</v>
      </c>
      <c r="AX158" s="115">
        <f t="shared" ref="AX158:AY158" si="187">IF(S158=1,2,0)</f>
        <v>0</v>
      </c>
      <c r="AY158" s="115">
        <f t="shared" si="187"/>
        <v>0</v>
      </c>
      <c r="AZ158" s="115">
        <f t="shared" si="28"/>
        <v>0</v>
      </c>
      <c r="BA158" s="115">
        <f t="shared" si="29"/>
        <v>3</v>
      </c>
      <c r="BB158" s="115">
        <f t="shared" si="30"/>
        <v>0</v>
      </c>
      <c r="BC158" s="115">
        <f t="shared" si="31"/>
        <v>0</v>
      </c>
      <c r="BD158" s="115">
        <f t="shared" si="32"/>
        <v>5</v>
      </c>
      <c r="BE158" s="115">
        <f t="shared" si="33"/>
        <v>0</v>
      </c>
      <c r="BF158" s="115">
        <f t="shared" si="34"/>
        <v>0</v>
      </c>
      <c r="BG158" s="115">
        <f t="shared" si="35"/>
        <v>15</v>
      </c>
      <c r="BH158" s="115">
        <f t="shared" si="36"/>
        <v>0</v>
      </c>
      <c r="BI158" s="115">
        <f t="shared" si="37"/>
        <v>2</v>
      </c>
      <c r="BJ158" s="115"/>
      <c r="BK158" s="115">
        <f t="shared" si="38"/>
        <v>0</v>
      </c>
      <c r="BL158" s="109"/>
    </row>
    <row r="159" spans="1:64" ht="14.25" customHeight="1">
      <c r="A159" s="110" t="s">
        <v>320</v>
      </c>
      <c r="B159" s="114"/>
      <c r="C159" s="111">
        <v>1</v>
      </c>
      <c r="D159" s="111">
        <v>1</v>
      </c>
      <c r="E159" s="111"/>
      <c r="F159" s="111"/>
      <c r="G159" s="111"/>
      <c r="H159" s="111"/>
      <c r="I159" s="111"/>
      <c r="J159" s="111">
        <v>1</v>
      </c>
      <c r="K159" s="111"/>
      <c r="L159" s="111"/>
      <c r="M159" s="111"/>
      <c r="N159" s="111"/>
      <c r="O159" s="111"/>
      <c r="P159" s="111">
        <v>1</v>
      </c>
      <c r="Q159" s="111"/>
      <c r="R159" s="111"/>
      <c r="S159" s="111"/>
      <c r="T159" s="111"/>
      <c r="U159" s="111">
        <v>1</v>
      </c>
      <c r="V159" s="111"/>
      <c r="W159" s="111"/>
      <c r="X159" s="111"/>
      <c r="Y159" s="111">
        <v>1</v>
      </c>
      <c r="Z159" s="111">
        <v>1</v>
      </c>
      <c r="AA159" s="111"/>
      <c r="AB159" s="111"/>
      <c r="AC159" s="111"/>
      <c r="AD159" s="111">
        <v>1</v>
      </c>
      <c r="AE159" s="111"/>
      <c r="AF159" s="111"/>
      <c r="AG159" s="111">
        <v>1</v>
      </c>
      <c r="AH159" s="111"/>
      <c r="AI159" s="111">
        <v>1</v>
      </c>
      <c r="AJ159" s="111"/>
      <c r="AK159" s="111">
        <f>SUM(B159:AJ159)</f>
        <v>10</v>
      </c>
      <c r="AL159" s="304" t="s">
        <v>1537</v>
      </c>
      <c r="AM159" s="112">
        <f t="shared" si="16"/>
        <v>74</v>
      </c>
      <c r="AN159" s="112">
        <f t="shared" si="17"/>
        <v>100</v>
      </c>
      <c r="AO159" s="114">
        <f t="shared" si="18"/>
        <v>9</v>
      </c>
      <c r="AP159" s="114">
        <f t="shared" si="19"/>
        <v>13</v>
      </c>
      <c r="AQ159" s="114">
        <f t="shared" si="20"/>
        <v>0</v>
      </c>
      <c r="AR159" s="114">
        <f t="shared" si="21"/>
        <v>0</v>
      </c>
      <c r="AS159" s="114">
        <f t="shared" si="22"/>
        <v>17</v>
      </c>
      <c r="AT159" s="114">
        <f t="shared" si="23"/>
        <v>0</v>
      </c>
      <c r="AU159" s="114">
        <f t="shared" si="24"/>
        <v>18</v>
      </c>
      <c r="AV159" s="114">
        <f t="shared" si="25"/>
        <v>0</v>
      </c>
      <c r="AW159" s="114">
        <f t="shared" si="26"/>
        <v>0</v>
      </c>
      <c r="AX159" s="114">
        <f t="shared" ref="AX159:AY159" si="188">IF(S159=1,2,0)</f>
        <v>0</v>
      </c>
      <c r="AY159" s="114">
        <f t="shared" si="188"/>
        <v>0</v>
      </c>
      <c r="AZ159" s="114">
        <f t="shared" si="28"/>
        <v>10</v>
      </c>
      <c r="BA159" s="114">
        <f t="shared" si="29"/>
        <v>0</v>
      </c>
      <c r="BB159" s="114">
        <f t="shared" si="30"/>
        <v>10</v>
      </c>
      <c r="BC159" s="114">
        <f t="shared" si="31"/>
        <v>8</v>
      </c>
      <c r="BD159" s="114">
        <f t="shared" si="32"/>
        <v>0</v>
      </c>
      <c r="BE159" s="114">
        <f t="shared" si="33"/>
        <v>5</v>
      </c>
      <c r="BF159" s="114">
        <f t="shared" si="34"/>
        <v>0</v>
      </c>
      <c r="BG159" s="114">
        <f t="shared" si="35"/>
        <v>15</v>
      </c>
      <c r="BH159" s="114">
        <f t="shared" si="36"/>
        <v>3</v>
      </c>
      <c r="BI159" s="114">
        <f t="shared" si="37"/>
        <v>0</v>
      </c>
      <c r="BJ159" s="114"/>
      <c r="BK159" s="114">
        <f t="shared" si="38"/>
        <v>0</v>
      </c>
      <c r="BL159" s="113"/>
    </row>
    <row r="160" spans="1:64" ht="14.25" customHeight="1">
      <c r="A160" s="106" t="s">
        <v>1538</v>
      </c>
      <c r="B160" s="115"/>
      <c r="C160" s="107"/>
      <c r="D160" s="107"/>
      <c r="E160" s="107">
        <v>1</v>
      </c>
      <c r="F160" s="107"/>
      <c r="G160" s="107">
        <v>1</v>
      </c>
      <c r="H160" s="107"/>
      <c r="I160" s="107"/>
      <c r="J160" s="107">
        <v>1</v>
      </c>
      <c r="K160" s="107"/>
      <c r="L160" s="107"/>
      <c r="M160" s="107"/>
      <c r="N160" s="107"/>
      <c r="O160" s="107"/>
      <c r="P160" s="107">
        <v>1</v>
      </c>
      <c r="Q160" s="107">
        <v>1</v>
      </c>
      <c r="R160" s="107"/>
      <c r="S160" s="107"/>
      <c r="T160" s="107"/>
      <c r="U160" s="107">
        <v>1</v>
      </c>
      <c r="V160" s="107">
        <v>1</v>
      </c>
      <c r="W160" s="107"/>
      <c r="X160" s="107"/>
      <c r="Y160" s="107"/>
      <c r="Z160" s="107">
        <v>1</v>
      </c>
      <c r="AA160" s="107"/>
      <c r="AB160" s="107"/>
      <c r="AC160" s="107"/>
      <c r="AD160" s="107">
        <v>1</v>
      </c>
      <c r="AE160" s="107"/>
      <c r="AF160" s="107"/>
      <c r="AG160" s="107">
        <v>1</v>
      </c>
      <c r="AH160" s="107"/>
      <c r="AI160" s="107"/>
      <c r="AJ160" s="107"/>
      <c r="AK160" s="107">
        <v>10</v>
      </c>
      <c r="AL160" s="303" t="s">
        <v>1539</v>
      </c>
      <c r="AM160" s="108">
        <f t="shared" si="16"/>
        <v>82</v>
      </c>
      <c r="AN160" s="108">
        <f t="shared" si="17"/>
        <v>85</v>
      </c>
      <c r="AO160" s="115">
        <f t="shared" si="18"/>
        <v>0</v>
      </c>
      <c r="AP160" s="115">
        <f t="shared" si="19"/>
        <v>0</v>
      </c>
      <c r="AQ160" s="115">
        <f t="shared" si="20"/>
        <v>6</v>
      </c>
      <c r="AR160" s="115">
        <f t="shared" si="21"/>
        <v>6</v>
      </c>
      <c r="AS160" s="115">
        <f t="shared" si="22"/>
        <v>17</v>
      </c>
      <c r="AT160" s="115">
        <f t="shared" si="23"/>
        <v>0</v>
      </c>
      <c r="AU160" s="115">
        <f t="shared" si="24"/>
        <v>18</v>
      </c>
      <c r="AV160" s="115">
        <f t="shared" si="25"/>
        <v>4</v>
      </c>
      <c r="AW160" s="115">
        <f t="shared" si="26"/>
        <v>0</v>
      </c>
      <c r="AX160" s="115">
        <f t="shared" ref="AX160:AY160" si="189">IF(S160=1,2,0)</f>
        <v>0</v>
      </c>
      <c r="AY160" s="115">
        <f t="shared" si="189"/>
        <v>0</v>
      </c>
      <c r="AZ160" s="115">
        <f t="shared" si="28"/>
        <v>10</v>
      </c>
      <c r="BA160" s="115">
        <f t="shared" si="29"/>
        <v>3</v>
      </c>
      <c r="BB160" s="115">
        <f t="shared" si="30"/>
        <v>0</v>
      </c>
      <c r="BC160" s="115">
        <f t="shared" si="31"/>
        <v>8</v>
      </c>
      <c r="BD160" s="115">
        <f t="shared" si="32"/>
        <v>0</v>
      </c>
      <c r="BE160" s="115">
        <f t="shared" si="33"/>
        <v>5</v>
      </c>
      <c r="BF160" s="115">
        <f t="shared" si="34"/>
        <v>0</v>
      </c>
      <c r="BG160" s="115">
        <f t="shared" si="35"/>
        <v>15</v>
      </c>
      <c r="BH160" s="115">
        <f t="shared" si="36"/>
        <v>0</v>
      </c>
      <c r="BI160" s="115">
        <f t="shared" si="37"/>
        <v>0</v>
      </c>
      <c r="BJ160" s="115"/>
      <c r="BK160" s="115">
        <f t="shared" si="38"/>
        <v>0</v>
      </c>
      <c r="BL160" s="109"/>
    </row>
    <row r="161" spans="1:64" ht="14.25" customHeight="1">
      <c r="A161" s="110" t="s">
        <v>326</v>
      </c>
      <c r="B161" s="114"/>
      <c r="C161" s="111">
        <v>1</v>
      </c>
      <c r="D161" s="111">
        <v>1</v>
      </c>
      <c r="E161" s="111">
        <v>1</v>
      </c>
      <c r="F161" s="111"/>
      <c r="G161" s="111">
        <v>1</v>
      </c>
      <c r="H161" s="111"/>
      <c r="I161" s="111"/>
      <c r="J161" s="111">
        <v>1</v>
      </c>
      <c r="K161" s="111"/>
      <c r="L161" s="111"/>
      <c r="M161" s="111"/>
      <c r="N161" s="111"/>
      <c r="O161" s="111"/>
      <c r="P161" s="111">
        <v>1</v>
      </c>
      <c r="Q161" s="111"/>
      <c r="R161" s="111"/>
      <c r="S161" s="111"/>
      <c r="T161" s="111"/>
      <c r="U161" s="111"/>
      <c r="V161" s="111"/>
      <c r="W161" s="111"/>
      <c r="X161" s="111"/>
      <c r="Y161" s="111">
        <v>1</v>
      </c>
      <c r="Z161" s="111">
        <v>1</v>
      </c>
      <c r="AA161" s="111"/>
      <c r="AB161" s="111">
        <v>1</v>
      </c>
      <c r="AC161" s="111"/>
      <c r="AD161" s="111"/>
      <c r="AE161" s="111"/>
      <c r="AF161" s="111"/>
      <c r="AG161" s="111">
        <v>1</v>
      </c>
      <c r="AH161" s="111"/>
      <c r="AI161" s="111"/>
      <c r="AJ161" s="111"/>
      <c r="AK161" s="111">
        <v>10</v>
      </c>
      <c r="AL161" s="304" t="s">
        <v>1540</v>
      </c>
      <c r="AM161" s="112">
        <f t="shared" si="16"/>
        <v>100</v>
      </c>
      <c r="AN161" s="112">
        <f t="shared" si="17"/>
        <v>96</v>
      </c>
      <c r="AO161" s="114">
        <f t="shared" si="18"/>
        <v>9</v>
      </c>
      <c r="AP161" s="114">
        <f t="shared" si="19"/>
        <v>13</v>
      </c>
      <c r="AQ161" s="114">
        <f t="shared" si="20"/>
        <v>6</v>
      </c>
      <c r="AR161" s="114">
        <f t="shared" si="21"/>
        <v>6</v>
      </c>
      <c r="AS161" s="114">
        <f t="shared" si="22"/>
        <v>17</v>
      </c>
      <c r="AT161" s="114">
        <f t="shared" si="23"/>
        <v>0</v>
      </c>
      <c r="AU161" s="114">
        <f t="shared" si="24"/>
        <v>18</v>
      </c>
      <c r="AV161" s="114">
        <f t="shared" si="25"/>
        <v>0</v>
      </c>
      <c r="AW161" s="114">
        <f t="shared" si="26"/>
        <v>0</v>
      </c>
      <c r="AX161" s="114">
        <f t="shared" ref="AX161:AY161" si="190">IF(S161=1,2,0)</f>
        <v>0</v>
      </c>
      <c r="AY161" s="114">
        <f t="shared" si="190"/>
        <v>0</v>
      </c>
      <c r="AZ161" s="114">
        <f t="shared" si="28"/>
        <v>0</v>
      </c>
      <c r="BA161" s="114">
        <f t="shared" si="29"/>
        <v>0</v>
      </c>
      <c r="BB161" s="114">
        <f t="shared" si="30"/>
        <v>10</v>
      </c>
      <c r="BC161" s="114">
        <f t="shared" si="31"/>
        <v>8</v>
      </c>
      <c r="BD161" s="114">
        <f t="shared" si="32"/>
        <v>5</v>
      </c>
      <c r="BE161" s="114">
        <f t="shared" si="33"/>
        <v>0</v>
      </c>
      <c r="BF161" s="114">
        <f t="shared" si="34"/>
        <v>0</v>
      </c>
      <c r="BG161" s="114">
        <f t="shared" si="35"/>
        <v>15</v>
      </c>
      <c r="BH161" s="114">
        <f t="shared" si="36"/>
        <v>0</v>
      </c>
      <c r="BI161" s="114">
        <f t="shared" si="37"/>
        <v>0</v>
      </c>
      <c r="BJ161" s="114"/>
      <c r="BK161" s="114">
        <f t="shared" si="38"/>
        <v>0</v>
      </c>
      <c r="BL161" s="113"/>
    </row>
    <row r="162" spans="1:64" ht="14.25" customHeight="1">
      <c r="A162" s="106" t="s">
        <v>684</v>
      </c>
      <c r="B162" s="115"/>
      <c r="C162" s="107"/>
      <c r="D162" s="107"/>
      <c r="E162" s="107"/>
      <c r="F162" s="107"/>
      <c r="G162" s="107"/>
      <c r="H162" s="107"/>
      <c r="I162" s="107"/>
      <c r="J162" s="107">
        <v>1</v>
      </c>
      <c r="K162" s="107"/>
      <c r="L162" s="107"/>
      <c r="M162" s="107"/>
      <c r="N162" s="107"/>
      <c r="O162" s="107"/>
      <c r="P162" s="107">
        <v>1</v>
      </c>
      <c r="Q162" s="107"/>
      <c r="R162" s="107"/>
      <c r="S162" s="107"/>
      <c r="T162" s="107"/>
      <c r="U162" s="107">
        <v>1</v>
      </c>
      <c r="V162" s="107"/>
      <c r="W162" s="107"/>
      <c r="X162" s="107"/>
      <c r="Y162" s="107"/>
      <c r="Z162" s="107"/>
      <c r="AA162" s="107"/>
      <c r="AB162" s="107"/>
      <c r="AC162" s="107"/>
      <c r="AD162" s="107"/>
      <c r="AE162" s="107"/>
      <c r="AF162" s="107"/>
      <c r="AG162" s="107">
        <v>1</v>
      </c>
      <c r="AH162" s="107"/>
      <c r="AI162" s="107"/>
      <c r="AJ162" s="107"/>
      <c r="AK162" s="107">
        <v>4</v>
      </c>
      <c r="AL162" s="303" t="s">
        <v>1416</v>
      </c>
      <c r="AM162" s="108">
        <f t="shared" si="16"/>
        <v>-2</v>
      </c>
      <c r="AN162" s="108">
        <f t="shared" si="17"/>
        <v>60</v>
      </c>
      <c r="AO162" s="115">
        <f t="shared" si="18"/>
        <v>0</v>
      </c>
      <c r="AP162" s="115">
        <f t="shared" si="19"/>
        <v>0</v>
      </c>
      <c r="AQ162" s="115">
        <f t="shared" si="20"/>
        <v>0</v>
      </c>
      <c r="AR162" s="115">
        <f t="shared" si="21"/>
        <v>0</v>
      </c>
      <c r="AS162" s="115">
        <f t="shared" si="22"/>
        <v>17</v>
      </c>
      <c r="AT162" s="115">
        <f t="shared" si="23"/>
        <v>0</v>
      </c>
      <c r="AU162" s="115">
        <f t="shared" si="24"/>
        <v>18</v>
      </c>
      <c r="AV162" s="115">
        <f t="shared" si="25"/>
        <v>0</v>
      </c>
      <c r="AW162" s="115">
        <f t="shared" si="26"/>
        <v>0</v>
      </c>
      <c r="AX162" s="115">
        <f t="shared" ref="AX162:AY162" si="191">IF(S162=1,2,0)</f>
        <v>0</v>
      </c>
      <c r="AY162" s="115">
        <f t="shared" si="191"/>
        <v>0</v>
      </c>
      <c r="AZ162" s="115">
        <f t="shared" si="28"/>
        <v>10</v>
      </c>
      <c r="BA162" s="115">
        <f t="shared" si="29"/>
        <v>0</v>
      </c>
      <c r="BB162" s="115">
        <f t="shared" si="30"/>
        <v>0</v>
      </c>
      <c r="BC162" s="115">
        <f t="shared" si="31"/>
        <v>0</v>
      </c>
      <c r="BD162" s="115">
        <f t="shared" si="32"/>
        <v>0</v>
      </c>
      <c r="BE162" s="115">
        <f t="shared" si="33"/>
        <v>0</v>
      </c>
      <c r="BF162" s="115">
        <f t="shared" si="34"/>
        <v>0</v>
      </c>
      <c r="BG162" s="115">
        <f t="shared" si="35"/>
        <v>15</v>
      </c>
      <c r="BH162" s="115">
        <f t="shared" si="36"/>
        <v>0</v>
      </c>
      <c r="BI162" s="115">
        <f t="shared" si="37"/>
        <v>0</v>
      </c>
      <c r="BJ162" s="115"/>
      <c r="BK162" s="115">
        <f t="shared" si="38"/>
        <v>36</v>
      </c>
      <c r="BL162" s="109"/>
    </row>
    <row r="163" spans="1:64" ht="14.25" customHeight="1">
      <c r="A163" s="110" t="s">
        <v>327</v>
      </c>
      <c r="B163" s="114"/>
      <c r="C163" s="111">
        <v>1</v>
      </c>
      <c r="D163" s="111">
        <v>1</v>
      </c>
      <c r="E163" s="111"/>
      <c r="F163" s="111"/>
      <c r="G163" s="111"/>
      <c r="H163" s="111"/>
      <c r="I163" s="111"/>
      <c r="J163" s="111">
        <v>1</v>
      </c>
      <c r="K163" s="111"/>
      <c r="L163" s="111"/>
      <c r="M163" s="111"/>
      <c r="N163" s="111"/>
      <c r="O163" s="111"/>
      <c r="P163" s="111">
        <v>1</v>
      </c>
      <c r="Q163" s="111">
        <v>1</v>
      </c>
      <c r="R163" s="111"/>
      <c r="S163" s="111"/>
      <c r="T163" s="111"/>
      <c r="U163" s="111"/>
      <c r="V163" s="111">
        <v>1</v>
      </c>
      <c r="W163" s="111"/>
      <c r="X163" s="111"/>
      <c r="Y163" s="111">
        <v>1</v>
      </c>
      <c r="Z163" s="111">
        <v>1</v>
      </c>
      <c r="AA163" s="111"/>
      <c r="AB163" s="111">
        <v>1</v>
      </c>
      <c r="AC163" s="111"/>
      <c r="AD163" s="111"/>
      <c r="AE163" s="111"/>
      <c r="AF163" s="111"/>
      <c r="AG163" s="111">
        <v>1</v>
      </c>
      <c r="AH163" s="111"/>
      <c r="AI163" s="111"/>
      <c r="AJ163" s="111"/>
      <c r="AK163" s="111">
        <v>10</v>
      </c>
      <c r="AL163" s="304" t="s">
        <v>1541</v>
      </c>
      <c r="AM163" s="112">
        <f t="shared" si="16"/>
        <v>82</v>
      </c>
      <c r="AN163" s="112">
        <f t="shared" si="17"/>
        <v>95</v>
      </c>
      <c r="AO163" s="114">
        <f t="shared" si="18"/>
        <v>9</v>
      </c>
      <c r="AP163" s="114">
        <f t="shared" si="19"/>
        <v>13</v>
      </c>
      <c r="AQ163" s="114">
        <f t="shared" si="20"/>
        <v>0</v>
      </c>
      <c r="AR163" s="114">
        <f t="shared" si="21"/>
        <v>0</v>
      </c>
      <c r="AS163" s="114">
        <f t="shared" si="22"/>
        <v>17</v>
      </c>
      <c r="AT163" s="114">
        <f t="shared" si="23"/>
        <v>0</v>
      </c>
      <c r="AU163" s="114">
        <f t="shared" si="24"/>
        <v>18</v>
      </c>
      <c r="AV163" s="114">
        <f t="shared" si="25"/>
        <v>4</v>
      </c>
      <c r="AW163" s="114">
        <f t="shared" si="26"/>
        <v>0</v>
      </c>
      <c r="AX163" s="114">
        <f t="shared" ref="AX163:AY163" si="192">IF(S163=1,2,0)</f>
        <v>0</v>
      </c>
      <c r="AY163" s="114">
        <f t="shared" si="192"/>
        <v>0</v>
      </c>
      <c r="AZ163" s="114">
        <f t="shared" si="28"/>
        <v>0</v>
      </c>
      <c r="BA163" s="114">
        <f t="shared" si="29"/>
        <v>3</v>
      </c>
      <c r="BB163" s="114">
        <f t="shared" si="30"/>
        <v>10</v>
      </c>
      <c r="BC163" s="114">
        <f t="shared" si="31"/>
        <v>8</v>
      </c>
      <c r="BD163" s="114">
        <f t="shared" si="32"/>
        <v>5</v>
      </c>
      <c r="BE163" s="114">
        <f t="shared" si="33"/>
        <v>0</v>
      </c>
      <c r="BF163" s="114">
        <f t="shared" si="34"/>
        <v>0</v>
      </c>
      <c r="BG163" s="114">
        <f t="shared" si="35"/>
        <v>15</v>
      </c>
      <c r="BH163" s="114">
        <f t="shared" si="36"/>
        <v>0</v>
      </c>
      <c r="BI163" s="114">
        <f t="shared" si="37"/>
        <v>0</v>
      </c>
      <c r="BJ163" s="114"/>
      <c r="BK163" s="114">
        <f t="shared" si="38"/>
        <v>0</v>
      </c>
      <c r="BL163" s="113"/>
    </row>
    <row r="164" spans="1:64" ht="14.25" customHeight="1">
      <c r="A164" s="106" t="s">
        <v>331</v>
      </c>
      <c r="B164" s="115"/>
      <c r="C164" s="107"/>
      <c r="D164" s="107"/>
      <c r="E164" s="107">
        <v>1</v>
      </c>
      <c r="F164" s="107"/>
      <c r="G164" s="107">
        <v>1</v>
      </c>
      <c r="H164" s="107"/>
      <c r="I164" s="107"/>
      <c r="J164" s="107">
        <v>1</v>
      </c>
      <c r="K164" s="107"/>
      <c r="L164" s="107"/>
      <c r="M164" s="107"/>
      <c r="N164" s="107"/>
      <c r="O164" s="107"/>
      <c r="P164" s="107">
        <v>1</v>
      </c>
      <c r="Q164" s="107"/>
      <c r="R164" s="107"/>
      <c r="S164" s="107"/>
      <c r="T164" s="107"/>
      <c r="U164" s="107"/>
      <c r="V164" s="107"/>
      <c r="W164" s="107"/>
      <c r="X164" s="107"/>
      <c r="Y164" s="107">
        <v>1</v>
      </c>
      <c r="Z164" s="107"/>
      <c r="AA164" s="107"/>
      <c r="AB164" s="107"/>
      <c r="AC164" s="107"/>
      <c r="AD164" s="107"/>
      <c r="AE164" s="107"/>
      <c r="AF164" s="107"/>
      <c r="AG164" s="107"/>
      <c r="AH164" s="107"/>
      <c r="AI164" s="107"/>
      <c r="AJ164" s="107"/>
      <c r="AK164" s="107">
        <v>5</v>
      </c>
      <c r="AL164" s="303" t="s">
        <v>1436</v>
      </c>
      <c r="AM164" s="108">
        <f t="shared" si="16"/>
        <v>33</v>
      </c>
      <c r="AN164" s="108">
        <f t="shared" si="17"/>
        <v>57</v>
      </c>
      <c r="AO164" s="115">
        <f t="shared" si="18"/>
        <v>0</v>
      </c>
      <c r="AP164" s="115">
        <f t="shared" si="19"/>
        <v>0</v>
      </c>
      <c r="AQ164" s="115">
        <f t="shared" si="20"/>
        <v>6</v>
      </c>
      <c r="AR164" s="115">
        <f t="shared" si="21"/>
        <v>6</v>
      </c>
      <c r="AS164" s="115">
        <f t="shared" si="22"/>
        <v>17</v>
      </c>
      <c r="AT164" s="115">
        <f t="shared" si="23"/>
        <v>0</v>
      </c>
      <c r="AU164" s="115">
        <f t="shared" si="24"/>
        <v>18</v>
      </c>
      <c r="AV164" s="115">
        <f t="shared" si="25"/>
        <v>0</v>
      </c>
      <c r="AW164" s="115">
        <f t="shared" si="26"/>
        <v>0</v>
      </c>
      <c r="AX164" s="115">
        <f t="shared" ref="AX164:AY164" si="193">IF(S164=1,2,0)</f>
        <v>0</v>
      </c>
      <c r="AY164" s="115">
        <f t="shared" si="193"/>
        <v>0</v>
      </c>
      <c r="AZ164" s="115">
        <f t="shared" si="28"/>
        <v>0</v>
      </c>
      <c r="BA164" s="115">
        <f t="shared" si="29"/>
        <v>0</v>
      </c>
      <c r="BB164" s="115">
        <f t="shared" si="30"/>
        <v>10</v>
      </c>
      <c r="BC164" s="115">
        <f t="shared" si="31"/>
        <v>0</v>
      </c>
      <c r="BD164" s="115">
        <f t="shared" si="32"/>
        <v>0</v>
      </c>
      <c r="BE164" s="115">
        <f t="shared" si="33"/>
        <v>0</v>
      </c>
      <c r="BF164" s="115">
        <f t="shared" si="34"/>
        <v>0</v>
      </c>
      <c r="BG164" s="115">
        <f t="shared" si="35"/>
        <v>0</v>
      </c>
      <c r="BH164" s="115">
        <f t="shared" si="36"/>
        <v>0</v>
      </c>
      <c r="BI164" s="115">
        <f t="shared" si="37"/>
        <v>0</v>
      </c>
      <c r="BJ164" s="115"/>
      <c r="BK164" s="115">
        <f t="shared" si="38"/>
        <v>25</v>
      </c>
      <c r="BL164" s="109"/>
    </row>
    <row r="165" spans="1:64" ht="14.25" customHeight="1">
      <c r="A165" s="110" t="s">
        <v>332</v>
      </c>
      <c r="B165" s="114"/>
      <c r="C165" s="111"/>
      <c r="D165" s="111"/>
      <c r="E165" s="111"/>
      <c r="F165" s="111"/>
      <c r="G165" s="111"/>
      <c r="H165" s="111"/>
      <c r="I165" s="111"/>
      <c r="J165" s="111">
        <v>1</v>
      </c>
      <c r="K165" s="111"/>
      <c r="L165" s="111"/>
      <c r="M165" s="111"/>
      <c r="N165" s="111"/>
      <c r="O165" s="111"/>
      <c r="P165" s="111">
        <v>1</v>
      </c>
      <c r="Q165" s="111"/>
      <c r="R165" s="111"/>
      <c r="S165" s="111"/>
      <c r="T165" s="111"/>
      <c r="U165" s="111"/>
      <c r="V165" s="111"/>
      <c r="W165" s="111"/>
      <c r="X165" s="111"/>
      <c r="Y165" s="111"/>
      <c r="Z165" s="111"/>
      <c r="AA165" s="111"/>
      <c r="AB165" s="111"/>
      <c r="AC165" s="111"/>
      <c r="AD165" s="111">
        <v>1</v>
      </c>
      <c r="AE165" s="111"/>
      <c r="AF165" s="111"/>
      <c r="AG165" s="111">
        <v>1</v>
      </c>
      <c r="AH165" s="111"/>
      <c r="AI165" s="111"/>
      <c r="AJ165" s="111"/>
      <c r="AK165" s="111">
        <v>4</v>
      </c>
      <c r="AL165" s="304" t="s">
        <v>1542</v>
      </c>
      <c r="AM165" s="112">
        <f t="shared" si="16"/>
        <v>-2</v>
      </c>
      <c r="AN165" s="112">
        <f t="shared" si="17"/>
        <v>55</v>
      </c>
      <c r="AO165" s="114">
        <f t="shared" si="18"/>
        <v>0</v>
      </c>
      <c r="AP165" s="114">
        <f t="shared" si="19"/>
        <v>0</v>
      </c>
      <c r="AQ165" s="114">
        <f t="shared" si="20"/>
        <v>0</v>
      </c>
      <c r="AR165" s="114">
        <f t="shared" si="21"/>
        <v>0</v>
      </c>
      <c r="AS165" s="114">
        <f t="shared" si="22"/>
        <v>17</v>
      </c>
      <c r="AT165" s="114">
        <f t="shared" si="23"/>
        <v>0</v>
      </c>
      <c r="AU165" s="114">
        <f t="shared" si="24"/>
        <v>18</v>
      </c>
      <c r="AV165" s="114">
        <f t="shared" si="25"/>
        <v>0</v>
      </c>
      <c r="AW165" s="114">
        <f t="shared" si="26"/>
        <v>0</v>
      </c>
      <c r="AX165" s="114">
        <f t="shared" ref="AX165:AY165" si="194">IF(S165=1,2,0)</f>
        <v>0</v>
      </c>
      <c r="AY165" s="114">
        <f t="shared" si="194"/>
        <v>0</v>
      </c>
      <c r="AZ165" s="114">
        <f t="shared" si="28"/>
        <v>0</v>
      </c>
      <c r="BA165" s="114">
        <f t="shared" si="29"/>
        <v>0</v>
      </c>
      <c r="BB165" s="114">
        <f t="shared" si="30"/>
        <v>0</v>
      </c>
      <c r="BC165" s="114">
        <f t="shared" si="31"/>
        <v>0</v>
      </c>
      <c r="BD165" s="114">
        <f t="shared" si="32"/>
        <v>0</v>
      </c>
      <c r="BE165" s="114">
        <f t="shared" si="33"/>
        <v>5</v>
      </c>
      <c r="BF165" s="114">
        <f t="shared" si="34"/>
        <v>0</v>
      </c>
      <c r="BG165" s="114">
        <f t="shared" si="35"/>
        <v>15</v>
      </c>
      <c r="BH165" s="114">
        <f t="shared" si="36"/>
        <v>0</v>
      </c>
      <c r="BI165" s="114">
        <f t="shared" si="37"/>
        <v>0</v>
      </c>
      <c r="BJ165" s="114"/>
      <c r="BK165" s="114">
        <f t="shared" si="38"/>
        <v>36</v>
      </c>
      <c r="BL165" s="113"/>
    </row>
    <row r="166" spans="1:64" ht="14.25" customHeight="1">
      <c r="A166" s="106" t="s">
        <v>333</v>
      </c>
      <c r="B166" s="115"/>
      <c r="C166" s="107">
        <v>1</v>
      </c>
      <c r="D166" s="107">
        <v>1</v>
      </c>
      <c r="E166" s="107"/>
      <c r="F166" s="107"/>
      <c r="G166" s="107"/>
      <c r="H166" s="107"/>
      <c r="I166" s="107"/>
      <c r="J166" s="107">
        <v>1</v>
      </c>
      <c r="K166" s="107"/>
      <c r="L166" s="107"/>
      <c r="M166" s="107"/>
      <c r="N166" s="107"/>
      <c r="O166" s="107"/>
      <c r="P166" s="107">
        <v>1</v>
      </c>
      <c r="Q166" s="107"/>
      <c r="R166" s="107"/>
      <c r="S166" s="107"/>
      <c r="T166" s="107"/>
      <c r="U166" s="107">
        <v>1</v>
      </c>
      <c r="V166" s="107"/>
      <c r="W166" s="107"/>
      <c r="X166" s="107"/>
      <c r="Y166" s="107">
        <v>1</v>
      </c>
      <c r="Z166" s="107">
        <v>1</v>
      </c>
      <c r="AA166" s="107"/>
      <c r="AB166" s="107"/>
      <c r="AC166" s="107"/>
      <c r="AD166" s="107">
        <v>1</v>
      </c>
      <c r="AE166" s="107"/>
      <c r="AF166" s="107"/>
      <c r="AG166" s="107">
        <v>1</v>
      </c>
      <c r="AH166" s="107"/>
      <c r="AI166" s="107"/>
      <c r="AJ166" s="107"/>
      <c r="AK166" s="107">
        <v>9</v>
      </c>
      <c r="AL166" s="303" t="s">
        <v>1543</v>
      </c>
      <c r="AM166" s="108">
        <f t="shared" si="16"/>
        <v>68</v>
      </c>
      <c r="AN166" s="108">
        <f t="shared" si="17"/>
        <v>100</v>
      </c>
      <c r="AO166" s="115">
        <f t="shared" si="18"/>
        <v>9</v>
      </c>
      <c r="AP166" s="115">
        <f t="shared" si="19"/>
        <v>13</v>
      </c>
      <c r="AQ166" s="115">
        <f t="shared" si="20"/>
        <v>0</v>
      </c>
      <c r="AR166" s="115">
        <f t="shared" si="21"/>
        <v>0</v>
      </c>
      <c r="AS166" s="115">
        <f t="shared" si="22"/>
        <v>17</v>
      </c>
      <c r="AT166" s="115">
        <f t="shared" si="23"/>
        <v>0</v>
      </c>
      <c r="AU166" s="115">
        <f t="shared" si="24"/>
        <v>18</v>
      </c>
      <c r="AV166" s="115">
        <f t="shared" si="25"/>
        <v>0</v>
      </c>
      <c r="AW166" s="115">
        <f t="shared" si="26"/>
        <v>0</v>
      </c>
      <c r="AX166" s="115">
        <f t="shared" ref="AX166:AY166" si="195">IF(S166=1,2,0)</f>
        <v>0</v>
      </c>
      <c r="AY166" s="115">
        <f t="shared" si="195"/>
        <v>0</v>
      </c>
      <c r="AZ166" s="115">
        <f t="shared" si="28"/>
        <v>10</v>
      </c>
      <c r="BA166" s="115">
        <f t="shared" si="29"/>
        <v>0</v>
      </c>
      <c r="BB166" s="115">
        <f t="shared" si="30"/>
        <v>10</v>
      </c>
      <c r="BC166" s="115">
        <f t="shared" si="31"/>
        <v>8</v>
      </c>
      <c r="BD166" s="115">
        <f t="shared" si="32"/>
        <v>0</v>
      </c>
      <c r="BE166" s="115">
        <f t="shared" si="33"/>
        <v>5</v>
      </c>
      <c r="BF166" s="115">
        <f t="shared" si="34"/>
        <v>0</v>
      </c>
      <c r="BG166" s="115">
        <f t="shared" si="35"/>
        <v>15</v>
      </c>
      <c r="BH166" s="115">
        <f t="shared" si="36"/>
        <v>0</v>
      </c>
      <c r="BI166" s="115">
        <f t="shared" si="37"/>
        <v>0</v>
      </c>
      <c r="BJ166" s="115"/>
      <c r="BK166" s="115">
        <f t="shared" si="38"/>
        <v>1</v>
      </c>
      <c r="BL166" s="109"/>
    </row>
    <row r="167" spans="1:64" ht="14.25" customHeight="1">
      <c r="A167" s="110" t="s">
        <v>1352</v>
      </c>
      <c r="B167" s="114"/>
      <c r="C167" s="111">
        <v>1</v>
      </c>
      <c r="D167" s="111">
        <v>1</v>
      </c>
      <c r="E167" s="111">
        <v>1</v>
      </c>
      <c r="F167" s="111"/>
      <c r="G167" s="111">
        <v>1</v>
      </c>
      <c r="H167" s="111"/>
      <c r="I167" s="111"/>
      <c r="J167" s="111">
        <v>1</v>
      </c>
      <c r="K167" s="111"/>
      <c r="L167" s="111"/>
      <c r="M167" s="111"/>
      <c r="N167" s="111"/>
      <c r="O167" s="111"/>
      <c r="P167" s="111">
        <v>1</v>
      </c>
      <c r="Q167" s="111"/>
      <c r="R167" s="111"/>
      <c r="S167" s="111"/>
      <c r="T167" s="111"/>
      <c r="U167" s="111">
        <v>1</v>
      </c>
      <c r="V167" s="111"/>
      <c r="W167" s="111"/>
      <c r="X167" s="111"/>
      <c r="Y167" s="111">
        <v>1</v>
      </c>
      <c r="Z167" s="111">
        <v>1</v>
      </c>
      <c r="AA167" s="111"/>
      <c r="AB167" s="111"/>
      <c r="AC167" s="111"/>
      <c r="AD167" s="111"/>
      <c r="AE167" s="111"/>
      <c r="AF167" s="111"/>
      <c r="AG167" s="111">
        <v>1</v>
      </c>
      <c r="AH167" s="111"/>
      <c r="AI167" s="111"/>
      <c r="AJ167" s="111"/>
      <c r="AK167" s="111">
        <v>10</v>
      </c>
      <c r="AL167" s="304" t="s">
        <v>1544</v>
      </c>
      <c r="AM167" s="112">
        <f t="shared" si="16"/>
        <v>96</v>
      </c>
      <c r="AN167" s="112">
        <f t="shared" si="17"/>
        <v>100</v>
      </c>
      <c r="AO167" s="114">
        <f t="shared" si="18"/>
        <v>9</v>
      </c>
      <c r="AP167" s="114">
        <f t="shared" si="19"/>
        <v>13</v>
      </c>
      <c r="AQ167" s="114">
        <f t="shared" si="20"/>
        <v>6</v>
      </c>
      <c r="AR167" s="114">
        <f t="shared" si="21"/>
        <v>6</v>
      </c>
      <c r="AS167" s="114">
        <f t="shared" si="22"/>
        <v>17</v>
      </c>
      <c r="AT167" s="114">
        <f t="shared" si="23"/>
        <v>0</v>
      </c>
      <c r="AU167" s="114">
        <f t="shared" si="24"/>
        <v>18</v>
      </c>
      <c r="AV167" s="114">
        <f t="shared" si="25"/>
        <v>0</v>
      </c>
      <c r="AW167" s="114">
        <f t="shared" si="26"/>
        <v>0</v>
      </c>
      <c r="AX167" s="114">
        <f t="shared" ref="AX167:AY167" si="196">IF(S167=1,2,0)</f>
        <v>0</v>
      </c>
      <c r="AY167" s="114">
        <f t="shared" si="196"/>
        <v>0</v>
      </c>
      <c r="AZ167" s="114">
        <f t="shared" si="28"/>
        <v>10</v>
      </c>
      <c r="BA167" s="114">
        <f t="shared" si="29"/>
        <v>0</v>
      </c>
      <c r="BB167" s="114">
        <f t="shared" si="30"/>
        <v>10</v>
      </c>
      <c r="BC167" s="114">
        <f t="shared" si="31"/>
        <v>8</v>
      </c>
      <c r="BD167" s="114">
        <f t="shared" si="32"/>
        <v>0</v>
      </c>
      <c r="BE167" s="114">
        <f t="shared" si="33"/>
        <v>0</v>
      </c>
      <c r="BF167" s="114">
        <f t="shared" si="34"/>
        <v>0</v>
      </c>
      <c r="BG167" s="114">
        <f t="shared" si="35"/>
        <v>15</v>
      </c>
      <c r="BH167" s="114">
        <f t="shared" si="36"/>
        <v>0</v>
      </c>
      <c r="BI167" s="114">
        <f t="shared" si="37"/>
        <v>0</v>
      </c>
      <c r="BJ167" s="114"/>
      <c r="BK167" s="114">
        <f t="shared" si="38"/>
        <v>0</v>
      </c>
      <c r="BL167" s="113"/>
    </row>
    <row r="168" spans="1:64" ht="14.25" customHeight="1">
      <c r="A168" s="106" t="s">
        <v>336</v>
      </c>
      <c r="B168" s="115"/>
      <c r="C168" s="107">
        <v>1</v>
      </c>
      <c r="D168" s="107">
        <v>1</v>
      </c>
      <c r="E168" s="107"/>
      <c r="F168" s="107"/>
      <c r="G168" s="107"/>
      <c r="H168" s="107"/>
      <c r="I168" s="107"/>
      <c r="J168" s="107">
        <v>1</v>
      </c>
      <c r="K168" s="107"/>
      <c r="L168" s="107"/>
      <c r="M168" s="107"/>
      <c r="N168" s="107"/>
      <c r="O168" s="107"/>
      <c r="P168" s="107">
        <v>1</v>
      </c>
      <c r="Q168" s="107">
        <v>1</v>
      </c>
      <c r="R168" s="107"/>
      <c r="S168" s="107"/>
      <c r="T168" s="107"/>
      <c r="U168" s="107"/>
      <c r="V168" s="107"/>
      <c r="W168" s="107"/>
      <c r="X168" s="107"/>
      <c r="Y168" s="107">
        <v>1</v>
      </c>
      <c r="Z168" s="107">
        <v>1</v>
      </c>
      <c r="AA168" s="107"/>
      <c r="AB168" s="107">
        <v>1</v>
      </c>
      <c r="AC168" s="107"/>
      <c r="AD168" s="107"/>
      <c r="AE168" s="107"/>
      <c r="AF168" s="107"/>
      <c r="AG168" s="107">
        <v>1</v>
      </c>
      <c r="AH168" s="107"/>
      <c r="AI168" s="107">
        <v>1</v>
      </c>
      <c r="AJ168" s="107"/>
      <c r="AK168" s="107">
        <v>10</v>
      </c>
      <c r="AL168" s="303" t="s">
        <v>1545</v>
      </c>
      <c r="AM168" s="108">
        <f t="shared" si="16"/>
        <v>82</v>
      </c>
      <c r="AN168" s="108">
        <f t="shared" si="17"/>
        <v>95</v>
      </c>
      <c r="AO168" s="115">
        <f t="shared" si="18"/>
        <v>9</v>
      </c>
      <c r="AP168" s="115">
        <f t="shared" si="19"/>
        <v>13</v>
      </c>
      <c r="AQ168" s="115">
        <f t="shared" si="20"/>
        <v>0</v>
      </c>
      <c r="AR168" s="115">
        <f t="shared" si="21"/>
        <v>0</v>
      </c>
      <c r="AS168" s="115">
        <f t="shared" si="22"/>
        <v>17</v>
      </c>
      <c r="AT168" s="115">
        <f t="shared" si="23"/>
        <v>0</v>
      </c>
      <c r="AU168" s="115">
        <f t="shared" si="24"/>
        <v>18</v>
      </c>
      <c r="AV168" s="115">
        <f t="shared" si="25"/>
        <v>4</v>
      </c>
      <c r="AW168" s="115">
        <f t="shared" si="26"/>
        <v>0</v>
      </c>
      <c r="AX168" s="115">
        <f t="shared" ref="AX168:AY168" si="197">IF(S168=1,2,0)</f>
        <v>0</v>
      </c>
      <c r="AY168" s="115">
        <f t="shared" si="197"/>
        <v>0</v>
      </c>
      <c r="AZ168" s="115">
        <f t="shared" si="28"/>
        <v>0</v>
      </c>
      <c r="BA168" s="115">
        <f t="shared" si="29"/>
        <v>0</v>
      </c>
      <c r="BB168" s="115">
        <f t="shared" si="30"/>
        <v>10</v>
      </c>
      <c r="BC168" s="115">
        <f t="shared" si="31"/>
        <v>8</v>
      </c>
      <c r="BD168" s="115">
        <f t="shared" si="32"/>
        <v>5</v>
      </c>
      <c r="BE168" s="115">
        <f t="shared" si="33"/>
        <v>0</v>
      </c>
      <c r="BF168" s="115">
        <f t="shared" si="34"/>
        <v>0</v>
      </c>
      <c r="BG168" s="115">
        <f t="shared" si="35"/>
        <v>15</v>
      </c>
      <c r="BH168" s="115">
        <f t="shared" si="36"/>
        <v>3</v>
      </c>
      <c r="BI168" s="115">
        <f t="shared" si="37"/>
        <v>0</v>
      </c>
      <c r="BJ168" s="115"/>
      <c r="BK168" s="115">
        <f t="shared" si="38"/>
        <v>0</v>
      </c>
      <c r="BL168" s="109"/>
    </row>
    <row r="169" spans="1:64" ht="14.25" customHeight="1">
      <c r="A169" s="110" t="s">
        <v>340</v>
      </c>
      <c r="B169" s="114"/>
      <c r="C169" s="111"/>
      <c r="D169" s="111">
        <v>1</v>
      </c>
      <c r="E169" s="111">
        <v>1</v>
      </c>
      <c r="F169" s="111"/>
      <c r="G169" s="111">
        <v>1</v>
      </c>
      <c r="H169" s="111"/>
      <c r="I169" s="111"/>
      <c r="J169" s="111">
        <v>1</v>
      </c>
      <c r="K169" s="111"/>
      <c r="L169" s="111"/>
      <c r="M169" s="111"/>
      <c r="N169" s="111"/>
      <c r="O169" s="111"/>
      <c r="P169" s="111">
        <v>1</v>
      </c>
      <c r="Q169" s="111"/>
      <c r="R169" s="111"/>
      <c r="S169" s="111"/>
      <c r="T169" s="111"/>
      <c r="U169" s="111">
        <v>1</v>
      </c>
      <c r="V169" s="111">
        <v>1</v>
      </c>
      <c r="W169" s="111"/>
      <c r="X169" s="111"/>
      <c r="Y169" s="111">
        <v>1</v>
      </c>
      <c r="Z169" s="111"/>
      <c r="AA169" s="111"/>
      <c r="AB169" s="111">
        <v>1</v>
      </c>
      <c r="AC169" s="111"/>
      <c r="AD169" s="111"/>
      <c r="AE169" s="111"/>
      <c r="AF169" s="111"/>
      <c r="AG169" s="111">
        <v>1</v>
      </c>
      <c r="AH169" s="111"/>
      <c r="AI169" s="111"/>
      <c r="AJ169" s="111"/>
      <c r="AK169" s="111">
        <v>10</v>
      </c>
      <c r="AL169" s="304" t="s">
        <v>1546</v>
      </c>
      <c r="AM169" s="112">
        <f t="shared" si="16"/>
        <v>88</v>
      </c>
      <c r="AN169" s="112">
        <f t="shared" si="17"/>
        <v>95</v>
      </c>
      <c r="AO169" s="114">
        <f t="shared" si="18"/>
        <v>0</v>
      </c>
      <c r="AP169" s="114">
        <f t="shared" si="19"/>
        <v>13</v>
      </c>
      <c r="AQ169" s="114">
        <f t="shared" si="20"/>
        <v>6</v>
      </c>
      <c r="AR169" s="114">
        <f t="shared" si="21"/>
        <v>6</v>
      </c>
      <c r="AS169" s="114">
        <f t="shared" si="22"/>
        <v>17</v>
      </c>
      <c r="AT169" s="114">
        <f t="shared" si="23"/>
        <v>0</v>
      </c>
      <c r="AU169" s="114">
        <f t="shared" si="24"/>
        <v>18</v>
      </c>
      <c r="AV169" s="114">
        <f t="shared" si="25"/>
        <v>0</v>
      </c>
      <c r="AW169" s="114">
        <f t="shared" si="26"/>
        <v>0</v>
      </c>
      <c r="AX169" s="114">
        <f t="shared" ref="AX169:AY169" si="198">IF(S169=1,2,0)</f>
        <v>0</v>
      </c>
      <c r="AY169" s="114">
        <f t="shared" si="198"/>
        <v>0</v>
      </c>
      <c r="AZ169" s="114">
        <f t="shared" si="28"/>
        <v>10</v>
      </c>
      <c r="BA169" s="114">
        <f t="shared" si="29"/>
        <v>3</v>
      </c>
      <c r="BB169" s="114">
        <f t="shared" si="30"/>
        <v>10</v>
      </c>
      <c r="BC169" s="114">
        <f t="shared" si="31"/>
        <v>0</v>
      </c>
      <c r="BD169" s="114">
        <f t="shared" si="32"/>
        <v>5</v>
      </c>
      <c r="BE169" s="114">
        <f t="shared" si="33"/>
        <v>0</v>
      </c>
      <c r="BF169" s="114">
        <f t="shared" si="34"/>
        <v>0</v>
      </c>
      <c r="BG169" s="114">
        <f t="shared" si="35"/>
        <v>15</v>
      </c>
      <c r="BH169" s="114">
        <f t="shared" si="36"/>
        <v>0</v>
      </c>
      <c r="BI169" s="114">
        <f t="shared" si="37"/>
        <v>0</v>
      </c>
      <c r="BJ169" s="114"/>
      <c r="BK169" s="114">
        <f t="shared" si="38"/>
        <v>0</v>
      </c>
      <c r="BL169" s="113"/>
    </row>
    <row r="170" spans="1:64" ht="14.25" customHeight="1">
      <c r="A170" s="106" t="s">
        <v>341</v>
      </c>
      <c r="B170" s="115"/>
      <c r="C170" s="107">
        <v>1</v>
      </c>
      <c r="D170" s="107">
        <v>1</v>
      </c>
      <c r="E170" s="107">
        <v>1</v>
      </c>
      <c r="F170" s="107"/>
      <c r="G170" s="107">
        <v>1</v>
      </c>
      <c r="H170" s="107"/>
      <c r="I170" s="107"/>
      <c r="J170" s="107">
        <v>1</v>
      </c>
      <c r="K170" s="107"/>
      <c r="L170" s="107"/>
      <c r="M170" s="107"/>
      <c r="N170" s="107"/>
      <c r="O170" s="107"/>
      <c r="P170" s="107">
        <v>1</v>
      </c>
      <c r="Q170" s="107"/>
      <c r="R170" s="107"/>
      <c r="S170" s="107"/>
      <c r="T170" s="107"/>
      <c r="U170" s="107">
        <v>1</v>
      </c>
      <c r="V170" s="107"/>
      <c r="W170" s="107"/>
      <c r="X170" s="107"/>
      <c r="Y170" s="107">
        <v>1</v>
      </c>
      <c r="Z170" s="107"/>
      <c r="AA170" s="107"/>
      <c r="AB170" s="107"/>
      <c r="AC170" s="107"/>
      <c r="AD170" s="107"/>
      <c r="AE170" s="107"/>
      <c r="AF170" s="107"/>
      <c r="AG170" s="107"/>
      <c r="AH170" s="107"/>
      <c r="AI170" s="107">
        <v>1</v>
      </c>
      <c r="AJ170" s="107">
        <v>1</v>
      </c>
      <c r="AK170" s="107">
        <f>SUM(B170:AJ170)</f>
        <v>10</v>
      </c>
      <c r="AL170" s="303" t="s">
        <v>1547</v>
      </c>
      <c r="AM170" s="108">
        <f t="shared" si="16"/>
        <v>83</v>
      </c>
      <c r="AN170" s="108">
        <f t="shared" si="17"/>
        <v>89</v>
      </c>
      <c r="AO170" s="115">
        <f t="shared" si="18"/>
        <v>9</v>
      </c>
      <c r="AP170" s="115">
        <f t="shared" si="19"/>
        <v>13</v>
      </c>
      <c r="AQ170" s="115">
        <f t="shared" si="20"/>
        <v>6</v>
      </c>
      <c r="AR170" s="115">
        <f t="shared" si="21"/>
        <v>6</v>
      </c>
      <c r="AS170" s="115">
        <f t="shared" si="22"/>
        <v>17</v>
      </c>
      <c r="AT170" s="115">
        <f t="shared" si="23"/>
        <v>0</v>
      </c>
      <c r="AU170" s="115">
        <f t="shared" si="24"/>
        <v>18</v>
      </c>
      <c r="AV170" s="115">
        <f t="shared" si="25"/>
        <v>0</v>
      </c>
      <c r="AW170" s="115">
        <f t="shared" si="26"/>
        <v>0</v>
      </c>
      <c r="AX170" s="115">
        <f t="shared" ref="AX170:AY170" si="199">IF(S170=1,2,0)</f>
        <v>0</v>
      </c>
      <c r="AY170" s="115">
        <f t="shared" si="199"/>
        <v>0</v>
      </c>
      <c r="AZ170" s="115">
        <f t="shared" si="28"/>
        <v>10</v>
      </c>
      <c r="BA170" s="115">
        <f t="shared" si="29"/>
        <v>0</v>
      </c>
      <c r="BB170" s="115">
        <f t="shared" si="30"/>
        <v>10</v>
      </c>
      <c r="BC170" s="115">
        <f t="shared" si="31"/>
        <v>0</v>
      </c>
      <c r="BD170" s="115">
        <f t="shared" si="32"/>
        <v>0</v>
      </c>
      <c r="BE170" s="115">
        <f t="shared" si="33"/>
        <v>0</v>
      </c>
      <c r="BF170" s="115">
        <f t="shared" si="34"/>
        <v>0</v>
      </c>
      <c r="BG170" s="115">
        <f t="shared" si="35"/>
        <v>0</v>
      </c>
      <c r="BH170" s="115">
        <f t="shared" si="36"/>
        <v>3</v>
      </c>
      <c r="BI170" s="115">
        <f t="shared" si="37"/>
        <v>2</v>
      </c>
      <c r="BJ170" s="115"/>
      <c r="BK170" s="115">
        <f t="shared" si="38"/>
        <v>0</v>
      </c>
      <c r="BL170" s="109"/>
    </row>
    <row r="171" spans="1:64" ht="14.25" customHeight="1">
      <c r="A171" s="110" t="s">
        <v>633</v>
      </c>
      <c r="B171" s="114"/>
      <c r="C171" s="111"/>
      <c r="D171" s="111">
        <v>1</v>
      </c>
      <c r="E171" s="111">
        <v>1</v>
      </c>
      <c r="F171" s="111"/>
      <c r="G171" s="111">
        <v>1</v>
      </c>
      <c r="H171" s="111"/>
      <c r="I171" s="111"/>
      <c r="J171" s="111">
        <v>1</v>
      </c>
      <c r="K171" s="111"/>
      <c r="L171" s="111"/>
      <c r="M171" s="111"/>
      <c r="N171" s="111"/>
      <c r="O171" s="111"/>
      <c r="P171" s="111">
        <v>1</v>
      </c>
      <c r="Q171" s="111"/>
      <c r="R171" s="111"/>
      <c r="S171" s="111"/>
      <c r="T171" s="111">
        <v>1</v>
      </c>
      <c r="U171" s="111"/>
      <c r="V171" s="111"/>
      <c r="W171" s="111"/>
      <c r="X171" s="111"/>
      <c r="Y171" s="111">
        <v>1</v>
      </c>
      <c r="Z171" s="111">
        <v>1</v>
      </c>
      <c r="AA171" s="111"/>
      <c r="AB171" s="111">
        <v>1</v>
      </c>
      <c r="AC171" s="111"/>
      <c r="AD171" s="111"/>
      <c r="AE171" s="111"/>
      <c r="AF171" s="111"/>
      <c r="AG171" s="111">
        <v>1</v>
      </c>
      <c r="AH171" s="111"/>
      <c r="AI171" s="111"/>
      <c r="AJ171" s="111"/>
      <c r="AK171" s="111">
        <v>10</v>
      </c>
      <c r="AL171" s="304" t="s">
        <v>1440</v>
      </c>
      <c r="AM171" s="112">
        <f t="shared" si="16"/>
        <v>96</v>
      </c>
      <c r="AN171" s="112">
        <f t="shared" si="17"/>
        <v>93</v>
      </c>
      <c r="AO171" s="114">
        <f t="shared" si="18"/>
        <v>0</v>
      </c>
      <c r="AP171" s="114">
        <f t="shared" si="19"/>
        <v>13</v>
      </c>
      <c r="AQ171" s="114">
        <f t="shared" si="20"/>
        <v>6</v>
      </c>
      <c r="AR171" s="114">
        <f t="shared" si="21"/>
        <v>6</v>
      </c>
      <c r="AS171" s="114">
        <f t="shared" si="22"/>
        <v>17</v>
      </c>
      <c r="AT171" s="114">
        <f t="shared" si="23"/>
        <v>0</v>
      </c>
      <c r="AU171" s="114">
        <f t="shared" si="24"/>
        <v>18</v>
      </c>
      <c r="AV171" s="114">
        <f t="shared" si="25"/>
        <v>0</v>
      </c>
      <c r="AW171" s="114">
        <f t="shared" si="26"/>
        <v>0</v>
      </c>
      <c r="AX171" s="114">
        <f t="shared" ref="AX171:AY171" si="200">IF(S171=1,2,0)</f>
        <v>0</v>
      </c>
      <c r="AY171" s="114">
        <f t="shared" si="200"/>
        <v>2</v>
      </c>
      <c r="AZ171" s="114">
        <f t="shared" si="28"/>
        <v>0</v>
      </c>
      <c r="BA171" s="114">
        <f t="shared" si="29"/>
        <v>0</v>
      </c>
      <c r="BB171" s="114">
        <f t="shared" si="30"/>
        <v>10</v>
      </c>
      <c r="BC171" s="114">
        <f t="shared" si="31"/>
        <v>8</v>
      </c>
      <c r="BD171" s="114">
        <f t="shared" si="32"/>
        <v>5</v>
      </c>
      <c r="BE171" s="114">
        <f t="shared" si="33"/>
        <v>0</v>
      </c>
      <c r="BF171" s="114">
        <f t="shared" si="34"/>
        <v>0</v>
      </c>
      <c r="BG171" s="114">
        <f t="shared" si="35"/>
        <v>15</v>
      </c>
      <c r="BH171" s="114">
        <f t="shared" si="36"/>
        <v>0</v>
      </c>
      <c r="BI171" s="114">
        <f t="shared" si="37"/>
        <v>0</v>
      </c>
      <c r="BJ171" s="114"/>
      <c r="BK171" s="114">
        <f t="shared" si="38"/>
        <v>0</v>
      </c>
      <c r="BL171" s="113"/>
    </row>
    <row r="172" spans="1:64" ht="14.25" customHeight="1">
      <c r="A172" s="106" t="s">
        <v>1548</v>
      </c>
      <c r="B172" s="115"/>
      <c r="C172" s="107">
        <v>1</v>
      </c>
      <c r="D172" s="107">
        <v>1</v>
      </c>
      <c r="E172" s="107"/>
      <c r="F172" s="107"/>
      <c r="G172" s="107"/>
      <c r="H172" s="107"/>
      <c r="I172" s="107"/>
      <c r="J172" s="107">
        <v>1</v>
      </c>
      <c r="K172" s="107"/>
      <c r="L172" s="107"/>
      <c r="M172" s="107"/>
      <c r="N172" s="107">
        <v>1</v>
      </c>
      <c r="O172" s="107"/>
      <c r="P172" s="107">
        <v>1</v>
      </c>
      <c r="Q172" s="107">
        <v>1</v>
      </c>
      <c r="R172" s="107"/>
      <c r="S172" s="107"/>
      <c r="T172" s="107"/>
      <c r="U172" s="107"/>
      <c r="V172" s="107"/>
      <c r="W172" s="107"/>
      <c r="X172" s="107"/>
      <c r="Y172" s="107">
        <v>1</v>
      </c>
      <c r="Z172" s="107">
        <v>1</v>
      </c>
      <c r="AA172" s="107"/>
      <c r="AB172" s="107"/>
      <c r="AC172" s="107"/>
      <c r="AD172" s="107"/>
      <c r="AE172" s="107"/>
      <c r="AF172" s="107"/>
      <c r="AG172" s="107">
        <v>1</v>
      </c>
      <c r="AH172" s="107"/>
      <c r="AI172" s="107">
        <v>1</v>
      </c>
      <c r="AJ172" s="107"/>
      <c r="AK172" s="107">
        <v>10</v>
      </c>
      <c r="AL172" s="303" t="s">
        <v>1549</v>
      </c>
      <c r="AM172" s="108">
        <f t="shared" si="16"/>
        <v>80</v>
      </c>
      <c r="AN172" s="108">
        <f t="shared" si="17"/>
        <v>94</v>
      </c>
      <c r="AO172" s="115">
        <f t="shared" si="18"/>
        <v>9</v>
      </c>
      <c r="AP172" s="115">
        <f t="shared" si="19"/>
        <v>13</v>
      </c>
      <c r="AQ172" s="115">
        <f t="shared" si="20"/>
        <v>0</v>
      </c>
      <c r="AR172" s="115">
        <f t="shared" si="21"/>
        <v>0</v>
      </c>
      <c r="AS172" s="115">
        <f t="shared" si="22"/>
        <v>17</v>
      </c>
      <c r="AT172" s="115">
        <f t="shared" si="23"/>
        <v>2</v>
      </c>
      <c r="AU172" s="115">
        <f t="shared" si="24"/>
        <v>18</v>
      </c>
      <c r="AV172" s="115">
        <f t="shared" si="25"/>
        <v>4</v>
      </c>
      <c r="AW172" s="115">
        <f t="shared" si="26"/>
        <v>0</v>
      </c>
      <c r="AX172" s="115">
        <f t="shared" ref="AX172:AY172" si="201">IF(S172=1,2,0)</f>
        <v>0</v>
      </c>
      <c r="AY172" s="115">
        <f t="shared" si="201"/>
        <v>0</v>
      </c>
      <c r="AZ172" s="115">
        <f t="shared" si="28"/>
        <v>0</v>
      </c>
      <c r="BA172" s="115">
        <f t="shared" si="29"/>
        <v>0</v>
      </c>
      <c r="BB172" s="115">
        <f t="shared" si="30"/>
        <v>10</v>
      </c>
      <c r="BC172" s="115">
        <f t="shared" si="31"/>
        <v>8</v>
      </c>
      <c r="BD172" s="115">
        <f t="shared" si="32"/>
        <v>0</v>
      </c>
      <c r="BE172" s="115">
        <f t="shared" si="33"/>
        <v>0</v>
      </c>
      <c r="BF172" s="115">
        <f t="shared" si="34"/>
        <v>0</v>
      </c>
      <c r="BG172" s="115">
        <f t="shared" si="35"/>
        <v>15</v>
      </c>
      <c r="BH172" s="115">
        <f t="shared" si="36"/>
        <v>3</v>
      </c>
      <c r="BI172" s="115">
        <f t="shared" si="37"/>
        <v>0</v>
      </c>
      <c r="BJ172" s="115"/>
      <c r="BK172" s="115">
        <f t="shared" si="38"/>
        <v>0</v>
      </c>
      <c r="BL172" s="109"/>
    </row>
    <row r="173" spans="1:64" ht="14.25" customHeight="1">
      <c r="A173" s="110" t="s">
        <v>342</v>
      </c>
      <c r="B173" s="114"/>
      <c r="C173" s="111">
        <v>1</v>
      </c>
      <c r="D173" s="111">
        <v>1</v>
      </c>
      <c r="E173" s="111"/>
      <c r="F173" s="111"/>
      <c r="G173" s="111"/>
      <c r="H173" s="111"/>
      <c r="I173" s="111"/>
      <c r="J173" s="111">
        <v>1</v>
      </c>
      <c r="K173" s="111"/>
      <c r="L173" s="111"/>
      <c r="M173" s="111"/>
      <c r="N173" s="111"/>
      <c r="O173" s="111"/>
      <c r="P173" s="111">
        <v>1</v>
      </c>
      <c r="Q173" s="111"/>
      <c r="R173" s="111"/>
      <c r="S173" s="111"/>
      <c r="T173" s="111"/>
      <c r="U173" s="111">
        <v>1</v>
      </c>
      <c r="V173" s="111"/>
      <c r="W173" s="111"/>
      <c r="X173" s="111"/>
      <c r="Y173" s="111">
        <v>1</v>
      </c>
      <c r="Z173" s="111">
        <v>1</v>
      </c>
      <c r="AA173" s="111"/>
      <c r="AB173" s="111">
        <v>1</v>
      </c>
      <c r="AC173" s="111"/>
      <c r="AD173" s="111"/>
      <c r="AE173" s="111"/>
      <c r="AF173" s="111"/>
      <c r="AG173" s="111">
        <v>1</v>
      </c>
      <c r="AH173" s="111"/>
      <c r="AI173" s="111">
        <v>1</v>
      </c>
      <c r="AJ173" s="111"/>
      <c r="AK173" s="111">
        <f t="shared" ref="AK173:AK176" si="202">SUM(B173:AJ173)</f>
        <v>10</v>
      </c>
      <c r="AL173" s="304" t="s">
        <v>1550</v>
      </c>
      <c r="AM173" s="112">
        <f t="shared" si="16"/>
        <v>78</v>
      </c>
      <c r="AN173" s="112">
        <f t="shared" si="17"/>
        <v>100</v>
      </c>
      <c r="AO173" s="114">
        <f t="shared" si="18"/>
        <v>9</v>
      </c>
      <c r="AP173" s="114">
        <f t="shared" si="19"/>
        <v>13</v>
      </c>
      <c r="AQ173" s="114">
        <f t="shared" si="20"/>
        <v>0</v>
      </c>
      <c r="AR173" s="114">
        <f t="shared" si="21"/>
        <v>0</v>
      </c>
      <c r="AS173" s="114">
        <f t="shared" si="22"/>
        <v>17</v>
      </c>
      <c r="AT173" s="114">
        <f t="shared" si="23"/>
        <v>0</v>
      </c>
      <c r="AU173" s="114">
        <f t="shared" si="24"/>
        <v>18</v>
      </c>
      <c r="AV173" s="114">
        <f t="shared" si="25"/>
        <v>0</v>
      </c>
      <c r="AW173" s="114">
        <f t="shared" si="26"/>
        <v>0</v>
      </c>
      <c r="AX173" s="114">
        <f t="shared" ref="AX173:AY173" si="203">IF(S173=1,2,0)</f>
        <v>0</v>
      </c>
      <c r="AY173" s="114">
        <f t="shared" si="203"/>
        <v>0</v>
      </c>
      <c r="AZ173" s="114">
        <f t="shared" si="28"/>
        <v>10</v>
      </c>
      <c r="BA173" s="114">
        <f t="shared" si="29"/>
        <v>0</v>
      </c>
      <c r="BB173" s="114">
        <f t="shared" si="30"/>
        <v>10</v>
      </c>
      <c r="BC173" s="114">
        <f t="shared" si="31"/>
        <v>8</v>
      </c>
      <c r="BD173" s="114">
        <f t="shared" si="32"/>
        <v>5</v>
      </c>
      <c r="BE173" s="114">
        <f t="shared" si="33"/>
        <v>0</v>
      </c>
      <c r="BF173" s="114">
        <f t="shared" si="34"/>
        <v>0</v>
      </c>
      <c r="BG173" s="114">
        <f t="shared" si="35"/>
        <v>15</v>
      </c>
      <c r="BH173" s="114">
        <f t="shared" si="36"/>
        <v>3</v>
      </c>
      <c r="BI173" s="114">
        <f t="shared" si="37"/>
        <v>0</v>
      </c>
      <c r="BJ173" s="114"/>
      <c r="BK173" s="114">
        <f t="shared" si="38"/>
        <v>0</v>
      </c>
      <c r="BL173" s="113"/>
    </row>
    <row r="174" spans="1:64" ht="14.25" customHeight="1">
      <c r="A174" s="106" t="s">
        <v>346</v>
      </c>
      <c r="B174" s="115"/>
      <c r="C174" s="107">
        <v>1</v>
      </c>
      <c r="D174" s="107">
        <v>1</v>
      </c>
      <c r="E174" s="107"/>
      <c r="F174" s="107"/>
      <c r="G174" s="107"/>
      <c r="H174" s="107"/>
      <c r="I174" s="107"/>
      <c r="J174" s="107">
        <v>1</v>
      </c>
      <c r="K174" s="107"/>
      <c r="L174" s="107"/>
      <c r="M174" s="107"/>
      <c r="N174" s="107"/>
      <c r="O174" s="107"/>
      <c r="P174" s="107">
        <v>1</v>
      </c>
      <c r="Q174" s="107">
        <v>1</v>
      </c>
      <c r="R174" s="107"/>
      <c r="S174" s="107"/>
      <c r="T174" s="107"/>
      <c r="U174" s="107"/>
      <c r="V174" s="107">
        <v>1</v>
      </c>
      <c r="W174" s="107"/>
      <c r="X174" s="107"/>
      <c r="Y174" s="107">
        <v>1</v>
      </c>
      <c r="Z174" s="107">
        <v>1</v>
      </c>
      <c r="AA174" s="107"/>
      <c r="AB174" s="107">
        <v>1</v>
      </c>
      <c r="AC174" s="107"/>
      <c r="AD174" s="107"/>
      <c r="AE174" s="107"/>
      <c r="AF174" s="107"/>
      <c r="AG174" s="107">
        <v>1</v>
      </c>
      <c r="AH174" s="107"/>
      <c r="AI174" s="107"/>
      <c r="AJ174" s="107"/>
      <c r="AK174" s="107">
        <f t="shared" si="202"/>
        <v>10</v>
      </c>
      <c r="AL174" s="303" t="s">
        <v>1551</v>
      </c>
      <c r="AM174" s="108">
        <f t="shared" si="16"/>
        <v>82</v>
      </c>
      <c r="AN174" s="108">
        <f t="shared" si="17"/>
        <v>95</v>
      </c>
      <c r="AO174" s="115">
        <f t="shared" si="18"/>
        <v>9</v>
      </c>
      <c r="AP174" s="115">
        <f t="shared" si="19"/>
        <v>13</v>
      </c>
      <c r="AQ174" s="115">
        <f t="shared" si="20"/>
        <v>0</v>
      </c>
      <c r="AR174" s="115">
        <f t="shared" si="21"/>
        <v>0</v>
      </c>
      <c r="AS174" s="115">
        <f t="shared" si="22"/>
        <v>17</v>
      </c>
      <c r="AT174" s="115">
        <f t="shared" si="23"/>
        <v>0</v>
      </c>
      <c r="AU174" s="115">
        <f t="shared" si="24"/>
        <v>18</v>
      </c>
      <c r="AV174" s="115">
        <f t="shared" si="25"/>
        <v>4</v>
      </c>
      <c r="AW174" s="115">
        <f t="shared" si="26"/>
        <v>0</v>
      </c>
      <c r="AX174" s="115">
        <f t="shared" ref="AX174:AY174" si="204">IF(S174=1,2,0)</f>
        <v>0</v>
      </c>
      <c r="AY174" s="115">
        <f t="shared" si="204"/>
        <v>0</v>
      </c>
      <c r="AZ174" s="115">
        <f t="shared" si="28"/>
        <v>0</v>
      </c>
      <c r="BA174" s="115">
        <f t="shared" si="29"/>
        <v>3</v>
      </c>
      <c r="BB174" s="115">
        <f t="shared" si="30"/>
        <v>10</v>
      </c>
      <c r="BC174" s="115">
        <f t="shared" si="31"/>
        <v>8</v>
      </c>
      <c r="BD174" s="115">
        <f t="shared" si="32"/>
        <v>5</v>
      </c>
      <c r="BE174" s="115">
        <f t="shared" si="33"/>
        <v>0</v>
      </c>
      <c r="BF174" s="115">
        <f t="shared" si="34"/>
        <v>0</v>
      </c>
      <c r="BG174" s="115">
        <f t="shared" si="35"/>
        <v>15</v>
      </c>
      <c r="BH174" s="115">
        <f t="shared" si="36"/>
        <v>0</v>
      </c>
      <c r="BI174" s="115">
        <f t="shared" si="37"/>
        <v>0</v>
      </c>
      <c r="BJ174" s="115"/>
      <c r="BK174" s="115">
        <f t="shared" si="38"/>
        <v>0</v>
      </c>
      <c r="BL174" s="109"/>
    </row>
    <row r="175" spans="1:64" ht="15" customHeight="1">
      <c r="A175" s="110" t="s">
        <v>349</v>
      </c>
      <c r="B175" s="114"/>
      <c r="C175" s="111"/>
      <c r="D175" s="111">
        <v>1</v>
      </c>
      <c r="E175" s="111">
        <v>1</v>
      </c>
      <c r="F175" s="111"/>
      <c r="G175" s="111"/>
      <c r="H175" s="111"/>
      <c r="I175" s="111"/>
      <c r="J175" s="111">
        <v>1</v>
      </c>
      <c r="K175" s="111"/>
      <c r="L175" s="111"/>
      <c r="M175" s="111"/>
      <c r="N175" s="111"/>
      <c r="O175" s="111"/>
      <c r="P175" s="111">
        <v>1</v>
      </c>
      <c r="Q175" s="111"/>
      <c r="R175" s="111"/>
      <c r="S175" s="111"/>
      <c r="T175" s="111"/>
      <c r="U175" s="111">
        <v>1</v>
      </c>
      <c r="V175" s="111">
        <v>1</v>
      </c>
      <c r="W175" s="111"/>
      <c r="X175" s="111"/>
      <c r="Y175" s="111"/>
      <c r="Z175" s="111">
        <v>1</v>
      </c>
      <c r="AA175" s="111"/>
      <c r="AB175" s="111">
        <v>1</v>
      </c>
      <c r="AC175" s="111"/>
      <c r="AD175" s="111">
        <v>1</v>
      </c>
      <c r="AE175" s="111"/>
      <c r="AF175" s="111"/>
      <c r="AG175" s="111">
        <v>1</v>
      </c>
      <c r="AH175" s="111"/>
      <c r="AI175" s="111"/>
      <c r="AJ175" s="111"/>
      <c r="AK175" s="111">
        <f t="shared" si="202"/>
        <v>10</v>
      </c>
      <c r="AL175" s="304" t="s">
        <v>1488</v>
      </c>
      <c r="AM175" s="112">
        <f t="shared" si="16"/>
        <v>75</v>
      </c>
      <c r="AN175" s="112">
        <f t="shared" si="17"/>
        <v>92</v>
      </c>
      <c r="AO175" s="114">
        <f t="shared" si="18"/>
        <v>0</v>
      </c>
      <c r="AP175" s="114">
        <f t="shared" si="19"/>
        <v>13</v>
      </c>
      <c r="AQ175" s="114">
        <f t="shared" si="20"/>
        <v>6</v>
      </c>
      <c r="AR175" s="114">
        <f t="shared" si="21"/>
        <v>0</v>
      </c>
      <c r="AS175" s="114">
        <f t="shared" si="22"/>
        <v>17</v>
      </c>
      <c r="AT175" s="114">
        <f t="shared" si="23"/>
        <v>0</v>
      </c>
      <c r="AU175" s="114">
        <f t="shared" si="24"/>
        <v>18</v>
      </c>
      <c r="AV175" s="114">
        <f t="shared" si="25"/>
        <v>0</v>
      </c>
      <c r="AW175" s="114">
        <f t="shared" si="26"/>
        <v>0</v>
      </c>
      <c r="AX175" s="114">
        <f t="shared" ref="AX175:AY175" si="205">IF(S175=1,2,0)</f>
        <v>0</v>
      </c>
      <c r="AY175" s="114">
        <f t="shared" si="205"/>
        <v>0</v>
      </c>
      <c r="AZ175" s="114">
        <f t="shared" si="28"/>
        <v>10</v>
      </c>
      <c r="BA175" s="114">
        <f t="shared" si="29"/>
        <v>3</v>
      </c>
      <c r="BB175" s="114">
        <f t="shared" si="30"/>
        <v>0</v>
      </c>
      <c r="BC175" s="114">
        <f t="shared" si="31"/>
        <v>8</v>
      </c>
      <c r="BD175" s="114">
        <f t="shared" si="32"/>
        <v>5</v>
      </c>
      <c r="BE175" s="114">
        <f t="shared" si="33"/>
        <v>5</v>
      </c>
      <c r="BF175" s="114">
        <f t="shared" si="34"/>
        <v>0</v>
      </c>
      <c r="BG175" s="114">
        <f t="shared" si="35"/>
        <v>15</v>
      </c>
      <c r="BH175" s="114">
        <f t="shared" si="36"/>
        <v>0</v>
      </c>
      <c r="BI175" s="114">
        <f t="shared" si="37"/>
        <v>0</v>
      </c>
      <c r="BJ175" s="114"/>
      <c r="BK175" s="114">
        <f t="shared" si="38"/>
        <v>0</v>
      </c>
      <c r="BL175" s="113"/>
    </row>
    <row r="176" spans="1:64" ht="1.5" customHeight="1">
      <c r="A176" s="106" t="s">
        <v>639</v>
      </c>
      <c r="B176" s="115"/>
      <c r="C176" s="107">
        <v>1</v>
      </c>
      <c r="D176" s="107">
        <v>1</v>
      </c>
      <c r="E176" s="107">
        <v>1</v>
      </c>
      <c r="F176" s="107"/>
      <c r="G176" s="107">
        <v>1</v>
      </c>
      <c r="H176" s="107"/>
      <c r="I176" s="107"/>
      <c r="J176" s="107">
        <v>1</v>
      </c>
      <c r="K176" s="107"/>
      <c r="L176" s="107"/>
      <c r="M176" s="107"/>
      <c r="N176" s="107"/>
      <c r="O176" s="107"/>
      <c r="P176" s="107">
        <v>1</v>
      </c>
      <c r="Q176" s="107"/>
      <c r="R176" s="107"/>
      <c r="S176" s="107"/>
      <c r="T176" s="107"/>
      <c r="U176" s="107">
        <v>1</v>
      </c>
      <c r="V176" s="107"/>
      <c r="W176" s="107"/>
      <c r="X176" s="107"/>
      <c r="Y176" s="107">
        <v>1</v>
      </c>
      <c r="Z176" s="107"/>
      <c r="AA176" s="107"/>
      <c r="AB176" s="107">
        <v>1</v>
      </c>
      <c r="AC176" s="107"/>
      <c r="AD176" s="107"/>
      <c r="AE176" s="107"/>
      <c r="AF176" s="107"/>
      <c r="AG176" s="107">
        <v>1</v>
      </c>
      <c r="AH176" s="107"/>
      <c r="AI176" s="107"/>
      <c r="AJ176" s="107"/>
      <c r="AK176" s="107">
        <f t="shared" si="202"/>
        <v>10</v>
      </c>
      <c r="AL176" s="303" t="s">
        <v>1552</v>
      </c>
      <c r="AM176" s="108">
        <f t="shared" si="16"/>
        <v>92</v>
      </c>
      <c r="AN176" s="108">
        <f t="shared" si="17"/>
        <v>98</v>
      </c>
      <c r="AO176" s="115">
        <f t="shared" si="18"/>
        <v>9</v>
      </c>
      <c r="AP176" s="115">
        <f t="shared" si="19"/>
        <v>13</v>
      </c>
      <c r="AQ176" s="115">
        <f t="shared" si="20"/>
        <v>6</v>
      </c>
      <c r="AR176" s="115">
        <f t="shared" si="21"/>
        <v>6</v>
      </c>
      <c r="AS176" s="115">
        <f t="shared" si="22"/>
        <v>17</v>
      </c>
      <c r="AT176" s="115">
        <f t="shared" si="23"/>
        <v>0</v>
      </c>
      <c r="AU176" s="115">
        <f t="shared" si="24"/>
        <v>18</v>
      </c>
      <c r="AV176" s="115">
        <f t="shared" si="25"/>
        <v>0</v>
      </c>
      <c r="AW176" s="115">
        <f t="shared" si="26"/>
        <v>0</v>
      </c>
      <c r="AX176" s="115">
        <f t="shared" ref="AX176:AY176" si="206">IF(S176=1,2,0)</f>
        <v>0</v>
      </c>
      <c r="AY176" s="115">
        <f t="shared" si="206"/>
        <v>0</v>
      </c>
      <c r="AZ176" s="115">
        <f t="shared" si="28"/>
        <v>10</v>
      </c>
      <c r="BA176" s="115">
        <f t="shared" si="29"/>
        <v>0</v>
      </c>
      <c r="BB176" s="115">
        <f t="shared" si="30"/>
        <v>10</v>
      </c>
      <c r="BC176" s="115">
        <f t="shared" si="31"/>
        <v>0</v>
      </c>
      <c r="BD176" s="115">
        <f t="shared" si="32"/>
        <v>5</v>
      </c>
      <c r="BE176" s="115">
        <f t="shared" si="33"/>
        <v>0</v>
      </c>
      <c r="BF176" s="115">
        <f t="shared" si="34"/>
        <v>0</v>
      </c>
      <c r="BG176" s="115">
        <f t="shared" si="35"/>
        <v>15</v>
      </c>
      <c r="BH176" s="115">
        <f t="shared" si="36"/>
        <v>0</v>
      </c>
      <c r="BI176" s="115">
        <f t="shared" si="37"/>
        <v>0</v>
      </c>
      <c r="BJ176" s="115"/>
      <c r="BK176" s="115">
        <f t="shared" si="38"/>
        <v>0</v>
      </c>
      <c r="BL176" s="109"/>
    </row>
    <row r="177" spans="1:64">
      <c r="A177" s="110" t="s">
        <v>350</v>
      </c>
      <c r="B177" s="114"/>
      <c r="C177" s="111">
        <v>1</v>
      </c>
      <c r="D177" s="111">
        <v>1</v>
      </c>
      <c r="E177" s="111"/>
      <c r="F177" s="111"/>
      <c r="G177" s="111"/>
      <c r="H177" s="111"/>
      <c r="I177" s="111"/>
      <c r="J177" s="111">
        <v>1</v>
      </c>
      <c r="K177" s="111"/>
      <c r="L177" s="111"/>
      <c r="M177" s="111"/>
      <c r="N177" s="111"/>
      <c r="O177" s="111"/>
      <c r="P177" s="111">
        <v>1</v>
      </c>
      <c r="Q177" s="111">
        <v>1</v>
      </c>
      <c r="R177" s="111"/>
      <c r="S177" s="111"/>
      <c r="T177" s="111"/>
      <c r="U177" s="111">
        <v>1</v>
      </c>
      <c r="V177" s="111"/>
      <c r="W177" s="111"/>
      <c r="X177" s="111"/>
      <c r="Y177" s="111">
        <v>1</v>
      </c>
      <c r="Z177" s="111"/>
      <c r="AA177" s="111"/>
      <c r="AB177" s="111">
        <v>1</v>
      </c>
      <c r="AC177" s="111"/>
      <c r="AD177" s="111"/>
      <c r="AE177" s="111"/>
      <c r="AF177" s="111"/>
      <c r="AG177" s="111">
        <v>1</v>
      </c>
      <c r="AH177" s="111"/>
      <c r="AI177" s="111"/>
      <c r="AJ177" s="111"/>
      <c r="AK177" s="111">
        <v>9</v>
      </c>
      <c r="AL177" s="304" t="s">
        <v>1509</v>
      </c>
      <c r="AM177" s="112">
        <f t="shared" si="16"/>
        <v>68</v>
      </c>
      <c r="AN177" s="112">
        <f t="shared" si="17"/>
        <v>97</v>
      </c>
      <c r="AO177" s="114">
        <f t="shared" si="18"/>
        <v>9</v>
      </c>
      <c r="AP177" s="114">
        <f t="shared" si="19"/>
        <v>13</v>
      </c>
      <c r="AQ177" s="114">
        <f t="shared" si="20"/>
        <v>0</v>
      </c>
      <c r="AR177" s="114">
        <f t="shared" si="21"/>
        <v>0</v>
      </c>
      <c r="AS177" s="114">
        <f t="shared" si="22"/>
        <v>17</v>
      </c>
      <c r="AT177" s="114">
        <f t="shared" si="23"/>
        <v>0</v>
      </c>
      <c r="AU177" s="114">
        <f t="shared" si="24"/>
        <v>18</v>
      </c>
      <c r="AV177" s="114">
        <f t="shared" si="25"/>
        <v>4</v>
      </c>
      <c r="AW177" s="114">
        <f t="shared" si="26"/>
        <v>0</v>
      </c>
      <c r="AX177" s="114">
        <f t="shared" ref="AX177:AY177" si="207">IF(S177=1,2,0)</f>
        <v>0</v>
      </c>
      <c r="AY177" s="114">
        <f t="shared" si="207"/>
        <v>0</v>
      </c>
      <c r="AZ177" s="114">
        <f t="shared" si="28"/>
        <v>10</v>
      </c>
      <c r="BA177" s="114">
        <f t="shared" si="29"/>
        <v>0</v>
      </c>
      <c r="BB177" s="114">
        <f t="shared" si="30"/>
        <v>10</v>
      </c>
      <c r="BC177" s="114">
        <f t="shared" si="31"/>
        <v>0</v>
      </c>
      <c r="BD177" s="114">
        <f t="shared" si="32"/>
        <v>5</v>
      </c>
      <c r="BE177" s="114">
        <f t="shared" si="33"/>
        <v>0</v>
      </c>
      <c r="BF177" s="114">
        <f t="shared" si="34"/>
        <v>0</v>
      </c>
      <c r="BG177" s="114">
        <f t="shared" si="35"/>
        <v>15</v>
      </c>
      <c r="BH177" s="114">
        <f t="shared" si="36"/>
        <v>0</v>
      </c>
      <c r="BI177" s="114">
        <f t="shared" si="37"/>
        <v>0</v>
      </c>
      <c r="BJ177" s="114"/>
      <c r="BK177" s="114">
        <f t="shared" si="38"/>
        <v>1</v>
      </c>
      <c r="BL177" s="113"/>
    </row>
    <row r="178" spans="1:64">
      <c r="A178" s="106" t="s">
        <v>351</v>
      </c>
      <c r="B178" s="115"/>
      <c r="C178" s="107">
        <v>1</v>
      </c>
      <c r="D178" s="107">
        <v>1</v>
      </c>
      <c r="E178" s="107">
        <v>1</v>
      </c>
      <c r="F178" s="107"/>
      <c r="G178" s="107">
        <v>1</v>
      </c>
      <c r="H178" s="107"/>
      <c r="I178" s="107"/>
      <c r="J178" s="107">
        <v>1</v>
      </c>
      <c r="K178" s="107"/>
      <c r="L178" s="107"/>
      <c r="M178" s="107"/>
      <c r="N178" s="107"/>
      <c r="O178" s="107"/>
      <c r="P178" s="107">
        <v>1</v>
      </c>
      <c r="Q178" s="107"/>
      <c r="R178" s="107"/>
      <c r="S178" s="107"/>
      <c r="T178" s="107"/>
      <c r="U178" s="107">
        <v>1</v>
      </c>
      <c r="V178" s="107"/>
      <c r="W178" s="107"/>
      <c r="X178" s="107"/>
      <c r="Y178" s="107">
        <v>1</v>
      </c>
      <c r="Z178" s="107"/>
      <c r="AA178" s="107"/>
      <c r="AB178" s="107"/>
      <c r="AC178" s="107"/>
      <c r="AD178" s="107"/>
      <c r="AE178" s="107"/>
      <c r="AF178" s="107"/>
      <c r="AG178" s="107">
        <v>1</v>
      </c>
      <c r="AH178" s="107"/>
      <c r="AI178" s="107"/>
      <c r="AJ178" s="107"/>
      <c r="AK178" s="107">
        <v>9</v>
      </c>
      <c r="AL178" s="303" t="s">
        <v>1553</v>
      </c>
      <c r="AM178" s="108">
        <f t="shared" si="16"/>
        <v>86</v>
      </c>
      <c r="AN178" s="108">
        <f t="shared" si="17"/>
        <v>98</v>
      </c>
      <c r="AO178" s="115">
        <f t="shared" si="18"/>
        <v>9</v>
      </c>
      <c r="AP178" s="115">
        <f t="shared" si="19"/>
        <v>13</v>
      </c>
      <c r="AQ178" s="115">
        <f t="shared" si="20"/>
        <v>6</v>
      </c>
      <c r="AR178" s="115">
        <f t="shared" si="21"/>
        <v>6</v>
      </c>
      <c r="AS178" s="115">
        <f t="shared" si="22"/>
        <v>17</v>
      </c>
      <c r="AT178" s="115">
        <f t="shared" si="23"/>
        <v>0</v>
      </c>
      <c r="AU178" s="115">
        <f t="shared" si="24"/>
        <v>18</v>
      </c>
      <c r="AV178" s="115">
        <f t="shared" si="25"/>
        <v>0</v>
      </c>
      <c r="AW178" s="115">
        <f t="shared" si="26"/>
        <v>0</v>
      </c>
      <c r="AX178" s="115">
        <f t="shared" ref="AX178:AY178" si="208">IF(S178=1,2,0)</f>
        <v>0</v>
      </c>
      <c r="AY178" s="115">
        <f t="shared" si="208"/>
        <v>0</v>
      </c>
      <c r="AZ178" s="115">
        <f t="shared" si="28"/>
        <v>10</v>
      </c>
      <c r="BA178" s="115">
        <f t="shared" si="29"/>
        <v>0</v>
      </c>
      <c r="BB178" s="115">
        <f t="shared" si="30"/>
        <v>10</v>
      </c>
      <c r="BC178" s="115">
        <f t="shared" si="31"/>
        <v>0</v>
      </c>
      <c r="BD178" s="115">
        <f t="shared" si="32"/>
        <v>0</v>
      </c>
      <c r="BE178" s="115">
        <f t="shared" si="33"/>
        <v>0</v>
      </c>
      <c r="BF178" s="115">
        <f t="shared" si="34"/>
        <v>0</v>
      </c>
      <c r="BG178" s="115">
        <f t="shared" si="35"/>
        <v>15</v>
      </c>
      <c r="BH178" s="115">
        <f t="shared" si="36"/>
        <v>0</v>
      </c>
      <c r="BI178" s="115">
        <f t="shared" si="37"/>
        <v>0</v>
      </c>
      <c r="BJ178" s="115"/>
      <c r="BK178" s="115">
        <f t="shared" si="38"/>
        <v>1</v>
      </c>
      <c r="BL178" s="109"/>
    </row>
    <row r="179" spans="1:64">
      <c r="A179" s="110" t="s">
        <v>352</v>
      </c>
      <c r="B179" s="114"/>
      <c r="C179" s="111">
        <v>1</v>
      </c>
      <c r="D179" s="111">
        <v>1</v>
      </c>
      <c r="E179" s="111"/>
      <c r="F179" s="111"/>
      <c r="G179" s="111"/>
      <c r="H179" s="111"/>
      <c r="I179" s="111"/>
      <c r="J179" s="111">
        <v>1</v>
      </c>
      <c r="K179" s="111"/>
      <c r="L179" s="111"/>
      <c r="M179" s="111"/>
      <c r="N179" s="111"/>
      <c r="O179" s="111"/>
      <c r="P179" s="111">
        <v>1</v>
      </c>
      <c r="Q179" s="111">
        <v>1</v>
      </c>
      <c r="R179" s="111"/>
      <c r="S179" s="111"/>
      <c r="T179" s="111"/>
      <c r="U179" s="111">
        <v>1</v>
      </c>
      <c r="V179" s="111"/>
      <c r="W179" s="111"/>
      <c r="X179" s="111"/>
      <c r="Y179" s="111">
        <v>1</v>
      </c>
      <c r="Z179" s="111">
        <v>1</v>
      </c>
      <c r="AA179" s="111"/>
      <c r="AB179" s="111">
        <v>1</v>
      </c>
      <c r="AC179" s="111"/>
      <c r="AD179" s="111"/>
      <c r="AE179" s="111"/>
      <c r="AF179" s="111"/>
      <c r="AG179" s="111">
        <v>1</v>
      </c>
      <c r="AH179" s="111"/>
      <c r="AI179" s="111"/>
      <c r="AJ179" s="111"/>
      <c r="AK179" s="111">
        <f t="shared" ref="AK179:AK180" si="209">SUM(B179:AJ179)</f>
        <v>10</v>
      </c>
      <c r="AL179" s="304" t="s">
        <v>1554</v>
      </c>
      <c r="AM179" s="112">
        <f t="shared" si="16"/>
        <v>78</v>
      </c>
      <c r="AN179" s="112">
        <f t="shared" si="17"/>
        <v>100</v>
      </c>
      <c r="AO179" s="114">
        <f t="shared" si="18"/>
        <v>9</v>
      </c>
      <c r="AP179" s="114">
        <f t="shared" si="19"/>
        <v>13</v>
      </c>
      <c r="AQ179" s="114">
        <f t="shared" si="20"/>
        <v>0</v>
      </c>
      <c r="AR179" s="114">
        <f t="shared" si="21"/>
        <v>0</v>
      </c>
      <c r="AS179" s="114">
        <f t="shared" si="22"/>
        <v>17</v>
      </c>
      <c r="AT179" s="114">
        <f t="shared" si="23"/>
        <v>0</v>
      </c>
      <c r="AU179" s="114">
        <f t="shared" si="24"/>
        <v>18</v>
      </c>
      <c r="AV179" s="114">
        <f t="shared" si="25"/>
        <v>4</v>
      </c>
      <c r="AW179" s="114">
        <f t="shared" si="26"/>
        <v>0</v>
      </c>
      <c r="AX179" s="114">
        <f t="shared" ref="AX179:AY179" si="210">IF(S179=1,2,0)</f>
        <v>0</v>
      </c>
      <c r="AY179" s="114">
        <f t="shared" si="210"/>
        <v>0</v>
      </c>
      <c r="AZ179" s="114">
        <f t="shared" si="28"/>
        <v>10</v>
      </c>
      <c r="BA179" s="114">
        <f t="shared" si="29"/>
        <v>0</v>
      </c>
      <c r="BB179" s="114">
        <f t="shared" si="30"/>
        <v>10</v>
      </c>
      <c r="BC179" s="114">
        <f t="shared" si="31"/>
        <v>8</v>
      </c>
      <c r="BD179" s="114">
        <f t="shared" si="32"/>
        <v>5</v>
      </c>
      <c r="BE179" s="114">
        <f t="shared" si="33"/>
        <v>0</v>
      </c>
      <c r="BF179" s="114">
        <f t="shared" si="34"/>
        <v>0</v>
      </c>
      <c r="BG179" s="114">
        <f t="shared" si="35"/>
        <v>15</v>
      </c>
      <c r="BH179" s="114">
        <f t="shared" si="36"/>
        <v>0</v>
      </c>
      <c r="BI179" s="114">
        <f t="shared" si="37"/>
        <v>0</v>
      </c>
      <c r="BJ179" s="114"/>
      <c r="BK179" s="114">
        <f t="shared" si="38"/>
        <v>0</v>
      </c>
      <c r="BL179" s="113"/>
    </row>
    <row r="180" spans="1:64">
      <c r="A180" s="106" t="s">
        <v>353</v>
      </c>
      <c r="B180" s="115"/>
      <c r="C180" s="107"/>
      <c r="D180" s="107"/>
      <c r="E180" s="107">
        <v>1</v>
      </c>
      <c r="F180" s="107"/>
      <c r="G180" s="107">
        <v>1</v>
      </c>
      <c r="H180" s="107"/>
      <c r="I180" s="107"/>
      <c r="J180" s="107">
        <v>1</v>
      </c>
      <c r="K180" s="107"/>
      <c r="L180" s="107"/>
      <c r="M180" s="107"/>
      <c r="N180" s="107"/>
      <c r="O180" s="107"/>
      <c r="P180" s="107">
        <v>1</v>
      </c>
      <c r="Q180" s="107"/>
      <c r="R180" s="107"/>
      <c r="S180" s="107"/>
      <c r="T180" s="107"/>
      <c r="U180" s="107">
        <v>1</v>
      </c>
      <c r="V180" s="107">
        <v>1</v>
      </c>
      <c r="W180" s="107"/>
      <c r="X180" s="107">
        <v>1</v>
      </c>
      <c r="Y180" s="107"/>
      <c r="Z180" s="107"/>
      <c r="AA180" s="107"/>
      <c r="AB180" s="107">
        <v>1</v>
      </c>
      <c r="AC180" s="107"/>
      <c r="AD180" s="107"/>
      <c r="AE180" s="107"/>
      <c r="AF180" s="107">
        <v>1</v>
      </c>
      <c r="AG180" s="107">
        <v>1</v>
      </c>
      <c r="AH180" s="107"/>
      <c r="AI180" s="107"/>
      <c r="AJ180" s="107"/>
      <c r="AK180" s="107">
        <f t="shared" si="209"/>
        <v>10</v>
      </c>
      <c r="AL180" s="303" t="s">
        <v>1416</v>
      </c>
      <c r="AM180" s="108">
        <f t="shared" si="16"/>
        <v>77</v>
      </c>
      <c r="AN180" s="108">
        <f t="shared" si="17"/>
        <v>80</v>
      </c>
      <c r="AO180" s="115">
        <f t="shared" si="18"/>
        <v>0</v>
      </c>
      <c r="AP180" s="115">
        <f t="shared" si="19"/>
        <v>0</v>
      </c>
      <c r="AQ180" s="115">
        <f t="shared" si="20"/>
        <v>6</v>
      </c>
      <c r="AR180" s="115">
        <f t="shared" si="21"/>
        <v>6</v>
      </c>
      <c r="AS180" s="115">
        <f t="shared" si="22"/>
        <v>17</v>
      </c>
      <c r="AT180" s="115">
        <f t="shared" si="23"/>
        <v>0</v>
      </c>
      <c r="AU180" s="115">
        <f t="shared" si="24"/>
        <v>18</v>
      </c>
      <c r="AV180" s="115">
        <f t="shared" si="25"/>
        <v>0</v>
      </c>
      <c r="AW180" s="115">
        <f t="shared" si="26"/>
        <v>0</v>
      </c>
      <c r="AX180" s="115">
        <f t="shared" ref="AX180:AY180" si="211">IF(S180=1,2,0)</f>
        <v>0</v>
      </c>
      <c r="AY180" s="115">
        <f t="shared" si="211"/>
        <v>0</v>
      </c>
      <c r="AZ180" s="115">
        <f t="shared" si="28"/>
        <v>10</v>
      </c>
      <c r="BA180" s="115">
        <f t="shared" si="29"/>
        <v>3</v>
      </c>
      <c r="BB180" s="115">
        <f t="shared" si="30"/>
        <v>0</v>
      </c>
      <c r="BC180" s="115">
        <f t="shared" si="31"/>
        <v>0</v>
      </c>
      <c r="BD180" s="115">
        <f t="shared" si="32"/>
        <v>5</v>
      </c>
      <c r="BE180" s="115">
        <f t="shared" si="33"/>
        <v>0</v>
      </c>
      <c r="BF180" s="115">
        <f t="shared" si="34"/>
        <v>1</v>
      </c>
      <c r="BG180" s="115">
        <f t="shared" si="35"/>
        <v>15</v>
      </c>
      <c r="BH180" s="115">
        <f t="shared" si="36"/>
        <v>0</v>
      </c>
      <c r="BI180" s="115">
        <f t="shared" si="37"/>
        <v>0</v>
      </c>
      <c r="BJ180" s="115"/>
      <c r="BK180" s="115">
        <f t="shared" si="38"/>
        <v>0</v>
      </c>
      <c r="BL180" s="109"/>
    </row>
    <row r="181" spans="1:64">
      <c r="A181" s="110" t="s">
        <v>354</v>
      </c>
      <c r="B181" s="114"/>
      <c r="C181" s="111">
        <v>1</v>
      </c>
      <c r="D181" s="111">
        <v>1</v>
      </c>
      <c r="E181" s="111">
        <v>1</v>
      </c>
      <c r="F181" s="111"/>
      <c r="G181" s="111">
        <v>1</v>
      </c>
      <c r="H181" s="111"/>
      <c r="I181" s="111"/>
      <c r="J181" s="111">
        <v>1</v>
      </c>
      <c r="K181" s="111"/>
      <c r="L181" s="111"/>
      <c r="M181" s="111"/>
      <c r="N181" s="111">
        <v>1</v>
      </c>
      <c r="O181" s="111"/>
      <c r="P181" s="111">
        <v>1</v>
      </c>
      <c r="Q181" s="111"/>
      <c r="R181" s="111"/>
      <c r="S181" s="111"/>
      <c r="T181" s="111"/>
      <c r="U181" s="111"/>
      <c r="V181" s="111"/>
      <c r="W181" s="111"/>
      <c r="X181" s="111"/>
      <c r="Y181" s="111">
        <v>1</v>
      </c>
      <c r="Z181" s="111">
        <v>1</v>
      </c>
      <c r="AA181" s="111"/>
      <c r="AB181" s="111"/>
      <c r="AC181" s="111"/>
      <c r="AD181" s="111"/>
      <c r="AE181" s="111"/>
      <c r="AF181" s="111"/>
      <c r="AG181" s="111">
        <v>1</v>
      </c>
      <c r="AH181" s="111"/>
      <c r="AI181" s="111"/>
      <c r="AJ181" s="111"/>
      <c r="AK181" s="111">
        <v>10</v>
      </c>
      <c r="AL181" s="304" t="s">
        <v>1440</v>
      </c>
      <c r="AM181" s="112">
        <f t="shared" si="16"/>
        <v>98</v>
      </c>
      <c r="AN181" s="112">
        <f t="shared" si="17"/>
        <v>96</v>
      </c>
      <c r="AO181" s="114">
        <f t="shared" si="18"/>
        <v>9</v>
      </c>
      <c r="AP181" s="114">
        <f t="shared" si="19"/>
        <v>13</v>
      </c>
      <c r="AQ181" s="114">
        <f t="shared" si="20"/>
        <v>6</v>
      </c>
      <c r="AR181" s="114">
        <f t="shared" si="21"/>
        <v>6</v>
      </c>
      <c r="AS181" s="114">
        <f t="shared" si="22"/>
        <v>17</v>
      </c>
      <c r="AT181" s="114">
        <f t="shared" si="23"/>
        <v>2</v>
      </c>
      <c r="AU181" s="114">
        <f t="shared" si="24"/>
        <v>18</v>
      </c>
      <c r="AV181" s="114">
        <f t="shared" si="25"/>
        <v>0</v>
      </c>
      <c r="AW181" s="114">
        <f t="shared" si="26"/>
        <v>0</v>
      </c>
      <c r="AX181" s="114">
        <f t="shared" ref="AX181:AY181" si="212">IF(S181=1,2,0)</f>
        <v>0</v>
      </c>
      <c r="AY181" s="114">
        <f t="shared" si="212"/>
        <v>0</v>
      </c>
      <c r="AZ181" s="114">
        <f t="shared" si="28"/>
        <v>0</v>
      </c>
      <c r="BA181" s="114">
        <f t="shared" si="29"/>
        <v>0</v>
      </c>
      <c r="BB181" s="114">
        <f t="shared" si="30"/>
        <v>10</v>
      </c>
      <c r="BC181" s="114">
        <f t="shared" si="31"/>
        <v>8</v>
      </c>
      <c r="BD181" s="114">
        <f t="shared" si="32"/>
        <v>0</v>
      </c>
      <c r="BE181" s="114">
        <f t="shared" si="33"/>
        <v>0</v>
      </c>
      <c r="BF181" s="114">
        <f t="shared" si="34"/>
        <v>0</v>
      </c>
      <c r="BG181" s="114">
        <f t="shared" si="35"/>
        <v>15</v>
      </c>
      <c r="BH181" s="114">
        <f t="shared" si="36"/>
        <v>0</v>
      </c>
      <c r="BI181" s="114">
        <f t="shared" si="37"/>
        <v>0</v>
      </c>
      <c r="BJ181" s="114"/>
      <c r="BK181" s="114">
        <f t="shared" si="38"/>
        <v>0</v>
      </c>
      <c r="BL181" s="113"/>
    </row>
    <row r="182" spans="1:64">
      <c r="A182" s="106" t="s">
        <v>355</v>
      </c>
      <c r="B182" s="115"/>
      <c r="C182" s="107">
        <v>1</v>
      </c>
      <c r="D182" s="107">
        <v>1</v>
      </c>
      <c r="E182" s="107">
        <v>1</v>
      </c>
      <c r="F182" s="107"/>
      <c r="G182" s="107">
        <v>1</v>
      </c>
      <c r="H182" s="107"/>
      <c r="I182" s="107"/>
      <c r="J182" s="107">
        <v>1</v>
      </c>
      <c r="K182" s="107"/>
      <c r="L182" s="107"/>
      <c r="M182" s="107"/>
      <c r="N182" s="107">
        <v>1</v>
      </c>
      <c r="O182" s="107"/>
      <c r="P182" s="107">
        <v>1</v>
      </c>
      <c r="Q182" s="107"/>
      <c r="R182" s="107"/>
      <c r="S182" s="107"/>
      <c r="T182" s="107"/>
      <c r="U182" s="107"/>
      <c r="V182" s="107"/>
      <c r="W182" s="107"/>
      <c r="X182" s="107"/>
      <c r="Y182" s="107">
        <v>1</v>
      </c>
      <c r="Z182" s="107">
        <v>1</v>
      </c>
      <c r="AA182" s="107"/>
      <c r="AB182" s="107"/>
      <c r="AC182" s="107"/>
      <c r="AD182" s="107"/>
      <c r="AE182" s="107"/>
      <c r="AF182" s="107"/>
      <c r="AG182" s="107">
        <v>1</v>
      </c>
      <c r="AH182" s="107"/>
      <c r="AI182" s="107"/>
      <c r="AJ182" s="107"/>
      <c r="AK182" s="107">
        <v>10</v>
      </c>
      <c r="AL182" s="303" t="s">
        <v>1555</v>
      </c>
      <c r="AM182" s="108">
        <f t="shared" si="16"/>
        <v>98</v>
      </c>
      <c r="AN182" s="108">
        <f t="shared" si="17"/>
        <v>96</v>
      </c>
      <c r="AO182" s="115">
        <f t="shared" si="18"/>
        <v>9</v>
      </c>
      <c r="AP182" s="115">
        <f t="shared" si="19"/>
        <v>13</v>
      </c>
      <c r="AQ182" s="115">
        <f t="shared" si="20"/>
        <v>6</v>
      </c>
      <c r="AR182" s="115">
        <f t="shared" si="21"/>
        <v>6</v>
      </c>
      <c r="AS182" s="115">
        <f t="shared" si="22"/>
        <v>17</v>
      </c>
      <c r="AT182" s="115">
        <f t="shared" si="23"/>
        <v>2</v>
      </c>
      <c r="AU182" s="115">
        <f t="shared" si="24"/>
        <v>18</v>
      </c>
      <c r="AV182" s="115">
        <f t="shared" si="25"/>
        <v>0</v>
      </c>
      <c r="AW182" s="115">
        <f t="shared" si="26"/>
        <v>0</v>
      </c>
      <c r="AX182" s="115">
        <f t="shared" ref="AX182:AY182" si="213">IF(S182=1,2,0)</f>
        <v>0</v>
      </c>
      <c r="AY182" s="115">
        <f t="shared" si="213"/>
        <v>0</v>
      </c>
      <c r="AZ182" s="115">
        <f t="shared" si="28"/>
        <v>0</v>
      </c>
      <c r="BA182" s="115">
        <f t="shared" si="29"/>
        <v>0</v>
      </c>
      <c r="BB182" s="115">
        <f t="shared" si="30"/>
        <v>10</v>
      </c>
      <c r="BC182" s="115">
        <f t="shared" si="31"/>
        <v>8</v>
      </c>
      <c r="BD182" s="115">
        <f t="shared" si="32"/>
        <v>0</v>
      </c>
      <c r="BE182" s="115">
        <f t="shared" si="33"/>
        <v>0</v>
      </c>
      <c r="BF182" s="115">
        <f t="shared" si="34"/>
        <v>0</v>
      </c>
      <c r="BG182" s="115">
        <f t="shared" si="35"/>
        <v>15</v>
      </c>
      <c r="BH182" s="115">
        <f t="shared" si="36"/>
        <v>0</v>
      </c>
      <c r="BI182" s="115">
        <f t="shared" si="37"/>
        <v>0</v>
      </c>
      <c r="BJ182" s="115"/>
      <c r="BK182" s="115">
        <f t="shared" si="38"/>
        <v>0</v>
      </c>
      <c r="BL182" s="109"/>
    </row>
    <row r="183" spans="1:64">
      <c r="A183" s="110" t="s">
        <v>1556</v>
      </c>
      <c r="B183" s="114"/>
      <c r="C183" s="111">
        <v>1</v>
      </c>
      <c r="D183" s="111">
        <v>1</v>
      </c>
      <c r="E183" s="111">
        <v>1</v>
      </c>
      <c r="F183" s="111"/>
      <c r="G183" s="111">
        <v>1</v>
      </c>
      <c r="H183" s="111"/>
      <c r="I183" s="111"/>
      <c r="J183" s="111">
        <v>1</v>
      </c>
      <c r="K183" s="111"/>
      <c r="L183" s="111"/>
      <c r="M183" s="111"/>
      <c r="N183" s="111"/>
      <c r="O183" s="111"/>
      <c r="P183" s="111">
        <v>1</v>
      </c>
      <c r="Q183" s="111"/>
      <c r="R183" s="111"/>
      <c r="S183" s="111"/>
      <c r="T183" s="111">
        <v>1</v>
      </c>
      <c r="U183" s="111"/>
      <c r="V183" s="111"/>
      <c r="W183" s="111"/>
      <c r="X183" s="111"/>
      <c r="Y183" s="111">
        <v>1</v>
      </c>
      <c r="Z183" s="111"/>
      <c r="AA183" s="111"/>
      <c r="AB183" s="111">
        <v>1</v>
      </c>
      <c r="AC183" s="111"/>
      <c r="AD183" s="111"/>
      <c r="AE183" s="111"/>
      <c r="AF183" s="111"/>
      <c r="AG183" s="111">
        <v>1</v>
      </c>
      <c r="AH183" s="111"/>
      <c r="AI183" s="111"/>
      <c r="AJ183" s="111"/>
      <c r="AK183" s="111">
        <v>10</v>
      </c>
      <c r="AL183" s="304" t="s">
        <v>1557</v>
      </c>
      <c r="AM183" s="112">
        <f t="shared" si="16"/>
        <v>96</v>
      </c>
      <c r="AN183" s="112">
        <f t="shared" si="17"/>
        <v>94</v>
      </c>
      <c r="AO183" s="114">
        <f t="shared" si="18"/>
        <v>9</v>
      </c>
      <c r="AP183" s="114">
        <f t="shared" si="19"/>
        <v>13</v>
      </c>
      <c r="AQ183" s="114">
        <f t="shared" si="20"/>
        <v>6</v>
      </c>
      <c r="AR183" s="114">
        <f t="shared" si="21"/>
        <v>6</v>
      </c>
      <c r="AS183" s="114">
        <f t="shared" si="22"/>
        <v>17</v>
      </c>
      <c r="AT183" s="114">
        <f t="shared" si="23"/>
        <v>0</v>
      </c>
      <c r="AU183" s="114">
        <f t="shared" si="24"/>
        <v>18</v>
      </c>
      <c r="AV183" s="114">
        <f t="shared" si="25"/>
        <v>0</v>
      </c>
      <c r="AW183" s="114">
        <f t="shared" si="26"/>
        <v>0</v>
      </c>
      <c r="AX183" s="114">
        <f t="shared" ref="AX183:AY183" si="214">IF(S183=1,2,0)</f>
        <v>0</v>
      </c>
      <c r="AY183" s="114">
        <f t="shared" si="214"/>
        <v>2</v>
      </c>
      <c r="AZ183" s="114">
        <f t="shared" si="28"/>
        <v>0</v>
      </c>
      <c r="BA183" s="114">
        <f t="shared" si="29"/>
        <v>0</v>
      </c>
      <c r="BB183" s="114">
        <f t="shared" si="30"/>
        <v>10</v>
      </c>
      <c r="BC183" s="114">
        <f t="shared" si="31"/>
        <v>0</v>
      </c>
      <c r="BD183" s="114">
        <f t="shared" si="32"/>
        <v>5</v>
      </c>
      <c r="BE183" s="114">
        <f t="shared" si="33"/>
        <v>0</v>
      </c>
      <c r="BF183" s="114">
        <f t="shared" si="34"/>
        <v>0</v>
      </c>
      <c r="BG183" s="114">
        <f t="shared" si="35"/>
        <v>15</v>
      </c>
      <c r="BH183" s="114">
        <f t="shared" si="36"/>
        <v>0</v>
      </c>
      <c r="BI183" s="114">
        <f t="shared" si="37"/>
        <v>0</v>
      </c>
      <c r="BJ183" s="114"/>
      <c r="BK183" s="114">
        <f t="shared" si="38"/>
        <v>0</v>
      </c>
      <c r="BL183" s="113"/>
    </row>
    <row r="184" spans="1:64">
      <c r="A184" s="106" t="s">
        <v>1558</v>
      </c>
      <c r="B184" s="115"/>
      <c r="C184" s="107"/>
      <c r="D184" s="107">
        <v>1</v>
      </c>
      <c r="E184" s="107">
        <v>1</v>
      </c>
      <c r="F184" s="107"/>
      <c r="G184" s="107"/>
      <c r="H184" s="107"/>
      <c r="I184" s="107"/>
      <c r="J184" s="107">
        <v>1</v>
      </c>
      <c r="K184" s="107"/>
      <c r="L184" s="107"/>
      <c r="M184" s="107"/>
      <c r="N184" s="107"/>
      <c r="O184" s="107"/>
      <c r="P184" s="107">
        <v>1</v>
      </c>
      <c r="Q184" s="107"/>
      <c r="R184" s="107"/>
      <c r="S184" s="107"/>
      <c r="T184" s="107"/>
      <c r="U184" s="107">
        <v>1</v>
      </c>
      <c r="V184" s="107"/>
      <c r="W184" s="107"/>
      <c r="X184" s="107"/>
      <c r="Y184" s="107">
        <v>1</v>
      </c>
      <c r="Z184" s="107">
        <v>1</v>
      </c>
      <c r="AA184" s="107"/>
      <c r="AB184" s="107"/>
      <c r="AC184" s="107"/>
      <c r="AD184" s="107"/>
      <c r="AE184" s="107"/>
      <c r="AF184" s="107"/>
      <c r="AG184" s="107">
        <v>1</v>
      </c>
      <c r="AH184" s="107"/>
      <c r="AI184" s="107"/>
      <c r="AJ184" s="107"/>
      <c r="AK184" s="107">
        <v>8</v>
      </c>
      <c r="AL184" s="303" t="s">
        <v>1436</v>
      </c>
      <c r="AM184" s="108">
        <f t="shared" si="16"/>
        <v>69</v>
      </c>
      <c r="AN184" s="108">
        <f t="shared" si="17"/>
        <v>97</v>
      </c>
      <c r="AO184" s="115">
        <f t="shared" si="18"/>
        <v>0</v>
      </c>
      <c r="AP184" s="115">
        <f t="shared" si="19"/>
        <v>13</v>
      </c>
      <c r="AQ184" s="115">
        <f t="shared" si="20"/>
        <v>6</v>
      </c>
      <c r="AR184" s="115">
        <f t="shared" si="21"/>
        <v>0</v>
      </c>
      <c r="AS184" s="115">
        <f t="shared" si="22"/>
        <v>17</v>
      </c>
      <c r="AT184" s="115">
        <f t="shared" si="23"/>
        <v>0</v>
      </c>
      <c r="AU184" s="115">
        <f t="shared" si="24"/>
        <v>18</v>
      </c>
      <c r="AV184" s="115">
        <f t="shared" si="25"/>
        <v>0</v>
      </c>
      <c r="AW184" s="115">
        <f t="shared" si="26"/>
        <v>0</v>
      </c>
      <c r="AX184" s="115">
        <f t="shared" ref="AX184:AY184" si="215">IF(S184=1,2,0)</f>
        <v>0</v>
      </c>
      <c r="AY184" s="115">
        <f t="shared" si="215"/>
        <v>0</v>
      </c>
      <c r="AZ184" s="115">
        <f t="shared" si="28"/>
        <v>10</v>
      </c>
      <c r="BA184" s="115">
        <f t="shared" si="29"/>
        <v>0</v>
      </c>
      <c r="BB184" s="115">
        <f t="shared" si="30"/>
        <v>10</v>
      </c>
      <c r="BC184" s="115">
        <f t="shared" si="31"/>
        <v>8</v>
      </c>
      <c r="BD184" s="115">
        <f t="shared" si="32"/>
        <v>0</v>
      </c>
      <c r="BE184" s="115">
        <f t="shared" si="33"/>
        <v>0</v>
      </c>
      <c r="BF184" s="115">
        <f t="shared" si="34"/>
        <v>0</v>
      </c>
      <c r="BG184" s="115">
        <f t="shared" si="35"/>
        <v>15</v>
      </c>
      <c r="BH184" s="115">
        <f t="shared" si="36"/>
        <v>0</v>
      </c>
      <c r="BI184" s="115">
        <f t="shared" si="37"/>
        <v>0</v>
      </c>
      <c r="BJ184" s="115"/>
      <c r="BK184" s="115">
        <f t="shared" si="38"/>
        <v>4</v>
      </c>
      <c r="BL184" s="109"/>
    </row>
    <row r="185" spans="1:64">
      <c r="A185" s="110" t="s">
        <v>357</v>
      </c>
      <c r="B185" s="114"/>
      <c r="C185" s="111"/>
      <c r="D185" s="111"/>
      <c r="E185" s="111">
        <v>1</v>
      </c>
      <c r="F185" s="111"/>
      <c r="G185" s="111">
        <v>1</v>
      </c>
      <c r="H185" s="111"/>
      <c r="I185" s="111"/>
      <c r="J185" s="111">
        <v>1</v>
      </c>
      <c r="K185" s="111"/>
      <c r="L185" s="111"/>
      <c r="M185" s="111"/>
      <c r="N185" s="111"/>
      <c r="O185" s="111"/>
      <c r="P185" s="111">
        <v>1</v>
      </c>
      <c r="Q185" s="111">
        <v>1</v>
      </c>
      <c r="R185" s="111">
        <v>1</v>
      </c>
      <c r="S185" s="111"/>
      <c r="T185" s="111"/>
      <c r="U185" s="111">
        <v>1</v>
      </c>
      <c r="V185" s="111"/>
      <c r="W185" s="111"/>
      <c r="X185" s="111"/>
      <c r="Y185" s="111">
        <v>1</v>
      </c>
      <c r="Z185" s="111">
        <v>1</v>
      </c>
      <c r="AA185" s="111"/>
      <c r="AB185" s="111"/>
      <c r="AC185" s="111"/>
      <c r="AD185" s="111"/>
      <c r="AE185" s="111"/>
      <c r="AF185" s="111"/>
      <c r="AG185" s="111">
        <v>1</v>
      </c>
      <c r="AH185" s="111"/>
      <c r="AI185" s="111"/>
      <c r="AJ185" s="111"/>
      <c r="AK185" s="111">
        <f>SUM(B185:AJ185)</f>
        <v>10</v>
      </c>
      <c r="AL185" s="304" t="s">
        <v>1455</v>
      </c>
      <c r="AM185" s="112">
        <f t="shared" si="16"/>
        <v>86</v>
      </c>
      <c r="AN185" s="112">
        <f t="shared" si="17"/>
        <v>90</v>
      </c>
      <c r="AO185" s="114">
        <f t="shared" si="18"/>
        <v>0</v>
      </c>
      <c r="AP185" s="114">
        <f t="shared" si="19"/>
        <v>0</v>
      </c>
      <c r="AQ185" s="114">
        <f t="shared" si="20"/>
        <v>6</v>
      </c>
      <c r="AR185" s="114">
        <f t="shared" si="21"/>
        <v>6</v>
      </c>
      <c r="AS185" s="114">
        <f t="shared" si="22"/>
        <v>17</v>
      </c>
      <c r="AT185" s="114">
        <f t="shared" si="23"/>
        <v>0</v>
      </c>
      <c r="AU185" s="114">
        <f t="shared" si="24"/>
        <v>18</v>
      </c>
      <c r="AV185" s="114">
        <f t="shared" si="25"/>
        <v>4</v>
      </c>
      <c r="AW185" s="114">
        <f t="shared" si="26"/>
        <v>1</v>
      </c>
      <c r="AX185" s="114">
        <f t="shared" ref="AX185:AY185" si="216">IF(S185=1,2,0)</f>
        <v>0</v>
      </c>
      <c r="AY185" s="114">
        <f t="shared" si="216"/>
        <v>0</v>
      </c>
      <c r="AZ185" s="114">
        <f t="shared" si="28"/>
        <v>10</v>
      </c>
      <c r="BA185" s="114">
        <f t="shared" si="29"/>
        <v>0</v>
      </c>
      <c r="BB185" s="114">
        <f t="shared" si="30"/>
        <v>10</v>
      </c>
      <c r="BC185" s="114">
        <f t="shared" si="31"/>
        <v>8</v>
      </c>
      <c r="BD185" s="114">
        <f t="shared" si="32"/>
        <v>0</v>
      </c>
      <c r="BE185" s="114">
        <f t="shared" si="33"/>
        <v>0</v>
      </c>
      <c r="BF185" s="114">
        <f t="shared" si="34"/>
        <v>0</v>
      </c>
      <c r="BG185" s="114">
        <f t="shared" si="35"/>
        <v>15</v>
      </c>
      <c r="BH185" s="114">
        <f t="shared" si="36"/>
        <v>0</v>
      </c>
      <c r="BI185" s="114">
        <f t="shared" si="37"/>
        <v>0</v>
      </c>
      <c r="BJ185" s="114"/>
      <c r="BK185" s="114">
        <f t="shared" si="38"/>
        <v>0</v>
      </c>
      <c r="BL185" s="113"/>
    </row>
    <row r="186" spans="1:64">
      <c r="A186" s="106" t="s">
        <v>1559</v>
      </c>
      <c r="B186" s="115"/>
      <c r="C186" s="107"/>
      <c r="D186" s="107"/>
      <c r="E186" s="107"/>
      <c r="F186" s="107"/>
      <c r="G186" s="107"/>
      <c r="H186" s="107"/>
      <c r="I186" s="107"/>
      <c r="J186" s="107">
        <v>1</v>
      </c>
      <c r="K186" s="107"/>
      <c r="L186" s="107"/>
      <c r="M186" s="107"/>
      <c r="N186" s="107"/>
      <c r="O186" s="107"/>
      <c r="P186" s="107">
        <v>1</v>
      </c>
      <c r="Q186" s="107"/>
      <c r="R186" s="107"/>
      <c r="S186" s="107"/>
      <c r="T186" s="107"/>
      <c r="U186" s="107">
        <v>1</v>
      </c>
      <c r="V186" s="107"/>
      <c r="W186" s="107"/>
      <c r="X186" s="107"/>
      <c r="Y186" s="107"/>
      <c r="Z186" s="107"/>
      <c r="AA186" s="107"/>
      <c r="AB186" s="107"/>
      <c r="AC186" s="107"/>
      <c r="AD186" s="107"/>
      <c r="AE186" s="107"/>
      <c r="AF186" s="107"/>
      <c r="AG186" s="107"/>
      <c r="AH186" s="107"/>
      <c r="AI186" s="107">
        <v>1</v>
      </c>
      <c r="AJ186" s="107"/>
      <c r="AK186" s="107">
        <v>4</v>
      </c>
      <c r="AL186" s="303" t="s">
        <v>1560</v>
      </c>
      <c r="AM186" s="108">
        <f t="shared" si="16"/>
        <v>-9</v>
      </c>
      <c r="AN186" s="108">
        <f t="shared" si="17"/>
        <v>48</v>
      </c>
      <c r="AO186" s="115">
        <f t="shared" si="18"/>
        <v>0</v>
      </c>
      <c r="AP186" s="115">
        <f t="shared" si="19"/>
        <v>0</v>
      </c>
      <c r="AQ186" s="115">
        <f t="shared" si="20"/>
        <v>0</v>
      </c>
      <c r="AR186" s="115">
        <f t="shared" si="21"/>
        <v>0</v>
      </c>
      <c r="AS186" s="115">
        <f t="shared" si="22"/>
        <v>17</v>
      </c>
      <c r="AT186" s="115">
        <f t="shared" si="23"/>
        <v>0</v>
      </c>
      <c r="AU186" s="115">
        <f t="shared" si="24"/>
        <v>18</v>
      </c>
      <c r="AV186" s="115">
        <f t="shared" si="25"/>
        <v>0</v>
      </c>
      <c r="AW186" s="115">
        <f t="shared" si="26"/>
        <v>0</v>
      </c>
      <c r="AX186" s="115">
        <f t="shared" ref="AX186:AY186" si="217">IF(S186=1,2,0)</f>
        <v>0</v>
      </c>
      <c r="AY186" s="115">
        <f t="shared" si="217"/>
        <v>0</v>
      </c>
      <c r="AZ186" s="115">
        <f t="shared" si="28"/>
        <v>10</v>
      </c>
      <c r="BA186" s="115">
        <f t="shared" si="29"/>
        <v>0</v>
      </c>
      <c r="BB186" s="115">
        <f t="shared" si="30"/>
        <v>0</v>
      </c>
      <c r="BC186" s="115">
        <f t="shared" si="31"/>
        <v>0</v>
      </c>
      <c r="BD186" s="115">
        <f t="shared" si="32"/>
        <v>0</v>
      </c>
      <c r="BE186" s="115">
        <f t="shared" si="33"/>
        <v>0</v>
      </c>
      <c r="BF186" s="115">
        <f t="shared" si="34"/>
        <v>0</v>
      </c>
      <c r="BG186" s="115">
        <f t="shared" si="35"/>
        <v>0</v>
      </c>
      <c r="BH186" s="115">
        <f t="shared" si="36"/>
        <v>3</v>
      </c>
      <c r="BI186" s="115">
        <f t="shared" si="37"/>
        <v>0</v>
      </c>
      <c r="BJ186" s="115"/>
      <c r="BK186" s="115">
        <f t="shared" si="38"/>
        <v>36</v>
      </c>
      <c r="BL186" s="109"/>
    </row>
    <row r="187" spans="1:64">
      <c r="A187" s="110" t="s">
        <v>359</v>
      </c>
      <c r="B187" s="114"/>
      <c r="C187" s="111">
        <v>1</v>
      </c>
      <c r="D187" s="111">
        <v>1</v>
      </c>
      <c r="E187" s="111"/>
      <c r="F187" s="111"/>
      <c r="G187" s="111"/>
      <c r="H187" s="111"/>
      <c r="I187" s="111"/>
      <c r="J187" s="111">
        <v>1</v>
      </c>
      <c r="K187" s="111"/>
      <c r="L187" s="111"/>
      <c r="M187" s="111"/>
      <c r="N187" s="111">
        <v>1</v>
      </c>
      <c r="O187" s="111"/>
      <c r="P187" s="111">
        <v>1</v>
      </c>
      <c r="Q187" s="111"/>
      <c r="R187" s="111"/>
      <c r="S187" s="111"/>
      <c r="T187" s="111"/>
      <c r="U187" s="111">
        <v>1</v>
      </c>
      <c r="V187" s="111"/>
      <c r="W187" s="111"/>
      <c r="X187" s="111"/>
      <c r="Y187" s="111">
        <v>1</v>
      </c>
      <c r="Z187" s="111">
        <v>1</v>
      </c>
      <c r="AA187" s="111"/>
      <c r="AB187" s="111"/>
      <c r="AC187" s="111"/>
      <c r="AD187" s="111">
        <v>1</v>
      </c>
      <c r="AE187" s="111"/>
      <c r="AF187" s="111"/>
      <c r="AG187" s="111">
        <v>1</v>
      </c>
      <c r="AH187" s="111"/>
      <c r="AI187" s="111"/>
      <c r="AJ187" s="111"/>
      <c r="AK187" s="111">
        <v>10</v>
      </c>
      <c r="AL187" s="304" t="s">
        <v>1561</v>
      </c>
      <c r="AM187" s="112">
        <f t="shared" si="16"/>
        <v>72</v>
      </c>
      <c r="AN187" s="112">
        <f t="shared" si="17"/>
        <v>100</v>
      </c>
      <c r="AO187" s="114">
        <f t="shared" si="18"/>
        <v>9</v>
      </c>
      <c r="AP187" s="114">
        <f t="shared" si="19"/>
        <v>13</v>
      </c>
      <c r="AQ187" s="114">
        <f t="shared" si="20"/>
        <v>0</v>
      </c>
      <c r="AR187" s="114">
        <f t="shared" si="21"/>
        <v>0</v>
      </c>
      <c r="AS187" s="114">
        <f t="shared" si="22"/>
        <v>17</v>
      </c>
      <c r="AT187" s="114">
        <f t="shared" si="23"/>
        <v>2</v>
      </c>
      <c r="AU187" s="114">
        <f t="shared" si="24"/>
        <v>18</v>
      </c>
      <c r="AV187" s="114">
        <f t="shared" si="25"/>
        <v>0</v>
      </c>
      <c r="AW187" s="114">
        <f t="shared" si="26"/>
        <v>0</v>
      </c>
      <c r="AX187" s="114">
        <f t="shared" ref="AX187:AY187" si="218">IF(S187=1,2,0)</f>
        <v>0</v>
      </c>
      <c r="AY187" s="114">
        <f t="shared" si="218"/>
        <v>0</v>
      </c>
      <c r="AZ187" s="114">
        <f t="shared" si="28"/>
        <v>10</v>
      </c>
      <c r="BA187" s="114">
        <f t="shared" si="29"/>
        <v>0</v>
      </c>
      <c r="BB187" s="114">
        <f t="shared" si="30"/>
        <v>10</v>
      </c>
      <c r="BC187" s="114">
        <f t="shared" si="31"/>
        <v>8</v>
      </c>
      <c r="BD187" s="114">
        <f t="shared" si="32"/>
        <v>0</v>
      </c>
      <c r="BE187" s="114">
        <f t="shared" si="33"/>
        <v>5</v>
      </c>
      <c r="BF187" s="114">
        <f t="shared" si="34"/>
        <v>0</v>
      </c>
      <c r="BG187" s="114">
        <f t="shared" si="35"/>
        <v>15</v>
      </c>
      <c r="BH187" s="114">
        <f t="shared" si="36"/>
        <v>0</v>
      </c>
      <c r="BI187" s="114">
        <f t="shared" si="37"/>
        <v>0</v>
      </c>
      <c r="BJ187" s="114"/>
      <c r="BK187" s="114">
        <f t="shared" si="38"/>
        <v>0</v>
      </c>
      <c r="BL187" s="113"/>
    </row>
    <row r="188" spans="1:64">
      <c r="A188" s="106" t="s">
        <v>360</v>
      </c>
      <c r="B188" s="115"/>
      <c r="C188" s="107"/>
      <c r="D188" s="107">
        <v>1</v>
      </c>
      <c r="E188" s="107">
        <v>1</v>
      </c>
      <c r="F188" s="107"/>
      <c r="G188" s="107">
        <v>1</v>
      </c>
      <c r="H188" s="107"/>
      <c r="I188" s="107"/>
      <c r="J188" s="107">
        <v>1</v>
      </c>
      <c r="K188" s="107"/>
      <c r="L188" s="107"/>
      <c r="M188" s="107"/>
      <c r="N188" s="107"/>
      <c r="O188" s="107"/>
      <c r="P188" s="107">
        <v>1</v>
      </c>
      <c r="Q188" s="107">
        <v>1</v>
      </c>
      <c r="R188" s="107"/>
      <c r="S188" s="107"/>
      <c r="T188" s="107"/>
      <c r="U188" s="107">
        <v>1</v>
      </c>
      <c r="V188" s="107"/>
      <c r="W188" s="107"/>
      <c r="X188" s="107"/>
      <c r="Y188" s="107"/>
      <c r="Z188" s="107">
        <v>1</v>
      </c>
      <c r="AA188" s="107"/>
      <c r="AB188" s="107">
        <v>1</v>
      </c>
      <c r="AC188" s="107"/>
      <c r="AD188" s="107"/>
      <c r="AE188" s="107"/>
      <c r="AF188" s="107"/>
      <c r="AG188" s="107">
        <v>1</v>
      </c>
      <c r="AH188" s="107"/>
      <c r="AI188" s="107"/>
      <c r="AJ188" s="107"/>
      <c r="AK188" s="107">
        <v>10</v>
      </c>
      <c r="AL188" s="303" t="s">
        <v>1436</v>
      </c>
      <c r="AM188" s="108">
        <f t="shared" si="16"/>
        <v>88</v>
      </c>
      <c r="AN188" s="108">
        <f t="shared" si="17"/>
        <v>93</v>
      </c>
      <c r="AO188" s="115">
        <f t="shared" si="18"/>
        <v>0</v>
      </c>
      <c r="AP188" s="115">
        <f t="shared" si="19"/>
        <v>13</v>
      </c>
      <c r="AQ188" s="115">
        <f t="shared" si="20"/>
        <v>6</v>
      </c>
      <c r="AR188" s="115">
        <f t="shared" si="21"/>
        <v>6</v>
      </c>
      <c r="AS188" s="115">
        <f t="shared" si="22"/>
        <v>17</v>
      </c>
      <c r="AT188" s="115">
        <f t="shared" si="23"/>
        <v>0</v>
      </c>
      <c r="AU188" s="115">
        <f t="shared" si="24"/>
        <v>18</v>
      </c>
      <c r="AV188" s="115">
        <f t="shared" si="25"/>
        <v>4</v>
      </c>
      <c r="AW188" s="115">
        <f t="shared" si="26"/>
        <v>0</v>
      </c>
      <c r="AX188" s="115">
        <f t="shared" ref="AX188:AY188" si="219">IF(S188=1,2,0)</f>
        <v>0</v>
      </c>
      <c r="AY188" s="115">
        <f t="shared" si="219"/>
        <v>0</v>
      </c>
      <c r="AZ188" s="115">
        <f t="shared" si="28"/>
        <v>10</v>
      </c>
      <c r="BA188" s="115">
        <f t="shared" si="29"/>
        <v>0</v>
      </c>
      <c r="BB188" s="115">
        <f t="shared" si="30"/>
        <v>0</v>
      </c>
      <c r="BC188" s="115">
        <f t="shared" si="31"/>
        <v>8</v>
      </c>
      <c r="BD188" s="115">
        <f t="shared" si="32"/>
        <v>5</v>
      </c>
      <c r="BE188" s="115">
        <f t="shared" si="33"/>
        <v>0</v>
      </c>
      <c r="BF188" s="115">
        <f t="shared" si="34"/>
        <v>0</v>
      </c>
      <c r="BG188" s="115">
        <f t="shared" si="35"/>
        <v>15</v>
      </c>
      <c r="BH188" s="115">
        <f t="shared" si="36"/>
        <v>0</v>
      </c>
      <c r="BI188" s="115">
        <f t="shared" si="37"/>
        <v>0</v>
      </c>
      <c r="BJ188" s="115"/>
      <c r="BK188" s="115">
        <f t="shared" si="38"/>
        <v>0</v>
      </c>
      <c r="BL188" s="109"/>
    </row>
    <row r="189" spans="1:64">
      <c r="A189" s="110" t="s">
        <v>361</v>
      </c>
      <c r="B189" s="114"/>
      <c r="C189" s="111">
        <v>1</v>
      </c>
      <c r="D189" s="111">
        <v>1</v>
      </c>
      <c r="E189" s="111"/>
      <c r="F189" s="111"/>
      <c r="G189" s="111"/>
      <c r="H189" s="111"/>
      <c r="I189" s="111"/>
      <c r="J189" s="111">
        <v>1</v>
      </c>
      <c r="K189" s="111"/>
      <c r="L189" s="111"/>
      <c r="M189" s="111"/>
      <c r="N189" s="111">
        <v>1</v>
      </c>
      <c r="O189" s="111"/>
      <c r="P189" s="111">
        <v>1</v>
      </c>
      <c r="Q189" s="111">
        <v>1</v>
      </c>
      <c r="R189" s="111"/>
      <c r="S189" s="111"/>
      <c r="T189" s="111"/>
      <c r="U189" s="111">
        <v>1</v>
      </c>
      <c r="V189" s="111"/>
      <c r="W189" s="111"/>
      <c r="X189" s="111"/>
      <c r="Y189" s="111">
        <v>1</v>
      </c>
      <c r="Z189" s="111"/>
      <c r="AA189" s="111"/>
      <c r="AB189" s="111"/>
      <c r="AC189" s="111"/>
      <c r="AD189" s="111"/>
      <c r="AE189" s="111"/>
      <c r="AF189" s="111"/>
      <c r="AG189" s="111">
        <v>1</v>
      </c>
      <c r="AH189" s="111"/>
      <c r="AI189" s="111"/>
      <c r="AJ189" s="111"/>
      <c r="AK189" s="111">
        <v>9</v>
      </c>
      <c r="AL189" s="304" t="s">
        <v>1562</v>
      </c>
      <c r="AM189" s="112">
        <f t="shared" si="16"/>
        <v>66</v>
      </c>
      <c r="AN189" s="112">
        <f t="shared" si="17"/>
        <v>96</v>
      </c>
      <c r="AO189" s="114">
        <f t="shared" si="18"/>
        <v>9</v>
      </c>
      <c r="AP189" s="114">
        <f t="shared" si="19"/>
        <v>13</v>
      </c>
      <c r="AQ189" s="114">
        <f t="shared" si="20"/>
        <v>0</v>
      </c>
      <c r="AR189" s="114">
        <f t="shared" si="21"/>
        <v>0</v>
      </c>
      <c r="AS189" s="114">
        <f t="shared" si="22"/>
        <v>17</v>
      </c>
      <c r="AT189" s="114">
        <f t="shared" si="23"/>
        <v>2</v>
      </c>
      <c r="AU189" s="114">
        <f t="shared" si="24"/>
        <v>18</v>
      </c>
      <c r="AV189" s="114">
        <f t="shared" si="25"/>
        <v>4</v>
      </c>
      <c r="AW189" s="114">
        <f t="shared" si="26"/>
        <v>0</v>
      </c>
      <c r="AX189" s="114">
        <f t="shared" ref="AX189:AY189" si="220">IF(S189=1,2,0)</f>
        <v>0</v>
      </c>
      <c r="AY189" s="114">
        <f t="shared" si="220"/>
        <v>0</v>
      </c>
      <c r="AZ189" s="114">
        <f t="shared" si="28"/>
        <v>10</v>
      </c>
      <c r="BA189" s="114">
        <f t="shared" si="29"/>
        <v>0</v>
      </c>
      <c r="BB189" s="114">
        <f t="shared" si="30"/>
        <v>10</v>
      </c>
      <c r="BC189" s="114">
        <f t="shared" si="31"/>
        <v>0</v>
      </c>
      <c r="BD189" s="114">
        <f t="shared" si="32"/>
        <v>0</v>
      </c>
      <c r="BE189" s="114">
        <f t="shared" si="33"/>
        <v>0</v>
      </c>
      <c r="BF189" s="114">
        <f t="shared" si="34"/>
        <v>0</v>
      </c>
      <c r="BG189" s="114">
        <f t="shared" si="35"/>
        <v>15</v>
      </c>
      <c r="BH189" s="114">
        <f t="shared" si="36"/>
        <v>0</v>
      </c>
      <c r="BI189" s="114">
        <f t="shared" si="37"/>
        <v>0</v>
      </c>
      <c r="BJ189" s="114"/>
      <c r="BK189" s="114">
        <f t="shared" si="38"/>
        <v>1</v>
      </c>
      <c r="BL189" s="113"/>
    </row>
    <row r="190" spans="1:64">
      <c r="A190" s="106" t="s">
        <v>1563</v>
      </c>
      <c r="B190" s="115"/>
      <c r="C190" s="107"/>
      <c r="D190" s="107"/>
      <c r="E190" s="107"/>
      <c r="F190" s="107"/>
      <c r="G190" s="107"/>
      <c r="H190" s="107"/>
      <c r="I190" s="107"/>
      <c r="J190" s="107">
        <v>1</v>
      </c>
      <c r="K190" s="107"/>
      <c r="L190" s="107"/>
      <c r="M190" s="107"/>
      <c r="N190" s="107"/>
      <c r="O190" s="107"/>
      <c r="P190" s="107">
        <v>1</v>
      </c>
      <c r="Q190" s="107"/>
      <c r="R190" s="107"/>
      <c r="S190" s="107"/>
      <c r="T190" s="107"/>
      <c r="U190" s="107">
        <v>1</v>
      </c>
      <c r="V190" s="107"/>
      <c r="W190" s="107"/>
      <c r="X190" s="107"/>
      <c r="Y190" s="107"/>
      <c r="Z190" s="107"/>
      <c r="AA190" s="107"/>
      <c r="AB190" s="107">
        <v>1</v>
      </c>
      <c r="AC190" s="107"/>
      <c r="AD190" s="107"/>
      <c r="AE190" s="107"/>
      <c r="AF190" s="107"/>
      <c r="AG190" s="107">
        <v>1</v>
      </c>
      <c r="AH190" s="107"/>
      <c r="AI190" s="107"/>
      <c r="AJ190" s="107"/>
      <c r="AK190" s="107">
        <f t="shared" ref="AK190:AK192" si="221">SUM(B190:AJ190)</f>
        <v>5</v>
      </c>
      <c r="AL190" s="303" t="s">
        <v>1564</v>
      </c>
      <c r="AM190" s="108">
        <f t="shared" si="16"/>
        <v>14</v>
      </c>
      <c r="AN190" s="108">
        <f t="shared" si="17"/>
        <v>65</v>
      </c>
      <c r="AO190" s="115">
        <f t="shared" si="18"/>
        <v>0</v>
      </c>
      <c r="AP190" s="115">
        <f t="shared" si="19"/>
        <v>0</v>
      </c>
      <c r="AQ190" s="115">
        <f t="shared" si="20"/>
        <v>0</v>
      </c>
      <c r="AR190" s="115">
        <f t="shared" si="21"/>
        <v>0</v>
      </c>
      <c r="AS190" s="115">
        <f t="shared" si="22"/>
        <v>17</v>
      </c>
      <c r="AT190" s="115">
        <f t="shared" si="23"/>
        <v>0</v>
      </c>
      <c r="AU190" s="115">
        <f t="shared" si="24"/>
        <v>18</v>
      </c>
      <c r="AV190" s="115">
        <f t="shared" si="25"/>
        <v>0</v>
      </c>
      <c r="AW190" s="115">
        <f t="shared" si="26"/>
        <v>0</v>
      </c>
      <c r="AX190" s="115">
        <f t="shared" ref="AX190:AY190" si="222">IF(S190=1,2,0)</f>
        <v>0</v>
      </c>
      <c r="AY190" s="115">
        <f t="shared" si="222"/>
        <v>0</v>
      </c>
      <c r="AZ190" s="115">
        <f t="shared" si="28"/>
        <v>10</v>
      </c>
      <c r="BA190" s="115">
        <f t="shared" si="29"/>
        <v>0</v>
      </c>
      <c r="BB190" s="115">
        <f t="shared" si="30"/>
        <v>0</v>
      </c>
      <c r="BC190" s="115">
        <f t="shared" si="31"/>
        <v>0</v>
      </c>
      <c r="BD190" s="115">
        <f t="shared" si="32"/>
        <v>5</v>
      </c>
      <c r="BE190" s="115">
        <f t="shared" si="33"/>
        <v>0</v>
      </c>
      <c r="BF190" s="115">
        <f t="shared" si="34"/>
        <v>0</v>
      </c>
      <c r="BG190" s="115">
        <f t="shared" si="35"/>
        <v>15</v>
      </c>
      <c r="BH190" s="115">
        <f t="shared" si="36"/>
        <v>0</v>
      </c>
      <c r="BI190" s="115">
        <f t="shared" si="37"/>
        <v>0</v>
      </c>
      <c r="BJ190" s="115"/>
      <c r="BK190" s="115">
        <f t="shared" si="38"/>
        <v>25</v>
      </c>
      <c r="BL190" s="109"/>
    </row>
    <row r="191" spans="1:64">
      <c r="A191" s="110" t="s">
        <v>1565</v>
      </c>
      <c r="B191" s="114"/>
      <c r="C191" s="111">
        <v>1</v>
      </c>
      <c r="D191" s="111"/>
      <c r="E191" s="111">
        <v>1</v>
      </c>
      <c r="F191" s="111"/>
      <c r="G191" s="111">
        <v>1</v>
      </c>
      <c r="H191" s="111"/>
      <c r="I191" s="111"/>
      <c r="J191" s="111">
        <v>1</v>
      </c>
      <c r="K191" s="111"/>
      <c r="L191" s="111"/>
      <c r="M191" s="111"/>
      <c r="N191" s="111"/>
      <c r="O191" s="111"/>
      <c r="P191" s="111">
        <v>1</v>
      </c>
      <c r="Q191" s="111"/>
      <c r="R191" s="111"/>
      <c r="S191" s="111"/>
      <c r="T191" s="111"/>
      <c r="U191" s="111"/>
      <c r="V191" s="111">
        <v>1</v>
      </c>
      <c r="W191" s="111"/>
      <c r="X191" s="111"/>
      <c r="Y191" s="111">
        <v>1</v>
      </c>
      <c r="Z191" s="111">
        <v>1</v>
      </c>
      <c r="AA191" s="111"/>
      <c r="AB191" s="111">
        <v>1</v>
      </c>
      <c r="AC191" s="111"/>
      <c r="AD191" s="111"/>
      <c r="AE191" s="111"/>
      <c r="AF191" s="111"/>
      <c r="AG191" s="111">
        <v>1</v>
      </c>
      <c r="AH191" s="111"/>
      <c r="AI191" s="111"/>
      <c r="AJ191" s="111"/>
      <c r="AK191" s="111">
        <f t="shared" si="221"/>
        <v>10</v>
      </c>
      <c r="AL191" s="304" t="s">
        <v>1566</v>
      </c>
      <c r="AM191" s="112">
        <f t="shared" si="16"/>
        <v>98</v>
      </c>
      <c r="AN191" s="112">
        <f t="shared" si="17"/>
        <v>89</v>
      </c>
      <c r="AO191" s="114">
        <f t="shared" si="18"/>
        <v>9</v>
      </c>
      <c r="AP191" s="114">
        <f t="shared" si="19"/>
        <v>0</v>
      </c>
      <c r="AQ191" s="114">
        <f t="shared" si="20"/>
        <v>6</v>
      </c>
      <c r="AR191" s="114">
        <f t="shared" si="21"/>
        <v>6</v>
      </c>
      <c r="AS191" s="114">
        <f t="shared" si="22"/>
        <v>17</v>
      </c>
      <c r="AT191" s="114">
        <f t="shared" si="23"/>
        <v>0</v>
      </c>
      <c r="AU191" s="114">
        <f t="shared" si="24"/>
        <v>18</v>
      </c>
      <c r="AV191" s="114">
        <f t="shared" si="25"/>
        <v>0</v>
      </c>
      <c r="AW191" s="114">
        <f t="shared" si="26"/>
        <v>0</v>
      </c>
      <c r="AX191" s="114">
        <f t="shared" ref="AX191:AY191" si="223">IF(S191=1,2,0)</f>
        <v>0</v>
      </c>
      <c r="AY191" s="114">
        <f t="shared" si="223"/>
        <v>0</v>
      </c>
      <c r="AZ191" s="114">
        <f t="shared" si="28"/>
        <v>0</v>
      </c>
      <c r="BA191" s="114">
        <f t="shared" si="29"/>
        <v>3</v>
      </c>
      <c r="BB191" s="114">
        <f t="shared" si="30"/>
        <v>10</v>
      </c>
      <c r="BC191" s="114">
        <f t="shared" si="31"/>
        <v>8</v>
      </c>
      <c r="BD191" s="114">
        <f t="shared" si="32"/>
        <v>5</v>
      </c>
      <c r="BE191" s="114">
        <f t="shared" si="33"/>
        <v>0</v>
      </c>
      <c r="BF191" s="114">
        <f t="shared" si="34"/>
        <v>0</v>
      </c>
      <c r="BG191" s="114">
        <f t="shared" si="35"/>
        <v>15</v>
      </c>
      <c r="BH191" s="114">
        <f t="shared" si="36"/>
        <v>0</v>
      </c>
      <c r="BI191" s="114">
        <f t="shared" si="37"/>
        <v>0</v>
      </c>
      <c r="BJ191" s="114"/>
      <c r="BK191" s="114">
        <f t="shared" si="38"/>
        <v>0</v>
      </c>
      <c r="BL191" s="113"/>
    </row>
    <row r="192" spans="1:64">
      <c r="A192" s="106" t="s">
        <v>364</v>
      </c>
      <c r="B192" s="115"/>
      <c r="C192" s="107">
        <v>1</v>
      </c>
      <c r="D192" s="107"/>
      <c r="E192" s="107"/>
      <c r="F192" s="107"/>
      <c r="G192" s="107"/>
      <c r="H192" s="107"/>
      <c r="I192" s="107"/>
      <c r="J192" s="107">
        <v>1</v>
      </c>
      <c r="K192" s="107"/>
      <c r="L192" s="107"/>
      <c r="M192" s="107"/>
      <c r="N192" s="107"/>
      <c r="O192" s="107"/>
      <c r="P192" s="107">
        <v>1</v>
      </c>
      <c r="Q192" s="107"/>
      <c r="R192" s="107"/>
      <c r="S192" s="107"/>
      <c r="T192" s="107"/>
      <c r="U192" s="107">
        <v>1</v>
      </c>
      <c r="V192" s="107">
        <v>1</v>
      </c>
      <c r="W192" s="107"/>
      <c r="X192" s="107"/>
      <c r="Y192" s="107">
        <v>1</v>
      </c>
      <c r="Z192" s="107"/>
      <c r="AA192" s="107"/>
      <c r="AB192" s="107">
        <v>1</v>
      </c>
      <c r="AC192" s="107"/>
      <c r="AD192" s="107">
        <v>1</v>
      </c>
      <c r="AE192" s="107"/>
      <c r="AF192" s="107"/>
      <c r="AG192" s="107">
        <v>1</v>
      </c>
      <c r="AH192" s="107"/>
      <c r="AI192" s="107"/>
      <c r="AJ192" s="107"/>
      <c r="AK192" s="107">
        <f t="shared" si="221"/>
        <v>9</v>
      </c>
      <c r="AL192" s="303" t="s">
        <v>1567</v>
      </c>
      <c r="AM192" s="108">
        <f t="shared" si="16"/>
        <v>62</v>
      </c>
      <c r="AN192" s="108">
        <f t="shared" si="17"/>
        <v>89</v>
      </c>
      <c r="AO192" s="115">
        <f t="shared" si="18"/>
        <v>9</v>
      </c>
      <c r="AP192" s="115">
        <f t="shared" si="19"/>
        <v>0</v>
      </c>
      <c r="AQ192" s="115">
        <f t="shared" si="20"/>
        <v>0</v>
      </c>
      <c r="AR192" s="115">
        <f t="shared" si="21"/>
        <v>0</v>
      </c>
      <c r="AS192" s="115">
        <f t="shared" si="22"/>
        <v>17</v>
      </c>
      <c r="AT192" s="115">
        <f t="shared" si="23"/>
        <v>0</v>
      </c>
      <c r="AU192" s="115">
        <f t="shared" si="24"/>
        <v>18</v>
      </c>
      <c r="AV192" s="115">
        <f t="shared" si="25"/>
        <v>0</v>
      </c>
      <c r="AW192" s="115">
        <f t="shared" si="26"/>
        <v>0</v>
      </c>
      <c r="AX192" s="115">
        <f t="shared" ref="AX192:AY192" si="224">IF(S192=1,2,0)</f>
        <v>0</v>
      </c>
      <c r="AY192" s="115">
        <f t="shared" si="224"/>
        <v>0</v>
      </c>
      <c r="AZ192" s="115">
        <f t="shared" si="28"/>
        <v>10</v>
      </c>
      <c r="BA192" s="115">
        <f t="shared" si="29"/>
        <v>3</v>
      </c>
      <c r="BB192" s="115">
        <f t="shared" si="30"/>
        <v>10</v>
      </c>
      <c r="BC192" s="115">
        <f t="shared" si="31"/>
        <v>0</v>
      </c>
      <c r="BD192" s="115">
        <f t="shared" si="32"/>
        <v>5</v>
      </c>
      <c r="BE192" s="115">
        <f t="shared" si="33"/>
        <v>5</v>
      </c>
      <c r="BF192" s="115">
        <f t="shared" si="34"/>
        <v>0</v>
      </c>
      <c r="BG192" s="115">
        <f t="shared" si="35"/>
        <v>15</v>
      </c>
      <c r="BH192" s="115">
        <f t="shared" si="36"/>
        <v>0</v>
      </c>
      <c r="BI192" s="115">
        <f t="shared" si="37"/>
        <v>0</v>
      </c>
      <c r="BJ192" s="115"/>
      <c r="BK192" s="115">
        <f t="shared" si="38"/>
        <v>1</v>
      </c>
      <c r="BL192" s="109"/>
    </row>
    <row r="193" spans="1:64">
      <c r="A193" s="110" t="s">
        <v>938</v>
      </c>
      <c r="B193" s="114"/>
      <c r="C193" s="111"/>
      <c r="D193" s="111">
        <v>1</v>
      </c>
      <c r="E193" s="111"/>
      <c r="F193" s="111"/>
      <c r="G193" s="111"/>
      <c r="H193" s="111"/>
      <c r="I193" s="111"/>
      <c r="J193" s="111">
        <v>1</v>
      </c>
      <c r="K193" s="111"/>
      <c r="L193" s="111"/>
      <c r="M193" s="111"/>
      <c r="N193" s="111"/>
      <c r="O193" s="111"/>
      <c r="P193" s="111">
        <v>1</v>
      </c>
      <c r="Q193" s="111">
        <v>1</v>
      </c>
      <c r="R193" s="111"/>
      <c r="S193" s="111"/>
      <c r="T193" s="111"/>
      <c r="U193" s="111"/>
      <c r="V193" s="111">
        <v>1</v>
      </c>
      <c r="W193" s="111"/>
      <c r="X193" s="111">
        <v>1</v>
      </c>
      <c r="Y193" s="111"/>
      <c r="Z193" s="111"/>
      <c r="AA193" s="111"/>
      <c r="AB193" s="111"/>
      <c r="AC193" s="111"/>
      <c r="AD193" s="111">
        <v>1</v>
      </c>
      <c r="AE193" s="111"/>
      <c r="AF193" s="111"/>
      <c r="AG193" s="111">
        <v>1</v>
      </c>
      <c r="AH193" s="111"/>
      <c r="AI193" s="111"/>
      <c r="AJ193" s="111"/>
      <c r="AK193" s="111">
        <v>8</v>
      </c>
      <c r="AL193" s="304" t="s">
        <v>1417</v>
      </c>
      <c r="AM193" s="112">
        <f t="shared" si="16"/>
        <v>49</v>
      </c>
      <c r="AN193" s="112">
        <f t="shared" si="17"/>
        <v>75</v>
      </c>
      <c r="AO193" s="114">
        <f t="shared" si="18"/>
        <v>0</v>
      </c>
      <c r="AP193" s="114">
        <f t="shared" si="19"/>
        <v>13</v>
      </c>
      <c r="AQ193" s="114">
        <f t="shared" si="20"/>
        <v>0</v>
      </c>
      <c r="AR193" s="114">
        <f t="shared" si="21"/>
        <v>0</v>
      </c>
      <c r="AS193" s="114">
        <f t="shared" si="22"/>
        <v>17</v>
      </c>
      <c r="AT193" s="114">
        <f t="shared" si="23"/>
        <v>0</v>
      </c>
      <c r="AU193" s="114">
        <f t="shared" si="24"/>
        <v>18</v>
      </c>
      <c r="AV193" s="114">
        <f t="shared" si="25"/>
        <v>4</v>
      </c>
      <c r="AW193" s="114">
        <f t="shared" si="26"/>
        <v>0</v>
      </c>
      <c r="AX193" s="114">
        <f t="shared" ref="AX193:AY193" si="225">IF(S193=1,2,0)</f>
        <v>0</v>
      </c>
      <c r="AY193" s="114">
        <f t="shared" si="225"/>
        <v>0</v>
      </c>
      <c r="AZ193" s="114">
        <f t="shared" si="28"/>
        <v>0</v>
      </c>
      <c r="BA193" s="114">
        <f t="shared" si="29"/>
        <v>3</v>
      </c>
      <c r="BB193" s="114">
        <f t="shared" si="30"/>
        <v>0</v>
      </c>
      <c r="BC193" s="114">
        <f t="shared" si="31"/>
        <v>0</v>
      </c>
      <c r="BD193" s="114">
        <f t="shared" si="32"/>
        <v>0</v>
      </c>
      <c r="BE193" s="114">
        <f t="shared" si="33"/>
        <v>5</v>
      </c>
      <c r="BF193" s="114">
        <f t="shared" si="34"/>
        <v>0</v>
      </c>
      <c r="BG193" s="114">
        <f t="shared" si="35"/>
        <v>15</v>
      </c>
      <c r="BH193" s="114">
        <f t="shared" si="36"/>
        <v>0</v>
      </c>
      <c r="BI193" s="114">
        <f t="shared" si="37"/>
        <v>0</v>
      </c>
      <c r="BJ193" s="114"/>
      <c r="BK193" s="114">
        <f t="shared" si="38"/>
        <v>4</v>
      </c>
      <c r="BL193" s="113"/>
    </row>
    <row r="194" spans="1:64" ht="25.5">
      <c r="A194" s="106" t="s">
        <v>365</v>
      </c>
      <c r="B194" s="115"/>
      <c r="C194" s="107">
        <v>1</v>
      </c>
      <c r="D194" s="107">
        <v>1</v>
      </c>
      <c r="E194" s="107"/>
      <c r="F194" s="107"/>
      <c r="G194" s="107"/>
      <c r="H194" s="107"/>
      <c r="I194" s="107"/>
      <c r="J194" s="107">
        <v>1</v>
      </c>
      <c r="K194" s="107"/>
      <c r="L194" s="107"/>
      <c r="M194" s="107"/>
      <c r="N194" s="107"/>
      <c r="O194" s="107"/>
      <c r="P194" s="107">
        <v>1</v>
      </c>
      <c r="Q194" s="107"/>
      <c r="R194" s="107"/>
      <c r="S194" s="107"/>
      <c r="T194" s="107"/>
      <c r="U194" s="107"/>
      <c r="V194" s="107">
        <v>1</v>
      </c>
      <c r="W194" s="107"/>
      <c r="X194" s="107"/>
      <c r="Y194" s="107">
        <v>1</v>
      </c>
      <c r="Z194" s="107"/>
      <c r="AA194" s="107"/>
      <c r="AB194" s="107">
        <v>1</v>
      </c>
      <c r="AC194" s="107"/>
      <c r="AD194" s="107"/>
      <c r="AE194" s="107"/>
      <c r="AF194" s="107"/>
      <c r="AG194" s="107">
        <v>1</v>
      </c>
      <c r="AH194" s="107"/>
      <c r="AI194" s="107"/>
      <c r="AJ194" s="107"/>
      <c r="AK194" s="107">
        <v>8</v>
      </c>
      <c r="AL194" s="115" t="s">
        <v>1568</v>
      </c>
      <c r="AM194" s="108">
        <f t="shared" si="16"/>
        <v>64</v>
      </c>
      <c r="AN194" s="108">
        <f t="shared" si="17"/>
        <v>90</v>
      </c>
      <c r="AO194" s="115">
        <f t="shared" si="18"/>
        <v>9</v>
      </c>
      <c r="AP194" s="115">
        <f t="shared" si="19"/>
        <v>13</v>
      </c>
      <c r="AQ194" s="115">
        <f t="shared" si="20"/>
        <v>0</v>
      </c>
      <c r="AR194" s="115">
        <f t="shared" si="21"/>
        <v>0</v>
      </c>
      <c r="AS194" s="115">
        <f t="shared" si="22"/>
        <v>17</v>
      </c>
      <c r="AT194" s="115">
        <f t="shared" si="23"/>
        <v>0</v>
      </c>
      <c r="AU194" s="115">
        <f t="shared" si="24"/>
        <v>18</v>
      </c>
      <c r="AV194" s="115">
        <f t="shared" si="25"/>
        <v>0</v>
      </c>
      <c r="AW194" s="115">
        <f t="shared" si="26"/>
        <v>0</v>
      </c>
      <c r="AX194" s="115">
        <f t="shared" ref="AX194:AY194" si="226">IF(S194=1,2,0)</f>
        <v>0</v>
      </c>
      <c r="AY194" s="115">
        <f t="shared" si="226"/>
        <v>0</v>
      </c>
      <c r="AZ194" s="115">
        <f t="shared" si="28"/>
        <v>0</v>
      </c>
      <c r="BA194" s="115">
        <f t="shared" si="29"/>
        <v>3</v>
      </c>
      <c r="BB194" s="115">
        <f t="shared" si="30"/>
        <v>10</v>
      </c>
      <c r="BC194" s="115">
        <f t="shared" si="31"/>
        <v>0</v>
      </c>
      <c r="BD194" s="115">
        <f t="shared" si="32"/>
        <v>5</v>
      </c>
      <c r="BE194" s="115">
        <f t="shared" si="33"/>
        <v>0</v>
      </c>
      <c r="BF194" s="115">
        <f t="shared" si="34"/>
        <v>0</v>
      </c>
      <c r="BG194" s="115">
        <f t="shared" si="35"/>
        <v>15</v>
      </c>
      <c r="BH194" s="115">
        <f t="shared" si="36"/>
        <v>0</v>
      </c>
      <c r="BI194" s="115">
        <f t="shared" si="37"/>
        <v>0</v>
      </c>
      <c r="BJ194" s="115"/>
      <c r="BK194" s="115">
        <f t="shared" si="38"/>
        <v>4</v>
      </c>
      <c r="BL194" s="109"/>
    </row>
    <row r="195" spans="1:64">
      <c r="A195" s="110" t="s">
        <v>369</v>
      </c>
      <c r="B195" s="114"/>
      <c r="C195" s="111">
        <v>1</v>
      </c>
      <c r="D195" s="111"/>
      <c r="E195" s="111">
        <v>1</v>
      </c>
      <c r="F195" s="111"/>
      <c r="G195" s="111">
        <v>1</v>
      </c>
      <c r="H195" s="111"/>
      <c r="I195" s="111"/>
      <c r="J195" s="111">
        <v>1</v>
      </c>
      <c r="K195" s="111"/>
      <c r="L195" s="111"/>
      <c r="M195" s="111"/>
      <c r="N195" s="111"/>
      <c r="O195" s="111"/>
      <c r="P195" s="111">
        <v>1</v>
      </c>
      <c r="Q195" s="111"/>
      <c r="R195" s="111"/>
      <c r="S195" s="111"/>
      <c r="T195" s="111">
        <v>1</v>
      </c>
      <c r="U195" s="111"/>
      <c r="V195" s="111"/>
      <c r="W195" s="111"/>
      <c r="X195" s="111">
        <v>1</v>
      </c>
      <c r="Y195" s="111">
        <v>1</v>
      </c>
      <c r="Z195" s="111">
        <v>1</v>
      </c>
      <c r="AA195" s="111"/>
      <c r="AB195" s="111"/>
      <c r="AC195" s="111"/>
      <c r="AD195" s="111"/>
      <c r="AE195" s="111"/>
      <c r="AF195" s="111"/>
      <c r="AG195" s="111">
        <v>1</v>
      </c>
      <c r="AH195" s="111"/>
      <c r="AI195" s="111"/>
      <c r="AJ195" s="111"/>
      <c r="AK195" s="111">
        <f>SUM(B195:AJ195)</f>
        <v>10</v>
      </c>
      <c r="AL195" s="304" t="s">
        <v>1569</v>
      </c>
      <c r="AM195" s="112">
        <f t="shared" si="16"/>
        <v>95</v>
      </c>
      <c r="AN195" s="112">
        <f t="shared" si="17"/>
        <v>89</v>
      </c>
      <c r="AO195" s="114">
        <f t="shared" si="18"/>
        <v>9</v>
      </c>
      <c r="AP195" s="114">
        <f t="shared" si="19"/>
        <v>0</v>
      </c>
      <c r="AQ195" s="114">
        <f t="shared" si="20"/>
        <v>6</v>
      </c>
      <c r="AR195" s="114">
        <f t="shared" si="21"/>
        <v>6</v>
      </c>
      <c r="AS195" s="114">
        <f t="shared" si="22"/>
        <v>17</v>
      </c>
      <c r="AT195" s="114">
        <f t="shared" si="23"/>
        <v>0</v>
      </c>
      <c r="AU195" s="114">
        <f t="shared" si="24"/>
        <v>18</v>
      </c>
      <c r="AV195" s="114">
        <f t="shared" si="25"/>
        <v>0</v>
      </c>
      <c r="AW195" s="114">
        <f t="shared" si="26"/>
        <v>0</v>
      </c>
      <c r="AX195" s="114">
        <f t="shared" ref="AX195:AY195" si="227">IF(S195=1,2,0)</f>
        <v>0</v>
      </c>
      <c r="AY195" s="114">
        <f t="shared" si="227"/>
        <v>2</v>
      </c>
      <c r="AZ195" s="114">
        <f t="shared" si="28"/>
        <v>0</v>
      </c>
      <c r="BA195" s="114">
        <f t="shared" si="29"/>
        <v>0</v>
      </c>
      <c r="BB195" s="114">
        <f t="shared" si="30"/>
        <v>10</v>
      </c>
      <c r="BC195" s="114">
        <f t="shared" si="31"/>
        <v>8</v>
      </c>
      <c r="BD195" s="114">
        <f t="shared" si="32"/>
        <v>0</v>
      </c>
      <c r="BE195" s="114">
        <f t="shared" si="33"/>
        <v>0</v>
      </c>
      <c r="BF195" s="114">
        <f t="shared" si="34"/>
        <v>0</v>
      </c>
      <c r="BG195" s="114">
        <f t="shared" si="35"/>
        <v>15</v>
      </c>
      <c r="BH195" s="114">
        <f t="shared" si="36"/>
        <v>0</v>
      </c>
      <c r="BI195" s="114">
        <f t="shared" si="37"/>
        <v>0</v>
      </c>
      <c r="BJ195" s="114"/>
      <c r="BK195" s="114">
        <f t="shared" si="38"/>
        <v>0</v>
      </c>
      <c r="BL195" s="113"/>
    </row>
    <row r="196" spans="1:64">
      <c r="A196" s="106" t="s">
        <v>941</v>
      </c>
      <c r="B196" s="115"/>
      <c r="C196" s="107"/>
      <c r="D196" s="107">
        <v>1</v>
      </c>
      <c r="E196" s="107"/>
      <c r="F196" s="107"/>
      <c r="G196" s="107"/>
      <c r="H196" s="107"/>
      <c r="I196" s="107"/>
      <c r="J196" s="107">
        <v>1</v>
      </c>
      <c r="K196" s="107"/>
      <c r="L196" s="107"/>
      <c r="M196" s="107"/>
      <c r="N196" s="107"/>
      <c r="O196" s="107"/>
      <c r="P196" s="107">
        <v>1</v>
      </c>
      <c r="Q196" s="107"/>
      <c r="R196" s="107">
        <v>1</v>
      </c>
      <c r="S196" s="107">
        <v>1</v>
      </c>
      <c r="T196" s="107"/>
      <c r="U196" s="107">
        <v>1</v>
      </c>
      <c r="V196" s="107"/>
      <c r="W196" s="107"/>
      <c r="X196" s="107"/>
      <c r="Y196" s="107">
        <v>1</v>
      </c>
      <c r="Z196" s="107">
        <v>1</v>
      </c>
      <c r="AA196" s="107"/>
      <c r="AB196" s="107"/>
      <c r="AC196" s="107"/>
      <c r="AD196" s="107"/>
      <c r="AE196" s="107"/>
      <c r="AF196" s="107"/>
      <c r="AG196" s="107">
        <v>1</v>
      </c>
      <c r="AH196" s="107"/>
      <c r="AI196" s="107">
        <v>1</v>
      </c>
      <c r="AJ196" s="107"/>
      <c r="AK196" s="107">
        <v>10</v>
      </c>
      <c r="AL196" s="303" t="s">
        <v>1417</v>
      </c>
      <c r="AM196" s="108">
        <f t="shared" si="16"/>
        <v>67</v>
      </c>
      <c r="AN196" s="108">
        <f t="shared" si="17"/>
        <v>94</v>
      </c>
      <c r="AO196" s="115">
        <f t="shared" si="18"/>
        <v>0</v>
      </c>
      <c r="AP196" s="115">
        <f t="shared" si="19"/>
        <v>13</v>
      </c>
      <c r="AQ196" s="115">
        <f t="shared" si="20"/>
        <v>0</v>
      </c>
      <c r="AR196" s="115">
        <f t="shared" si="21"/>
        <v>0</v>
      </c>
      <c r="AS196" s="115">
        <f t="shared" si="22"/>
        <v>17</v>
      </c>
      <c r="AT196" s="115">
        <f t="shared" si="23"/>
        <v>0</v>
      </c>
      <c r="AU196" s="115">
        <f t="shared" si="24"/>
        <v>18</v>
      </c>
      <c r="AV196" s="115">
        <f t="shared" si="25"/>
        <v>0</v>
      </c>
      <c r="AW196" s="115">
        <f t="shared" si="26"/>
        <v>1</v>
      </c>
      <c r="AX196" s="115">
        <f t="shared" ref="AX196:AY196" si="228">IF(S196=1,2,0)</f>
        <v>2</v>
      </c>
      <c r="AY196" s="115">
        <f t="shared" si="228"/>
        <v>0</v>
      </c>
      <c r="AZ196" s="115">
        <f t="shared" si="28"/>
        <v>10</v>
      </c>
      <c r="BA196" s="115">
        <f t="shared" si="29"/>
        <v>0</v>
      </c>
      <c r="BB196" s="115">
        <f t="shared" si="30"/>
        <v>10</v>
      </c>
      <c r="BC196" s="115">
        <f t="shared" si="31"/>
        <v>8</v>
      </c>
      <c r="BD196" s="115">
        <f t="shared" si="32"/>
        <v>0</v>
      </c>
      <c r="BE196" s="115">
        <f t="shared" si="33"/>
        <v>0</v>
      </c>
      <c r="BF196" s="115">
        <f t="shared" si="34"/>
        <v>0</v>
      </c>
      <c r="BG196" s="115">
        <f t="shared" si="35"/>
        <v>15</v>
      </c>
      <c r="BH196" s="115">
        <f t="shared" si="36"/>
        <v>3</v>
      </c>
      <c r="BI196" s="115">
        <f t="shared" si="37"/>
        <v>0</v>
      </c>
      <c r="BJ196" s="115"/>
      <c r="BK196" s="115">
        <f t="shared" si="38"/>
        <v>0</v>
      </c>
      <c r="BL196" s="109"/>
    </row>
    <row r="197" spans="1:64">
      <c r="A197" s="110" t="s">
        <v>371</v>
      </c>
      <c r="B197" s="114"/>
      <c r="C197" s="111"/>
      <c r="D197" s="111">
        <v>1</v>
      </c>
      <c r="E197" s="111"/>
      <c r="F197" s="111"/>
      <c r="G197" s="111"/>
      <c r="H197" s="111"/>
      <c r="I197" s="111"/>
      <c r="J197" s="111">
        <v>1</v>
      </c>
      <c r="K197" s="111"/>
      <c r="L197" s="111"/>
      <c r="M197" s="111"/>
      <c r="N197" s="111"/>
      <c r="O197" s="111"/>
      <c r="P197" s="111">
        <v>1</v>
      </c>
      <c r="Q197" s="111">
        <v>1</v>
      </c>
      <c r="R197" s="111">
        <v>1</v>
      </c>
      <c r="S197" s="111">
        <v>1</v>
      </c>
      <c r="T197" s="111"/>
      <c r="U197" s="111">
        <v>1</v>
      </c>
      <c r="V197" s="111"/>
      <c r="W197" s="111"/>
      <c r="X197" s="111"/>
      <c r="Y197" s="111"/>
      <c r="Z197" s="111"/>
      <c r="AA197" s="111"/>
      <c r="AB197" s="111"/>
      <c r="AC197" s="111"/>
      <c r="AD197" s="111"/>
      <c r="AE197" s="111"/>
      <c r="AF197" s="111"/>
      <c r="AG197" s="111">
        <v>1</v>
      </c>
      <c r="AH197" s="111"/>
      <c r="AI197" s="111">
        <v>1</v>
      </c>
      <c r="AJ197" s="111"/>
      <c r="AK197" s="111">
        <v>9</v>
      </c>
      <c r="AL197" s="304" t="s">
        <v>1440</v>
      </c>
      <c r="AM197" s="112">
        <f t="shared" si="16"/>
        <v>53</v>
      </c>
      <c r="AN197" s="112">
        <f t="shared" si="17"/>
        <v>82</v>
      </c>
      <c r="AO197" s="114">
        <f t="shared" si="18"/>
        <v>0</v>
      </c>
      <c r="AP197" s="114">
        <f t="shared" si="19"/>
        <v>13</v>
      </c>
      <c r="AQ197" s="114">
        <f t="shared" si="20"/>
        <v>0</v>
      </c>
      <c r="AR197" s="114">
        <f t="shared" si="21"/>
        <v>0</v>
      </c>
      <c r="AS197" s="114">
        <f t="shared" si="22"/>
        <v>17</v>
      </c>
      <c r="AT197" s="114">
        <f t="shared" si="23"/>
        <v>0</v>
      </c>
      <c r="AU197" s="114">
        <f t="shared" si="24"/>
        <v>18</v>
      </c>
      <c r="AV197" s="114">
        <f t="shared" si="25"/>
        <v>4</v>
      </c>
      <c r="AW197" s="114">
        <f t="shared" si="26"/>
        <v>1</v>
      </c>
      <c r="AX197" s="114">
        <f t="shared" ref="AX197:AY197" si="229">IF(S197=1,2,0)</f>
        <v>2</v>
      </c>
      <c r="AY197" s="114">
        <f t="shared" si="229"/>
        <v>0</v>
      </c>
      <c r="AZ197" s="114">
        <f t="shared" si="28"/>
        <v>10</v>
      </c>
      <c r="BA197" s="114">
        <f t="shared" si="29"/>
        <v>0</v>
      </c>
      <c r="BB197" s="114">
        <f t="shared" si="30"/>
        <v>0</v>
      </c>
      <c r="BC197" s="114">
        <f t="shared" si="31"/>
        <v>0</v>
      </c>
      <c r="BD197" s="114">
        <f t="shared" si="32"/>
        <v>0</v>
      </c>
      <c r="BE197" s="114">
        <f t="shared" si="33"/>
        <v>0</v>
      </c>
      <c r="BF197" s="114">
        <f t="shared" si="34"/>
        <v>0</v>
      </c>
      <c r="BG197" s="114">
        <f t="shared" si="35"/>
        <v>15</v>
      </c>
      <c r="BH197" s="114">
        <f t="shared" si="36"/>
        <v>3</v>
      </c>
      <c r="BI197" s="114">
        <f t="shared" si="37"/>
        <v>0</v>
      </c>
      <c r="BJ197" s="114"/>
      <c r="BK197" s="114">
        <f t="shared" si="38"/>
        <v>1</v>
      </c>
      <c r="BL197" s="113"/>
    </row>
    <row r="198" spans="1:64">
      <c r="A198" s="106" t="s">
        <v>373</v>
      </c>
      <c r="B198" s="115"/>
      <c r="C198" s="107">
        <v>1</v>
      </c>
      <c r="D198" s="107">
        <v>1</v>
      </c>
      <c r="E198" s="107"/>
      <c r="F198" s="107"/>
      <c r="G198" s="107"/>
      <c r="H198" s="107"/>
      <c r="I198" s="107"/>
      <c r="J198" s="107">
        <v>1</v>
      </c>
      <c r="K198" s="107"/>
      <c r="L198" s="107"/>
      <c r="M198" s="107"/>
      <c r="N198" s="107">
        <v>1</v>
      </c>
      <c r="O198" s="107"/>
      <c r="P198" s="107">
        <v>1</v>
      </c>
      <c r="Q198" s="107"/>
      <c r="R198" s="107"/>
      <c r="S198" s="107"/>
      <c r="T198" s="107"/>
      <c r="U198" s="107">
        <v>1</v>
      </c>
      <c r="V198" s="107">
        <v>1</v>
      </c>
      <c r="W198" s="107"/>
      <c r="X198" s="107"/>
      <c r="Y198" s="107">
        <v>1</v>
      </c>
      <c r="Z198" s="107">
        <v>1</v>
      </c>
      <c r="AA198" s="107"/>
      <c r="AB198" s="107"/>
      <c r="AC198" s="107"/>
      <c r="AD198" s="107"/>
      <c r="AE198" s="107"/>
      <c r="AF198" s="107"/>
      <c r="AG198" s="107">
        <v>1</v>
      </c>
      <c r="AH198" s="107"/>
      <c r="AI198" s="107"/>
      <c r="AJ198" s="107"/>
      <c r="AK198" s="107">
        <v>10</v>
      </c>
      <c r="AL198" s="303" t="s">
        <v>1440</v>
      </c>
      <c r="AM198" s="108">
        <f t="shared" si="16"/>
        <v>76</v>
      </c>
      <c r="AN198" s="108">
        <f t="shared" si="17"/>
        <v>100</v>
      </c>
      <c r="AO198" s="115">
        <f t="shared" si="18"/>
        <v>9</v>
      </c>
      <c r="AP198" s="115">
        <f t="shared" si="19"/>
        <v>13</v>
      </c>
      <c r="AQ198" s="115">
        <f t="shared" si="20"/>
        <v>0</v>
      </c>
      <c r="AR198" s="115">
        <f t="shared" si="21"/>
        <v>0</v>
      </c>
      <c r="AS198" s="115">
        <f t="shared" si="22"/>
        <v>17</v>
      </c>
      <c r="AT198" s="115">
        <f t="shared" si="23"/>
        <v>2</v>
      </c>
      <c r="AU198" s="115">
        <f t="shared" si="24"/>
        <v>18</v>
      </c>
      <c r="AV198" s="115">
        <f t="shared" si="25"/>
        <v>0</v>
      </c>
      <c r="AW198" s="115">
        <f t="shared" si="26"/>
        <v>0</v>
      </c>
      <c r="AX198" s="115">
        <f t="shared" ref="AX198:AY198" si="230">IF(S198=1,2,0)</f>
        <v>0</v>
      </c>
      <c r="AY198" s="115">
        <f t="shared" si="230"/>
        <v>0</v>
      </c>
      <c r="AZ198" s="115">
        <f t="shared" si="28"/>
        <v>10</v>
      </c>
      <c r="BA198" s="115">
        <f t="shared" si="29"/>
        <v>3</v>
      </c>
      <c r="BB198" s="115">
        <f t="shared" si="30"/>
        <v>10</v>
      </c>
      <c r="BC198" s="115">
        <f t="shared" si="31"/>
        <v>8</v>
      </c>
      <c r="BD198" s="115">
        <f t="shared" si="32"/>
        <v>0</v>
      </c>
      <c r="BE198" s="115">
        <f t="shared" si="33"/>
        <v>0</v>
      </c>
      <c r="BF198" s="115">
        <f t="shared" si="34"/>
        <v>0</v>
      </c>
      <c r="BG198" s="115">
        <f t="shared" si="35"/>
        <v>15</v>
      </c>
      <c r="BH198" s="115">
        <f t="shared" si="36"/>
        <v>0</v>
      </c>
      <c r="BI198" s="115">
        <f t="shared" si="37"/>
        <v>0</v>
      </c>
      <c r="BJ198" s="115"/>
      <c r="BK198" s="115">
        <f t="shared" si="38"/>
        <v>0</v>
      </c>
      <c r="BL198" s="109"/>
    </row>
    <row r="199" spans="1:64">
      <c r="A199" s="110" t="s">
        <v>376</v>
      </c>
      <c r="B199" s="114"/>
      <c r="C199" s="111">
        <v>1</v>
      </c>
      <c r="D199" s="111">
        <v>1</v>
      </c>
      <c r="E199" s="111">
        <v>1</v>
      </c>
      <c r="F199" s="111"/>
      <c r="G199" s="111">
        <v>1</v>
      </c>
      <c r="H199" s="111"/>
      <c r="I199" s="111"/>
      <c r="J199" s="111">
        <v>1</v>
      </c>
      <c r="K199" s="111"/>
      <c r="L199" s="111"/>
      <c r="M199" s="111"/>
      <c r="N199" s="111"/>
      <c r="O199" s="111"/>
      <c r="P199" s="111">
        <v>1</v>
      </c>
      <c r="Q199" s="111"/>
      <c r="R199" s="111"/>
      <c r="S199" s="111"/>
      <c r="T199" s="111"/>
      <c r="U199" s="111">
        <v>1</v>
      </c>
      <c r="V199" s="111"/>
      <c r="W199" s="111"/>
      <c r="X199" s="111"/>
      <c r="Y199" s="111">
        <v>1</v>
      </c>
      <c r="Z199" s="111">
        <v>1</v>
      </c>
      <c r="AA199" s="111"/>
      <c r="AB199" s="111"/>
      <c r="AC199" s="111"/>
      <c r="AD199" s="111"/>
      <c r="AE199" s="111"/>
      <c r="AF199" s="111"/>
      <c r="AG199" s="111">
        <v>1</v>
      </c>
      <c r="AH199" s="111"/>
      <c r="AI199" s="111"/>
      <c r="AJ199" s="111"/>
      <c r="AK199" s="111">
        <f t="shared" ref="AK199:AK200" si="231">SUM(B199:AJ199)</f>
        <v>10</v>
      </c>
      <c r="AL199" s="304" t="s">
        <v>1570</v>
      </c>
      <c r="AM199" s="112">
        <f t="shared" si="16"/>
        <v>96</v>
      </c>
      <c r="AN199" s="112">
        <f t="shared" si="17"/>
        <v>100</v>
      </c>
      <c r="AO199" s="114">
        <f t="shared" si="18"/>
        <v>9</v>
      </c>
      <c r="AP199" s="114">
        <f t="shared" si="19"/>
        <v>13</v>
      </c>
      <c r="AQ199" s="114">
        <f t="shared" si="20"/>
        <v>6</v>
      </c>
      <c r="AR199" s="114">
        <f t="shared" si="21"/>
        <v>6</v>
      </c>
      <c r="AS199" s="114">
        <f t="shared" si="22"/>
        <v>17</v>
      </c>
      <c r="AT199" s="114">
        <f t="shared" si="23"/>
        <v>0</v>
      </c>
      <c r="AU199" s="114">
        <f t="shared" si="24"/>
        <v>18</v>
      </c>
      <c r="AV199" s="114">
        <f t="shared" si="25"/>
        <v>0</v>
      </c>
      <c r="AW199" s="114">
        <f t="shared" si="26"/>
        <v>0</v>
      </c>
      <c r="AX199" s="114">
        <f t="shared" ref="AX199:AY199" si="232">IF(S199=1,2,0)</f>
        <v>0</v>
      </c>
      <c r="AY199" s="114">
        <f t="shared" si="232"/>
        <v>0</v>
      </c>
      <c r="AZ199" s="114">
        <f t="shared" si="28"/>
        <v>10</v>
      </c>
      <c r="BA199" s="114">
        <f t="shared" si="29"/>
        <v>0</v>
      </c>
      <c r="BB199" s="114">
        <f t="shared" si="30"/>
        <v>10</v>
      </c>
      <c r="BC199" s="114">
        <f t="shared" si="31"/>
        <v>8</v>
      </c>
      <c r="BD199" s="114">
        <f t="shared" si="32"/>
        <v>0</v>
      </c>
      <c r="BE199" s="114">
        <f t="shared" si="33"/>
        <v>0</v>
      </c>
      <c r="BF199" s="114">
        <f t="shared" si="34"/>
        <v>0</v>
      </c>
      <c r="BG199" s="114">
        <f t="shared" si="35"/>
        <v>15</v>
      </c>
      <c r="BH199" s="114">
        <f t="shared" si="36"/>
        <v>0</v>
      </c>
      <c r="BI199" s="114">
        <f t="shared" si="37"/>
        <v>0</v>
      </c>
      <c r="BJ199" s="114"/>
      <c r="BK199" s="114">
        <f t="shared" si="38"/>
        <v>0</v>
      </c>
      <c r="BL199" s="113"/>
    </row>
    <row r="200" spans="1:64">
      <c r="A200" s="106" t="s">
        <v>378</v>
      </c>
      <c r="B200" s="115"/>
      <c r="C200" s="107">
        <v>1</v>
      </c>
      <c r="D200" s="107">
        <v>1</v>
      </c>
      <c r="E200" s="107">
        <v>1</v>
      </c>
      <c r="F200" s="107"/>
      <c r="G200" s="107">
        <v>1</v>
      </c>
      <c r="H200" s="107"/>
      <c r="I200" s="107"/>
      <c r="J200" s="107">
        <v>1</v>
      </c>
      <c r="K200" s="107"/>
      <c r="L200" s="107"/>
      <c r="M200" s="107"/>
      <c r="N200" s="107"/>
      <c r="O200" s="107"/>
      <c r="P200" s="107">
        <v>1</v>
      </c>
      <c r="Q200" s="107">
        <v>1</v>
      </c>
      <c r="R200" s="107"/>
      <c r="S200" s="107"/>
      <c r="T200" s="107"/>
      <c r="U200" s="107"/>
      <c r="V200" s="107"/>
      <c r="W200" s="107"/>
      <c r="X200" s="107"/>
      <c r="Y200" s="107">
        <v>1</v>
      </c>
      <c r="Z200" s="107">
        <v>1</v>
      </c>
      <c r="AA200" s="107"/>
      <c r="AB200" s="107"/>
      <c r="AC200" s="107"/>
      <c r="AD200" s="107"/>
      <c r="AE200" s="107"/>
      <c r="AF200" s="107"/>
      <c r="AG200" s="107">
        <v>1</v>
      </c>
      <c r="AH200" s="107"/>
      <c r="AI200" s="107"/>
      <c r="AJ200" s="107"/>
      <c r="AK200" s="107">
        <f t="shared" si="231"/>
        <v>10</v>
      </c>
      <c r="AL200" s="303" t="s">
        <v>1571</v>
      </c>
      <c r="AM200" s="108">
        <f t="shared" si="16"/>
        <v>100</v>
      </c>
      <c r="AN200" s="108">
        <f t="shared" si="17"/>
        <v>96</v>
      </c>
      <c r="AO200" s="115">
        <f t="shared" si="18"/>
        <v>9</v>
      </c>
      <c r="AP200" s="115">
        <f t="shared" si="19"/>
        <v>13</v>
      </c>
      <c r="AQ200" s="115">
        <f t="shared" si="20"/>
        <v>6</v>
      </c>
      <c r="AR200" s="115">
        <f t="shared" si="21"/>
        <v>6</v>
      </c>
      <c r="AS200" s="115">
        <f t="shared" si="22"/>
        <v>17</v>
      </c>
      <c r="AT200" s="115">
        <f t="shared" si="23"/>
        <v>0</v>
      </c>
      <c r="AU200" s="115">
        <f t="shared" si="24"/>
        <v>18</v>
      </c>
      <c r="AV200" s="115">
        <f t="shared" si="25"/>
        <v>4</v>
      </c>
      <c r="AW200" s="115">
        <f t="shared" si="26"/>
        <v>0</v>
      </c>
      <c r="AX200" s="115">
        <f t="shared" ref="AX200:AY200" si="233">IF(S200=1,2,0)</f>
        <v>0</v>
      </c>
      <c r="AY200" s="115">
        <f t="shared" si="233"/>
        <v>0</v>
      </c>
      <c r="AZ200" s="115">
        <f t="shared" si="28"/>
        <v>0</v>
      </c>
      <c r="BA200" s="115">
        <f t="shared" si="29"/>
        <v>0</v>
      </c>
      <c r="BB200" s="115">
        <f t="shared" si="30"/>
        <v>10</v>
      </c>
      <c r="BC200" s="115">
        <f t="shared" si="31"/>
        <v>8</v>
      </c>
      <c r="BD200" s="115">
        <f t="shared" si="32"/>
        <v>0</v>
      </c>
      <c r="BE200" s="115">
        <f t="shared" si="33"/>
        <v>0</v>
      </c>
      <c r="BF200" s="115">
        <f t="shared" si="34"/>
        <v>0</v>
      </c>
      <c r="BG200" s="115">
        <f t="shared" si="35"/>
        <v>15</v>
      </c>
      <c r="BH200" s="115">
        <f t="shared" si="36"/>
        <v>0</v>
      </c>
      <c r="BI200" s="115">
        <f t="shared" si="37"/>
        <v>0</v>
      </c>
      <c r="BJ200" s="115"/>
      <c r="BK200" s="115">
        <f t="shared" si="38"/>
        <v>0</v>
      </c>
      <c r="BL200" s="109"/>
    </row>
    <row r="201" spans="1:64">
      <c r="A201" s="110" t="s">
        <v>380</v>
      </c>
      <c r="B201" s="114"/>
      <c r="C201" s="111"/>
      <c r="D201" s="111">
        <v>1</v>
      </c>
      <c r="E201" s="111"/>
      <c r="F201" s="111"/>
      <c r="G201" s="111"/>
      <c r="H201" s="111"/>
      <c r="I201" s="111"/>
      <c r="J201" s="111">
        <v>1</v>
      </c>
      <c r="K201" s="111"/>
      <c r="L201" s="111"/>
      <c r="M201" s="111"/>
      <c r="N201" s="111"/>
      <c r="O201" s="111"/>
      <c r="P201" s="111">
        <v>1</v>
      </c>
      <c r="Q201" s="111">
        <v>1</v>
      </c>
      <c r="R201" s="111"/>
      <c r="S201" s="111"/>
      <c r="T201" s="111"/>
      <c r="U201" s="111">
        <v>1</v>
      </c>
      <c r="V201" s="111"/>
      <c r="W201" s="111"/>
      <c r="X201" s="111"/>
      <c r="Y201" s="111">
        <v>1</v>
      </c>
      <c r="Z201" s="111">
        <v>1</v>
      </c>
      <c r="AA201" s="111"/>
      <c r="AB201" s="111">
        <v>1</v>
      </c>
      <c r="AC201" s="111"/>
      <c r="AD201" s="111">
        <v>1</v>
      </c>
      <c r="AE201" s="111"/>
      <c r="AF201" s="111"/>
      <c r="AG201" s="111">
        <v>1</v>
      </c>
      <c r="AH201" s="111"/>
      <c r="AI201" s="111"/>
      <c r="AJ201" s="111"/>
      <c r="AK201" s="111">
        <v>10</v>
      </c>
      <c r="AL201" s="304" t="s">
        <v>1572</v>
      </c>
      <c r="AM201" s="112">
        <f t="shared" si="16"/>
        <v>70</v>
      </c>
      <c r="AN201" s="112">
        <f t="shared" si="17"/>
        <v>96</v>
      </c>
      <c r="AO201" s="114">
        <f t="shared" si="18"/>
        <v>0</v>
      </c>
      <c r="AP201" s="114">
        <f t="shared" si="19"/>
        <v>13</v>
      </c>
      <c r="AQ201" s="114">
        <f t="shared" si="20"/>
        <v>0</v>
      </c>
      <c r="AR201" s="114">
        <f t="shared" si="21"/>
        <v>0</v>
      </c>
      <c r="AS201" s="114">
        <f t="shared" si="22"/>
        <v>17</v>
      </c>
      <c r="AT201" s="114">
        <f t="shared" si="23"/>
        <v>0</v>
      </c>
      <c r="AU201" s="114">
        <f t="shared" si="24"/>
        <v>18</v>
      </c>
      <c r="AV201" s="114">
        <f t="shared" si="25"/>
        <v>4</v>
      </c>
      <c r="AW201" s="114">
        <f t="shared" si="26"/>
        <v>0</v>
      </c>
      <c r="AX201" s="114">
        <f t="shared" ref="AX201:AY201" si="234">IF(S201=1,2,0)</f>
        <v>0</v>
      </c>
      <c r="AY201" s="114">
        <f t="shared" si="234"/>
        <v>0</v>
      </c>
      <c r="AZ201" s="114">
        <f t="shared" si="28"/>
        <v>10</v>
      </c>
      <c r="BA201" s="114">
        <f t="shared" si="29"/>
        <v>0</v>
      </c>
      <c r="BB201" s="114">
        <f t="shared" si="30"/>
        <v>10</v>
      </c>
      <c r="BC201" s="114">
        <f t="shared" si="31"/>
        <v>8</v>
      </c>
      <c r="BD201" s="114">
        <f t="shared" si="32"/>
        <v>5</v>
      </c>
      <c r="BE201" s="114">
        <f t="shared" si="33"/>
        <v>5</v>
      </c>
      <c r="BF201" s="114">
        <f t="shared" si="34"/>
        <v>0</v>
      </c>
      <c r="BG201" s="114">
        <f t="shared" si="35"/>
        <v>15</v>
      </c>
      <c r="BH201" s="114">
        <f t="shared" si="36"/>
        <v>0</v>
      </c>
      <c r="BI201" s="114">
        <f t="shared" si="37"/>
        <v>0</v>
      </c>
      <c r="BJ201" s="114"/>
      <c r="BK201" s="114">
        <f t="shared" si="38"/>
        <v>0</v>
      </c>
      <c r="BL201" s="113"/>
    </row>
    <row r="202" spans="1:64">
      <c r="A202" s="106" t="s">
        <v>381</v>
      </c>
      <c r="B202" s="115"/>
      <c r="C202" s="107"/>
      <c r="D202" s="107">
        <v>1</v>
      </c>
      <c r="E202" s="107"/>
      <c r="F202" s="107"/>
      <c r="G202" s="107"/>
      <c r="H202" s="107"/>
      <c r="I202" s="107"/>
      <c r="J202" s="107">
        <v>1</v>
      </c>
      <c r="K202" s="107"/>
      <c r="L202" s="107"/>
      <c r="M202" s="107"/>
      <c r="N202" s="107"/>
      <c r="O202" s="107"/>
      <c r="P202" s="107">
        <v>1</v>
      </c>
      <c r="Q202" s="107"/>
      <c r="R202" s="107"/>
      <c r="S202" s="107"/>
      <c r="T202" s="107"/>
      <c r="U202" s="107"/>
      <c r="V202" s="107"/>
      <c r="W202" s="107"/>
      <c r="X202" s="107"/>
      <c r="Y202" s="107"/>
      <c r="Z202" s="107">
        <v>1</v>
      </c>
      <c r="AA202" s="107"/>
      <c r="AB202" s="107"/>
      <c r="AC202" s="107"/>
      <c r="AD202" s="107">
        <v>1</v>
      </c>
      <c r="AE202" s="107"/>
      <c r="AF202" s="107"/>
      <c r="AG202" s="107">
        <v>1</v>
      </c>
      <c r="AH202" s="107"/>
      <c r="AI202" s="107"/>
      <c r="AJ202" s="107"/>
      <c r="AK202" s="107">
        <v>6</v>
      </c>
      <c r="AL202" s="303" t="s">
        <v>1466</v>
      </c>
      <c r="AM202" s="108">
        <f t="shared" si="16"/>
        <v>34</v>
      </c>
      <c r="AN202" s="108">
        <f t="shared" si="17"/>
        <v>76</v>
      </c>
      <c r="AO202" s="115">
        <f t="shared" si="18"/>
        <v>0</v>
      </c>
      <c r="AP202" s="115">
        <f t="shared" si="19"/>
        <v>13</v>
      </c>
      <c r="AQ202" s="115">
        <f t="shared" si="20"/>
        <v>0</v>
      </c>
      <c r="AR202" s="115">
        <f t="shared" si="21"/>
        <v>0</v>
      </c>
      <c r="AS202" s="115">
        <f t="shared" si="22"/>
        <v>17</v>
      </c>
      <c r="AT202" s="115">
        <f t="shared" si="23"/>
        <v>0</v>
      </c>
      <c r="AU202" s="115">
        <f t="shared" si="24"/>
        <v>18</v>
      </c>
      <c r="AV202" s="115">
        <f t="shared" si="25"/>
        <v>0</v>
      </c>
      <c r="AW202" s="115">
        <f t="shared" si="26"/>
        <v>0</v>
      </c>
      <c r="AX202" s="115">
        <f t="shared" ref="AX202:AY202" si="235">IF(S202=1,2,0)</f>
        <v>0</v>
      </c>
      <c r="AY202" s="115">
        <f t="shared" si="235"/>
        <v>0</v>
      </c>
      <c r="AZ202" s="115">
        <f t="shared" si="28"/>
        <v>0</v>
      </c>
      <c r="BA202" s="115">
        <f t="shared" si="29"/>
        <v>0</v>
      </c>
      <c r="BB202" s="115">
        <f t="shared" si="30"/>
        <v>0</v>
      </c>
      <c r="BC202" s="115">
        <f t="shared" si="31"/>
        <v>8</v>
      </c>
      <c r="BD202" s="115">
        <f t="shared" si="32"/>
        <v>0</v>
      </c>
      <c r="BE202" s="115">
        <f t="shared" si="33"/>
        <v>5</v>
      </c>
      <c r="BF202" s="115">
        <f t="shared" si="34"/>
        <v>0</v>
      </c>
      <c r="BG202" s="115">
        <f t="shared" si="35"/>
        <v>15</v>
      </c>
      <c r="BH202" s="115">
        <f t="shared" si="36"/>
        <v>0</v>
      </c>
      <c r="BI202" s="115">
        <f t="shared" si="37"/>
        <v>0</v>
      </c>
      <c r="BJ202" s="115"/>
      <c r="BK202" s="115">
        <f t="shared" si="38"/>
        <v>16</v>
      </c>
      <c r="BL202" s="109"/>
    </row>
    <row r="203" spans="1:64">
      <c r="A203" s="110" t="s">
        <v>382</v>
      </c>
      <c r="B203" s="114"/>
      <c r="C203" s="111">
        <v>1</v>
      </c>
      <c r="D203" s="111">
        <v>1</v>
      </c>
      <c r="E203" s="111">
        <v>1</v>
      </c>
      <c r="F203" s="111"/>
      <c r="G203" s="111">
        <v>1</v>
      </c>
      <c r="H203" s="111"/>
      <c r="I203" s="111"/>
      <c r="J203" s="111">
        <v>1</v>
      </c>
      <c r="K203" s="111"/>
      <c r="L203" s="111"/>
      <c r="M203" s="111"/>
      <c r="N203" s="111"/>
      <c r="O203" s="111"/>
      <c r="P203" s="111">
        <v>1</v>
      </c>
      <c r="Q203" s="111"/>
      <c r="R203" s="111"/>
      <c r="S203" s="111"/>
      <c r="T203" s="111"/>
      <c r="U203" s="111">
        <v>1</v>
      </c>
      <c r="V203" s="111">
        <v>1</v>
      </c>
      <c r="W203" s="111"/>
      <c r="X203" s="111">
        <v>1</v>
      </c>
      <c r="Y203" s="111">
        <v>1</v>
      </c>
      <c r="Z203" s="111"/>
      <c r="AA203" s="111"/>
      <c r="AB203" s="111"/>
      <c r="AC203" s="111"/>
      <c r="AD203" s="111"/>
      <c r="AE203" s="111"/>
      <c r="AF203" s="111"/>
      <c r="AG203" s="111"/>
      <c r="AH203" s="111"/>
      <c r="AI203" s="111"/>
      <c r="AJ203" s="111"/>
      <c r="AK203" s="111">
        <f t="shared" ref="AK203:AK204" si="236">SUM(B203:AJ203)</f>
        <v>10</v>
      </c>
      <c r="AL203" s="304" t="s">
        <v>1573</v>
      </c>
      <c r="AM203" s="112">
        <f t="shared" si="16"/>
        <v>82</v>
      </c>
      <c r="AN203" s="112">
        <f t="shared" si="17"/>
        <v>89</v>
      </c>
      <c r="AO203" s="114">
        <f t="shared" si="18"/>
        <v>9</v>
      </c>
      <c r="AP203" s="114">
        <f t="shared" si="19"/>
        <v>13</v>
      </c>
      <c r="AQ203" s="114">
        <f t="shared" si="20"/>
        <v>6</v>
      </c>
      <c r="AR203" s="114">
        <f t="shared" si="21"/>
        <v>6</v>
      </c>
      <c r="AS203" s="114">
        <f t="shared" si="22"/>
        <v>17</v>
      </c>
      <c r="AT203" s="114">
        <f t="shared" si="23"/>
        <v>0</v>
      </c>
      <c r="AU203" s="114">
        <f t="shared" si="24"/>
        <v>18</v>
      </c>
      <c r="AV203" s="114">
        <f t="shared" si="25"/>
        <v>0</v>
      </c>
      <c r="AW203" s="114">
        <f t="shared" si="26"/>
        <v>0</v>
      </c>
      <c r="AX203" s="114">
        <f t="shared" ref="AX203:AY203" si="237">IF(S203=1,2,0)</f>
        <v>0</v>
      </c>
      <c r="AY203" s="114">
        <f t="shared" si="237"/>
        <v>0</v>
      </c>
      <c r="AZ203" s="114">
        <f t="shared" si="28"/>
        <v>10</v>
      </c>
      <c r="BA203" s="114">
        <f t="shared" si="29"/>
        <v>3</v>
      </c>
      <c r="BB203" s="114">
        <f t="shared" si="30"/>
        <v>10</v>
      </c>
      <c r="BC203" s="114">
        <f t="shared" si="31"/>
        <v>0</v>
      </c>
      <c r="BD203" s="114">
        <f t="shared" si="32"/>
        <v>0</v>
      </c>
      <c r="BE203" s="114">
        <f t="shared" si="33"/>
        <v>0</v>
      </c>
      <c r="BF203" s="114">
        <f t="shared" si="34"/>
        <v>0</v>
      </c>
      <c r="BG203" s="114">
        <f t="shared" si="35"/>
        <v>0</v>
      </c>
      <c r="BH203" s="114">
        <f t="shared" si="36"/>
        <v>0</v>
      </c>
      <c r="BI203" s="114">
        <f t="shared" si="37"/>
        <v>0</v>
      </c>
      <c r="BJ203" s="114"/>
      <c r="BK203" s="114">
        <f t="shared" si="38"/>
        <v>0</v>
      </c>
      <c r="BL203" s="113"/>
    </row>
    <row r="204" spans="1:64">
      <c r="A204" s="106" t="s">
        <v>386</v>
      </c>
      <c r="B204" s="115"/>
      <c r="C204" s="107"/>
      <c r="D204" s="107">
        <v>1</v>
      </c>
      <c r="E204" s="107">
        <v>1</v>
      </c>
      <c r="F204" s="107"/>
      <c r="G204" s="107">
        <v>1</v>
      </c>
      <c r="H204" s="107"/>
      <c r="I204" s="107"/>
      <c r="J204" s="107">
        <v>1</v>
      </c>
      <c r="K204" s="107"/>
      <c r="L204" s="107"/>
      <c r="M204" s="107"/>
      <c r="N204" s="107"/>
      <c r="O204" s="107"/>
      <c r="P204" s="107">
        <v>1</v>
      </c>
      <c r="Q204" s="107"/>
      <c r="R204" s="107"/>
      <c r="S204" s="107"/>
      <c r="T204" s="107">
        <v>1</v>
      </c>
      <c r="U204" s="107">
        <v>1</v>
      </c>
      <c r="V204" s="107"/>
      <c r="W204" s="107"/>
      <c r="X204" s="107"/>
      <c r="Y204" s="107">
        <v>1</v>
      </c>
      <c r="Z204" s="107"/>
      <c r="AA204" s="107"/>
      <c r="AB204" s="107">
        <v>1</v>
      </c>
      <c r="AC204" s="107"/>
      <c r="AD204" s="107"/>
      <c r="AE204" s="107"/>
      <c r="AF204" s="107"/>
      <c r="AG204" s="107"/>
      <c r="AH204" s="107"/>
      <c r="AI204" s="107">
        <v>1</v>
      </c>
      <c r="AJ204" s="107"/>
      <c r="AK204" s="107">
        <f t="shared" si="236"/>
        <v>10</v>
      </c>
      <c r="AL204" s="303" t="s">
        <v>1574</v>
      </c>
      <c r="AM204" s="108">
        <f t="shared" si="16"/>
        <v>81</v>
      </c>
      <c r="AN204" s="108">
        <f t="shared" si="17"/>
        <v>85</v>
      </c>
      <c r="AO204" s="115">
        <f t="shared" si="18"/>
        <v>0</v>
      </c>
      <c r="AP204" s="115">
        <f t="shared" si="19"/>
        <v>13</v>
      </c>
      <c r="AQ204" s="115">
        <f t="shared" si="20"/>
        <v>6</v>
      </c>
      <c r="AR204" s="115">
        <f t="shared" si="21"/>
        <v>6</v>
      </c>
      <c r="AS204" s="115">
        <f t="shared" si="22"/>
        <v>17</v>
      </c>
      <c r="AT204" s="115">
        <f t="shared" si="23"/>
        <v>0</v>
      </c>
      <c r="AU204" s="115">
        <f t="shared" si="24"/>
        <v>18</v>
      </c>
      <c r="AV204" s="115">
        <f t="shared" si="25"/>
        <v>0</v>
      </c>
      <c r="AW204" s="115">
        <f t="shared" si="26"/>
        <v>0</v>
      </c>
      <c r="AX204" s="115">
        <f t="shared" ref="AX204:AY204" si="238">IF(S204=1,2,0)</f>
        <v>0</v>
      </c>
      <c r="AY204" s="115">
        <f t="shared" si="238"/>
        <v>2</v>
      </c>
      <c r="AZ204" s="115">
        <f t="shared" si="28"/>
        <v>10</v>
      </c>
      <c r="BA204" s="115">
        <f t="shared" si="29"/>
        <v>0</v>
      </c>
      <c r="BB204" s="115">
        <f t="shared" si="30"/>
        <v>10</v>
      </c>
      <c r="BC204" s="115">
        <f t="shared" si="31"/>
        <v>0</v>
      </c>
      <c r="BD204" s="115">
        <f t="shared" si="32"/>
        <v>5</v>
      </c>
      <c r="BE204" s="115">
        <f t="shared" si="33"/>
        <v>0</v>
      </c>
      <c r="BF204" s="115">
        <f t="shared" si="34"/>
        <v>0</v>
      </c>
      <c r="BG204" s="115">
        <f t="shared" si="35"/>
        <v>0</v>
      </c>
      <c r="BH204" s="115">
        <f t="shared" si="36"/>
        <v>3</v>
      </c>
      <c r="BI204" s="115">
        <f t="shared" si="37"/>
        <v>0</v>
      </c>
      <c r="BJ204" s="115"/>
      <c r="BK204" s="115">
        <f t="shared" si="38"/>
        <v>0</v>
      </c>
      <c r="BL204" s="109"/>
    </row>
    <row r="205" spans="1:64">
      <c r="A205" s="110" t="s">
        <v>387</v>
      </c>
      <c r="B205" s="114"/>
      <c r="C205" s="111">
        <v>1</v>
      </c>
      <c r="D205" s="111">
        <v>1</v>
      </c>
      <c r="E205" s="111">
        <v>1</v>
      </c>
      <c r="F205" s="111"/>
      <c r="G205" s="111">
        <v>1</v>
      </c>
      <c r="H205" s="111"/>
      <c r="I205" s="111"/>
      <c r="J205" s="111">
        <v>1</v>
      </c>
      <c r="K205" s="111"/>
      <c r="L205" s="111"/>
      <c r="M205" s="111"/>
      <c r="N205" s="111"/>
      <c r="O205" s="111"/>
      <c r="P205" s="111">
        <v>1</v>
      </c>
      <c r="Q205" s="111"/>
      <c r="R205" s="111"/>
      <c r="S205" s="111">
        <v>1</v>
      </c>
      <c r="T205" s="111">
        <v>1</v>
      </c>
      <c r="U205" s="111"/>
      <c r="V205" s="111"/>
      <c r="W205" s="111"/>
      <c r="X205" s="111"/>
      <c r="Y205" s="111">
        <v>1</v>
      </c>
      <c r="Z205" s="111"/>
      <c r="AA205" s="111"/>
      <c r="AB205" s="111"/>
      <c r="AC205" s="111"/>
      <c r="AD205" s="111"/>
      <c r="AE205" s="111"/>
      <c r="AF205" s="111"/>
      <c r="AG205" s="111">
        <v>1</v>
      </c>
      <c r="AH205" s="111"/>
      <c r="AI205" s="111"/>
      <c r="AJ205" s="111"/>
      <c r="AK205" s="111">
        <v>10</v>
      </c>
      <c r="AL205" s="304" t="s">
        <v>1575</v>
      </c>
      <c r="AM205" s="112">
        <f t="shared" si="16"/>
        <v>93</v>
      </c>
      <c r="AN205" s="112">
        <f t="shared" si="17"/>
        <v>94</v>
      </c>
      <c r="AO205" s="114">
        <f t="shared" si="18"/>
        <v>9</v>
      </c>
      <c r="AP205" s="114">
        <f t="shared" si="19"/>
        <v>13</v>
      </c>
      <c r="AQ205" s="114">
        <f t="shared" si="20"/>
        <v>6</v>
      </c>
      <c r="AR205" s="114">
        <f t="shared" si="21"/>
        <v>6</v>
      </c>
      <c r="AS205" s="114">
        <f t="shared" si="22"/>
        <v>17</v>
      </c>
      <c r="AT205" s="114">
        <f t="shared" si="23"/>
        <v>0</v>
      </c>
      <c r="AU205" s="114">
        <f t="shared" si="24"/>
        <v>18</v>
      </c>
      <c r="AV205" s="114">
        <f t="shared" si="25"/>
        <v>0</v>
      </c>
      <c r="AW205" s="114">
        <f t="shared" si="26"/>
        <v>0</v>
      </c>
      <c r="AX205" s="114">
        <f t="shared" ref="AX205:AY205" si="239">IF(S205=1,2,0)</f>
        <v>2</v>
      </c>
      <c r="AY205" s="114">
        <f t="shared" si="239"/>
        <v>2</v>
      </c>
      <c r="AZ205" s="114">
        <f t="shared" si="28"/>
        <v>0</v>
      </c>
      <c r="BA205" s="114">
        <f t="shared" si="29"/>
        <v>0</v>
      </c>
      <c r="BB205" s="114">
        <f t="shared" si="30"/>
        <v>10</v>
      </c>
      <c r="BC205" s="114">
        <f t="shared" si="31"/>
        <v>0</v>
      </c>
      <c r="BD205" s="114">
        <f t="shared" si="32"/>
        <v>0</v>
      </c>
      <c r="BE205" s="114">
        <f t="shared" si="33"/>
        <v>0</v>
      </c>
      <c r="BF205" s="114">
        <f t="shared" si="34"/>
        <v>0</v>
      </c>
      <c r="BG205" s="114">
        <f t="shared" si="35"/>
        <v>15</v>
      </c>
      <c r="BH205" s="114">
        <f t="shared" si="36"/>
        <v>0</v>
      </c>
      <c r="BI205" s="114">
        <f t="shared" si="37"/>
        <v>0</v>
      </c>
      <c r="BJ205" s="114"/>
      <c r="BK205" s="114">
        <f t="shared" si="38"/>
        <v>0</v>
      </c>
      <c r="BL205" s="113"/>
    </row>
    <row r="206" spans="1:64">
      <c r="A206" s="106" t="s">
        <v>388</v>
      </c>
      <c r="B206" s="115"/>
      <c r="C206" s="107">
        <v>1</v>
      </c>
      <c r="D206" s="107"/>
      <c r="E206" s="107">
        <v>1</v>
      </c>
      <c r="F206" s="107"/>
      <c r="G206" s="107">
        <v>1</v>
      </c>
      <c r="H206" s="107"/>
      <c r="I206" s="107"/>
      <c r="J206" s="107">
        <v>1</v>
      </c>
      <c r="K206" s="107"/>
      <c r="L206" s="107"/>
      <c r="M206" s="107"/>
      <c r="N206" s="107"/>
      <c r="O206" s="107"/>
      <c r="P206" s="107">
        <v>1</v>
      </c>
      <c r="Q206" s="107"/>
      <c r="R206" s="107"/>
      <c r="S206" s="107"/>
      <c r="T206" s="107"/>
      <c r="U206" s="107">
        <v>1</v>
      </c>
      <c r="V206" s="107">
        <v>1</v>
      </c>
      <c r="W206" s="107"/>
      <c r="X206" s="107"/>
      <c r="Y206" s="107">
        <v>1</v>
      </c>
      <c r="Z206" s="107"/>
      <c r="AA206" s="107"/>
      <c r="AB206" s="107">
        <v>1</v>
      </c>
      <c r="AC206" s="107"/>
      <c r="AD206" s="107"/>
      <c r="AE206" s="107"/>
      <c r="AF206" s="107"/>
      <c r="AG206" s="107">
        <v>1</v>
      </c>
      <c r="AH206" s="107"/>
      <c r="AI206" s="107"/>
      <c r="AJ206" s="107"/>
      <c r="AK206" s="107">
        <v>10</v>
      </c>
      <c r="AL206" s="303" t="s">
        <v>1576</v>
      </c>
      <c r="AM206" s="108">
        <f t="shared" si="16"/>
        <v>90</v>
      </c>
      <c r="AN206" s="108">
        <f t="shared" si="17"/>
        <v>91</v>
      </c>
      <c r="AO206" s="115">
        <f t="shared" si="18"/>
        <v>9</v>
      </c>
      <c r="AP206" s="115">
        <f t="shared" si="19"/>
        <v>0</v>
      </c>
      <c r="AQ206" s="115">
        <f t="shared" si="20"/>
        <v>6</v>
      </c>
      <c r="AR206" s="115">
        <f t="shared" si="21"/>
        <v>6</v>
      </c>
      <c r="AS206" s="115">
        <f t="shared" si="22"/>
        <v>17</v>
      </c>
      <c r="AT206" s="115">
        <f t="shared" si="23"/>
        <v>0</v>
      </c>
      <c r="AU206" s="115">
        <f t="shared" si="24"/>
        <v>18</v>
      </c>
      <c r="AV206" s="115">
        <f t="shared" si="25"/>
        <v>0</v>
      </c>
      <c r="AW206" s="115">
        <f t="shared" si="26"/>
        <v>0</v>
      </c>
      <c r="AX206" s="115">
        <f t="shared" ref="AX206:AY206" si="240">IF(S206=1,2,0)</f>
        <v>0</v>
      </c>
      <c r="AY206" s="115">
        <f t="shared" si="240"/>
        <v>0</v>
      </c>
      <c r="AZ206" s="115">
        <f t="shared" si="28"/>
        <v>10</v>
      </c>
      <c r="BA206" s="115">
        <f t="shared" si="29"/>
        <v>3</v>
      </c>
      <c r="BB206" s="115">
        <f t="shared" si="30"/>
        <v>10</v>
      </c>
      <c r="BC206" s="115">
        <f t="shared" si="31"/>
        <v>0</v>
      </c>
      <c r="BD206" s="115">
        <f t="shared" si="32"/>
        <v>5</v>
      </c>
      <c r="BE206" s="115">
        <f t="shared" si="33"/>
        <v>0</v>
      </c>
      <c r="BF206" s="115">
        <f t="shared" si="34"/>
        <v>0</v>
      </c>
      <c r="BG206" s="115">
        <f t="shared" si="35"/>
        <v>15</v>
      </c>
      <c r="BH206" s="115">
        <f t="shared" si="36"/>
        <v>0</v>
      </c>
      <c r="BI206" s="115">
        <f t="shared" si="37"/>
        <v>0</v>
      </c>
      <c r="BJ206" s="115"/>
      <c r="BK206" s="115">
        <f t="shared" si="38"/>
        <v>0</v>
      </c>
      <c r="BL206" s="109"/>
    </row>
    <row r="207" spans="1:64">
      <c r="A207" s="110" t="s">
        <v>1577</v>
      </c>
      <c r="B207" s="114"/>
      <c r="C207" s="111"/>
      <c r="D207" s="111"/>
      <c r="E207" s="111"/>
      <c r="F207" s="111"/>
      <c r="G207" s="111"/>
      <c r="H207" s="111"/>
      <c r="I207" s="111"/>
      <c r="J207" s="111">
        <v>1</v>
      </c>
      <c r="K207" s="111"/>
      <c r="L207" s="111"/>
      <c r="M207" s="111"/>
      <c r="N207" s="111"/>
      <c r="O207" s="111"/>
      <c r="P207" s="111">
        <v>1</v>
      </c>
      <c r="Q207" s="111"/>
      <c r="R207" s="111"/>
      <c r="S207" s="111"/>
      <c r="T207" s="111"/>
      <c r="U207" s="111">
        <v>1</v>
      </c>
      <c r="V207" s="111"/>
      <c r="W207" s="111"/>
      <c r="X207" s="111"/>
      <c r="Y207" s="111"/>
      <c r="Z207" s="111"/>
      <c r="AA207" s="111"/>
      <c r="AB207" s="111"/>
      <c r="AC207" s="111"/>
      <c r="AD207" s="111">
        <v>1</v>
      </c>
      <c r="AE207" s="111"/>
      <c r="AF207" s="111"/>
      <c r="AG207" s="111"/>
      <c r="AH207" s="111"/>
      <c r="AI207" s="111"/>
      <c r="AJ207" s="111"/>
      <c r="AK207" s="111">
        <f>SUM(B207:AJ207)</f>
        <v>4</v>
      </c>
      <c r="AL207" s="304" t="s">
        <v>1578</v>
      </c>
      <c r="AM207" s="112">
        <f t="shared" si="16"/>
        <v>-13</v>
      </c>
      <c r="AN207" s="112">
        <f t="shared" si="17"/>
        <v>50</v>
      </c>
      <c r="AO207" s="114">
        <f t="shared" si="18"/>
        <v>0</v>
      </c>
      <c r="AP207" s="114">
        <f t="shared" si="19"/>
        <v>0</v>
      </c>
      <c r="AQ207" s="114">
        <f t="shared" si="20"/>
        <v>0</v>
      </c>
      <c r="AR207" s="114">
        <f t="shared" si="21"/>
        <v>0</v>
      </c>
      <c r="AS207" s="114">
        <f t="shared" si="22"/>
        <v>17</v>
      </c>
      <c r="AT207" s="114">
        <f t="shared" si="23"/>
        <v>0</v>
      </c>
      <c r="AU207" s="114">
        <f t="shared" si="24"/>
        <v>18</v>
      </c>
      <c r="AV207" s="114">
        <f t="shared" si="25"/>
        <v>0</v>
      </c>
      <c r="AW207" s="114">
        <f t="shared" si="26"/>
        <v>0</v>
      </c>
      <c r="AX207" s="114">
        <f t="shared" ref="AX207:AY207" si="241">IF(S207=1,2,0)</f>
        <v>0</v>
      </c>
      <c r="AY207" s="114">
        <f t="shared" si="241"/>
        <v>0</v>
      </c>
      <c r="AZ207" s="114">
        <f t="shared" si="28"/>
        <v>10</v>
      </c>
      <c r="BA207" s="114">
        <f t="shared" si="29"/>
        <v>0</v>
      </c>
      <c r="BB207" s="114">
        <f t="shared" si="30"/>
        <v>0</v>
      </c>
      <c r="BC207" s="114">
        <f t="shared" si="31"/>
        <v>0</v>
      </c>
      <c r="BD207" s="114">
        <f t="shared" si="32"/>
        <v>0</v>
      </c>
      <c r="BE207" s="114">
        <f t="shared" si="33"/>
        <v>5</v>
      </c>
      <c r="BF207" s="114">
        <f t="shared" si="34"/>
        <v>0</v>
      </c>
      <c r="BG207" s="114">
        <f t="shared" si="35"/>
        <v>0</v>
      </c>
      <c r="BH207" s="114">
        <f t="shared" si="36"/>
        <v>0</v>
      </c>
      <c r="BI207" s="114">
        <f t="shared" si="37"/>
        <v>0</v>
      </c>
      <c r="BJ207" s="114"/>
      <c r="BK207" s="114">
        <f t="shared" si="38"/>
        <v>36</v>
      </c>
      <c r="BL207" s="113"/>
    </row>
    <row r="208" spans="1:64">
      <c r="A208" s="106" t="s">
        <v>391</v>
      </c>
      <c r="B208" s="115"/>
      <c r="C208" s="107"/>
      <c r="D208" s="107">
        <v>1</v>
      </c>
      <c r="E208" s="107"/>
      <c r="F208" s="107"/>
      <c r="G208" s="107"/>
      <c r="H208" s="107"/>
      <c r="I208" s="107"/>
      <c r="J208" s="107">
        <v>1</v>
      </c>
      <c r="K208" s="107"/>
      <c r="L208" s="107"/>
      <c r="M208" s="107"/>
      <c r="N208" s="107">
        <v>1</v>
      </c>
      <c r="O208" s="107"/>
      <c r="P208" s="107">
        <v>1</v>
      </c>
      <c r="Q208" s="107"/>
      <c r="R208" s="107"/>
      <c r="S208" s="107">
        <v>1</v>
      </c>
      <c r="T208" s="107"/>
      <c r="U208" s="107">
        <v>1</v>
      </c>
      <c r="V208" s="107">
        <v>1</v>
      </c>
      <c r="W208" s="107"/>
      <c r="X208" s="107"/>
      <c r="Y208" s="107"/>
      <c r="Z208" s="107">
        <v>1</v>
      </c>
      <c r="AA208" s="107"/>
      <c r="AB208" s="107">
        <v>1</v>
      </c>
      <c r="AC208" s="107"/>
      <c r="AD208" s="107"/>
      <c r="AE208" s="107"/>
      <c r="AF208" s="107"/>
      <c r="AG208" s="107">
        <v>1</v>
      </c>
      <c r="AH208" s="107"/>
      <c r="AI208" s="107"/>
      <c r="AJ208" s="107"/>
      <c r="AK208" s="107">
        <v>10</v>
      </c>
      <c r="AL208" s="115" t="s">
        <v>575</v>
      </c>
      <c r="AM208" s="108">
        <f t="shared" si="16"/>
        <v>65</v>
      </c>
      <c r="AN208" s="108">
        <f t="shared" si="17"/>
        <v>89</v>
      </c>
      <c r="AO208" s="115">
        <f t="shared" si="18"/>
        <v>0</v>
      </c>
      <c r="AP208" s="115">
        <f t="shared" si="19"/>
        <v>13</v>
      </c>
      <c r="AQ208" s="115">
        <f t="shared" si="20"/>
        <v>0</v>
      </c>
      <c r="AR208" s="115">
        <f t="shared" si="21"/>
        <v>0</v>
      </c>
      <c r="AS208" s="115">
        <f t="shared" si="22"/>
        <v>17</v>
      </c>
      <c r="AT208" s="115">
        <f t="shared" si="23"/>
        <v>2</v>
      </c>
      <c r="AU208" s="115">
        <f t="shared" si="24"/>
        <v>18</v>
      </c>
      <c r="AV208" s="115">
        <f t="shared" si="25"/>
        <v>0</v>
      </c>
      <c r="AW208" s="115">
        <f t="shared" si="26"/>
        <v>0</v>
      </c>
      <c r="AX208" s="115">
        <f t="shared" ref="AX208:AY208" si="242">IF(S208=1,2,0)</f>
        <v>2</v>
      </c>
      <c r="AY208" s="115">
        <f t="shared" si="242"/>
        <v>0</v>
      </c>
      <c r="AZ208" s="115">
        <f t="shared" si="28"/>
        <v>10</v>
      </c>
      <c r="BA208" s="115">
        <f t="shared" si="29"/>
        <v>3</v>
      </c>
      <c r="BB208" s="115">
        <f t="shared" si="30"/>
        <v>0</v>
      </c>
      <c r="BC208" s="115">
        <f t="shared" si="31"/>
        <v>8</v>
      </c>
      <c r="BD208" s="115">
        <f t="shared" si="32"/>
        <v>5</v>
      </c>
      <c r="BE208" s="115">
        <f t="shared" si="33"/>
        <v>0</v>
      </c>
      <c r="BF208" s="115">
        <f t="shared" si="34"/>
        <v>0</v>
      </c>
      <c r="BG208" s="115">
        <f t="shared" si="35"/>
        <v>15</v>
      </c>
      <c r="BH208" s="115">
        <f t="shared" si="36"/>
        <v>0</v>
      </c>
      <c r="BI208" s="115">
        <f t="shared" si="37"/>
        <v>0</v>
      </c>
      <c r="BJ208" s="115"/>
      <c r="BK208" s="115">
        <f t="shared" si="38"/>
        <v>0</v>
      </c>
      <c r="BL208" s="109"/>
    </row>
    <row r="209" spans="1:64">
      <c r="A209" s="110" t="s">
        <v>1579</v>
      </c>
      <c r="B209" s="114"/>
      <c r="C209" s="111"/>
      <c r="D209" s="111">
        <v>1</v>
      </c>
      <c r="E209" s="111"/>
      <c r="F209" s="111"/>
      <c r="G209" s="111"/>
      <c r="H209" s="111"/>
      <c r="I209" s="111"/>
      <c r="J209" s="111"/>
      <c r="K209" s="111"/>
      <c r="L209" s="111"/>
      <c r="M209" s="111"/>
      <c r="N209" s="111"/>
      <c r="O209" s="111"/>
      <c r="P209" s="111">
        <v>1</v>
      </c>
      <c r="Q209" s="111"/>
      <c r="R209" s="111"/>
      <c r="S209" s="111"/>
      <c r="T209" s="111"/>
      <c r="U209" s="111">
        <v>1</v>
      </c>
      <c r="V209" s="111"/>
      <c r="W209" s="111"/>
      <c r="X209" s="111"/>
      <c r="Y209" s="111">
        <v>1</v>
      </c>
      <c r="Z209" s="111">
        <v>1</v>
      </c>
      <c r="AA209" s="111"/>
      <c r="AB209" s="111"/>
      <c r="AC209" s="111"/>
      <c r="AD209" s="111"/>
      <c r="AE209" s="111"/>
      <c r="AF209" s="111"/>
      <c r="AG209" s="111">
        <v>1</v>
      </c>
      <c r="AH209" s="111"/>
      <c r="AI209" s="111"/>
      <c r="AJ209" s="111"/>
      <c r="AK209" s="111">
        <v>6</v>
      </c>
      <c r="AL209" s="304" t="s">
        <v>1416</v>
      </c>
      <c r="AM209" s="112">
        <f t="shared" si="16"/>
        <v>36</v>
      </c>
      <c r="AN209" s="112">
        <f t="shared" si="17"/>
        <v>74</v>
      </c>
      <c r="AO209" s="114">
        <f t="shared" si="18"/>
        <v>0</v>
      </c>
      <c r="AP209" s="114">
        <f t="shared" si="19"/>
        <v>13</v>
      </c>
      <c r="AQ209" s="114">
        <f t="shared" si="20"/>
        <v>0</v>
      </c>
      <c r="AR209" s="114">
        <f t="shared" si="21"/>
        <v>0</v>
      </c>
      <c r="AS209" s="114">
        <f t="shared" si="22"/>
        <v>0</v>
      </c>
      <c r="AT209" s="114">
        <f t="shared" si="23"/>
        <v>0</v>
      </c>
      <c r="AU209" s="114">
        <f t="shared" si="24"/>
        <v>18</v>
      </c>
      <c r="AV209" s="114">
        <f t="shared" si="25"/>
        <v>0</v>
      </c>
      <c r="AW209" s="114">
        <f t="shared" si="26"/>
        <v>0</v>
      </c>
      <c r="AX209" s="114">
        <f t="shared" ref="AX209:AY209" si="243">IF(S209=1,2,0)</f>
        <v>0</v>
      </c>
      <c r="AY209" s="114">
        <f t="shared" si="243"/>
        <v>0</v>
      </c>
      <c r="AZ209" s="114">
        <f t="shared" si="28"/>
        <v>10</v>
      </c>
      <c r="BA209" s="114">
        <f t="shared" si="29"/>
        <v>0</v>
      </c>
      <c r="BB209" s="114">
        <f t="shared" si="30"/>
        <v>10</v>
      </c>
      <c r="BC209" s="114">
        <f t="shared" si="31"/>
        <v>8</v>
      </c>
      <c r="BD209" s="114">
        <f t="shared" si="32"/>
        <v>0</v>
      </c>
      <c r="BE209" s="114">
        <f t="shared" si="33"/>
        <v>0</v>
      </c>
      <c r="BF209" s="114">
        <f t="shared" si="34"/>
        <v>0</v>
      </c>
      <c r="BG209" s="114">
        <f t="shared" si="35"/>
        <v>15</v>
      </c>
      <c r="BH209" s="114">
        <f t="shared" si="36"/>
        <v>0</v>
      </c>
      <c r="BI209" s="114">
        <f t="shared" si="37"/>
        <v>0</v>
      </c>
      <c r="BJ209" s="114"/>
      <c r="BK209" s="114">
        <f t="shared" si="38"/>
        <v>16</v>
      </c>
      <c r="BL209" s="113"/>
    </row>
    <row r="210" spans="1:64">
      <c r="A210" s="106" t="s">
        <v>1580</v>
      </c>
      <c r="B210" s="115"/>
      <c r="C210" s="107"/>
      <c r="D210" s="107">
        <v>1</v>
      </c>
      <c r="E210" s="107">
        <v>1</v>
      </c>
      <c r="F210" s="107"/>
      <c r="G210" s="107">
        <v>1</v>
      </c>
      <c r="H210" s="107"/>
      <c r="I210" s="107"/>
      <c r="J210" s="107">
        <v>1</v>
      </c>
      <c r="K210" s="107"/>
      <c r="L210" s="107"/>
      <c r="M210" s="107"/>
      <c r="N210" s="107"/>
      <c r="O210" s="107"/>
      <c r="P210" s="107">
        <v>1</v>
      </c>
      <c r="Q210" s="107"/>
      <c r="R210" s="107"/>
      <c r="S210" s="107"/>
      <c r="T210" s="107">
        <v>1</v>
      </c>
      <c r="U210" s="107"/>
      <c r="V210" s="107">
        <v>1</v>
      </c>
      <c r="W210" s="107"/>
      <c r="X210" s="107"/>
      <c r="Y210" s="107">
        <v>1</v>
      </c>
      <c r="Z210" s="107"/>
      <c r="AA210" s="107"/>
      <c r="AB210" s="107">
        <v>1</v>
      </c>
      <c r="AC210" s="107"/>
      <c r="AD210" s="107"/>
      <c r="AE210" s="107"/>
      <c r="AF210" s="107"/>
      <c r="AG210" s="107">
        <v>1</v>
      </c>
      <c r="AH210" s="107"/>
      <c r="AI210" s="107"/>
      <c r="AJ210" s="107"/>
      <c r="AK210" s="107">
        <v>10</v>
      </c>
      <c r="AL210" s="303" t="s">
        <v>1475</v>
      </c>
      <c r="AM210" s="108">
        <f t="shared" si="16"/>
        <v>92</v>
      </c>
      <c r="AN210" s="108">
        <f t="shared" si="17"/>
        <v>90</v>
      </c>
      <c r="AO210" s="115">
        <f t="shared" si="18"/>
        <v>0</v>
      </c>
      <c r="AP210" s="115">
        <f t="shared" si="19"/>
        <v>13</v>
      </c>
      <c r="AQ210" s="115">
        <f t="shared" si="20"/>
        <v>6</v>
      </c>
      <c r="AR210" s="115">
        <f t="shared" si="21"/>
        <v>6</v>
      </c>
      <c r="AS210" s="115">
        <f t="shared" si="22"/>
        <v>17</v>
      </c>
      <c r="AT210" s="115">
        <f t="shared" si="23"/>
        <v>0</v>
      </c>
      <c r="AU210" s="115">
        <f t="shared" si="24"/>
        <v>18</v>
      </c>
      <c r="AV210" s="115">
        <f t="shared" si="25"/>
        <v>0</v>
      </c>
      <c r="AW210" s="115">
        <f t="shared" si="26"/>
        <v>0</v>
      </c>
      <c r="AX210" s="115">
        <f t="shared" ref="AX210:AY210" si="244">IF(S210=1,2,0)</f>
        <v>0</v>
      </c>
      <c r="AY210" s="115">
        <f t="shared" si="244"/>
        <v>2</v>
      </c>
      <c r="AZ210" s="115">
        <f t="shared" si="28"/>
        <v>0</v>
      </c>
      <c r="BA210" s="115">
        <f t="shared" si="29"/>
        <v>3</v>
      </c>
      <c r="BB210" s="115">
        <f t="shared" si="30"/>
        <v>10</v>
      </c>
      <c r="BC210" s="115">
        <f t="shared" si="31"/>
        <v>0</v>
      </c>
      <c r="BD210" s="115">
        <f t="shared" si="32"/>
        <v>5</v>
      </c>
      <c r="BE210" s="115">
        <f t="shared" si="33"/>
        <v>0</v>
      </c>
      <c r="BF210" s="115">
        <f t="shared" si="34"/>
        <v>0</v>
      </c>
      <c r="BG210" s="115">
        <f t="shared" si="35"/>
        <v>15</v>
      </c>
      <c r="BH210" s="115">
        <f t="shared" si="36"/>
        <v>0</v>
      </c>
      <c r="BI210" s="115">
        <f t="shared" si="37"/>
        <v>0</v>
      </c>
      <c r="BJ210" s="115"/>
      <c r="BK210" s="115">
        <f t="shared" si="38"/>
        <v>0</v>
      </c>
      <c r="BL210" s="109"/>
    </row>
    <row r="211" spans="1:64">
      <c r="A211" s="645"/>
      <c r="B211" s="645"/>
      <c r="C211" s="848" t="s">
        <v>1581</v>
      </c>
      <c r="D211" s="844"/>
      <c r="E211" s="844"/>
      <c r="F211" s="844"/>
      <c r="G211" s="844"/>
      <c r="H211" s="844"/>
      <c r="I211" s="844"/>
      <c r="J211" s="844"/>
      <c r="K211" s="844"/>
      <c r="L211" s="844"/>
      <c r="M211" s="844"/>
      <c r="N211" s="844"/>
      <c r="O211" s="844"/>
      <c r="P211" s="844"/>
      <c r="Q211" s="844"/>
      <c r="R211" s="844"/>
      <c r="S211" s="844"/>
      <c r="T211" s="844"/>
      <c r="U211" s="844"/>
      <c r="V211" s="844"/>
      <c r="W211" s="844"/>
      <c r="X211" s="844"/>
      <c r="Y211" s="844"/>
      <c r="Z211" s="844"/>
      <c r="AA211" s="844"/>
      <c r="AB211" s="844"/>
      <c r="AC211" s="844"/>
      <c r="AD211" s="844"/>
      <c r="AE211" s="844"/>
      <c r="AF211" s="844"/>
      <c r="AG211" s="844"/>
      <c r="AH211" s="844"/>
      <c r="AI211" s="844"/>
      <c r="AJ211" s="844"/>
      <c r="AK211" s="844"/>
      <c r="AL211" s="645"/>
      <c r="AM211" s="117"/>
      <c r="AN211" s="645"/>
      <c r="AO211" s="645"/>
      <c r="AP211" s="645"/>
      <c r="AQ211" s="645"/>
      <c r="AR211" s="645"/>
      <c r="AS211" s="645"/>
      <c r="AT211" s="645"/>
      <c r="AU211" s="645"/>
      <c r="AV211" s="645"/>
      <c r="AW211" s="645"/>
      <c r="AX211" s="645"/>
      <c r="AY211" s="645"/>
      <c r="AZ211" s="645"/>
      <c r="BA211" s="645"/>
      <c r="BB211" s="645"/>
      <c r="BC211" s="645"/>
      <c r="BD211" s="645"/>
      <c r="BE211" s="645"/>
      <c r="BF211" s="645"/>
      <c r="BG211" s="645"/>
      <c r="BH211" s="645"/>
      <c r="BI211" s="645"/>
      <c r="BJ211" s="645"/>
      <c r="BK211" s="645"/>
      <c r="BL211" s="645"/>
    </row>
    <row r="212" spans="1:64">
      <c r="A212" s="8" t="s">
        <v>1582</v>
      </c>
      <c r="B212" s="645"/>
      <c r="C212" s="116"/>
      <c r="D212" s="116"/>
      <c r="E212" s="116"/>
      <c r="F212" s="116"/>
      <c r="G212" s="116"/>
      <c r="H212" s="116"/>
      <c r="I212" s="116"/>
      <c r="J212" s="116"/>
      <c r="K212" s="116"/>
      <c r="L212" s="116"/>
      <c r="M212" s="116"/>
      <c r="N212" s="116"/>
      <c r="O212" s="116"/>
      <c r="P212" s="116"/>
      <c r="Q212" s="116"/>
      <c r="R212" s="116"/>
      <c r="S212" s="116"/>
      <c r="T212" s="116"/>
      <c r="U212" s="116"/>
      <c r="V212" s="116"/>
      <c r="W212" s="116"/>
      <c r="X212" s="116"/>
      <c r="Y212" s="116"/>
      <c r="Z212" s="116"/>
      <c r="AA212" s="116"/>
      <c r="AB212" s="116"/>
      <c r="AC212" s="116"/>
      <c r="AD212" s="116"/>
      <c r="AE212" s="116"/>
      <c r="AF212" s="116"/>
      <c r="AG212" s="116"/>
      <c r="AH212" s="116"/>
      <c r="AI212" s="116"/>
      <c r="AJ212" s="116"/>
      <c r="AK212" s="116">
        <v>0</v>
      </c>
      <c r="AL212" s="8" t="s">
        <v>1583</v>
      </c>
      <c r="AM212" s="117">
        <f t="shared" ref="AM212:AM322" si="245">(9*C212+7*D212+14*E212+14*G212+7*J212+3*N212+14*P212+5*Q212+1*R212+2*S212+5*T212+1*U212+5*V212+2*X212+9*Y212+9*Z212+5*AB212+1*AD212+3*AF212+12*AG212+5*AI212+3*AJ212)-BK212</f>
        <v>-100</v>
      </c>
      <c r="AN212" s="117">
        <f t="shared" ref="AN212:AN322" si="246">LARGE(AO212:BI212,1)+LARGE(AO212:BI212,2)+LARGE(AO212:BI212,3)+LARGE(AO212:BI212,4)+LARGE(AO212:BI212,5)+LARGE(AO212:BI212,6)+LARGE(AO212:BI212,7)+LARGE(AO212:BI212,8)</f>
        <v>0</v>
      </c>
      <c r="AO212" s="8">
        <f t="shared" ref="AO212:AO322" si="247">IF(C212=1,9,0)</f>
        <v>0</v>
      </c>
      <c r="AP212" s="8">
        <f t="shared" ref="AP212:AP322" si="248">IF(D212=1,13,0)</f>
        <v>0</v>
      </c>
      <c r="AQ212" s="8">
        <f t="shared" ref="AQ212:AQ322" si="249">IF(E212=1,6,0)</f>
        <v>0</v>
      </c>
      <c r="AR212" s="8">
        <f t="shared" ref="AR212:AR322" si="250">IF(G212=1,6,0)</f>
        <v>0</v>
      </c>
      <c r="AS212" s="8">
        <f t="shared" ref="AS212:AS322" si="251">IF(J212=1,17,0)</f>
        <v>0</v>
      </c>
      <c r="AT212" s="8">
        <f t="shared" ref="AT212:AT322" si="252">IF(N212=1,2,0)</f>
        <v>0</v>
      </c>
      <c r="AU212" s="8">
        <f t="shared" ref="AU212:AU322" si="253">IF(P212=1,18,0)</f>
        <v>0</v>
      </c>
      <c r="AV212" s="8">
        <f t="shared" ref="AV212:AV322" si="254">IF(Q212=1,4,0)</f>
        <v>0</v>
      </c>
      <c r="AW212" s="8">
        <f t="shared" ref="AW212:AW322" si="255">IF(R212=1,1,0)</f>
        <v>0</v>
      </c>
      <c r="AX212" s="8">
        <f t="shared" ref="AX212:AY212" si="256">IF(S212=1,2,0)</f>
        <v>0</v>
      </c>
      <c r="AY212" s="8">
        <f t="shared" si="256"/>
        <v>0</v>
      </c>
      <c r="AZ212" s="8">
        <f t="shared" ref="AZ212:AZ322" si="257">IF(U212=1,10,0)</f>
        <v>0</v>
      </c>
      <c r="BA212" s="8">
        <f t="shared" ref="BA212:BA322" si="258">IF(V212=1,3,0)</f>
        <v>0</v>
      </c>
      <c r="BB212" s="8">
        <f t="shared" ref="BB212:BB322" si="259">IF(Y212=1,10,0)</f>
        <v>0</v>
      </c>
      <c r="BC212" s="8">
        <f t="shared" ref="BC212:BC322" si="260">IF(Z212=1,8,0)</f>
        <v>0</v>
      </c>
      <c r="BD212" s="8">
        <f t="shared" ref="BD212:BD322" si="261">IF(AB212=1,5,0)</f>
        <v>0</v>
      </c>
      <c r="BE212" s="8">
        <f t="shared" ref="BE212:BE322" si="262">IF(AD212=1,5,0)</f>
        <v>0</v>
      </c>
      <c r="BF212" s="8">
        <f t="shared" ref="BF212:BF322" si="263">IF(AF212=1,1,0)</f>
        <v>0</v>
      </c>
      <c r="BG212" s="8">
        <f t="shared" ref="BG212:BG322" si="264">IF(AG212=1,15,0)</f>
        <v>0</v>
      </c>
      <c r="BH212" s="8">
        <f t="shared" ref="BH212:BH322" si="265">IF(AI212=1,3,0)</f>
        <v>0</v>
      </c>
      <c r="BI212" s="8">
        <f t="shared" ref="BI212:BI322" si="266">IF(AJ212=1,2,0)</f>
        <v>0</v>
      </c>
      <c r="BJ212" s="645"/>
      <c r="BK212" s="8">
        <v>100</v>
      </c>
      <c r="BL212" s="645"/>
    </row>
    <row r="213" spans="1:64">
      <c r="A213" s="120" t="s">
        <v>101</v>
      </c>
      <c r="B213" s="120"/>
      <c r="C213" s="118">
        <v>1</v>
      </c>
      <c r="D213" s="118">
        <v>1</v>
      </c>
      <c r="E213" s="118"/>
      <c r="F213" s="118"/>
      <c r="G213" s="118"/>
      <c r="H213" s="118"/>
      <c r="I213" s="118"/>
      <c r="J213" s="118">
        <v>1</v>
      </c>
      <c r="K213" s="118"/>
      <c r="L213" s="118"/>
      <c r="M213" s="118"/>
      <c r="N213" s="118">
        <v>1</v>
      </c>
      <c r="O213" s="118"/>
      <c r="P213" s="118">
        <v>1</v>
      </c>
      <c r="Q213" s="118"/>
      <c r="R213" s="118"/>
      <c r="S213" s="118"/>
      <c r="T213" s="118"/>
      <c r="U213" s="118"/>
      <c r="V213" s="118"/>
      <c r="W213" s="118"/>
      <c r="X213" s="118"/>
      <c r="Y213" s="118">
        <v>1</v>
      </c>
      <c r="Z213" s="118">
        <v>1</v>
      </c>
      <c r="AA213" s="118"/>
      <c r="AB213" s="118"/>
      <c r="AC213" s="118"/>
      <c r="AD213" s="118"/>
      <c r="AE213" s="118"/>
      <c r="AF213" s="118"/>
      <c r="AG213" s="118">
        <v>1</v>
      </c>
      <c r="AH213" s="118"/>
      <c r="AI213" s="118"/>
      <c r="AJ213" s="118"/>
      <c r="AK213" s="118">
        <v>8</v>
      </c>
      <c r="AL213" s="305" t="s">
        <v>1584</v>
      </c>
      <c r="AM213" s="119">
        <f t="shared" si="245"/>
        <v>66</v>
      </c>
      <c r="AN213" s="119">
        <f t="shared" si="246"/>
        <v>92</v>
      </c>
      <c r="AO213" s="120">
        <f t="shared" si="247"/>
        <v>9</v>
      </c>
      <c r="AP213" s="120">
        <f t="shared" si="248"/>
        <v>13</v>
      </c>
      <c r="AQ213" s="120">
        <f t="shared" si="249"/>
        <v>0</v>
      </c>
      <c r="AR213" s="120">
        <f t="shared" si="250"/>
        <v>0</v>
      </c>
      <c r="AS213" s="120">
        <f t="shared" si="251"/>
        <v>17</v>
      </c>
      <c r="AT213" s="120">
        <f t="shared" si="252"/>
        <v>2</v>
      </c>
      <c r="AU213" s="120">
        <f t="shared" si="253"/>
        <v>18</v>
      </c>
      <c r="AV213" s="120">
        <f t="shared" si="254"/>
        <v>0</v>
      </c>
      <c r="AW213" s="120">
        <f t="shared" si="255"/>
        <v>0</v>
      </c>
      <c r="AX213" s="120">
        <f t="shared" ref="AX213:AY213" si="267">IF(S213=1,2,0)</f>
        <v>0</v>
      </c>
      <c r="AY213" s="120">
        <f t="shared" si="267"/>
        <v>0</v>
      </c>
      <c r="AZ213" s="120">
        <f t="shared" si="257"/>
        <v>0</v>
      </c>
      <c r="BA213" s="120">
        <f t="shared" si="258"/>
        <v>0</v>
      </c>
      <c r="BB213" s="120">
        <f t="shared" si="259"/>
        <v>10</v>
      </c>
      <c r="BC213" s="120">
        <f t="shared" si="260"/>
        <v>8</v>
      </c>
      <c r="BD213" s="120">
        <f t="shared" si="261"/>
        <v>0</v>
      </c>
      <c r="BE213" s="120">
        <f t="shared" si="262"/>
        <v>0</v>
      </c>
      <c r="BF213" s="120">
        <f t="shared" si="263"/>
        <v>0</v>
      </c>
      <c r="BG213" s="120">
        <f t="shared" si="264"/>
        <v>15</v>
      </c>
      <c r="BH213" s="120">
        <f t="shared" si="265"/>
        <v>0</v>
      </c>
      <c r="BI213" s="120">
        <f t="shared" si="266"/>
        <v>0</v>
      </c>
      <c r="BJ213" s="120"/>
      <c r="BK213" s="120">
        <f t="shared" ref="BK213:BK322" si="268">IF(AK213=10,0,IF(AK213=9,1,IF(AK213=8,4,IF(AK213=7,9,IF(AK213=6,16,IF(AK213=5,25,IF(AK213=4,36,IF(AK213=3,49,IF(AK213=2,64,IF(AK213=1,81,IF(AK213=10,100)))))))))))</f>
        <v>4</v>
      </c>
      <c r="BL213" s="120"/>
    </row>
    <row r="214" spans="1:64">
      <c r="A214" s="8" t="s">
        <v>102</v>
      </c>
      <c r="B214" s="645"/>
      <c r="C214" s="116">
        <v>1</v>
      </c>
      <c r="D214" s="116">
        <v>1</v>
      </c>
      <c r="E214" s="116">
        <v>1</v>
      </c>
      <c r="F214" s="116"/>
      <c r="G214" s="116">
        <v>1</v>
      </c>
      <c r="H214" s="116"/>
      <c r="I214" s="116"/>
      <c r="J214" s="116">
        <v>1</v>
      </c>
      <c r="K214" s="116"/>
      <c r="L214" s="116"/>
      <c r="M214" s="116"/>
      <c r="N214" s="116"/>
      <c r="O214" s="116"/>
      <c r="P214" s="116">
        <v>1</v>
      </c>
      <c r="Q214" s="116"/>
      <c r="R214" s="116"/>
      <c r="S214" s="116"/>
      <c r="T214" s="116"/>
      <c r="U214" s="116">
        <v>1</v>
      </c>
      <c r="V214" s="116"/>
      <c r="W214" s="116"/>
      <c r="X214" s="116"/>
      <c r="Y214" s="116">
        <v>1</v>
      </c>
      <c r="Z214" s="116">
        <v>1</v>
      </c>
      <c r="AA214" s="116"/>
      <c r="AB214" s="116"/>
      <c r="AC214" s="116"/>
      <c r="AD214" s="116"/>
      <c r="AE214" s="116"/>
      <c r="AF214" s="116"/>
      <c r="AG214" s="116"/>
      <c r="AH214" s="116"/>
      <c r="AI214" s="116">
        <v>1</v>
      </c>
      <c r="AJ214" s="116"/>
      <c r="AK214" s="116">
        <v>10</v>
      </c>
      <c r="AL214" s="11" t="s">
        <v>1585</v>
      </c>
      <c r="AM214" s="117">
        <f t="shared" si="245"/>
        <v>89</v>
      </c>
      <c r="AN214" s="117">
        <f t="shared" si="246"/>
        <v>91</v>
      </c>
      <c r="AO214" s="8">
        <f t="shared" si="247"/>
        <v>9</v>
      </c>
      <c r="AP214" s="8">
        <f t="shared" si="248"/>
        <v>13</v>
      </c>
      <c r="AQ214" s="8">
        <f t="shared" si="249"/>
        <v>6</v>
      </c>
      <c r="AR214" s="8">
        <f t="shared" si="250"/>
        <v>6</v>
      </c>
      <c r="AS214" s="8">
        <f t="shared" si="251"/>
        <v>17</v>
      </c>
      <c r="AT214" s="8">
        <f t="shared" si="252"/>
        <v>0</v>
      </c>
      <c r="AU214" s="8">
        <f t="shared" si="253"/>
        <v>18</v>
      </c>
      <c r="AV214" s="8">
        <f t="shared" si="254"/>
        <v>0</v>
      </c>
      <c r="AW214" s="8">
        <f t="shared" si="255"/>
        <v>0</v>
      </c>
      <c r="AX214" s="8">
        <f t="shared" ref="AX214:AY214" si="269">IF(S214=1,2,0)</f>
        <v>0</v>
      </c>
      <c r="AY214" s="8">
        <f t="shared" si="269"/>
        <v>0</v>
      </c>
      <c r="AZ214" s="8">
        <f t="shared" si="257"/>
        <v>10</v>
      </c>
      <c r="BA214" s="8">
        <f t="shared" si="258"/>
        <v>0</v>
      </c>
      <c r="BB214" s="8">
        <f t="shared" si="259"/>
        <v>10</v>
      </c>
      <c r="BC214" s="8">
        <f t="shared" si="260"/>
        <v>8</v>
      </c>
      <c r="BD214" s="8">
        <f t="shared" si="261"/>
        <v>0</v>
      </c>
      <c r="BE214" s="8">
        <f t="shared" si="262"/>
        <v>0</v>
      </c>
      <c r="BF214" s="8">
        <f t="shared" si="263"/>
        <v>0</v>
      </c>
      <c r="BG214" s="8">
        <f t="shared" si="264"/>
        <v>0</v>
      </c>
      <c r="BH214" s="8">
        <f t="shared" si="265"/>
        <v>3</v>
      </c>
      <c r="BI214" s="8">
        <f t="shared" si="266"/>
        <v>0</v>
      </c>
      <c r="BJ214" s="645"/>
      <c r="BK214" s="8">
        <f t="shared" si="268"/>
        <v>0</v>
      </c>
      <c r="BL214" s="645"/>
    </row>
    <row r="215" spans="1:64">
      <c r="A215" s="120" t="s">
        <v>656</v>
      </c>
      <c r="B215" s="120"/>
      <c r="C215" s="118"/>
      <c r="D215" s="118">
        <v>1</v>
      </c>
      <c r="E215" s="118"/>
      <c r="F215" s="118"/>
      <c r="G215" s="118"/>
      <c r="H215" s="118"/>
      <c r="I215" s="118"/>
      <c r="J215" s="118">
        <v>1</v>
      </c>
      <c r="K215" s="118"/>
      <c r="L215" s="118"/>
      <c r="M215" s="118"/>
      <c r="N215" s="118"/>
      <c r="O215" s="118"/>
      <c r="P215" s="118">
        <v>1</v>
      </c>
      <c r="Q215" s="118"/>
      <c r="R215" s="118"/>
      <c r="S215" s="118"/>
      <c r="T215" s="118"/>
      <c r="U215" s="118"/>
      <c r="V215" s="118"/>
      <c r="W215" s="118"/>
      <c r="X215" s="118"/>
      <c r="Y215" s="118">
        <v>1</v>
      </c>
      <c r="Z215" s="118"/>
      <c r="AA215" s="118"/>
      <c r="AB215" s="118"/>
      <c r="AC215" s="118"/>
      <c r="AD215" s="118"/>
      <c r="AE215" s="118"/>
      <c r="AF215" s="118"/>
      <c r="AG215" s="118">
        <v>1</v>
      </c>
      <c r="AH215" s="118"/>
      <c r="AI215" s="118"/>
      <c r="AJ215" s="118"/>
      <c r="AK215" s="118">
        <v>5</v>
      </c>
      <c r="AL215" s="305" t="s">
        <v>1586</v>
      </c>
      <c r="AM215" s="119">
        <f t="shared" si="245"/>
        <v>24</v>
      </c>
      <c r="AN215" s="119">
        <f t="shared" si="246"/>
        <v>73</v>
      </c>
      <c r="AO215" s="120">
        <f t="shared" si="247"/>
        <v>0</v>
      </c>
      <c r="AP215" s="120">
        <f t="shared" si="248"/>
        <v>13</v>
      </c>
      <c r="AQ215" s="120">
        <f t="shared" si="249"/>
        <v>0</v>
      </c>
      <c r="AR215" s="120">
        <f t="shared" si="250"/>
        <v>0</v>
      </c>
      <c r="AS215" s="120">
        <f t="shared" si="251"/>
        <v>17</v>
      </c>
      <c r="AT215" s="120">
        <f t="shared" si="252"/>
        <v>0</v>
      </c>
      <c r="AU215" s="120">
        <f t="shared" si="253"/>
        <v>18</v>
      </c>
      <c r="AV215" s="120">
        <f t="shared" si="254"/>
        <v>0</v>
      </c>
      <c r="AW215" s="120">
        <f t="shared" si="255"/>
        <v>0</v>
      </c>
      <c r="AX215" s="120">
        <f t="shared" ref="AX215:AY215" si="270">IF(S215=1,2,0)</f>
        <v>0</v>
      </c>
      <c r="AY215" s="120">
        <f t="shared" si="270"/>
        <v>0</v>
      </c>
      <c r="AZ215" s="120">
        <f t="shared" si="257"/>
        <v>0</v>
      </c>
      <c r="BA215" s="120">
        <f t="shared" si="258"/>
        <v>0</v>
      </c>
      <c r="BB215" s="120">
        <f t="shared" si="259"/>
        <v>10</v>
      </c>
      <c r="BC215" s="120">
        <f t="shared" si="260"/>
        <v>0</v>
      </c>
      <c r="BD215" s="120">
        <f t="shared" si="261"/>
        <v>0</v>
      </c>
      <c r="BE215" s="120">
        <f t="shared" si="262"/>
        <v>0</v>
      </c>
      <c r="BF215" s="120">
        <f t="shared" si="263"/>
        <v>0</v>
      </c>
      <c r="BG215" s="120">
        <f t="shared" si="264"/>
        <v>15</v>
      </c>
      <c r="BH215" s="120">
        <f t="shared" si="265"/>
        <v>0</v>
      </c>
      <c r="BI215" s="120">
        <f t="shared" si="266"/>
        <v>0</v>
      </c>
      <c r="BJ215" s="120"/>
      <c r="BK215" s="120">
        <f t="shared" si="268"/>
        <v>25</v>
      </c>
      <c r="BL215" s="120"/>
    </row>
    <row r="216" spans="1:64">
      <c r="A216" s="8" t="s">
        <v>106</v>
      </c>
      <c r="B216" s="645"/>
      <c r="C216" s="116">
        <v>1</v>
      </c>
      <c r="D216" s="116">
        <v>1</v>
      </c>
      <c r="E216" s="116"/>
      <c r="F216" s="116"/>
      <c r="G216" s="116"/>
      <c r="H216" s="116"/>
      <c r="I216" s="116"/>
      <c r="J216" s="116">
        <v>1</v>
      </c>
      <c r="K216" s="116"/>
      <c r="L216" s="116"/>
      <c r="M216" s="116"/>
      <c r="N216" s="116"/>
      <c r="O216" s="116"/>
      <c r="P216" s="116">
        <v>1</v>
      </c>
      <c r="Q216" s="116">
        <v>1</v>
      </c>
      <c r="R216" s="116"/>
      <c r="S216" s="116"/>
      <c r="T216" s="116"/>
      <c r="U216" s="116">
        <v>1</v>
      </c>
      <c r="V216" s="116"/>
      <c r="W216" s="116"/>
      <c r="X216" s="116"/>
      <c r="Y216" s="116">
        <v>1</v>
      </c>
      <c r="Z216" s="116">
        <v>1</v>
      </c>
      <c r="AA216" s="116"/>
      <c r="AB216" s="116">
        <v>1</v>
      </c>
      <c r="AC216" s="116"/>
      <c r="AD216" s="116"/>
      <c r="AE216" s="116"/>
      <c r="AF216" s="116"/>
      <c r="AG216" s="116">
        <v>1</v>
      </c>
      <c r="AH216" s="116"/>
      <c r="AI216" s="116"/>
      <c r="AJ216" s="116"/>
      <c r="AK216" s="116">
        <v>10</v>
      </c>
      <c r="AL216" s="11" t="s">
        <v>1586</v>
      </c>
      <c r="AM216" s="117">
        <f t="shared" si="245"/>
        <v>78</v>
      </c>
      <c r="AN216" s="117">
        <f t="shared" si="246"/>
        <v>100</v>
      </c>
      <c r="AO216" s="8">
        <f t="shared" si="247"/>
        <v>9</v>
      </c>
      <c r="AP216" s="8">
        <f t="shared" si="248"/>
        <v>13</v>
      </c>
      <c r="AQ216" s="8">
        <f t="shared" si="249"/>
        <v>0</v>
      </c>
      <c r="AR216" s="8">
        <f t="shared" si="250"/>
        <v>0</v>
      </c>
      <c r="AS216" s="8">
        <f t="shared" si="251"/>
        <v>17</v>
      </c>
      <c r="AT216" s="8">
        <f t="shared" si="252"/>
        <v>0</v>
      </c>
      <c r="AU216" s="8">
        <f t="shared" si="253"/>
        <v>18</v>
      </c>
      <c r="AV216" s="8">
        <f t="shared" si="254"/>
        <v>4</v>
      </c>
      <c r="AW216" s="8">
        <f t="shared" si="255"/>
        <v>0</v>
      </c>
      <c r="AX216" s="8">
        <f t="shared" ref="AX216:AY216" si="271">IF(S216=1,2,0)</f>
        <v>0</v>
      </c>
      <c r="AY216" s="8">
        <f t="shared" si="271"/>
        <v>0</v>
      </c>
      <c r="AZ216" s="8">
        <f t="shared" si="257"/>
        <v>10</v>
      </c>
      <c r="BA216" s="8">
        <f t="shared" si="258"/>
        <v>0</v>
      </c>
      <c r="BB216" s="8">
        <f t="shared" si="259"/>
        <v>10</v>
      </c>
      <c r="BC216" s="8">
        <f t="shared" si="260"/>
        <v>8</v>
      </c>
      <c r="BD216" s="8">
        <f t="shared" si="261"/>
        <v>5</v>
      </c>
      <c r="BE216" s="8">
        <f t="shared" si="262"/>
        <v>0</v>
      </c>
      <c r="BF216" s="8">
        <f t="shared" si="263"/>
        <v>0</v>
      </c>
      <c r="BG216" s="8">
        <f t="shared" si="264"/>
        <v>15</v>
      </c>
      <c r="BH216" s="8">
        <f t="shared" si="265"/>
        <v>0</v>
      </c>
      <c r="BI216" s="8">
        <f t="shared" si="266"/>
        <v>0</v>
      </c>
      <c r="BJ216" s="645"/>
      <c r="BK216" s="8">
        <f t="shared" si="268"/>
        <v>0</v>
      </c>
      <c r="BL216" s="645"/>
    </row>
    <row r="217" spans="1:64">
      <c r="A217" s="120" t="s">
        <v>659</v>
      </c>
      <c r="B217" s="120"/>
      <c r="C217" s="118"/>
      <c r="D217" s="118">
        <v>1</v>
      </c>
      <c r="E217" s="118">
        <v>1</v>
      </c>
      <c r="F217" s="118"/>
      <c r="G217" s="118">
        <v>1</v>
      </c>
      <c r="H217" s="118"/>
      <c r="I217" s="118"/>
      <c r="J217" s="118">
        <v>1</v>
      </c>
      <c r="K217" s="118"/>
      <c r="L217" s="118"/>
      <c r="M217" s="118"/>
      <c r="N217" s="118">
        <v>1</v>
      </c>
      <c r="O217" s="118"/>
      <c r="P217" s="118">
        <v>1</v>
      </c>
      <c r="Q217" s="118"/>
      <c r="R217" s="118"/>
      <c r="S217" s="118"/>
      <c r="T217" s="118">
        <v>1</v>
      </c>
      <c r="U217" s="118">
        <v>1</v>
      </c>
      <c r="V217" s="118"/>
      <c r="W217" s="118"/>
      <c r="X217" s="118"/>
      <c r="Y217" s="118"/>
      <c r="Z217" s="118"/>
      <c r="AA217" s="118"/>
      <c r="AB217" s="118"/>
      <c r="AC217" s="118"/>
      <c r="AD217" s="118">
        <v>1</v>
      </c>
      <c r="AE217" s="118"/>
      <c r="AF217" s="118"/>
      <c r="AG217" s="118">
        <v>1</v>
      </c>
      <c r="AH217" s="118"/>
      <c r="AI217" s="118"/>
      <c r="AJ217" s="118"/>
      <c r="AK217" s="118">
        <v>10</v>
      </c>
      <c r="AL217" s="305" t="s">
        <v>1455</v>
      </c>
      <c r="AM217" s="119">
        <f t="shared" si="245"/>
        <v>78</v>
      </c>
      <c r="AN217" s="119">
        <f t="shared" si="246"/>
        <v>90</v>
      </c>
      <c r="AO217" s="120">
        <f t="shared" si="247"/>
        <v>0</v>
      </c>
      <c r="AP217" s="120">
        <f t="shared" si="248"/>
        <v>13</v>
      </c>
      <c r="AQ217" s="120">
        <f t="shared" si="249"/>
        <v>6</v>
      </c>
      <c r="AR217" s="120">
        <f t="shared" si="250"/>
        <v>6</v>
      </c>
      <c r="AS217" s="120">
        <f t="shared" si="251"/>
        <v>17</v>
      </c>
      <c r="AT217" s="120">
        <f t="shared" si="252"/>
        <v>2</v>
      </c>
      <c r="AU217" s="120">
        <f t="shared" si="253"/>
        <v>18</v>
      </c>
      <c r="AV217" s="120">
        <f t="shared" si="254"/>
        <v>0</v>
      </c>
      <c r="AW217" s="120">
        <f t="shared" si="255"/>
        <v>0</v>
      </c>
      <c r="AX217" s="120">
        <f t="shared" ref="AX217:AY217" si="272">IF(S217=1,2,0)</f>
        <v>0</v>
      </c>
      <c r="AY217" s="120">
        <f t="shared" si="272"/>
        <v>2</v>
      </c>
      <c r="AZ217" s="120">
        <f t="shared" si="257"/>
        <v>10</v>
      </c>
      <c r="BA217" s="120">
        <f t="shared" si="258"/>
        <v>0</v>
      </c>
      <c r="BB217" s="120">
        <f t="shared" si="259"/>
        <v>0</v>
      </c>
      <c r="BC217" s="120">
        <f t="shared" si="260"/>
        <v>0</v>
      </c>
      <c r="BD217" s="120">
        <f t="shared" si="261"/>
        <v>0</v>
      </c>
      <c r="BE217" s="120">
        <f t="shared" si="262"/>
        <v>5</v>
      </c>
      <c r="BF217" s="120">
        <f t="shared" si="263"/>
        <v>0</v>
      </c>
      <c r="BG217" s="120">
        <f t="shared" si="264"/>
        <v>15</v>
      </c>
      <c r="BH217" s="120">
        <f t="shared" si="265"/>
        <v>0</v>
      </c>
      <c r="BI217" s="120">
        <f t="shared" si="266"/>
        <v>0</v>
      </c>
      <c r="BJ217" s="120"/>
      <c r="BK217" s="120">
        <f t="shared" si="268"/>
        <v>0</v>
      </c>
      <c r="BL217" s="120"/>
    </row>
    <row r="218" spans="1:64">
      <c r="A218" s="8" t="s">
        <v>409</v>
      </c>
      <c r="B218" s="645"/>
      <c r="C218" s="116"/>
      <c r="D218" s="116">
        <v>1</v>
      </c>
      <c r="E218" s="116"/>
      <c r="F218" s="116"/>
      <c r="G218" s="116"/>
      <c r="H218" s="116"/>
      <c r="I218" s="116"/>
      <c r="J218" s="116">
        <v>1</v>
      </c>
      <c r="K218" s="116"/>
      <c r="L218" s="116"/>
      <c r="M218" s="116"/>
      <c r="N218" s="116"/>
      <c r="O218" s="116"/>
      <c r="P218" s="116">
        <v>1</v>
      </c>
      <c r="Q218" s="116"/>
      <c r="R218" s="116"/>
      <c r="S218" s="116"/>
      <c r="T218" s="116"/>
      <c r="U218" s="116">
        <v>1</v>
      </c>
      <c r="V218" s="116"/>
      <c r="W218" s="116"/>
      <c r="X218" s="116"/>
      <c r="Y218" s="116">
        <v>1</v>
      </c>
      <c r="Z218" s="116"/>
      <c r="AA218" s="116"/>
      <c r="AB218" s="116"/>
      <c r="AC218" s="116"/>
      <c r="AD218" s="116"/>
      <c r="AE218" s="116"/>
      <c r="AF218" s="116"/>
      <c r="AG218" s="116">
        <v>1</v>
      </c>
      <c r="AH218" s="116"/>
      <c r="AI218" s="116"/>
      <c r="AJ218" s="116"/>
      <c r="AK218" s="116">
        <v>6</v>
      </c>
      <c r="AL218" s="11" t="s">
        <v>1455</v>
      </c>
      <c r="AM218" s="117">
        <f t="shared" si="245"/>
        <v>34</v>
      </c>
      <c r="AN218" s="117">
        <f t="shared" si="246"/>
        <v>83</v>
      </c>
      <c r="AO218" s="8">
        <f t="shared" si="247"/>
        <v>0</v>
      </c>
      <c r="AP218" s="8">
        <f t="shared" si="248"/>
        <v>13</v>
      </c>
      <c r="AQ218" s="8">
        <f t="shared" si="249"/>
        <v>0</v>
      </c>
      <c r="AR218" s="8">
        <f t="shared" si="250"/>
        <v>0</v>
      </c>
      <c r="AS218" s="8">
        <f t="shared" si="251"/>
        <v>17</v>
      </c>
      <c r="AT218" s="8">
        <f t="shared" si="252"/>
        <v>0</v>
      </c>
      <c r="AU218" s="8">
        <f t="shared" si="253"/>
        <v>18</v>
      </c>
      <c r="AV218" s="8">
        <f t="shared" si="254"/>
        <v>0</v>
      </c>
      <c r="AW218" s="8">
        <f t="shared" si="255"/>
        <v>0</v>
      </c>
      <c r="AX218" s="8">
        <f t="shared" ref="AX218:AY218" si="273">IF(S218=1,2,0)</f>
        <v>0</v>
      </c>
      <c r="AY218" s="8">
        <f t="shared" si="273"/>
        <v>0</v>
      </c>
      <c r="AZ218" s="8">
        <f t="shared" si="257"/>
        <v>10</v>
      </c>
      <c r="BA218" s="8">
        <f t="shared" si="258"/>
        <v>0</v>
      </c>
      <c r="BB218" s="8">
        <f t="shared" si="259"/>
        <v>10</v>
      </c>
      <c r="BC218" s="8">
        <f t="shared" si="260"/>
        <v>0</v>
      </c>
      <c r="BD218" s="8">
        <f t="shared" si="261"/>
        <v>0</v>
      </c>
      <c r="BE218" s="8">
        <f t="shared" si="262"/>
        <v>0</v>
      </c>
      <c r="BF218" s="8">
        <f t="shared" si="263"/>
        <v>0</v>
      </c>
      <c r="BG218" s="8">
        <f t="shared" si="264"/>
        <v>15</v>
      </c>
      <c r="BH218" s="8">
        <f t="shared" si="265"/>
        <v>0</v>
      </c>
      <c r="BI218" s="8">
        <f t="shared" si="266"/>
        <v>0</v>
      </c>
      <c r="BJ218" s="645"/>
      <c r="BK218" s="8">
        <f t="shared" si="268"/>
        <v>16</v>
      </c>
      <c r="BL218" s="645"/>
    </row>
    <row r="219" spans="1:64" ht="25.5">
      <c r="A219" s="120" t="s">
        <v>1587</v>
      </c>
      <c r="B219" s="120"/>
      <c r="C219" s="118"/>
      <c r="D219" s="118">
        <v>1</v>
      </c>
      <c r="E219" s="118">
        <v>1</v>
      </c>
      <c r="F219" s="118"/>
      <c r="G219" s="118">
        <v>1</v>
      </c>
      <c r="H219" s="118"/>
      <c r="I219" s="118"/>
      <c r="J219" s="118">
        <v>1</v>
      </c>
      <c r="K219" s="118"/>
      <c r="L219" s="118"/>
      <c r="M219" s="118"/>
      <c r="N219" s="118"/>
      <c r="O219" s="118"/>
      <c r="P219" s="118">
        <v>1</v>
      </c>
      <c r="Q219" s="118"/>
      <c r="R219" s="118"/>
      <c r="S219" s="118"/>
      <c r="T219" s="118"/>
      <c r="U219" s="118"/>
      <c r="V219" s="118"/>
      <c r="W219" s="118"/>
      <c r="X219" s="118"/>
      <c r="Y219" s="118">
        <v>1</v>
      </c>
      <c r="Z219" s="118"/>
      <c r="AA219" s="118"/>
      <c r="AB219" s="118"/>
      <c r="AC219" s="118"/>
      <c r="AD219" s="118">
        <v>1</v>
      </c>
      <c r="AE219" s="118"/>
      <c r="AF219" s="118"/>
      <c r="AG219" s="118">
        <v>1</v>
      </c>
      <c r="AH219" s="118"/>
      <c r="AI219" s="118"/>
      <c r="AJ219" s="118"/>
      <c r="AK219" s="118">
        <v>10</v>
      </c>
      <c r="AL219" s="120" t="s">
        <v>1588</v>
      </c>
      <c r="AM219" s="119">
        <f t="shared" si="245"/>
        <v>78</v>
      </c>
      <c r="AN219" s="119">
        <f t="shared" si="246"/>
        <v>90</v>
      </c>
      <c r="AO219" s="120">
        <f t="shared" si="247"/>
        <v>0</v>
      </c>
      <c r="AP219" s="120">
        <f t="shared" si="248"/>
        <v>13</v>
      </c>
      <c r="AQ219" s="120">
        <f t="shared" si="249"/>
        <v>6</v>
      </c>
      <c r="AR219" s="120">
        <f t="shared" si="250"/>
        <v>6</v>
      </c>
      <c r="AS219" s="120">
        <f t="shared" si="251"/>
        <v>17</v>
      </c>
      <c r="AT219" s="120">
        <f t="shared" si="252"/>
        <v>0</v>
      </c>
      <c r="AU219" s="120">
        <f t="shared" si="253"/>
        <v>18</v>
      </c>
      <c r="AV219" s="120">
        <f t="shared" si="254"/>
        <v>0</v>
      </c>
      <c r="AW219" s="120">
        <f t="shared" si="255"/>
        <v>0</v>
      </c>
      <c r="AX219" s="120">
        <f t="shared" ref="AX219:AY219" si="274">IF(S219=1,2,0)</f>
        <v>0</v>
      </c>
      <c r="AY219" s="120">
        <f t="shared" si="274"/>
        <v>0</v>
      </c>
      <c r="AZ219" s="120">
        <f t="shared" si="257"/>
        <v>0</v>
      </c>
      <c r="BA219" s="120">
        <f t="shared" si="258"/>
        <v>0</v>
      </c>
      <c r="BB219" s="120">
        <f t="shared" si="259"/>
        <v>10</v>
      </c>
      <c r="BC219" s="120">
        <f t="shared" si="260"/>
        <v>0</v>
      </c>
      <c r="BD219" s="120">
        <f t="shared" si="261"/>
        <v>0</v>
      </c>
      <c r="BE219" s="120">
        <f t="shared" si="262"/>
        <v>5</v>
      </c>
      <c r="BF219" s="120">
        <f t="shared" si="263"/>
        <v>0</v>
      </c>
      <c r="BG219" s="120">
        <f t="shared" si="264"/>
        <v>15</v>
      </c>
      <c r="BH219" s="120">
        <f t="shared" si="265"/>
        <v>0</v>
      </c>
      <c r="BI219" s="120">
        <f t="shared" si="266"/>
        <v>0</v>
      </c>
      <c r="BJ219" s="120"/>
      <c r="BK219" s="120">
        <f t="shared" si="268"/>
        <v>0</v>
      </c>
      <c r="BL219" s="120"/>
    </row>
    <row r="220" spans="1:64">
      <c r="A220" s="8" t="s">
        <v>1589</v>
      </c>
      <c r="B220" s="645"/>
      <c r="C220" s="116"/>
      <c r="D220" s="116">
        <v>1</v>
      </c>
      <c r="E220" s="116">
        <v>1</v>
      </c>
      <c r="F220" s="116"/>
      <c r="G220" s="116">
        <v>1</v>
      </c>
      <c r="H220" s="116"/>
      <c r="I220" s="116"/>
      <c r="J220" s="116">
        <v>1</v>
      </c>
      <c r="K220" s="116"/>
      <c r="L220" s="116"/>
      <c r="M220" s="116"/>
      <c r="N220" s="116"/>
      <c r="O220" s="116"/>
      <c r="P220" s="116">
        <v>1</v>
      </c>
      <c r="Q220" s="116"/>
      <c r="R220" s="116"/>
      <c r="S220" s="116"/>
      <c r="T220" s="116"/>
      <c r="U220" s="116">
        <v>1</v>
      </c>
      <c r="V220" s="116"/>
      <c r="W220" s="116"/>
      <c r="X220" s="116"/>
      <c r="Y220" s="116">
        <v>1</v>
      </c>
      <c r="Z220" s="116">
        <v>1</v>
      </c>
      <c r="AA220" s="116"/>
      <c r="AB220" s="116">
        <v>1</v>
      </c>
      <c r="AC220" s="116"/>
      <c r="AD220" s="116"/>
      <c r="AE220" s="116"/>
      <c r="AF220" s="116"/>
      <c r="AG220" s="116">
        <v>1</v>
      </c>
      <c r="AH220" s="116"/>
      <c r="AI220" s="116"/>
      <c r="AJ220" s="116"/>
      <c r="AK220" s="116">
        <v>10</v>
      </c>
      <c r="AL220" s="11" t="s">
        <v>1590</v>
      </c>
      <c r="AM220" s="117">
        <f t="shared" si="245"/>
        <v>92</v>
      </c>
      <c r="AN220" s="117">
        <f t="shared" si="246"/>
        <v>97</v>
      </c>
      <c r="AO220" s="8">
        <f t="shared" si="247"/>
        <v>0</v>
      </c>
      <c r="AP220" s="8">
        <f t="shared" si="248"/>
        <v>13</v>
      </c>
      <c r="AQ220" s="8">
        <f t="shared" si="249"/>
        <v>6</v>
      </c>
      <c r="AR220" s="8">
        <f t="shared" si="250"/>
        <v>6</v>
      </c>
      <c r="AS220" s="8">
        <f t="shared" si="251"/>
        <v>17</v>
      </c>
      <c r="AT220" s="8">
        <f t="shared" si="252"/>
        <v>0</v>
      </c>
      <c r="AU220" s="8">
        <f t="shared" si="253"/>
        <v>18</v>
      </c>
      <c r="AV220" s="8">
        <f t="shared" si="254"/>
        <v>0</v>
      </c>
      <c r="AW220" s="8">
        <f t="shared" si="255"/>
        <v>0</v>
      </c>
      <c r="AX220" s="8">
        <f t="shared" ref="AX220:AY220" si="275">IF(S220=1,2,0)</f>
        <v>0</v>
      </c>
      <c r="AY220" s="8">
        <f t="shared" si="275"/>
        <v>0</v>
      </c>
      <c r="AZ220" s="8">
        <f t="shared" si="257"/>
        <v>10</v>
      </c>
      <c r="BA220" s="8">
        <f t="shared" si="258"/>
        <v>0</v>
      </c>
      <c r="BB220" s="8">
        <f t="shared" si="259"/>
        <v>10</v>
      </c>
      <c r="BC220" s="8">
        <f t="shared" si="260"/>
        <v>8</v>
      </c>
      <c r="BD220" s="8">
        <f t="shared" si="261"/>
        <v>5</v>
      </c>
      <c r="BE220" s="8">
        <f t="shared" si="262"/>
        <v>0</v>
      </c>
      <c r="BF220" s="8">
        <f t="shared" si="263"/>
        <v>0</v>
      </c>
      <c r="BG220" s="8">
        <f t="shared" si="264"/>
        <v>15</v>
      </c>
      <c r="BH220" s="8">
        <f t="shared" si="265"/>
        <v>0</v>
      </c>
      <c r="BI220" s="8">
        <f t="shared" si="266"/>
        <v>0</v>
      </c>
      <c r="BJ220" s="645"/>
      <c r="BK220" s="8">
        <f t="shared" si="268"/>
        <v>0</v>
      </c>
      <c r="BL220" s="645"/>
    </row>
    <row r="221" spans="1:64">
      <c r="A221" s="8" t="s">
        <v>1591</v>
      </c>
      <c r="B221" s="645"/>
      <c r="C221" s="116">
        <v>1</v>
      </c>
      <c r="D221" s="116">
        <v>1</v>
      </c>
      <c r="E221" s="116"/>
      <c r="F221" s="116"/>
      <c r="G221" s="116"/>
      <c r="H221" s="116"/>
      <c r="I221" s="116"/>
      <c r="J221" s="116">
        <v>1</v>
      </c>
      <c r="K221" s="116"/>
      <c r="L221" s="116"/>
      <c r="M221" s="116"/>
      <c r="N221" s="116"/>
      <c r="O221" s="116"/>
      <c r="P221" s="116">
        <v>1</v>
      </c>
      <c r="Q221" s="116">
        <v>1</v>
      </c>
      <c r="R221" s="116"/>
      <c r="S221" s="116"/>
      <c r="T221" s="116"/>
      <c r="U221" s="116">
        <v>1</v>
      </c>
      <c r="V221" s="116">
        <v>1</v>
      </c>
      <c r="W221" s="116"/>
      <c r="X221" s="116"/>
      <c r="Y221" s="116">
        <v>1</v>
      </c>
      <c r="Z221" s="116">
        <v>1</v>
      </c>
      <c r="AA221" s="116"/>
      <c r="AB221" s="116"/>
      <c r="AC221" s="116"/>
      <c r="AD221" s="116"/>
      <c r="AE221" s="116"/>
      <c r="AF221" s="116"/>
      <c r="AG221" s="116">
        <v>1</v>
      </c>
      <c r="AH221" s="116"/>
      <c r="AI221" s="116"/>
      <c r="AJ221" s="116"/>
      <c r="AK221" s="116">
        <v>10</v>
      </c>
      <c r="AL221" s="8" t="s">
        <v>1592</v>
      </c>
      <c r="AM221" s="117">
        <f t="shared" si="245"/>
        <v>78</v>
      </c>
      <c r="AN221" s="117">
        <f t="shared" si="246"/>
        <v>100</v>
      </c>
      <c r="AO221" s="8">
        <f t="shared" si="247"/>
        <v>9</v>
      </c>
      <c r="AP221" s="8">
        <f t="shared" si="248"/>
        <v>13</v>
      </c>
      <c r="AQ221" s="8">
        <f t="shared" si="249"/>
        <v>0</v>
      </c>
      <c r="AR221" s="8">
        <f t="shared" si="250"/>
        <v>0</v>
      </c>
      <c r="AS221" s="8">
        <f t="shared" si="251"/>
        <v>17</v>
      </c>
      <c r="AT221" s="8">
        <f t="shared" si="252"/>
        <v>0</v>
      </c>
      <c r="AU221" s="8">
        <f t="shared" si="253"/>
        <v>18</v>
      </c>
      <c r="AV221" s="8">
        <f t="shared" si="254"/>
        <v>4</v>
      </c>
      <c r="AW221" s="8">
        <f t="shared" si="255"/>
        <v>0</v>
      </c>
      <c r="AX221" s="8">
        <f t="shared" ref="AX221:AY221" si="276">IF(S221=1,2,0)</f>
        <v>0</v>
      </c>
      <c r="AY221" s="8">
        <f t="shared" si="276"/>
        <v>0</v>
      </c>
      <c r="AZ221" s="8">
        <f t="shared" si="257"/>
        <v>10</v>
      </c>
      <c r="BA221" s="8">
        <f t="shared" si="258"/>
        <v>3</v>
      </c>
      <c r="BB221" s="8">
        <f t="shared" si="259"/>
        <v>10</v>
      </c>
      <c r="BC221" s="8">
        <f t="shared" si="260"/>
        <v>8</v>
      </c>
      <c r="BD221" s="8">
        <f t="shared" si="261"/>
        <v>0</v>
      </c>
      <c r="BE221" s="8">
        <f t="shared" si="262"/>
        <v>0</v>
      </c>
      <c r="BF221" s="8">
        <f t="shared" si="263"/>
        <v>0</v>
      </c>
      <c r="BG221" s="8">
        <f t="shared" si="264"/>
        <v>15</v>
      </c>
      <c r="BH221" s="8">
        <f t="shared" si="265"/>
        <v>0</v>
      </c>
      <c r="BI221" s="8">
        <f t="shared" si="266"/>
        <v>0</v>
      </c>
      <c r="BJ221" s="645"/>
      <c r="BK221" s="8">
        <f t="shared" si="268"/>
        <v>0</v>
      </c>
      <c r="BL221" s="645"/>
    </row>
    <row r="222" spans="1:64">
      <c r="A222" s="8" t="s">
        <v>1593</v>
      </c>
      <c r="B222" s="645"/>
      <c r="C222" s="116">
        <v>1</v>
      </c>
      <c r="D222" s="116">
        <v>1</v>
      </c>
      <c r="E222" s="116">
        <v>1</v>
      </c>
      <c r="F222" s="116"/>
      <c r="G222" s="116">
        <v>1</v>
      </c>
      <c r="H222" s="116"/>
      <c r="I222" s="116"/>
      <c r="J222" s="116">
        <v>1</v>
      </c>
      <c r="K222" s="116"/>
      <c r="L222" s="116"/>
      <c r="M222" s="116"/>
      <c r="N222" s="116"/>
      <c r="O222" s="116"/>
      <c r="P222" s="116">
        <v>1</v>
      </c>
      <c r="Q222" s="116"/>
      <c r="R222" s="116"/>
      <c r="S222" s="116"/>
      <c r="T222" s="116"/>
      <c r="U222" s="116"/>
      <c r="V222" s="116"/>
      <c r="W222" s="116"/>
      <c r="X222" s="116"/>
      <c r="Y222" s="116"/>
      <c r="Z222" s="116"/>
      <c r="AA222" s="116"/>
      <c r="AB222" s="116"/>
      <c r="AC222" s="116"/>
      <c r="AD222" s="116">
        <v>1</v>
      </c>
      <c r="AE222" s="116"/>
      <c r="AF222" s="116"/>
      <c r="AG222" s="116">
        <v>1</v>
      </c>
      <c r="AH222" s="116"/>
      <c r="AI222" s="116">
        <v>1</v>
      </c>
      <c r="AJ222" s="116">
        <v>1</v>
      </c>
      <c r="AK222" s="116">
        <v>10</v>
      </c>
      <c r="AL222" s="8" t="s">
        <v>1137</v>
      </c>
      <c r="AM222" s="117">
        <f t="shared" si="245"/>
        <v>86</v>
      </c>
      <c r="AN222" s="117">
        <f t="shared" si="246"/>
        <v>89</v>
      </c>
      <c r="AO222" s="8">
        <f t="shared" si="247"/>
        <v>9</v>
      </c>
      <c r="AP222" s="8">
        <f t="shared" si="248"/>
        <v>13</v>
      </c>
      <c r="AQ222" s="8">
        <f t="shared" si="249"/>
        <v>6</v>
      </c>
      <c r="AR222" s="8">
        <f t="shared" si="250"/>
        <v>6</v>
      </c>
      <c r="AS222" s="8">
        <f t="shared" si="251"/>
        <v>17</v>
      </c>
      <c r="AT222" s="8">
        <f t="shared" si="252"/>
        <v>0</v>
      </c>
      <c r="AU222" s="8">
        <f t="shared" si="253"/>
        <v>18</v>
      </c>
      <c r="AV222" s="8">
        <f t="shared" si="254"/>
        <v>0</v>
      </c>
      <c r="AW222" s="8">
        <f t="shared" si="255"/>
        <v>0</v>
      </c>
      <c r="AX222" s="8">
        <f t="shared" ref="AX222:AY222" si="277">IF(S222=1,2,0)</f>
        <v>0</v>
      </c>
      <c r="AY222" s="8">
        <f t="shared" si="277"/>
        <v>0</v>
      </c>
      <c r="AZ222" s="8">
        <f t="shared" si="257"/>
        <v>0</v>
      </c>
      <c r="BA222" s="8">
        <f t="shared" si="258"/>
        <v>0</v>
      </c>
      <c r="BB222" s="8">
        <f t="shared" si="259"/>
        <v>0</v>
      </c>
      <c r="BC222" s="8">
        <f t="shared" si="260"/>
        <v>0</v>
      </c>
      <c r="BD222" s="8">
        <f t="shared" si="261"/>
        <v>0</v>
      </c>
      <c r="BE222" s="8">
        <f t="shared" si="262"/>
        <v>5</v>
      </c>
      <c r="BF222" s="8">
        <f t="shared" si="263"/>
        <v>0</v>
      </c>
      <c r="BG222" s="8">
        <f t="shared" si="264"/>
        <v>15</v>
      </c>
      <c r="BH222" s="8">
        <f t="shared" si="265"/>
        <v>3</v>
      </c>
      <c r="BI222" s="8">
        <f t="shared" si="266"/>
        <v>2</v>
      </c>
      <c r="BJ222" s="645"/>
      <c r="BK222" s="8">
        <f t="shared" si="268"/>
        <v>0</v>
      </c>
      <c r="BL222" s="645"/>
    </row>
    <row r="223" spans="1:64">
      <c r="A223" s="120" t="s">
        <v>1594</v>
      </c>
      <c r="B223" s="120"/>
      <c r="C223" s="118">
        <v>1</v>
      </c>
      <c r="D223" s="118">
        <v>1</v>
      </c>
      <c r="E223" s="118">
        <v>1</v>
      </c>
      <c r="F223" s="118"/>
      <c r="G223" s="118">
        <v>1</v>
      </c>
      <c r="H223" s="118"/>
      <c r="I223" s="118"/>
      <c r="J223" s="118">
        <v>1</v>
      </c>
      <c r="K223" s="118"/>
      <c r="L223" s="118"/>
      <c r="M223" s="118"/>
      <c r="N223" s="118"/>
      <c r="O223" s="118"/>
      <c r="P223" s="118">
        <v>1</v>
      </c>
      <c r="Q223" s="118">
        <v>1</v>
      </c>
      <c r="R223" s="118"/>
      <c r="S223" s="118"/>
      <c r="T223" s="118"/>
      <c r="U223" s="118">
        <v>1</v>
      </c>
      <c r="V223" s="118"/>
      <c r="W223" s="118"/>
      <c r="X223" s="118"/>
      <c r="Y223" s="118"/>
      <c r="Z223" s="118"/>
      <c r="AA223" s="118"/>
      <c r="AB223" s="118"/>
      <c r="AC223" s="118"/>
      <c r="AD223" s="118">
        <v>1</v>
      </c>
      <c r="AE223" s="118"/>
      <c r="AF223" s="118"/>
      <c r="AG223" s="118">
        <v>1</v>
      </c>
      <c r="AH223" s="118"/>
      <c r="AI223" s="118"/>
      <c r="AJ223" s="118"/>
      <c r="AK223" s="118">
        <v>10</v>
      </c>
      <c r="AL223" s="305" t="s">
        <v>1455</v>
      </c>
      <c r="AM223" s="119">
        <f t="shared" si="245"/>
        <v>84</v>
      </c>
      <c r="AN223" s="119">
        <f t="shared" si="246"/>
        <v>94</v>
      </c>
      <c r="AO223" s="120">
        <f t="shared" si="247"/>
        <v>9</v>
      </c>
      <c r="AP223" s="120">
        <f t="shared" si="248"/>
        <v>13</v>
      </c>
      <c r="AQ223" s="120">
        <f t="shared" si="249"/>
        <v>6</v>
      </c>
      <c r="AR223" s="120">
        <f t="shared" si="250"/>
        <v>6</v>
      </c>
      <c r="AS223" s="120">
        <f t="shared" si="251"/>
        <v>17</v>
      </c>
      <c r="AT223" s="120">
        <f t="shared" si="252"/>
        <v>0</v>
      </c>
      <c r="AU223" s="120">
        <f t="shared" si="253"/>
        <v>18</v>
      </c>
      <c r="AV223" s="120">
        <f t="shared" si="254"/>
        <v>4</v>
      </c>
      <c r="AW223" s="120">
        <f t="shared" si="255"/>
        <v>0</v>
      </c>
      <c r="AX223" s="120">
        <f t="shared" ref="AX223:AY223" si="278">IF(S223=1,2,0)</f>
        <v>0</v>
      </c>
      <c r="AY223" s="120">
        <f t="shared" si="278"/>
        <v>0</v>
      </c>
      <c r="AZ223" s="120">
        <f t="shared" si="257"/>
        <v>10</v>
      </c>
      <c r="BA223" s="120">
        <f t="shared" si="258"/>
        <v>0</v>
      </c>
      <c r="BB223" s="120">
        <f t="shared" si="259"/>
        <v>0</v>
      </c>
      <c r="BC223" s="120">
        <f t="shared" si="260"/>
        <v>0</v>
      </c>
      <c r="BD223" s="120">
        <f t="shared" si="261"/>
        <v>0</v>
      </c>
      <c r="BE223" s="120">
        <f t="shared" si="262"/>
        <v>5</v>
      </c>
      <c r="BF223" s="120">
        <f t="shared" si="263"/>
        <v>0</v>
      </c>
      <c r="BG223" s="120">
        <f t="shared" si="264"/>
        <v>15</v>
      </c>
      <c r="BH223" s="120">
        <f t="shared" si="265"/>
        <v>0</v>
      </c>
      <c r="BI223" s="120">
        <f t="shared" si="266"/>
        <v>0</v>
      </c>
      <c r="BJ223" s="120"/>
      <c r="BK223" s="120">
        <f t="shared" si="268"/>
        <v>0</v>
      </c>
      <c r="BL223" s="120"/>
    </row>
    <row r="224" spans="1:64">
      <c r="A224" s="8" t="s">
        <v>1595</v>
      </c>
      <c r="B224" s="645"/>
      <c r="C224" s="116"/>
      <c r="D224" s="116">
        <v>1</v>
      </c>
      <c r="E224" s="116">
        <v>1</v>
      </c>
      <c r="F224" s="116"/>
      <c r="G224" s="116"/>
      <c r="H224" s="116"/>
      <c r="I224" s="116"/>
      <c r="J224" s="116">
        <v>1</v>
      </c>
      <c r="K224" s="116"/>
      <c r="L224" s="116"/>
      <c r="M224" s="116"/>
      <c r="N224" s="116"/>
      <c r="O224" s="116"/>
      <c r="P224" s="116">
        <v>1</v>
      </c>
      <c r="Q224" s="116"/>
      <c r="R224" s="116"/>
      <c r="S224" s="116">
        <v>1</v>
      </c>
      <c r="T224" s="116"/>
      <c r="U224" s="116"/>
      <c r="V224" s="116"/>
      <c r="W224" s="116"/>
      <c r="X224" s="116"/>
      <c r="Y224" s="116"/>
      <c r="Z224" s="116">
        <v>1</v>
      </c>
      <c r="AA224" s="116"/>
      <c r="AB224" s="116"/>
      <c r="AC224" s="116"/>
      <c r="AD224" s="116"/>
      <c r="AE224" s="116"/>
      <c r="AF224" s="116"/>
      <c r="AG224" s="116">
        <v>1</v>
      </c>
      <c r="AH224" s="116"/>
      <c r="AI224" s="116">
        <v>1</v>
      </c>
      <c r="AJ224" s="116"/>
      <c r="AK224" s="116">
        <v>8</v>
      </c>
      <c r="AL224" s="11" t="s">
        <v>1455</v>
      </c>
      <c r="AM224" s="117">
        <f t="shared" si="245"/>
        <v>66</v>
      </c>
      <c r="AN224" s="117">
        <f t="shared" si="246"/>
        <v>82</v>
      </c>
      <c r="AO224" s="8">
        <f t="shared" si="247"/>
        <v>0</v>
      </c>
      <c r="AP224" s="8">
        <f t="shared" si="248"/>
        <v>13</v>
      </c>
      <c r="AQ224" s="8">
        <f t="shared" si="249"/>
        <v>6</v>
      </c>
      <c r="AR224" s="8">
        <f t="shared" si="250"/>
        <v>0</v>
      </c>
      <c r="AS224" s="8">
        <f t="shared" si="251"/>
        <v>17</v>
      </c>
      <c r="AT224" s="8">
        <f t="shared" si="252"/>
        <v>0</v>
      </c>
      <c r="AU224" s="8">
        <f t="shared" si="253"/>
        <v>18</v>
      </c>
      <c r="AV224" s="8">
        <f t="shared" si="254"/>
        <v>0</v>
      </c>
      <c r="AW224" s="8">
        <f t="shared" si="255"/>
        <v>0</v>
      </c>
      <c r="AX224" s="8">
        <f t="shared" ref="AX224:AY224" si="279">IF(S224=1,2,0)</f>
        <v>2</v>
      </c>
      <c r="AY224" s="8">
        <f t="shared" si="279"/>
        <v>0</v>
      </c>
      <c r="AZ224" s="8">
        <f t="shared" si="257"/>
        <v>0</v>
      </c>
      <c r="BA224" s="8">
        <f t="shared" si="258"/>
        <v>0</v>
      </c>
      <c r="BB224" s="8">
        <f t="shared" si="259"/>
        <v>0</v>
      </c>
      <c r="BC224" s="8">
        <f t="shared" si="260"/>
        <v>8</v>
      </c>
      <c r="BD224" s="8">
        <f t="shared" si="261"/>
        <v>0</v>
      </c>
      <c r="BE224" s="8">
        <f t="shared" si="262"/>
        <v>0</v>
      </c>
      <c r="BF224" s="8">
        <f t="shared" si="263"/>
        <v>0</v>
      </c>
      <c r="BG224" s="8">
        <f t="shared" si="264"/>
        <v>15</v>
      </c>
      <c r="BH224" s="8">
        <f t="shared" si="265"/>
        <v>3</v>
      </c>
      <c r="BI224" s="8">
        <f t="shared" si="266"/>
        <v>0</v>
      </c>
      <c r="BJ224" s="645"/>
      <c r="BK224" s="8">
        <f t="shared" si="268"/>
        <v>4</v>
      </c>
      <c r="BL224" s="645"/>
    </row>
    <row r="225" spans="1:64">
      <c r="A225" s="120" t="s">
        <v>1596</v>
      </c>
      <c r="B225" s="120"/>
      <c r="C225" s="118"/>
      <c r="D225" s="118"/>
      <c r="E225" s="118">
        <v>1</v>
      </c>
      <c r="F225" s="118"/>
      <c r="G225" s="118">
        <v>1</v>
      </c>
      <c r="H225" s="118"/>
      <c r="I225" s="118"/>
      <c r="J225" s="118">
        <v>1</v>
      </c>
      <c r="K225" s="118"/>
      <c r="L225" s="118"/>
      <c r="M225" s="118"/>
      <c r="N225" s="118"/>
      <c r="O225" s="118"/>
      <c r="P225" s="118">
        <v>1</v>
      </c>
      <c r="Q225" s="118"/>
      <c r="R225" s="118"/>
      <c r="S225" s="118"/>
      <c r="T225" s="118"/>
      <c r="U225" s="118">
        <v>1</v>
      </c>
      <c r="V225" s="118">
        <v>1</v>
      </c>
      <c r="W225" s="118"/>
      <c r="X225" s="118"/>
      <c r="Y225" s="118">
        <v>1</v>
      </c>
      <c r="Z225" s="118">
        <v>1</v>
      </c>
      <c r="AA225" s="118"/>
      <c r="AB225" s="118">
        <v>1</v>
      </c>
      <c r="AC225" s="118"/>
      <c r="AD225" s="118"/>
      <c r="AE225" s="118"/>
      <c r="AF225" s="118"/>
      <c r="AG225" s="118">
        <v>1</v>
      </c>
      <c r="AH225" s="118"/>
      <c r="AI225" s="118"/>
      <c r="AJ225" s="118"/>
      <c r="AK225" s="118">
        <v>10</v>
      </c>
      <c r="AL225" s="305" t="s">
        <v>1590</v>
      </c>
      <c r="AM225" s="119">
        <f t="shared" si="245"/>
        <v>90</v>
      </c>
      <c r="AN225" s="119">
        <f t="shared" si="246"/>
        <v>90</v>
      </c>
      <c r="AO225" s="120">
        <f t="shared" si="247"/>
        <v>0</v>
      </c>
      <c r="AP225" s="120">
        <f t="shared" si="248"/>
        <v>0</v>
      </c>
      <c r="AQ225" s="120">
        <f t="shared" si="249"/>
        <v>6</v>
      </c>
      <c r="AR225" s="120">
        <f t="shared" si="250"/>
        <v>6</v>
      </c>
      <c r="AS225" s="120">
        <f t="shared" si="251"/>
        <v>17</v>
      </c>
      <c r="AT225" s="120">
        <f t="shared" si="252"/>
        <v>0</v>
      </c>
      <c r="AU225" s="120">
        <f t="shared" si="253"/>
        <v>18</v>
      </c>
      <c r="AV225" s="120">
        <f t="shared" si="254"/>
        <v>0</v>
      </c>
      <c r="AW225" s="120">
        <f t="shared" si="255"/>
        <v>0</v>
      </c>
      <c r="AX225" s="120">
        <f t="shared" ref="AX225:AY225" si="280">IF(S225=1,2,0)</f>
        <v>0</v>
      </c>
      <c r="AY225" s="120">
        <f t="shared" si="280"/>
        <v>0</v>
      </c>
      <c r="AZ225" s="120">
        <f t="shared" si="257"/>
        <v>10</v>
      </c>
      <c r="BA225" s="120">
        <f t="shared" si="258"/>
        <v>3</v>
      </c>
      <c r="BB225" s="120">
        <f t="shared" si="259"/>
        <v>10</v>
      </c>
      <c r="BC225" s="120">
        <f t="shared" si="260"/>
        <v>8</v>
      </c>
      <c r="BD225" s="120">
        <f t="shared" si="261"/>
        <v>5</v>
      </c>
      <c r="BE225" s="120">
        <f t="shared" si="262"/>
        <v>0</v>
      </c>
      <c r="BF225" s="120">
        <f t="shared" si="263"/>
        <v>0</v>
      </c>
      <c r="BG225" s="120">
        <f t="shared" si="264"/>
        <v>15</v>
      </c>
      <c r="BH225" s="120">
        <f t="shared" si="265"/>
        <v>0</v>
      </c>
      <c r="BI225" s="120">
        <f t="shared" si="266"/>
        <v>0</v>
      </c>
      <c r="BJ225" s="120"/>
      <c r="BK225" s="120">
        <f t="shared" si="268"/>
        <v>0</v>
      </c>
      <c r="BL225" s="120"/>
    </row>
    <row r="226" spans="1:64">
      <c r="A226" s="8" t="s">
        <v>1597</v>
      </c>
      <c r="B226" s="645"/>
      <c r="C226" s="116">
        <v>1</v>
      </c>
      <c r="D226" s="116"/>
      <c r="E226" s="116"/>
      <c r="F226" s="116"/>
      <c r="G226" s="116"/>
      <c r="H226" s="116"/>
      <c r="I226" s="116"/>
      <c r="J226" s="116">
        <v>1</v>
      </c>
      <c r="K226" s="116"/>
      <c r="L226" s="116"/>
      <c r="M226" s="116"/>
      <c r="N226" s="116"/>
      <c r="O226" s="116"/>
      <c r="P226" s="116">
        <v>1</v>
      </c>
      <c r="Q226" s="116">
        <v>1</v>
      </c>
      <c r="R226" s="116"/>
      <c r="S226" s="116"/>
      <c r="T226" s="116"/>
      <c r="U226" s="116"/>
      <c r="V226" s="116"/>
      <c r="W226" s="116"/>
      <c r="X226" s="116"/>
      <c r="Y226" s="116">
        <v>1</v>
      </c>
      <c r="Z226" s="116">
        <v>1</v>
      </c>
      <c r="AA226" s="116"/>
      <c r="AB226" s="116"/>
      <c r="AC226" s="116"/>
      <c r="AD226" s="116"/>
      <c r="AE226" s="116"/>
      <c r="AF226" s="116"/>
      <c r="AG226" s="116">
        <v>1</v>
      </c>
      <c r="AH226" s="116"/>
      <c r="AI226" s="116"/>
      <c r="AJ226" s="116"/>
      <c r="AK226" s="116">
        <v>7</v>
      </c>
      <c r="AL226" s="11" t="s">
        <v>1455</v>
      </c>
      <c r="AM226" s="117">
        <f t="shared" si="245"/>
        <v>56</v>
      </c>
      <c r="AN226" s="117">
        <f t="shared" si="246"/>
        <v>81</v>
      </c>
      <c r="AO226" s="8">
        <f t="shared" si="247"/>
        <v>9</v>
      </c>
      <c r="AP226" s="8">
        <f t="shared" si="248"/>
        <v>0</v>
      </c>
      <c r="AQ226" s="8">
        <f t="shared" si="249"/>
        <v>0</v>
      </c>
      <c r="AR226" s="8">
        <f t="shared" si="250"/>
        <v>0</v>
      </c>
      <c r="AS226" s="8">
        <f t="shared" si="251"/>
        <v>17</v>
      </c>
      <c r="AT226" s="8">
        <f t="shared" si="252"/>
        <v>0</v>
      </c>
      <c r="AU226" s="8">
        <f t="shared" si="253"/>
        <v>18</v>
      </c>
      <c r="AV226" s="8">
        <f t="shared" si="254"/>
        <v>4</v>
      </c>
      <c r="AW226" s="8">
        <f t="shared" si="255"/>
        <v>0</v>
      </c>
      <c r="AX226" s="8">
        <f t="shared" ref="AX226:AY226" si="281">IF(S226=1,2,0)</f>
        <v>0</v>
      </c>
      <c r="AY226" s="8">
        <f t="shared" si="281"/>
        <v>0</v>
      </c>
      <c r="AZ226" s="8">
        <f t="shared" si="257"/>
        <v>0</v>
      </c>
      <c r="BA226" s="8">
        <f t="shared" si="258"/>
        <v>0</v>
      </c>
      <c r="BB226" s="8">
        <f t="shared" si="259"/>
        <v>10</v>
      </c>
      <c r="BC226" s="8">
        <f t="shared" si="260"/>
        <v>8</v>
      </c>
      <c r="BD226" s="8">
        <f t="shared" si="261"/>
        <v>0</v>
      </c>
      <c r="BE226" s="8">
        <f t="shared" si="262"/>
        <v>0</v>
      </c>
      <c r="BF226" s="8">
        <f t="shared" si="263"/>
        <v>0</v>
      </c>
      <c r="BG226" s="8">
        <f t="shared" si="264"/>
        <v>15</v>
      </c>
      <c r="BH226" s="8">
        <f t="shared" si="265"/>
        <v>0</v>
      </c>
      <c r="BI226" s="8">
        <f t="shared" si="266"/>
        <v>0</v>
      </c>
      <c r="BJ226" s="645"/>
      <c r="BK226" s="8">
        <f t="shared" si="268"/>
        <v>9</v>
      </c>
      <c r="BL226" s="645"/>
    </row>
    <row r="227" spans="1:64">
      <c r="A227" s="120" t="s">
        <v>1598</v>
      </c>
      <c r="B227" s="120"/>
      <c r="C227" s="118"/>
      <c r="D227" s="118"/>
      <c r="E227" s="118"/>
      <c r="F227" s="118"/>
      <c r="G227" s="118"/>
      <c r="H227" s="118"/>
      <c r="I227" s="118"/>
      <c r="J227" s="118">
        <v>1</v>
      </c>
      <c r="K227" s="118"/>
      <c r="L227" s="118"/>
      <c r="M227" s="118"/>
      <c r="N227" s="118"/>
      <c r="O227" s="118"/>
      <c r="P227" s="118">
        <v>1</v>
      </c>
      <c r="Q227" s="118"/>
      <c r="R227" s="118"/>
      <c r="S227" s="118"/>
      <c r="T227" s="118"/>
      <c r="U227" s="118"/>
      <c r="V227" s="118"/>
      <c r="W227" s="118"/>
      <c r="X227" s="118"/>
      <c r="Y227" s="118"/>
      <c r="Z227" s="118"/>
      <c r="AA227" s="118"/>
      <c r="AB227" s="118"/>
      <c r="AC227" s="118"/>
      <c r="AD227" s="118"/>
      <c r="AE227" s="118"/>
      <c r="AF227" s="118"/>
      <c r="AG227" s="118">
        <v>1</v>
      </c>
      <c r="AH227" s="118"/>
      <c r="AI227" s="118"/>
      <c r="AJ227" s="118"/>
      <c r="AK227" s="118">
        <v>3</v>
      </c>
      <c r="AL227" s="305" t="s">
        <v>1599</v>
      </c>
      <c r="AM227" s="119">
        <f t="shared" si="245"/>
        <v>-16</v>
      </c>
      <c r="AN227" s="119">
        <f t="shared" si="246"/>
        <v>50</v>
      </c>
      <c r="AO227" s="120">
        <f t="shared" si="247"/>
        <v>0</v>
      </c>
      <c r="AP227" s="120">
        <f t="shared" si="248"/>
        <v>0</v>
      </c>
      <c r="AQ227" s="120">
        <f t="shared" si="249"/>
        <v>0</v>
      </c>
      <c r="AR227" s="120">
        <f t="shared" si="250"/>
        <v>0</v>
      </c>
      <c r="AS227" s="120">
        <f t="shared" si="251"/>
        <v>17</v>
      </c>
      <c r="AT227" s="120">
        <f t="shared" si="252"/>
        <v>0</v>
      </c>
      <c r="AU227" s="120">
        <f t="shared" si="253"/>
        <v>18</v>
      </c>
      <c r="AV227" s="120">
        <f t="shared" si="254"/>
        <v>0</v>
      </c>
      <c r="AW227" s="120">
        <f t="shared" si="255"/>
        <v>0</v>
      </c>
      <c r="AX227" s="120">
        <f t="shared" ref="AX227:AY227" si="282">IF(S227=1,2,0)</f>
        <v>0</v>
      </c>
      <c r="AY227" s="120">
        <f t="shared" si="282"/>
        <v>0</v>
      </c>
      <c r="AZ227" s="120">
        <f t="shared" si="257"/>
        <v>0</v>
      </c>
      <c r="BA227" s="120">
        <f t="shared" si="258"/>
        <v>0</v>
      </c>
      <c r="BB227" s="120">
        <f t="shared" si="259"/>
        <v>0</v>
      </c>
      <c r="BC227" s="120">
        <f t="shared" si="260"/>
        <v>0</v>
      </c>
      <c r="BD227" s="120">
        <f t="shared" si="261"/>
        <v>0</v>
      </c>
      <c r="BE227" s="120">
        <f t="shared" si="262"/>
        <v>0</v>
      </c>
      <c r="BF227" s="120">
        <f t="shared" si="263"/>
        <v>0</v>
      </c>
      <c r="BG227" s="120">
        <f t="shared" si="264"/>
        <v>15</v>
      </c>
      <c r="BH227" s="120">
        <f t="shared" si="265"/>
        <v>0</v>
      </c>
      <c r="BI227" s="120">
        <f t="shared" si="266"/>
        <v>0</v>
      </c>
      <c r="BJ227" s="120"/>
      <c r="BK227" s="120">
        <f t="shared" si="268"/>
        <v>49</v>
      </c>
      <c r="BL227" s="120"/>
    </row>
    <row r="228" spans="1:64">
      <c r="A228" s="8" t="s">
        <v>1600</v>
      </c>
      <c r="B228" s="645"/>
      <c r="C228" s="116">
        <v>1</v>
      </c>
      <c r="D228" s="116">
        <v>1</v>
      </c>
      <c r="E228" s="116">
        <v>1</v>
      </c>
      <c r="F228" s="116"/>
      <c r="G228" s="116">
        <v>1</v>
      </c>
      <c r="H228" s="116"/>
      <c r="I228" s="116"/>
      <c r="J228" s="116">
        <v>1</v>
      </c>
      <c r="K228" s="116"/>
      <c r="L228" s="116"/>
      <c r="M228" s="116"/>
      <c r="N228" s="116"/>
      <c r="O228" s="116"/>
      <c r="P228" s="116">
        <v>1</v>
      </c>
      <c r="Q228" s="116"/>
      <c r="R228" s="116"/>
      <c r="S228" s="116"/>
      <c r="T228" s="116"/>
      <c r="U228" s="116"/>
      <c r="V228" s="116"/>
      <c r="W228" s="116"/>
      <c r="X228" s="116">
        <v>1</v>
      </c>
      <c r="Y228" s="116">
        <v>1</v>
      </c>
      <c r="Z228" s="116"/>
      <c r="AA228" s="116"/>
      <c r="AB228" s="116"/>
      <c r="AC228" s="116"/>
      <c r="AD228" s="116"/>
      <c r="AE228" s="116"/>
      <c r="AF228" s="116">
        <v>1</v>
      </c>
      <c r="AG228" s="116">
        <v>1</v>
      </c>
      <c r="AH228" s="116"/>
      <c r="AI228" s="116"/>
      <c r="AJ228" s="116"/>
      <c r="AK228" s="116">
        <v>10</v>
      </c>
      <c r="AL228" s="8" t="s">
        <v>1601</v>
      </c>
      <c r="AM228" s="117">
        <f t="shared" si="245"/>
        <v>91</v>
      </c>
      <c r="AN228" s="117">
        <f t="shared" si="246"/>
        <v>94</v>
      </c>
      <c r="AO228" s="8">
        <f t="shared" si="247"/>
        <v>9</v>
      </c>
      <c r="AP228" s="8">
        <f t="shared" si="248"/>
        <v>13</v>
      </c>
      <c r="AQ228" s="8">
        <f t="shared" si="249"/>
        <v>6</v>
      </c>
      <c r="AR228" s="8">
        <f t="shared" si="250"/>
        <v>6</v>
      </c>
      <c r="AS228" s="8">
        <f t="shared" si="251"/>
        <v>17</v>
      </c>
      <c r="AT228" s="8">
        <f t="shared" si="252"/>
        <v>0</v>
      </c>
      <c r="AU228" s="8">
        <f t="shared" si="253"/>
        <v>18</v>
      </c>
      <c r="AV228" s="8">
        <f t="shared" si="254"/>
        <v>0</v>
      </c>
      <c r="AW228" s="8">
        <f t="shared" si="255"/>
        <v>0</v>
      </c>
      <c r="AX228" s="8">
        <f t="shared" ref="AX228:AY228" si="283">IF(S228=1,2,0)</f>
        <v>0</v>
      </c>
      <c r="AY228" s="8">
        <f t="shared" si="283"/>
        <v>0</v>
      </c>
      <c r="AZ228" s="8">
        <f t="shared" si="257"/>
        <v>0</v>
      </c>
      <c r="BA228" s="8">
        <f t="shared" si="258"/>
        <v>0</v>
      </c>
      <c r="BB228" s="8">
        <f t="shared" si="259"/>
        <v>10</v>
      </c>
      <c r="BC228" s="8">
        <f t="shared" si="260"/>
        <v>0</v>
      </c>
      <c r="BD228" s="8">
        <f t="shared" si="261"/>
        <v>0</v>
      </c>
      <c r="BE228" s="8">
        <f t="shared" si="262"/>
        <v>0</v>
      </c>
      <c r="BF228" s="8">
        <f t="shared" si="263"/>
        <v>1</v>
      </c>
      <c r="BG228" s="8">
        <f t="shared" si="264"/>
        <v>15</v>
      </c>
      <c r="BH228" s="8">
        <f t="shared" si="265"/>
        <v>0</v>
      </c>
      <c r="BI228" s="8">
        <f t="shared" si="266"/>
        <v>0</v>
      </c>
      <c r="BJ228" s="645"/>
      <c r="BK228" s="8">
        <f t="shared" si="268"/>
        <v>0</v>
      </c>
      <c r="BL228" s="645"/>
    </row>
    <row r="229" spans="1:64">
      <c r="A229" s="120" t="s">
        <v>1602</v>
      </c>
      <c r="B229" s="120"/>
      <c r="C229" s="118"/>
      <c r="D229" s="118">
        <v>1</v>
      </c>
      <c r="E229" s="118"/>
      <c r="F229" s="118"/>
      <c r="G229" s="118"/>
      <c r="H229" s="118"/>
      <c r="I229" s="118"/>
      <c r="J229" s="118">
        <v>1</v>
      </c>
      <c r="K229" s="118"/>
      <c r="L229" s="118"/>
      <c r="M229" s="118"/>
      <c r="N229" s="118"/>
      <c r="O229" s="118"/>
      <c r="P229" s="118">
        <v>1</v>
      </c>
      <c r="Q229" s="118"/>
      <c r="R229" s="118"/>
      <c r="S229" s="118"/>
      <c r="T229" s="118"/>
      <c r="U229" s="118"/>
      <c r="V229" s="118"/>
      <c r="W229" s="118"/>
      <c r="X229" s="118"/>
      <c r="Y229" s="118">
        <v>1</v>
      </c>
      <c r="Z229" s="118"/>
      <c r="AA229" s="118"/>
      <c r="AB229" s="118"/>
      <c r="AC229" s="118"/>
      <c r="AD229" s="118"/>
      <c r="AE229" s="118"/>
      <c r="AF229" s="118"/>
      <c r="AG229" s="118">
        <v>1</v>
      </c>
      <c r="AH229" s="118"/>
      <c r="AI229" s="118"/>
      <c r="AJ229" s="118"/>
      <c r="AK229" s="118">
        <v>5</v>
      </c>
      <c r="AL229" s="305" t="s">
        <v>1599</v>
      </c>
      <c r="AM229" s="119">
        <f t="shared" si="245"/>
        <v>24</v>
      </c>
      <c r="AN229" s="119">
        <f t="shared" si="246"/>
        <v>73</v>
      </c>
      <c r="AO229" s="120">
        <f t="shared" si="247"/>
        <v>0</v>
      </c>
      <c r="AP229" s="120">
        <f t="shared" si="248"/>
        <v>13</v>
      </c>
      <c r="AQ229" s="120">
        <f t="shared" si="249"/>
        <v>0</v>
      </c>
      <c r="AR229" s="120">
        <f t="shared" si="250"/>
        <v>0</v>
      </c>
      <c r="AS229" s="120">
        <f t="shared" si="251"/>
        <v>17</v>
      </c>
      <c r="AT229" s="120">
        <f t="shared" si="252"/>
        <v>0</v>
      </c>
      <c r="AU229" s="120">
        <f t="shared" si="253"/>
        <v>18</v>
      </c>
      <c r="AV229" s="120">
        <f t="shared" si="254"/>
        <v>0</v>
      </c>
      <c r="AW229" s="120">
        <f t="shared" si="255"/>
        <v>0</v>
      </c>
      <c r="AX229" s="120">
        <f t="shared" ref="AX229:AY229" si="284">IF(S229=1,2,0)</f>
        <v>0</v>
      </c>
      <c r="AY229" s="120">
        <f t="shared" si="284"/>
        <v>0</v>
      </c>
      <c r="AZ229" s="120">
        <f t="shared" si="257"/>
        <v>0</v>
      </c>
      <c r="BA229" s="120">
        <f t="shared" si="258"/>
        <v>0</v>
      </c>
      <c r="BB229" s="120">
        <f t="shared" si="259"/>
        <v>10</v>
      </c>
      <c r="BC229" s="120">
        <f t="shared" si="260"/>
        <v>0</v>
      </c>
      <c r="BD229" s="120">
        <f t="shared" si="261"/>
        <v>0</v>
      </c>
      <c r="BE229" s="120">
        <f t="shared" si="262"/>
        <v>0</v>
      </c>
      <c r="BF229" s="120">
        <f t="shared" si="263"/>
        <v>0</v>
      </c>
      <c r="BG229" s="120">
        <f t="shared" si="264"/>
        <v>15</v>
      </c>
      <c r="BH229" s="120">
        <f t="shared" si="265"/>
        <v>0</v>
      </c>
      <c r="BI229" s="120">
        <f t="shared" si="266"/>
        <v>0</v>
      </c>
      <c r="BJ229" s="120"/>
      <c r="BK229" s="120">
        <f t="shared" si="268"/>
        <v>25</v>
      </c>
      <c r="BL229" s="120"/>
    </row>
    <row r="230" spans="1:64">
      <c r="A230" s="8" t="s">
        <v>162</v>
      </c>
      <c r="B230" s="645"/>
      <c r="C230" s="116">
        <v>1</v>
      </c>
      <c r="D230" s="116"/>
      <c r="E230" s="116"/>
      <c r="F230" s="116"/>
      <c r="G230" s="116"/>
      <c r="H230" s="116"/>
      <c r="I230" s="116"/>
      <c r="J230" s="116">
        <v>1</v>
      </c>
      <c r="K230" s="116"/>
      <c r="L230" s="116"/>
      <c r="M230" s="116"/>
      <c r="N230" s="116"/>
      <c r="O230" s="116"/>
      <c r="P230" s="116">
        <v>1</v>
      </c>
      <c r="Q230" s="116"/>
      <c r="R230" s="116"/>
      <c r="S230" s="116"/>
      <c r="T230" s="116"/>
      <c r="U230" s="116"/>
      <c r="V230" s="116"/>
      <c r="W230" s="116"/>
      <c r="X230" s="116"/>
      <c r="Y230" s="116"/>
      <c r="Z230" s="116"/>
      <c r="AA230" s="116"/>
      <c r="AB230" s="116"/>
      <c r="AC230" s="116"/>
      <c r="AD230" s="116"/>
      <c r="AE230" s="116"/>
      <c r="AF230" s="116"/>
      <c r="AG230" s="116">
        <v>1</v>
      </c>
      <c r="AH230" s="116"/>
      <c r="AI230" s="116"/>
      <c r="AJ230" s="116"/>
      <c r="AK230" s="116">
        <v>4</v>
      </c>
      <c r="AL230" s="11" t="s">
        <v>1603</v>
      </c>
      <c r="AM230" s="117">
        <f t="shared" si="245"/>
        <v>6</v>
      </c>
      <c r="AN230" s="117">
        <f t="shared" si="246"/>
        <v>59</v>
      </c>
      <c r="AO230" s="8">
        <f t="shared" si="247"/>
        <v>9</v>
      </c>
      <c r="AP230" s="8">
        <f t="shared" si="248"/>
        <v>0</v>
      </c>
      <c r="AQ230" s="8">
        <f t="shared" si="249"/>
        <v>0</v>
      </c>
      <c r="AR230" s="8">
        <f t="shared" si="250"/>
        <v>0</v>
      </c>
      <c r="AS230" s="8">
        <f t="shared" si="251"/>
        <v>17</v>
      </c>
      <c r="AT230" s="8">
        <f t="shared" si="252"/>
        <v>0</v>
      </c>
      <c r="AU230" s="8">
        <f t="shared" si="253"/>
        <v>18</v>
      </c>
      <c r="AV230" s="8">
        <f t="shared" si="254"/>
        <v>0</v>
      </c>
      <c r="AW230" s="8">
        <f t="shared" si="255"/>
        <v>0</v>
      </c>
      <c r="AX230" s="8">
        <f t="shared" ref="AX230:AY230" si="285">IF(S230=1,2,0)</f>
        <v>0</v>
      </c>
      <c r="AY230" s="8">
        <f t="shared" si="285"/>
        <v>0</v>
      </c>
      <c r="AZ230" s="8">
        <f t="shared" si="257"/>
        <v>0</v>
      </c>
      <c r="BA230" s="8">
        <f t="shared" si="258"/>
        <v>0</v>
      </c>
      <c r="BB230" s="8">
        <f t="shared" si="259"/>
        <v>0</v>
      </c>
      <c r="BC230" s="8">
        <f t="shared" si="260"/>
        <v>0</v>
      </c>
      <c r="BD230" s="8">
        <f t="shared" si="261"/>
        <v>0</v>
      </c>
      <c r="BE230" s="8">
        <f t="shared" si="262"/>
        <v>0</v>
      </c>
      <c r="BF230" s="8">
        <f t="shared" si="263"/>
        <v>0</v>
      </c>
      <c r="BG230" s="8">
        <f t="shared" si="264"/>
        <v>15</v>
      </c>
      <c r="BH230" s="8">
        <f t="shared" si="265"/>
        <v>0</v>
      </c>
      <c r="BI230" s="8">
        <f t="shared" si="266"/>
        <v>0</v>
      </c>
      <c r="BJ230" s="645"/>
      <c r="BK230" s="8">
        <f t="shared" si="268"/>
        <v>36</v>
      </c>
      <c r="BL230" s="645"/>
    </row>
    <row r="231" spans="1:64">
      <c r="A231" s="120" t="s">
        <v>1604</v>
      </c>
      <c r="B231" s="120"/>
      <c r="C231" s="118">
        <v>1</v>
      </c>
      <c r="D231" s="118">
        <v>1</v>
      </c>
      <c r="E231" s="118">
        <v>1</v>
      </c>
      <c r="F231" s="118"/>
      <c r="G231" s="118">
        <v>1</v>
      </c>
      <c r="H231" s="118"/>
      <c r="I231" s="118"/>
      <c r="J231" s="118">
        <v>1</v>
      </c>
      <c r="K231" s="118"/>
      <c r="L231" s="118"/>
      <c r="M231" s="118"/>
      <c r="N231" s="118"/>
      <c r="O231" s="118"/>
      <c r="P231" s="118">
        <v>1</v>
      </c>
      <c r="Q231" s="118"/>
      <c r="R231" s="118"/>
      <c r="S231" s="118"/>
      <c r="T231" s="118">
        <v>1</v>
      </c>
      <c r="U231" s="118"/>
      <c r="V231" s="118"/>
      <c r="W231" s="118"/>
      <c r="X231" s="118">
        <v>1</v>
      </c>
      <c r="Y231" s="118">
        <v>1</v>
      </c>
      <c r="Z231" s="118"/>
      <c r="AA231" s="118"/>
      <c r="AB231" s="118"/>
      <c r="AC231" s="118"/>
      <c r="AD231" s="118"/>
      <c r="AE231" s="118"/>
      <c r="AF231" s="118"/>
      <c r="AG231" s="118">
        <v>1</v>
      </c>
      <c r="AH231" s="118"/>
      <c r="AI231" s="118"/>
      <c r="AJ231" s="118"/>
      <c r="AK231" s="118">
        <v>10</v>
      </c>
      <c r="AL231" s="305" t="s">
        <v>1455</v>
      </c>
      <c r="AM231" s="119">
        <f t="shared" si="245"/>
        <v>93</v>
      </c>
      <c r="AN231" s="119">
        <f t="shared" si="246"/>
        <v>94</v>
      </c>
      <c r="AO231" s="120">
        <f t="shared" si="247"/>
        <v>9</v>
      </c>
      <c r="AP231" s="120">
        <f t="shared" si="248"/>
        <v>13</v>
      </c>
      <c r="AQ231" s="120">
        <f t="shared" si="249"/>
        <v>6</v>
      </c>
      <c r="AR231" s="120">
        <f t="shared" si="250"/>
        <v>6</v>
      </c>
      <c r="AS231" s="120">
        <f t="shared" si="251"/>
        <v>17</v>
      </c>
      <c r="AT231" s="120">
        <f t="shared" si="252"/>
        <v>0</v>
      </c>
      <c r="AU231" s="120">
        <f t="shared" si="253"/>
        <v>18</v>
      </c>
      <c r="AV231" s="120">
        <f t="shared" si="254"/>
        <v>0</v>
      </c>
      <c r="AW231" s="120">
        <f t="shared" si="255"/>
        <v>0</v>
      </c>
      <c r="AX231" s="120">
        <f t="shared" ref="AX231:AY231" si="286">IF(S231=1,2,0)</f>
        <v>0</v>
      </c>
      <c r="AY231" s="120">
        <f t="shared" si="286"/>
        <v>2</v>
      </c>
      <c r="AZ231" s="120">
        <f t="shared" si="257"/>
        <v>0</v>
      </c>
      <c r="BA231" s="120">
        <f t="shared" si="258"/>
        <v>0</v>
      </c>
      <c r="BB231" s="120">
        <f t="shared" si="259"/>
        <v>10</v>
      </c>
      <c r="BC231" s="120">
        <f t="shared" si="260"/>
        <v>0</v>
      </c>
      <c r="BD231" s="120">
        <f t="shared" si="261"/>
        <v>0</v>
      </c>
      <c r="BE231" s="120">
        <f t="shared" si="262"/>
        <v>0</v>
      </c>
      <c r="BF231" s="120">
        <f t="shared" si="263"/>
        <v>0</v>
      </c>
      <c r="BG231" s="120">
        <f t="shared" si="264"/>
        <v>15</v>
      </c>
      <c r="BH231" s="120">
        <f t="shared" si="265"/>
        <v>0</v>
      </c>
      <c r="BI231" s="120">
        <f t="shared" si="266"/>
        <v>0</v>
      </c>
      <c r="BJ231" s="120"/>
      <c r="BK231" s="120">
        <f t="shared" si="268"/>
        <v>0</v>
      </c>
      <c r="BL231" s="120"/>
    </row>
    <row r="232" spans="1:64">
      <c r="A232" s="8" t="s">
        <v>1605</v>
      </c>
      <c r="B232" s="645"/>
      <c r="C232" s="116">
        <v>1</v>
      </c>
      <c r="D232" s="116">
        <v>1</v>
      </c>
      <c r="E232" s="116"/>
      <c r="F232" s="116"/>
      <c r="G232" s="116"/>
      <c r="H232" s="116"/>
      <c r="I232" s="116"/>
      <c r="J232" s="116">
        <v>1</v>
      </c>
      <c r="K232" s="116"/>
      <c r="L232" s="116"/>
      <c r="M232" s="116"/>
      <c r="N232" s="116"/>
      <c r="O232" s="116"/>
      <c r="P232" s="116">
        <v>1</v>
      </c>
      <c r="Q232" s="116"/>
      <c r="R232" s="116"/>
      <c r="S232" s="116"/>
      <c r="T232" s="116"/>
      <c r="U232" s="116">
        <v>1</v>
      </c>
      <c r="V232" s="116"/>
      <c r="W232" s="116"/>
      <c r="X232" s="116"/>
      <c r="Y232" s="116">
        <v>1</v>
      </c>
      <c r="Z232" s="116">
        <v>1</v>
      </c>
      <c r="AA232" s="116"/>
      <c r="AB232" s="116"/>
      <c r="AC232" s="116"/>
      <c r="AD232" s="116">
        <v>1</v>
      </c>
      <c r="AE232" s="116"/>
      <c r="AF232" s="116"/>
      <c r="AG232" s="116">
        <v>1</v>
      </c>
      <c r="AH232" s="116"/>
      <c r="AI232" s="116"/>
      <c r="AJ232" s="116"/>
      <c r="AK232" s="116">
        <v>9</v>
      </c>
      <c r="AL232" s="11" t="s">
        <v>1590</v>
      </c>
      <c r="AM232" s="117">
        <f t="shared" si="245"/>
        <v>68</v>
      </c>
      <c r="AN232" s="117">
        <f t="shared" si="246"/>
        <v>100</v>
      </c>
      <c r="AO232" s="8">
        <f t="shared" si="247"/>
        <v>9</v>
      </c>
      <c r="AP232" s="8">
        <f t="shared" si="248"/>
        <v>13</v>
      </c>
      <c r="AQ232" s="8">
        <f t="shared" si="249"/>
        <v>0</v>
      </c>
      <c r="AR232" s="8">
        <f t="shared" si="250"/>
        <v>0</v>
      </c>
      <c r="AS232" s="8">
        <f t="shared" si="251"/>
        <v>17</v>
      </c>
      <c r="AT232" s="8">
        <f t="shared" si="252"/>
        <v>0</v>
      </c>
      <c r="AU232" s="8">
        <f t="shared" si="253"/>
        <v>18</v>
      </c>
      <c r="AV232" s="8">
        <f t="shared" si="254"/>
        <v>0</v>
      </c>
      <c r="AW232" s="8">
        <f t="shared" si="255"/>
        <v>0</v>
      </c>
      <c r="AX232" s="8">
        <f t="shared" ref="AX232:AY232" si="287">IF(S232=1,2,0)</f>
        <v>0</v>
      </c>
      <c r="AY232" s="8">
        <f t="shared" si="287"/>
        <v>0</v>
      </c>
      <c r="AZ232" s="8">
        <f t="shared" si="257"/>
        <v>10</v>
      </c>
      <c r="BA232" s="8">
        <f t="shared" si="258"/>
        <v>0</v>
      </c>
      <c r="BB232" s="8">
        <f t="shared" si="259"/>
        <v>10</v>
      </c>
      <c r="BC232" s="8">
        <f t="shared" si="260"/>
        <v>8</v>
      </c>
      <c r="BD232" s="8">
        <f t="shared" si="261"/>
        <v>0</v>
      </c>
      <c r="BE232" s="8">
        <f t="shared" si="262"/>
        <v>5</v>
      </c>
      <c r="BF232" s="8">
        <f t="shared" si="263"/>
        <v>0</v>
      </c>
      <c r="BG232" s="8">
        <f t="shared" si="264"/>
        <v>15</v>
      </c>
      <c r="BH232" s="8">
        <f t="shared" si="265"/>
        <v>0</v>
      </c>
      <c r="BI232" s="8">
        <f t="shared" si="266"/>
        <v>0</v>
      </c>
      <c r="BJ232" s="645"/>
      <c r="BK232" s="8">
        <f t="shared" si="268"/>
        <v>1</v>
      </c>
      <c r="BL232" s="645"/>
    </row>
    <row r="233" spans="1:64">
      <c r="A233" s="120" t="s">
        <v>1286</v>
      </c>
      <c r="B233" s="120"/>
      <c r="C233" s="118">
        <v>1</v>
      </c>
      <c r="D233" s="118">
        <v>1</v>
      </c>
      <c r="E233" s="118">
        <v>1</v>
      </c>
      <c r="F233" s="118"/>
      <c r="G233" s="118">
        <v>1</v>
      </c>
      <c r="H233" s="118"/>
      <c r="I233" s="118"/>
      <c r="J233" s="118">
        <v>1</v>
      </c>
      <c r="K233" s="118"/>
      <c r="L233" s="118"/>
      <c r="M233" s="118"/>
      <c r="N233" s="118">
        <v>1</v>
      </c>
      <c r="O233" s="118"/>
      <c r="P233" s="118">
        <v>1</v>
      </c>
      <c r="Q233" s="118"/>
      <c r="R233" s="118">
        <v>1</v>
      </c>
      <c r="S233" s="118"/>
      <c r="T233" s="118"/>
      <c r="U233" s="118"/>
      <c r="V233" s="118"/>
      <c r="W233" s="118"/>
      <c r="X233" s="118"/>
      <c r="Y233" s="118">
        <v>1</v>
      </c>
      <c r="Z233" s="118"/>
      <c r="AA233" s="118"/>
      <c r="AB233" s="118"/>
      <c r="AC233" s="118"/>
      <c r="AD233" s="118"/>
      <c r="AE233" s="118"/>
      <c r="AF233" s="118"/>
      <c r="AG233" s="118"/>
      <c r="AH233" s="118"/>
      <c r="AI233" s="118">
        <v>1</v>
      </c>
      <c r="AJ233" s="118"/>
      <c r="AK233" s="118">
        <v>10</v>
      </c>
      <c r="AL233" s="305" t="s">
        <v>1455</v>
      </c>
      <c r="AM233" s="119">
        <f t="shared" si="245"/>
        <v>83</v>
      </c>
      <c r="AN233" s="119">
        <f t="shared" si="246"/>
        <v>82</v>
      </c>
      <c r="AO233" s="120">
        <f t="shared" si="247"/>
        <v>9</v>
      </c>
      <c r="AP233" s="120">
        <f t="shared" si="248"/>
        <v>13</v>
      </c>
      <c r="AQ233" s="120">
        <f t="shared" si="249"/>
        <v>6</v>
      </c>
      <c r="AR233" s="120">
        <f t="shared" si="250"/>
        <v>6</v>
      </c>
      <c r="AS233" s="120">
        <f t="shared" si="251"/>
        <v>17</v>
      </c>
      <c r="AT233" s="120">
        <f t="shared" si="252"/>
        <v>2</v>
      </c>
      <c r="AU233" s="120">
        <f t="shared" si="253"/>
        <v>18</v>
      </c>
      <c r="AV233" s="120">
        <f t="shared" si="254"/>
        <v>0</v>
      </c>
      <c r="AW233" s="120">
        <f t="shared" si="255"/>
        <v>1</v>
      </c>
      <c r="AX233" s="120">
        <f t="shared" ref="AX233:AY233" si="288">IF(S233=1,2,0)</f>
        <v>0</v>
      </c>
      <c r="AY233" s="120">
        <f t="shared" si="288"/>
        <v>0</v>
      </c>
      <c r="AZ233" s="120">
        <f t="shared" si="257"/>
        <v>0</v>
      </c>
      <c r="BA233" s="120">
        <f t="shared" si="258"/>
        <v>0</v>
      </c>
      <c r="BB233" s="120">
        <f t="shared" si="259"/>
        <v>10</v>
      </c>
      <c r="BC233" s="120">
        <f t="shared" si="260"/>
        <v>0</v>
      </c>
      <c r="BD233" s="120">
        <f t="shared" si="261"/>
        <v>0</v>
      </c>
      <c r="BE233" s="120">
        <f t="shared" si="262"/>
        <v>0</v>
      </c>
      <c r="BF233" s="120">
        <f t="shared" si="263"/>
        <v>0</v>
      </c>
      <c r="BG233" s="120">
        <f t="shared" si="264"/>
        <v>0</v>
      </c>
      <c r="BH233" s="120">
        <f t="shared" si="265"/>
        <v>3</v>
      </c>
      <c r="BI233" s="120">
        <f t="shared" si="266"/>
        <v>0</v>
      </c>
      <c r="BJ233" s="120"/>
      <c r="BK233" s="120">
        <f t="shared" si="268"/>
        <v>0</v>
      </c>
      <c r="BL233" s="120"/>
    </row>
    <row r="234" spans="1:64">
      <c r="A234" s="8" t="s">
        <v>1287</v>
      </c>
      <c r="B234" s="645"/>
      <c r="C234" s="116"/>
      <c r="D234" s="116">
        <v>1</v>
      </c>
      <c r="E234" s="116"/>
      <c r="F234" s="116"/>
      <c r="G234" s="116"/>
      <c r="H234" s="116"/>
      <c r="I234" s="116"/>
      <c r="J234" s="116">
        <v>1</v>
      </c>
      <c r="K234" s="116"/>
      <c r="L234" s="116"/>
      <c r="M234" s="116"/>
      <c r="N234" s="116"/>
      <c r="O234" s="116"/>
      <c r="P234" s="116">
        <v>1</v>
      </c>
      <c r="Q234" s="116"/>
      <c r="R234" s="116"/>
      <c r="S234" s="116"/>
      <c r="T234" s="116"/>
      <c r="U234" s="116">
        <v>1</v>
      </c>
      <c r="V234" s="116"/>
      <c r="W234" s="116"/>
      <c r="X234" s="116"/>
      <c r="Y234" s="116"/>
      <c r="Z234" s="116">
        <v>1</v>
      </c>
      <c r="AA234" s="116"/>
      <c r="AB234" s="116"/>
      <c r="AC234" s="116"/>
      <c r="AD234" s="116"/>
      <c r="AE234" s="116"/>
      <c r="AF234" s="116"/>
      <c r="AG234" s="116">
        <v>1</v>
      </c>
      <c r="AH234" s="116"/>
      <c r="AI234" s="116"/>
      <c r="AJ234" s="116"/>
      <c r="AK234" s="116">
        <v>6</v>
      </c>
      <c r="AL234" s="11" t="s">
        <v>1606</v>
      </c>
      <c r="AM234" s="117">
        <f t="shared" si="245"/>
        <v>34</v>
      </c>
      <c r="AN234" s="117">
        <f t="shared" si="246"/>
        <v>81</v>
      </c>
      <c r="AO234" s="8">
        <f t="shared" si="247"/>
        <v>0</v>
      </c>
      <c r="AP234" s="8">
        <f t="shared" si="248"/>
        <v>13</v>
      </c>
      <c r="AQ234" s="8">
        <f t="shared" si="249"/>
        <v>0</v>
      </c>
      <c r="AR234" s="8">
        <f t="shared" si="250"/>
        <v>0</v>
      </c>
      <c r="AS234" s="8">
        <f t="shared" si="251"/>
        <v>17</v>
      </c>
      <c r="AT234" s="8">
        <f t="shared" si="252"/>
        <v>0</v>
      </c>
      <c r="AU234" s="8">
        <f t="shared" si="253"/>
        <v>18</v>
      </c>
      <c r="AV234" s="8">
        <f t="shared" si="254"/>
        <v>0</v>
      </c>
      <c r="AW234" s="8">
        <f t="shared" si="255"/>
        <v>0</v>
      </c>
      <c r="AX234" s="8">
        <f t="shared" ref="AX234:AY234" si="289">IF(S234=1,2,0)</f>
        <v>0</v>
      </c>
      <c r="AY234" s="8">
        <f t="shared" si="289"/>
        <v>0</v>
      </c>
      <c r="AZ234" s="8">
        <f t="shared" si="257"/>
        <v>10</v>
      </c>
      <c r="BA234" s="8">
        <f t="shared" si="258"/>
        <v>0</v>
      </c>
      <c r="BB234" s="8">
        <f t="shared" si="259"/>
        <v>0</v>
      </c>
      <c r="BC234" s="8">
        <f t="shared" si="260"/>
        <v>8</v>
      </c>
      <c r="BD234" s="8">
        <f t="shared" si="261"/>
        <v>0</v>
      </c>
      <c r="BE234" s="8">
        <f t="shared" si="262"/>
        <v>0</v>
      </c>
      <c r="BF234" s="8">
        <f t="shared" si="263"/>
        <v>0</v>
      </c>
      <c r="BG234" s="8">
        <f t="shared" si="264"/>
        <v>15</v>
      </c>
      <c r="BH234" s="8">
        <f t="shared" si="265"/>
        <v>0</v>
      </c>
      <c r="BI234" s="8">
        <f t="shared" si="266"/>
        <v>0</v>
      </c>
      <c r="BJ234" s="645"/>
      <c r="BK234" s="8">
        <f t="shared" si="268"/>
        <v>16</v>
      </c>
      <c r="BL234" s="645"/>
    </row>
    <row r="235" spans="1:64">
      <c r="A235" s="120" t="s">
        <v>1607</v>
      </c>
      <c r="B235" s="120"/>
      <c r="C235" s="118">
        <v>1</v>
      </c>
      <c r="D235" s="118">
        <v>1</v>
      </c>
      <c r="E235" s="118"/>
      <c r="F235" s="118"/>
      <c r="G235" s="118"/>
      <c r="H235" s="118"/>
      <c r="I235" s="118"/>
      <c r="J235" s="118">
        <v>1</v>
      </c>
      <c r="K235" s="118"/>
      <c r="L235" s="118"/>
      <c r="M235" s="118"/>
      <c r="N235" s="118"/>
      <c r="O235" s="118"/>
      <c r="P235" s="118">
        <v>1</v>
      </c>
      <c r="Q235" s="118">
        <v>1</v>
      </c>
      <c r="R235" s="118"/>
      <c r="S235" s="118"/>
      <c r="T235" s="118"/>
      <c r="U235" s="118"/>
      <c r="V235" s="118"/>
      <c r="W235" s="118"/>
      <c r="X235" s="118"/>
      <c r="Y235" s="118">
        <v>1</v>
      </c>
      <c r="Z235" s="118">
        <v>1</v>
      </c>
      <c r="AA235" s="118"/>
      <c r="AB235" s="118"/>
      <c r="AC235" s="118"/>
      <c r="AD235" s="118"/>
      <c r="AE235" s="118"/>
      <c r="AF235" s="118"/>
      <c r="AG235" s="118">
        <v>1</v>
      </c>
      <c r="AH235" s="118"/>
      <c r="AI235" s="118"/>
      <c r="AJ235" s="118"/>
      <c r="AK235" s="118">
        <v>8</v>
      </c>
      <c r="AL235" s="305" t="s">
        <v>1455</v>
      </c>
      <c r="AM235" s="119">
        <f t="shared" si="245"/>
        <v>68</v>
      </c>
      <c r="AN235" s="119">
        <f t="shared" si="246"/>
        <v>94</v>
      </c>
      <c r="AO235" s="120">
        <f t="shared" si="247"/>
        <v>9</v>
      </c>
      <c r="AP235" s="120">
        <f t="shared" si="248"/>
        <v>13</v>
      </c>
      <c r="AQ235" s="120">
        <f t="shared" si="249"/>
        <v>0</v>
      </c>
      <c r="AR235" s="120">
        <f t="shared" si="250"/>
        <v>0</v>
      </c>
      <c r="AS235" s="120">
        <f t="shared" si="251"/>
        <v>17</v>
      </c>
      <c r="AT235" s="120">
        <f t="shared" si="252"/>
        <v>0</v>
      </c>
      <c r="AU235" s="120">
        <f t="shared" si="253"/>
        <v>18</v>
      </c>
      <c r="AV235" s="120">
        <f t="shared" si="254"/>
        <v>4</v>
      </c>
      <c r="AW235" s="120">
        <f t="shared" si="255"/>
        <v>0</v>
      </c>
      <c r="AX235" s="120">
        <f t="shared" ref="AX235:AY235" si="290">IF(S235=1,2,0)</f>
        <v>0</v>
      </c>
      <c r="AY235" s="120">
        <f t="shared" si="290"/>
        <v>0</v>
      </c>
      <c r="AZ235" s="120">
        <f t="shared" si="257"/>
        <v>0</v>
      </c>
      <c r="BA235" s="120">
        <f t="shared" si="258"/>
        <v>0</v>
      </c>
      <c r="BB235" s="120">
        <f t="shared" si="259"/>
        <v>10</v>
      </c>
      <c r="BC235" s="120">
        <f t="shared" si="260"/>
        <v>8</v>
      </c>
      <c r="BD235" s="120">
        <f t="shared" si="261"/>
        <v>0</v>
      </c>
      <c r="BE235" s="120">
        <f t="shared" si="262"/>
        <v>0</v>
      </c>
      <c r="BF235" s="120">
        <f t="shared" si="263"/>
        <v>0</v>
      </c>
      <c r="BG235" s="120">
        <f t="shared" si="264"/>
        <v>15</v>
      </c>
      <c r="BH235" s="120">
        <f t="shared" si="265"/>
        <v>0</v>
      </c>
      <c r="BI235" s="120">
        <f t="shared" si="266"/>
        <v>0</v>
      </c>
      <c r="BJ235" s="120"/>
      <c r="BK235" s="120">
        <f t="shared" si="268"/>
        <v>4</v>
      </c>
      <c r="BL235" s="120"/>
    </row>
    <row r="236" spans="1:64">
      <c r="A236" s="8" t="s">
        <v>168</v>
      </c>
      <c r="B236" s="645"/>
      <c r="C236" s="116"/>
      <c r="D236" s="116">
        <v>1</v>
      </c>
      <c r="E236" s="116"/>
      <c r="F236" s="116"/>
      <c r="G236" s="116"/>
      <c r="H236" s="116"/>
      <c r="I236" s="116"/>
      <c r="J236" s="116">
        <v>1</v>
      </c>
      <c r="K236" s="116"/>
      <c r="L236" s="116"/>
      <c r="M236" s="116"/>
      <c r="N236" s="116"/>
      <c r="O236" s="116"/>
      <c r="P236" s="116">
        <v>1</v>
      </c>
      <c r="Q236" s="116"/>
      <c r="R236" s="116"/>
      <c r="S236" s="116"/>
      <c r="T236" s="116"/>
      <c r="U236" s="116"/>
      <c r="V236" s="116">
        <v>1</v>
      </c>
      <c r="W236" s="116"/>
      <c r="X236" s="116"/>
      <c r="Y236" s="116">
        <v>1</v>
      </c>
      <c r="Z236" s="116">
        <v>1</v>
      </c>
      <c r="AA236" s="116"/>
      <c r="AB236" s="116">
        <v>1</v>
      </c>
      <c r="AC236" s="116"/>
      <c r="AD236" s="116"/>
      <c r="AE236" s="116"/>
      <c r="AF236" s="116"/>
      <c r="AG236" s="116">
        <v>1</v>
      </c>
      <c r="AH236" s="116"/>
      <c r="AI236" s="116"/>
      <c r="AJ236" s="116"/>
      <c r="AK236" s="116">
        <v>8</v>
      </c>
      <c r="AL236" s="11" t="s">
        <v>1608</v>
      </c>
      <c r="AM236" s="117">
        <f t="shared" si="245"/>
        <v>64</v>
      </c>
      <c r="AN236" s="117">
        <f t="shared" si="246"/>
        <v>89</v>
      </c>
      <c r="AO236" s="8">
        <f t="shared" si="247"/>
        <v>0</v>
      </c>
      <c r="AP236" s="8">
        <f t="shared" si="248"/>
        <v>13</v>
      </c>
      <c r="AQ236" s="8">
        <f t="shared" si="249"/>
        <v>0</v>
      </c>
      <c r="AR236" s="8">
        <f t="shared" si="250"/>
        <v>0</v>
      </c>
      <c r="AS236" s="8">
        <f t="shared" si="251"/>
        <v>17</v>
      </c>
      <c r="AT236" s="8">
        <f t="shared" si="252"/>
        <v>0</v>
      </c>
      <c r="AU236" s="8">
        <f t="shared" si="253"/>
        <v>18</v>
      </c>
      <c r="AV236" s="8">
        <f t="shared" si="254"/>
        <v>0</v>
      </c>
      <c r="AW236" s="8">
        <f t="shared" si="255"/>
        <v>0</v>
      </c>
      <c r="AX236" s="8">
        <f t="shared" ref="AX236:AY236" si="291">IF(S236=1,2,0)</f>
        <v>0</v>
      </c>
      <c r="AY236" s="8">
        <f t="shared" si="291"/>
        <v>0</v>
      </c>
      <c r="AZ236" s="8">
        <f t="shared" si="257"/>
        <v>0</v>
      </c>
      <c r="BA236" s="8">
        <f t="shared" si="258"/>
        <v>3</v>
      </c>
      <c r="BB236" s="8">
        <f t="shared" si="259"/>
        <v>10</v>
      </c>
      <c r="BC236" s="8">
        <f t="shared" si="260"/>
        <v>8</v>
      </c>
      <c r="BD236" s="8">
        <f t="shared" si="261"/>
        <v>5</v>
      </c>
      <c r="BE236" s="8">
        <f t="shared" si="262"/>
        <v>0</v>
      </c>
      <c r="BF236" s="8">
        <f t="shared" si="263"/>
        <v>0</v>
      </c>
      <c r="BG236" s="8">
        <f t="shared" si="264"/>
        <v>15</v>
      </c>
      <c r="BH236" s="8">
        <f t="shared" si="265"/>
        <v>0</v>
      </c>
      <c r="BI236" s="8">
        <f t="shared" si="266"/>
        <v>0</v>
      </c>
      <c r="BJ236" s="645"/>
      <c r="BK236" s="8">
        <f t="shared" si="268"/>
        <v>4</v>
      </c>
      <c r="BL236" s="645"/>
    </row>
    <row r="237" spans="1:64">
      <c r="A237" s="120" t="s">
        <v>663</v>
      </c>
      <c r="B237" s="120"/>
      <c r="C237" s="118"/>
      <c r="D237" s="118">
        <v>1</v>
      </c>
      <c r="E237" s="118"/>
      <c r="F237" s="118"/>
      <c r="G237" s="118"/>
      <c r="H237" s="118"/>
      <c r="I237" s="118"/>
      <c r="J237" s="118">
        <v>1</v>
      </c>
      <c r="K237" s="118"/>
      <c r="L237" s="118"/>
      <c r="M237" s="118"/>
      <c r="N237" s="118"/>
      <c r="O237" s="118"/>
      <c r="P237" s="118">
        <v>1</v>
      </c>
      <c r="Q237" s="118"/>
      <c r="R237" s="118"/>
      <c r="S237" s="118"/>
      <c r="T237" s="118"/>
      <c r="U237" s="118"/>
      <c r="V237" s="118">
        <v>1</v>
      </c>
      <c r="W237" s="118"/>
      <c r="X237" s="118"/>
      <c r="Y237" s="118">
        <v>1</v>
      </c>
      <c r="Z237" s="118">
        <v>1</v>
      </c>
      <c r="AA237" s="118"/>
      <c r="AB237" s="118">
        <v>1</v>
      </c>
      <c r="AC237" s="118"/>
      <c r="AD237" s="118"/>
      <c r="AE237" s="118"/>
      <c r="AF237" s="118"/>
      <c r="AG237" s="118">
        <v>1</v>
      </c>
      <c r="AH237" s="118"/>
      <c r="AI237" s="118"/>
      <c r="AJ237" s="118"/>
      <c r="AK237" s="118">
        <v>8</v>
      </c>
      <c r="AL237" s="305" t="s">
        <v>1455</v>
      </c>
      <c r="AM237" s="119">
        <f t="shared" si="245"/>
        <v>64</v>
      </c>
      <c r="AN237" s="119">
        <f t="shared" si="246"/>
        <v>89</v>
      </c>
      <c r="AO237" s="120">
        <f t="shared" si="247"/>
        <v>0</v>
      </c>
      <c r="AP237" s="120">
        <f t="shared" si="248"/>
        <v>13</v>
      </c>
      <c r="AQ237" s="120">
        <f t="shared" si="249"/>
        <v>0</v>
      </c>
      <c r="AR237" s="120">
        <f t="shared" si="250"/>
        <v>0</v>
      </c>
      <c r="AS237" s="120">
        <f t="shared" si="251"/>
        <v>17</v>
      </c>
      <c r="AT237" s="120">
        <f t="shared" si="252"/>
        <v>0</v>
      </c>
      <c r="AU237" s="120">
        <f t="shared" si="253"/>
        <v>18</v>
      </c>
      <c r="AV237" s="120">
        <f t="shared" si="254"/>
        <v>0</v>
      </c>
      <c r="AW237" s="120">
        <f t="shared" si="255"/>
        <v>0</v>
      </c>
      <c r="AX237" s="120">
        <f t="shared" ref="AX237:AY237" si="292">IF(S237=1,2,0)</f>
        <v>0</v>
      </c>
      <c r="AY237" s="120">
        <f t="shared" si="292"/>
        <v>0</v>
      </c>
      <c r="AZ237" s="120">
        <f t="shared" si="257"/>
        <v>0</v>
      </c>
      <c r="BA237" s="120">
        <f t="shared" si="258"/>
        <v>3</v>
      </c>
      <c r="BB237" s="120">
        <f t="shared" si="259"/>
        <v>10</v>
      </c>
      <c r="BC237" s="120">
        <f t="shared" si="260"/>
        <v>8</v>
      </c>
      <c r="BD237" s="120">
        <f t="shared" si="261"/>
        <v>5</v>
      </c>
      <c r="BE237" s="120">
        <f t="shared" si="262"/>
        <v>0</v>
      </c>
      <c r="BF237" s="120">
        <f t="shared" si="263"/>
        <v>0</v>
      </c>
      <c r="BG237" s="120">
        <f t="shared" si="264"/>
        <v>15</v>
      </c>
      <c r="BH237" s="120">
        <f t="shared" si="265"/>
        <v>0</v>
      </c>
      <c r="BI237" s="120">
        <f t="shared" si="266"/>
        <v>0</v>
      </c>
      <c r="BJ237" s="120"/>
      <c r="BK237" s="120">
        <f t="shared" si="268"/>
        <v>4</v>
      </c>
      <c r="BL237" s="120"/>
    </row>
    <row r="238" spans="1:64">
      <c r="A238" s="8" t="s">
        <v>1609</v>
      </c>
      <c r="B238" s="645"/>
      <c r="C238" s="116"/>
      <c r="D238" s="116">
        <v>1</v>
      </c>
      <c r="E238" s="116">
        <v>1</v>
      </c>
      <c r="F238" s="116"/>
      <c r="G238" s="116">
        <v>1</v>
      </c>
      <c r="H238" s="116"/>
      <c r="I238" s="116"/>
      <c r="J238" s="116">
        <v>1</v>
      </c>
      <c r="K238" s="116"/>
      <c r="L238" s="116"/>
      <c r="M238" s="116"/>
      <c r="N238" s="116">
        <v>1</v>
      </c>
      <c r="O238" s="116"/>
      <c r="P238" s="116">
        <v>1</v>
      </c>
      <c r="Q238" s="116"/>
      <c r="R238" s="116"/>
      <c r="S238" s="116"/>
      <c r="T238" s="116"/>
      <c r="U238" s="116">
        <v>1</v>
      </c>
      <c r="V238" s="116"/>
      <c r="W238" s="116"/>
      <c r="X238" s="116"/>
      <c r="Y238" s="116"/>
      <c r="Z238" s="116">
        <v>1</v>
      </c>
      <c r="AA238" s="116"/>
      <c r="AB238" s="116"/>
      <c r="AC238" s="116"/>
      <c r="AD238" s="116"/>
      <c r="AE238" s="116"/>
      <c r="AF238" s="116"/>
      <c r="AG238" s="116">
        <v>1</v>
      </c>
      <c r="AH238" s="116"/>
      <c r="AI238" s="116"/>
      <c r="AJ238" s="116">
        <v>1</v>
      </c>
      <c r="AK238" s="116">
        <v>10</v>
      </c>
      <c r="AL238" s="11" t="s">
        <v>1455</v>
      </c>
      <c r="AM238" s="117">
        <f t="shared" si="245"/>
        <v>84</v>
      </c>
      <c r="AN238" s="117">
        <f t="shared" si="246"/>
        <v>93</v>
      </c>
      <c r="AO238" s="8">
        <f t="shared" si="247"/>
        <v>0</v>
      </c>
      <c r="AP238" s="8">
        <f t="shared" si="248"/>
        <v>13</v>
      </c>
      <c r="AQ238" s="8">
        <f t="shared" si="249"/>
        <v>6</v>
      </c>
      <c r="AR238" s="8">
        <f t="shared" si="250"/>
        <v>6</v>
      </c>
      <c r="AS238" s="8">
        <f t="shared" si="251"/>
        <v>17</v>
      </c>
      <c r="AT238" s="8">
        <f t="shared" si="252"/>
        <v>2</v>
      </c>
      <c r="AU238" s="8">
        <f t="shared" si="253"/>
        <v>18</v>
      </c>
      <c r="AV238" s="8">
        <f t="shared" si="254"/>
        <v>0</v>
      </c>
      <c r="AW238" s="8">
        <f t="shared" si="255"/>
        <v>0</v>
      </c>
      <c r="AX238" s="8">
        <f t="shared" ref="AX238:AY238" si="293">IF(S238=1,2,0)</f>
        <v>0</v>
      </c>
      <c r="AY238" s="8">
        <f t="shared" si="293"/>
        <v>0</v>
      </c>
      <c r="AZ238" s="8">
        <f t="shared" si="257"/>
        <v>10</v>
      </c>
      <c r="BA238" s="8">
        <f t="shared" si="258"/>
        <v>0</v>
      </c>
      <c r="BB238" s="8">
        <f t="shared" si="259"/>
        <v>0</v>
      </c>
      <c r="BC238" s="8">
        <f t="shared" si="260"/>
        <v>8</v>
      </c>
      <c r="BD238" s="8">
        <f t="shared" si="261"/>
        <v>0</v>
      </c>
      <c r="BE238" s="8">
        <f t="shared" si="262"/>
        <v>0</v>
      </c>
      <c r="BF238" s="8">
        <f t="shared" si="263"/>
        <v>0</v>
      </c>
      <c r="BG238" s="8">
        <f t="shared" si="264"/>
        <v>15</v>
      </c>
      <c r="BH238" s="8">
        <f t="shared" si="265"/>
        <v>0</v>
      </c>
      <c r="BI238" s="8">
        <f t="shared" si="266"/>
        <v>2</v>
      </c>
      <c r="BJ238" s="645"/>
      <c r="BK238" s="8">
        <f t="shared" si="268"/>
        <v>0</v>
      </c>
      <c r="BL238" s="645"/>
    </row>
    <row r="239" spans="1:64">
      <c r="A239" s="120" t="s">
        <v>1610</v>
      </c>
      <c r="B239" s="120"/>
      <c r="C239" s="118">
        <v>1</v>
      </c>
      <c r="D239" s="118">
        <v>1</v>
      </c>
      <c r="E239" s="118">
        <v>1</v>
      </c>
      <c r="F239" s="118"/>
      <c r="G239" s="118">
        <v>1</v>
      </c>
      <c r="H239" s="118"/>
      <c r="I239" s="118"/>
      <c r="J239" s="118">
        <v>1</v>
      </c>
      <c r="K239" s="118"/>
      <c r="L239" s="118"/>
      <c r="M239" s="118"/>
      <c r="N239" s="118"/>
      <c r="O239" s="118"/>
      <c r="P239" s="118">
        <v>1</v>
      </c>
      <c r="Q239" s="118"/>
      <c r="R239" s="118"/>
      <c r="S239" s="118"/>
      <c r="T239" s="118"/>
      <c r="U239" s="118"/>
      <c r="V239" s="118"/>
      <c r="W239" s="118"/>
      <c r="X239" s="118"/>
      <c r="Y239" s="118">
        <v>1</v>
      </c>
      <c r="Z239" s="118"/>
      <c r="AA239" s="118"/>
      <c r="AB239" s="118"/>
      <c r="AC239" s="118"/>
      <c r="AD239" s="118"/>
      <c r="AE239" s="118"/>
      <c r="AF239" s="118"/>
      <c r="AG239" s="118">
        <v>1</v>
      </c>
      <c r="AH239" s="118"/>
      <c r="AI239" s="118"/>
      <c r="AJ239" s="118"/>
      <c r="AK239" s="118">
        <v>8</v>
      </c>
      <c r="AL239" s="305" t="s">
        <v>1455</v>
      </c>
      <c r="AM239" s="119">
        <f t="shared" si="245"/>
        <v>82</v>
      </c>
      <c r="AN239" s="119">
        <f t="shared" si="246"/>
        <v>94</v>
      </c>
      <c r="AO239" s="120">
        <f t="shared" si="247"/>
        <v>9</v>
      </c>
      <c r="AP239" s="120">
        <f t="shared" si="248"/>
        <v>13</v>
      </c>
      <c r="AQ239" s="120">
        <f t="shared" si="249"/>
        <v>6</v>
      </c>
      <c r="AR239" s="120">
        <f t="shared" si="250"/>
        <v>6</v>
      </c>
      <c r="AS239" s="120">
        <f t="shared" si="251"/>
        <v>17</v>
      </c>
      <c r="AT239" s="120">
        <f t="shared" si="252"/>
        <v>0</v>
      </c>
      <c r="AU239" s="120">
        <f t="shared" si="253"/>
        <v>18</v>
      </c>
      <c r="AV239" s="120">
        <f t="shared" si="254"/>
        <v>0</v>
      </c>
      <c r="AW239" s="120">
        <f t="shared" si="255"/>
        <v>0</v>
      </c>
      <c r="AX239" s="120">
        <f t="shared" ref="AX239:AY239" si="294">IF(S239=1,2,0)</f>
        <v>0</v>
      </c>
      <c r="AY239" s="120">
        <f t="shared" si="294"/>
        <v>0</v>
      </c>
      <c r="AZ239" s="120">
        <f t="shared" si="257"/>
        <v>0</v>
      </c>
      <c r="BA239" s="120">
        <f t="shared" si="258"/>
        <v>0</v>
      </c>
      <c r="BB239" s="120">
        <f t="shared" si="259"/>
        <v>10</v>
      </c>
      <c r="BC239" s="120">
        <f t="shared" si="260"/>
        <v>0</v>
      </c>
      <c r="BD239" s="120">
        <f t="shared" si="261"/>
        <v>0</v>
      </c>
      <c r="BE239" s="120">
        <f t="shared" si="262"/>
        <v>0</v>
      </c>
      <c r="BF239" s="120">
        <f t="shared" si="263"/>
        <v>0</v>
      </c>
      <c r="BG239" s="120">
        <f t="shared" si="264"/>
        <v>15</v>
      </c>
      <c r="BH239" s="120">
        <f t="shared" si="265"/>
        <v>0</v>
      </c>
      <c r="BI239" s="120">
        <f t="shared" si="266"/>
        <v>0</v>
      </c>
      <c r="BJ239" s="120"/>
      <c r="BK239" s="120">
        <f t="shared" si="268"/>
        <v>4</v>
      </c>
      <c r="BL239" s="120"/>
    </row>
    <row r="240" spans="1:64">
      <c r="A240" s="8" t="s">
        <v>664</v>
      </c>
      <c r="B240" s="645"/>
      <c r="C240" s="116"/>
      <c r="D240" s="116">
        <v>1</v>
      </c>
      <c r="E240" s="116"/>
      <c r="F240" s="116"/>
      <c r="G240" s="116"/>
      <c r="H240" s="116"/>
      <c r="I240" s="116"/>
      <c r="J240" s="116">
        <v>1</v>
      </c>
      <c r="K240" s="116"/>
      <c r="L240" s="116"/>
      <c r="M240" s="116"/>
      <c r="N240" s="116">
        <v>1</v>
      </c>
      <c r="O240" s="116"/>
      <c r="P240" s="116">
        <v>1</v>
      </c>
      <c r="Q240" s="116"/>
      <c r="R240" s="116"/>
      <c r="S240" s="116"/>
      <c r="T240" s="116"/>
      <c r="U240" s="116"/>
      <c r="V240" s="116">
        <v>1</v>
      </c>
      <c r="W240" s="116"/>
      <c r="X240" s="116"/>
      <c r="Y240" s="116"/>
      <c r="Z240" s="116">
        <v>1</v>
      </c>
      <c r="AA240" s="116"/>
      <c r="AB240" s="116"/>
      <c r="AC240" s="116"/>
      <c r="AD240" s="116">
        <v>1</v>
      </c>
      <c r="AE240" s="116"/>
      <c r="AF240" s="116"/>
      <c r="AG240" s="116">
        <v>1</v>
      </c>
      <c r="AH240" s="116"/>
      <c r="AI240" s="116">
        <v>1</v>
      </c>
      <c r="AJ240" s="116">
        <v>1</v>
      </c>
      <c r="AK240" s="116">
        <v>10</v>
      </c>
      <c r="AL240" s="11" t="s">
        <v>1455</v>
      </c>
      <c r="AM240" s="117">
        <f t="shared" si="245"/>
        <v>66</v>
      </c>
      <c r="AN240" s="117">
        <f t="shared" si="246"/>
        <v>82</v>
      </c>
      <c r="AO240" s="8">
        <f t="shared" si="247"/>
        <v>0</v>
      </c>
      <c r="AP240" s="8">
        <f t="shared" si="248"/>
        <v>13</v>
      </c>
      <c r="AQ240" s="8">
        <f t="shared" si="249"/>
        <v>0</v>
      </c>
      <c r="AR240" s="8">
        <f t="shared" si="250"/>
        <v>0</v>
      </c>
      <c r="AS240" s="8">
        <f t="shared" si="251"/>
        <v>17</v>
      </c>
      <c r="AT240" s="8">
        <f t="shared" si="252"/>
        <v>2</v>
      </c>
      <c r="AU240" s="8">
        <f t="shared" si="253"/>
        <v>18</v>
      </c>
      <c r="AV240" s="8">
        <f t="shared" si="254"/>
        <v>0</v>
      </c>
      <c r="AW240" s="8">
        <f t="shared" si="255"/>
        <v>0</v>
      </c>
      <c r="AX240" s="8">
        <f t="shared" ref="AX240:AY240" si="295">IF(S240=1,2,0)</f>
        <v>0</v>
      </c>
      <c r="AY240" s="8">
        <f t="shared" si="295"/>
        <v>0</v>
      </c>
      <c r="AZ240" s="8">
        <f t="shared" si="257"/>
        <v>0</v>
      </c>
      <c r="BA240" s="8">
        <f t="shared" si="258"/>
        <v>3</v>
      </c>
      <c r="BB240" s="8">
        <f t="shared" si="259"/>
        <v>0</v>
      </c>
      <c r="BC240" s="8">
        <f t="shared" si="260"/>
        <v>8</v>
      </c>
      <c r="BD240" s="8">
        <f t="shared" si="261"/>
        <v>0</v>
      </c>
      <c r="BE240" s="8">
        <f t="shared" si="262"/>
        <v>5</v>
      </c>
      <c r="BF240" s="8">
        <f t="shared" si="263"/>
        <v>0</v>
      </c>
      <c r="BG240" s="8">
        <f t="shared" si="264"/>
        <v>15</v>
      </c>
      <c r="BH240" s="8">
        <f t="shared" si="265"/>
        <v>3</v>
      </c>
      <c r="BI240" s="8">
        <f t="shared" si="266"/>
        <v>2</v>
      </c>
      <c r="BJ240" s="645"/>
      <c r="BK240" s="8">
        <f t="shared" si="268"/>
        <v>0</v>
      </c>
      <c r="BL240" s="645"/>
    </row>
    <row r="241" spans="1:64">
      <c r="A241" s="120" t="s">
        <v>1611</v>
      </c>
      <c r="B241" s="120"/>
      <c r="C241" s="118"/>
      <c r="D241" s="118">
        <v>1</v>
      </c>
      <c r="E241" s="118">
        <v>1</v>
      </c>
      <c r="F241" s="118"/>
      <c r="G241" s="118"/>
      <c r="H241" s="118"/>
      <c r="I241" s="118"/>
      <c r="J241" s="118">
        <v>1</v>
      </c>
      <c r="K241" s="118"/>
      <c r="L241" s="118"/>
      <c r="M241" s="118"/>
      <c r="N241" s="118"/>
      <c r="O241" s="118"/>
      <c r="P241" s="118">
        <v>1</v>
      </c>
      <c r="Q241" s="118"/>
      <c r="R241" s="118"/>
      <c r="S241" s="118"/>
      <c r="T241" s="118"/>
      <c r="U241" s="118">
        <v>1</v>
      </c>
      <c r="V241" s="118"/>
      <c r="W241" s="118"/>
      <c r="X241" s="118"/>
      <c r="Y241" s="118">
        <v>1</v>
      </c>
      <c r="Z241" s="118"/>
      <c r="AA241" s="118"/>
      <c r="AB241" s="118"/>
      <c r="AC241" s="118"/>
      <c r="AD241" s="118">
        <v>1</v>
      </c>
      <c r="AE241" s="118"/>
      <c r="AF241" s="118"/>
      <c r="AG241" s="118">
        <v>1</v>
      </c>
      <c r="AH241" s="118"/>
      <c r="AI241" s="118"/>
      <c r="AJ241" s="118"/>
      <c r="AK241" s="118">
        <v>8</v>
      </c>
      <c r="AL241" s="120" t="s">
        <v>1137</v>
      </c>
      <c r="AM241" s="119">
        <f t="shared" si="245"/>
        <v>61</v>
      </c>
      <c r="AN241" s="119">
        <f t="shared" si="246"/>
        <v>94</v>
      </c>
      <c r="AO241" s="120">
        <f t="shared" si="247"/>
        <v>0</v>
      </c>
      <c r="AP241" s="120">
        <f t="shared" si="248"/>
        <v>13</v>
      </c>
      <c r="AQ241" s="120">
        <f t="shared" si="249"/>
        <v>6</v>
      </c>
      <c r="AR241" s="120">
        <f t="shared" si="250"/>
        <v>0</v>
      </c>
      <c r="AS241" s="120">
        <f t="shared" si="251"/>
        <v>17</v>
      </c>
      <c r="AT241" s="120">
        <f t="shared" si="252"/>
        <v>0</v>
      </c>
      <c r="AU241" s="120">
        <f t="shared" si="253"/>
        <v>18</v>
      </c>
      <c r="AV241" s="120">
        <f t="shared" si="254"/>
        <v>0</v>
      </c>
      <c r="AW241" s="120">
        <f t="shared" si="255"/>
        <v>0</v>
      </c>
      <c r="AX241" s="120">
        <f t="shared" ref="AX241:AY241" si="296">IF(S241=1,2,0)</f>
        <v>0</v>
      </c>
      <c r="AY241" s="120">
        <f t="shared" si="296"/>
        <v>0</v>
      </c>
      <c r="AZ241" s="120">
        <f t="shared" si="257"/>
        <v>10</v>
      </c>
      <c r="BA241" s="120">
        <f t="shared" si="258"/>
        <v>0</v>
      </c>
      <c r="BB241" s="120">
        <f t="shared" si="259"/>
        <v>10</v>
      </c>
      <c r="BC241" s="120">
        <f t="shared" si="260"/>
        <v>0</v>
      </c>
      <c r="BD241" s="120">
        <f t="shared" si="261"/>
        <v>0</v>
      </c>
      <c r="BE241" s="120">
        <f t="shared" si="262"/>
        <v>5</v>
      </c>
      <c r="BF241" s="120">
        <f t="shared" si="263"/>
        <v>0</v>
      </c>
      <c r="BG241" s="120">
        <f t="shared" si="264"/>
        <v>15</v>
      </c>
      <c r="BH241" s="120">
        <f t="shared" si="265"/>
        <v>0</v>
      </c>
      <c r="BI241" s="120">
        <f t="shared" si="266"/>
        <v>0</v>
      </c>
      <c r="BJ241" s="120"/>
      <c r="BK241" s="120">
        <f t="shared" si="268"/>
        <v>4</v>
      </c>
      <c r="BL241" s="120"/>
    </row>
    <row r="242" spans="1:64">
      <c r="A242" s="8" t="s">
        <v>178</v>
      </c>
      <c r="B242" s="645"/>
      <c r="C242" s="116">
        <v>1</v>
      </c>
      <c r="D242" s="116">
        <v>1</v>
      </c>
      <c r="E242" s="116">
        <v>1</v>
      </c>
      <c r="F242" s="116"/>
      <c r="G242" s="116"/>
      <c r="H242" s="116"/>
      <c r="I242" s="116"/>
      <c r="J242" s="116">
        <v>1</v>
      </c>
      <c r="K242" s="116"/>
      <c r="L242" s="116"/>
      <c r="M242" s="116"/>
      <c r="N242" s="116"/>
      <c r="O242" s="116"/>
      <c r="P242" s="116">
        <v>1</v>
      </c>
      <c r="Q242" s="116"/>
      <c r="R242" s="116"/>
      <c r="S242" s="116"/>
      <c r="T242" s="116"/>
      <c r="U242" s="116">
        <v>1</v>
      </c>
      <c r="V242" s="116"/>
      <c r="W242" s="116"/>
      <c r="X242" s="116"/>
      <c r="Y242" s="116">
        <v>1</v>
      </c>
      <c r="Z242" s="116">
        <v>1</v>
      </c>
      <c r="AA242" s="116"/>
      <c r="AB242" s="116"/>
      <c r="AC242" s="116"/>
      <c r="AD242" s="116">
        <v>1</v>
      </c>
      <c r="AE242" s="116"/>
      <c r="AF242" s="116"/>
      <c r="AG242" s="116">
        <v>1</v>
      </c>
      <c r="AH242" s="116"/>
      <c r="AI242" s="116"/>
      <c r="AJ242" s="116"/>
      <c r="AK242" s="116">
        <v>10</v>
      </c>
      <c r="AL242" s="11" t="s">
        <v>1612</v>
      </c>
      <c r="AM242" s="117">
        <f t="shared" si="245"/>
        <v>83</v>
      </c>
      <c r="AN242" s="117">
        <f t="shared" si="246"/>
        <v>100</v>
      </c>
      <c r="AO242" s="8">
        <f t="shared" si="247"/>
        <v>9</v>
      </c>
      <c r="AP242" s="8">
        <f t="shared" si="248"/>
        <v>13</v>
      </c>
      <c r="AQ242" s="8">
        <f t="shared" si="249"/>
        <v>6</v>
      </c>
      <c r="AR242" s="8">
        <f t="shared" si="250"/>
        <v>0</v>
      </c>
      <c r="AS242" s="8">
        <f t="shared" si="251"/>
        <v>17</v>
      </c>
      <c r="AT242" s="8">
        <f t="shared" si="252"/>
        <v>0</v>
      </c>
      <c r="AU242" s="8">
        <f t="shared" si="253"/>
        <v>18</v>
      </c>
      <c r="AV242" s="8">
        <f t="shared" si="254"/>
        <v>0</v>
      </c>
      <c r="AW242" s="8">
        <f t="shared" si="255"/>
        <v>0</v>
      </c>
      <c r="AX242" s="8">
        <f t="shared" ref="AX242:AY242" si="297">IF(S242=1,2,0)</f>
        <v>0</v>
      </c>
      <c r="AY242" s="8">
        <f t="shared" si="297"/>
        <v>0</v>
      </c>
      <c r="AZ242" s="8">
        <f t="shared" si="257"/>
        <v>10</v>
      </c>
      <c r="BA242" s="8">
        <f t="shared" si="258"/>
        <v>0</v>
      </c>
      <c r="BB242" s="8">
        <f t="shared" si="259"/>
        <v>10</v>
      </c>
      <c r="BC242" s="8">
        <f t="shared" si="260"/>
        <v>8</v>
      </c>
      <c r="BD242" s="8">
        <f t="shared" si="261"/>
        <v>0</v>
      </c>
      <c r="BE242" s="8">
        <f t="shared" si="262"/>
        <v>5</v>
      </c>
      <c r="BF242" s="8">
        <f t="shared" si="263"/>
        <v>0</v>
      </c>
      <c r="BG242" s="8">
        <f t="shared" si="264"/>
        <v>15</v>
      </c>
      <c r="BH242" s="8">
        <f t="shared" si="265"/>
        <v>0</v>
      </c>
      <c r="BI242" s="8">
        <f t="shared" si="266"/>
        <v>0</v>
      </c>
      <c r="BJ242" s="645"/>
      <c r="BK242" s="8">
        <f t="shared" si="268"/>
        <v>0</v>
      </c>
      <c r="BL242" s="645"/>
    </row>
    <row r="243" spans="1:64">
      <c r="A243" s="120" t="s">
        <v>665</v>
      </c>
      <c r="B243" s="120"/>
      <c r="C243" s="118">
        <v>1</v>
      </c>
      <c r="D243" s="118">
        <v>1</v>
      </c>
      <c r="E243" s="118"/>
      <c r="F243" s="118"/>
      <c r="G243" s="118"/>
      <c r="H243" s="118"/>
      <c r="I243" s="118"/>
      <c r="J243" s="118">
        <v>1</v>
      </c>
      <c r="K243" s="118"/>
      <c r="L243" s="118"/>
      <c r="M243" s="118"/>
      <c r="N243" s="118"/>
      <c r="O243" s="118"/>
      <c r="P243" s="118">
        <v>1</v>
      </c>
      <c r="Q243" s="118"/>
      <c r="R243" s="118"/>
      <c r="S243" s="118"/>
      <c r="T243" s="118"/>
      <c r="U243" s="118">
        <v>1</v>
      </c>
      <c r="V243" s="118"/>
      <c r="W243" s="118"/>
      <c r="X243" s="118"/>
      <c r="Y243" s="118">
        <v>1</v>
      </c>
      <c r="Z243" s="118"/>
      <c r="AA243" s="118"/>
      <c r="AB243" s="118"/>
      <c r="AC243" s="118"/>
      <c r="AD243" s="118">
        <v>1</v>
      </c>
      <c r="AE243" s="118"/>
      <c r="AF243" s="118"/>
      <c r="AG243" s="118">
        <v>1</v>
      </c>
      <c r="AH243" s="118"/>
      <c r="AI243" s="118">
        <v>1</v>
      </c>
      <c r="AJ243" s="118"/>
      <c r="AK243" s="118">
        <v>10</v>
      </c>
      <c r="AL243" s="305" t="s">
        <v>1455</v>
      </c>
      <c r="AM243" s="119">
        <f t="shared" si="245"/>
        <v>65</v>
      </c>
      <c r="AN243" s="119">
        <f t="shared" si="246"/>
        <v>97</v>
      </c>
      <c r="AO243" s="120">
        <f t="shared" si="247"/>
        <v>9</v>
      </c>
      <c r="AP243" s="120">
        <f t="shared" si="248"/>
        <v>13</v>
      </c>
      <c r="AQ243" s="120">
        <f t="shared" si="249"/>
        <v>0</v>
      </c>
      <c r="AR243" s="120">
        <f t="shared" si="250"/>
        <v>0</v>
      </c>
      <c r="AS243" s="120">
        <f t="shared" si="251"/>
        <v>17</v>
      </c>
      <c r="AT243" s="120">
        <f t="shared" si="252"/>
        <v>0</v>
      </c>
      <c r="AU243" s="120">
        <f t="shared" si="253"/>
        <v>18</v>
      </c>
      <c r="AV243" s="120">
        <f t="shared" si="254"/>
        <v>0</v>
      </c>
      <c r="AW243" s="120">
        <f t="shared" si="255"/>
        <v>0</v>
      </c>
      <c r="AX243" s="120">
        <f t="shared" ref="AX243:AY243" si="298">IF(S243=1,2,0)</f>
        <v>0</v>
      </c>
      <c r="AY243" s="120">
        <f t="shared" si="298"/>
        <v>0</v>
      </c>
      <c r="AZ243" s="120">
        <f t="shared" si="257"/>
        <v>10</v>
      </c>
      <c r="BA243" s="120">
        <f t="shared" si="258"/>
        <v>0</v>
      </c>
      <c r="BB243" s="120">
        <f t="shared" si="259"/>
        <v>10</v>
      </c>
      <c r="BC243" s="120">
        <f t="shared" si="260"/>
        <v>0</v>
      </c>
      <c r="BD243" s="120">
        <f t="shared" si="261"/>
        <v>0</v>
      </c>
      <c r="BE243" s="120">
        <f t="shared" si="262"/>
        <v>5</v>
      </c>
      <c r="BF243" s="120">
        <f t="shared" si="263"/>
        <v>0</v>
      </c>
      <c r="BG243" s="120">
        <f t="shared" si="264"/>
        <v>15</v>
      </c>
      <c r="BH243" s="120">
        <f t="shared" si="265"/>
        <v>3</v>
      </c>
      <c r="BI243" s="120">
        <f t="shared" si="266"/>
        <v>0</v>
      </c>
      <c r="BJ243" s="120"/>
      <c r="BK243" s="120">
        <f t="shared" si="268"/>
        <v>0</v>
      </c>
      <c r="BL243" s="120"/>
    </row>
    <row r="244" spans="1:64">
      <c r="A244" s="8" t="s">
        <v>1295</v>
      </c>
      <c r="B244" s="645"/>
      <c r="C244" s="116">
        <v>1</v>
      </c>
      <c r="D244" s="116"/>
      <c r="E244" s="116">
        <v>1</v>
      </c>
      <c r="F244" s="116"/>
      <c r="G244" s="116">
        <v>1</v>
      </c>
      <c r="H244" s="116"/>
      <c r="I244" s="116"/>
      <c r="J244" s="116">
        <v>1</v>
      </c>
      <c r="K244" s="116"/>
      <c r="L244" s="116"/>
      <c r="M244" s="116"/>
      <c r="N244" s="116"/>
      <c r="O244" s="116"/>
      <c r="P244" s="116">
        <v>1</v>
      </c>
      <c r="Q244" s="116"/>
      <c r="R244" s="116"/>
      <c r="S244" s="116"/>
      <c r="T244" s="116">
        <v>1</v>
      </c>
      <c r="U244" s="116">
        <v>1</v>
      </c>
      <c r="V244" s="116"/>
      <c r="W244" s="116"/>
      <c r="X244" s="116"/>
      <c r="Y244" s="116"/>
      <c r="Z244" s="116"/>
      <c r="AA244" s="116"/>
      <c r="AB244" s="116"/>
      <c r="AC244" s="116"/>
      <c r="AD244" s="116"/>
      <c r="AE244" s="116"/>
      <c r="AF244" s="116"/>
      <c r="AG244" s="116"/>
      <c r="AH244" s="116"/>
      <c r="AI244" s="116"/>
      <c r="AJ244" s="116"/>
      <c r="AK244" s="116">
        <v>7</v>
      </c>
      <c r="AL244" s="11" t="s">
        <v>1613</v>
      </c>
      <c r="AM244" s="117">
        <f t="shared" si="245"/>
        <v>55</v>
      </c>
      <c r="AN244" s="117">
        <f t="shared" si="246"/>
        <v>68</v>
      </c>
      <c r="AO244" s="8">
        <f t="shared" si="247"/>
        <v>9</v>
      </c>
      <c r="AP244" s="8">
        <f t="shared" si="248"/>
        <v>0</v>
      </c>
      <c r="AQ244" s="8">
        <f t="shared" si="249"/>
        <v>6</v>
      </c>
      <c r="AR244" s="8">
        <f t="shared" si="250"/>
        <v>6</v>
      </c>
      <c r="AS244" s="8">
        <f t="shared" si="251"/>
        <v>17</v>
      </c>
      <c r="AT244" s="8">
        <f t="shared" si="252"/>
        <v>0</v>
      </c>
      <c r="AU244" s="8">
        <f t="shared" si="253"/>
        <v>18</v>
      </c>
      <c r="AV244" s="8">
        <f t="shared" si="254"/>
        <v>0</v>
      </c>
      <c r="AW244" s="8">
        <f t="shared" si="255"/>
        <v>0</v>
      </c>
      <c r="AX244" s="8">
        <f t="shared" ref="AX244:AY244" si="299">IF(S244=1,2,0)</f>
        <v>0</v>
      </c>
      <c r="AY244" s="8">
        <f t="shared" si="299"/>
        <v>2</v>
      </c>
      <c r="AZ244" s="8">
        <f t="shared" si="257"/>
        <v>10</v>
      </c>
      <c r="BA244" s="8">
        <f t="shared" si="258"/>
        <v>0</v>
      </c>
      <c r="BB244" s="8">
        <f t="shared" si="259"/>
        <v>0</v>
      </c>
      <c r="BC244" s="8">
        <f t="shared" si="260"/>
        <v>0</v>
      </c>
      <c r="BD244" s="8">
        <f t="shared" si="261"/>
        <v>0</v>
      </c>
      <c r="BE244" s="8">
        <f t="shared" si="262"/>
        <v>0</v>
      </c>
      <c r="BF244" s="8">
        <f t="shared" si="263"/>
        <v>0</v>
      </c>
      <c r="BG244" s="8">
        <f t="shared" si="264"/>
        <v>0</v>
      </c>
      <c r="BH244" s="8">
        <f t="shared" si="265"/>
        <v>0</v>
      </c>
      <c r="BI244" s="8">
        <f t="shared" si="266"/>
        <v>0</v>
      </c>
      <c r="BJ244" s="645"/>
      <c r="BK244" s="8">
        <f t="shared" si="268"/>
        <v>9</v>
      </c>
      <c r="BL244" s="645"/>
    </row>
    <row r="245" spans="1:64">
      <c r="A245" s="120" t="s">
        <v>1614</v>
      </c>
      <c r="B245" s="120"/>
      <c r="C245" s="118"/>
      <c r="D245" s="118">
        <v>1</v>
      </c>
      <c r="E245" s="118">
        <v>1</v>
      </c>
      <c r="F245" s="118"/>
      <c r="G245" s="118">
        <v>1</v>
      </c>
      <c r="H245" s="118"/>
      <c r="I245" s="118"/>
      <c r="J245" s="118">
        <v>1</v>
      </c>
      <c r="K245" s="118"/>
      <c r="L245" s="118"/>
      <c r="M245" s="118"/>
      <c r="N245" s="118"/>
      <c r="O245" s="118"/>
      <c r="P245" s="118">
        <v>1</v>
      </c>
      <c r="Q245" s="118"/>
      <c r="R245" s="118"/>
      <c r="S245" s="118"/>
      <c r="T245" s="118"/>
      <c r="U245" s="118"/>
      <c r="V245" s="118"/>
      <c r="W245" s="118"/>
      <c r="X245" s="118"/>
      <c r="Y245" s="118"/>
      <c r="Z245" s="118"/>
      <c r="AA245" s="118"/>
      <c r="AB245" s="118"/>
      <c r="AC245" s="118"/>
      <c r="AD245" s="118"/>
      <c r="AE245" s="118"/>
      <c r="AF245" s="118"/>
      <c r="AG245" s="118">
        <v>1</v>
      </c>
      <c r="AH245" s="118"/>
      <c r="AI245" s="118">
        <v>1</v>
      </c>
      <c r="AJ245" s="118"/>
      <c r="AK245" s="118">
        <v>8</v>
      </c>
      <c r="AL245" s="305" t="s">
        <v>1455</v>
      </c>
      <c r="AM245" s="119">
        <f t="shared" si="245"/>
        <v>69</v>
      </c>
      <c r="AN245" s="119">
        <f t="shared" si="246"/>
        <v>78</v>
      </c>
      <c r="AO245" s="120">
        <f t="shared" si="247"/>
        <v>0</v>
      </c>
      <c r="AP245" s="120">
        <f t="shared" si="248"/>
        <v>13</v>
      </c>
      <c r="AQ245" s="120">
        <f t="shared" si="249"/>
        <v>6</v>
      </c>
      <c r="AR245" s="120">
        <f t="shared" si="250"/>
        <v>6</v>
      </c>
      <c r="AS245" s="120">
        <f t="shared" si="251"/>
        <v>17</v>
      </c>
      <c r="AT245" s="120">
        <f t="shared" si="252"/>
        <v>0</v>
      </c>
      <c r="AU245" s="120">
        <f t="shared" si="253"/>
        <v>18</v>
      </c>
      <c r="AV245" s="120">
        <f t="shared" si="254"/>
        <v>0</v>
      </c>
      <c r="AW245" s="120">
        <f t="shared" si="255"/>
        <v>0</v>
      </c>
      <c r="AX245" s="120">
        <f t="shared" ref="AX245:AY245" si="300">IF(S245=1,2,0)</f>
        <v>0</v>
      </c>
      <c r="AY245" s="120">
        <f t="shared" si="300"/>
        <v>0</v>
      </c>
      <c r="AZ245" s="120">
        <f t="shared" si="257"/>
        <v>0</v>
      </c>
      <c r="BA245" s="120">
        <f t="shared" si="258"/>
        <v>0</v>
      </c>
      <c r="BB245" s="120">
        <f t="shared" si="259"/>
        <v>0</v>
      </c>
      <c r="BC245" s="120">
        <f t="shared" si="260"/>
        <v>0</v>
      </c>
      <c r="BD245" s="120">
        <f t="shared" si="261"/>
        <v>0</v>
      </c>
      <c r="BE245" s="120">
        <f t="shared" si="262"/>
        <v>0</v>
      </c>
      <c r="BF245" s="120">
        <f t="shared" si="263"/>
        <v>0</v>
      </c>
      <c r="BG245" s="120">
        <f t="shared" si="264"/>
        <v>15</v>
      </c>
      <c r="BH245" s="120">
        <f t="shared" si="265"/>
        <v>3</v>
      </c>
      <c r="BI245" s="120">
        <f t="shared" si="266"/>
        <v>0</v>
      </c>
      <c r="BJ245" s="120"/>
      <c r="BK245" s="120">
        <f t="shared" si="268"/>
        <v>4</v>
      </c>
      <c r="BL245" s="120"/>
    </row>
    <row r="246" spans="1:64">
      <c r="A246" s="8" t="s">
        <v>558</v>
      </c>
      <c r="B246" s="645"/>
      <c r="C246" s="116">
        <v>1</v>
      </c>
      <c r="D246" s="116">
        <v>1</v>
      </c>
      <c r="E246" s="116">
        <v>1</v>
      </c>
      <c r="F246" s="116"/>
      <c r="G246" s="116">
        <v>1</v>
      </c>
      <c r="H246" s="116"/>
      <c r="I246" s="116"/>
      <c r="J246" s="116">
        <v>1</v>
      </c>
      <c r="K246" s="116"/>
      <c r="L246" s="116"/>
      <c r="M246" s="116"/>
      <c r="N246" s="116"/>
      <c r="O246" s="116"/>
      <c r="P246" s="116">
        <v>1</v>
      </c>
      <c r="Q246" s="116"/>
      <c r="R246" s="116"/>
      <c r="S246" s="116"/>
      <c r="T246" s="116"/>
      <c r="U246" s="116"/>
      <c r="V246" s="116"/>
      <c r="W246" s="116"/>
      <c r="X246" s="116"/>
      <c r="Y246" s="116">
        <v>1</v>
      </c>
      <c r="Z246" s="116">
        <v>1</v>
      </c>
      <c r="AA246" s="116"/>
      <c r="AB246" s="116">
        <v>1</v>
      </c>
      <c r="AC246" s="116"/>
      <c r="AD246" s="116"/>
      <c r="AE246" s="116"/>
      <c r="AF246" s="116"/>
      <c r="AG246" s="116">
        <v>1</v>
      </c>
      <c r="AH246" s="116"/>
      <c r="AI246" s="116"/>
      <c r="AJ246" s="116"/>
      <c r="AK246" s="116">
        <v>10</v>
      </c>
      <c r="AL246" s="8" t="s">
        <v>1137</v>
      </c>
      <c r="AM246" s="117">
        <f t="shared" si="245"/>
        <v>100</v>
      </c>
      <c r="AN246" s="117">
        <f t="shared" si="246"/>
        <v>96</v>
      </c>
      <c r="AO246" s="8">
        <f t="shared" si="247"/>
        <v>9</v>
      </c>
      <c r="AP246" s="8">
        <f t="shared" si="248"/>
        <v>13</v>
      </c>
      <c r="AQ246" s="8">
        <f t="shared" si="249"/>
        <v>6</v>
      </c>
      <c r="AR246" s="8">
        <f t="shared" si="250"/>
        <v>6</v>
      </c>
      <c r="AS246" s="8">
        <f t="shared" si="251"/>
        <v>17</v>
      </c>
      <c r="AT246" s="8">
        <f t="shared" si="252"/>
        <v>0</v>
      </c>
      <c r="AU246" s="8">
        <f t="shared" si="253"/>
        <v>18</v>
      </c>
      <c r="AV246" s="8">
        <f t="shared" si="254"/>
        <v>0</v>
      </c>
      <c r="AW246" s="8">
        <f t="shared" si="255"/>
        <v>0</v>
      </c>
      <c r="AX246" s="8">
        <f t="shared" ref="AX246:AY246" si="301">IF(S246=1,2,0)</f>
        <v>0</v>
      </c>
      <c r="AY246" s="8">
        <f t="shared" si="301"/>
        <v>0</v>
      </c>
      <c r="AZ246" s="8">
        <f t="shared" si="257"/>
        <v>0</v>
      </c>
      <c r="BA246" s="8">
        <f t="shared" si="258"/>
        <v>0</v>
      </c>
      <c r="BB246" s="8">
        <f t="shared" si="259"/>
        <v>10</v>
      </c>
      <c r="BC246" s="8">
        <f t="shared" si="260"/>
        <v>8</v>
      </c>
      <c r="BD246" s="8">
        <f t="shared" si="261"/>
        <v>5</v>
      </c>
      <c r="BE246" s="8">
        <f t="shared" si="262"/>
        <v>0</v>
      </c>
      <c r="BF246" s="8">
        <f t="shared" si="263"/>
        <v>0</v>
      </c>
      <c r="BG246" s="8">
        <f t="shared" si="264"/>
        <v>15</v>
      </c>
      <c r="BH246" s="8">
        <f t="shared" si="265"/>
        <v>0</v>
      </c>
      <c r="BI246" s="8">
        <f t="shared" si="266"/>
        <v>0</v>
      </c>
      <c r="BJ246" s="645"/>
      <c r="BK246" s="8">
        <f t="shared" si="268"/>
        <v>0</v>
      </c>
      <c r="BL246" s="645"/>
    </row>
    <row r="247" spans="1:64">
      <c r="A247" s="120" t="s">
        <v>1615</v>
      </c>
      <c r="B247" s="120"/>
      <c r="C247" s="118">
        <v>1</v>
      </c>
      <c r="D247" s="118">
        <v>1</v>
      </c>
      <c r="E247" s="118">
        <v>1</v>
      </c>
      <c r="F247" s="118"/>
      <c r="G247" s="118">
        <v>1</v>
      </c>
      <c r="H247" s="118"/>
      <c r="I247" s="118"/>
      <c r="J247" s="118"/>
      <c r="K247" s="118"/>
      <c r="L247" s="118"/>
      <c r="M247" s="118"/>
      <c r="N247" s="118"/>
      <c r="O247" s="118"/>
      <c r="P247" s="118">
        <v>1</v>
      </c>
      <c r="Q247" s="118"/>
      <c r="R247" s="118"/>
      <c r="S247" s="118"/>
      <c r="T247" s="118"/>
      <c r="U247" s="118"/>
      <c r="V247" s="118">
        <v>1</v>
      </c>
      <c r="W247" s="118"/>
      <c r="X247" s="118"/>
      <c r="Y247" s="118">
        <v>1</v>
      </c>
      <c r="Z247" s="118">
        <v>1</v>
      </c>
      <c r="AA247" s="118"/>
      <c r="AB247" s="118">
        <v>1</v>
      </c>
      <c r="AC247" s="118"/>
      <c r="AD247" s="118"/>
      <c r="AE247" s="118"/>
      <c r="AF247" s="118"/>
      <c r="AG247" s="118">
        <v>1</v>
      </c>
      <c r="AH247" s="118"/>
      <c r="AI247" s="118"/>
      <c r="AJ247" s="118"/>
      <c r="AK247" s="118">
        <v>10</v>
      </c>
      <c r="AL247" s="305" t="s">
        <v>1455</v>
      </c>
      <c r="AM247" s="119">
        <f t="shared" si="245"/>
        <v>98</v>
      </c>
      <c r="AN247" s="119">
        <f t="shared" si="246"/>
        <v>85</v>
      </c>
      <c r="AO247" s="120">
        <f t="shared" si="247"/>
        <v>9</v>
      </c>
      <c r="AP247" s="120">
        <f t="shared" si="248"/>
        <v>13</v>
      </c>
      <c r="AQ247" s="120">
        <f t="shared" si="249"/>
        <v>6</v>
      </c>
      <c r="AR247" s="120">
        <f t="shared" si="250"/>
        <v>6</v>
      </c>
      <c r="AS247" s="120">
        <f t="shared" si="251"/>
        <v>0</v>
      </c>
      <c r="AT247" s="120">
        <f t="shared" si="252"/>
        <v>0</v>
      </c>
      <c r="AU247" s="120">
        <f t="shared" si="253"/>
        <v>18</v>
      </c>
      <c r="AV247" s="120">
        <f t="shared" si="254"/>
        <v>0</v>
      </c>
      <c r="AW247" s="120">
        <f t="shared" si="255"/>
        <v>0</v>
      </c>
      <c r="AX247" s="120">
        <f t="shared" ref="AX247:AY247" si="302">IF(S247=1,2,0)</f>
        <v>0</v>
      </c>
      <c r="AY247" s="120">
        <f t="shared" si="302"/>
        <v>0</v>
      </c>
      <c r="AZ247" s="120">
        <f t="shared" si="257"/>
        <v>0</v>
      </c>
      <c r="BA247" s="120">
        <f t="shared" si="258"/>
        <v>3</v>
      </c>
      <c r="BB247" s="120">
        <f t="shared" si="259"/>
        <v>10</v>
      </c>
      <c r="BC247" s="120">
        <f t="shared" si="260"/>
        <v>8</v>
      </c>
      <c r="BD247" s="120">
        <f t="shared" si="261"/>
        <v>5</v>
      </c>
      <c r="BE247" s="120">
        <f t="shared" si="262"/>
        <v>0</v>
      </c>
      <c r="BF247" s="120">
        <f t="shared" si="263"/>
        <v>0</v>
      </c>
      <c r="BG247" s="120">
        <f t="shared" si="264"/>
        <v>15</v>
      </c>
      <c r="BH247" s="120">
        <f t="shared" si="265"/>
        <v>0</v>
      </c>
      <c r="BI247" s="120">
        <f t="shared" si="266"/>
        <v>0</v>
      </c>
      <c r="BJ247" s="120"/>
      <c r="BK247" s="120">
        <f t="shared" si="268"/>
        <v>0</v>
      </c>
      <c r="BL247" s="120"/>
    </row>
    <row r="248" spans="1:64">
      <c r="A248" s="8" t="s">
        <v>183</v>
      </c>
      <c r="B248" s="645"/>
      <c r="C248" s="116"/>
      <c r="D248" s="116">
        <v>1</v>
      </c>
      <c r="E248" s="116"/>
      <c r="F248" s="116"/>
      <c r="G248" s="116"/>
      <c r="H248" s="116"/>
      <c r="I248" s="116"/>
      <c r="J248" s="116">
        <v>1</v>
      </c>
      <c r="K248" s="116"/>
      <c r="L248" s="116"/>
      <c r="M248" s="116"/>
      <c r="N248" s="116"/>
      <c r="O248" s="116"/>
      <c r="P248" s="116">
        <v>1</v>
      </c>
      <c r="Q248" s="116"/>
      <c r="R248" s="116"/>
      <c r="S248" s="116"/>
      <c r="T248" s="116"/>
      <c r="U248" s="116">
        <v>1</v>
      </c>
      <c r="V248" s="116"/>
      <c r="W248" s="116"/>
      <c r="X248" s="116"/>
      <c r="Y248" s="116">
        <v>1</v>
      </c>
      <c r="Z248" s="116"/>
      <c r="AA248" s="116"/>
      <c r="AB248" s="116"/>
      <c r="AC248" s="116"/>
      <c r="AD248" s="116"/>
      <c r="AE248" s="116"/>
      <c r="AF248" s="116"/>
      <c r="AG248" s="116">
        <v>1</v>
      </c>
      <c r="AH248" s="116"/>
      <c r="AI248" s="116"/>
      <c r="AJ248" s="116"/>
      <c r="AK248" s="116">
        <v>6</v>
      </c>
      <c r="AL248" s="8" t="s">
        <v>1137</v>
      </c>
      <c r="AM248" s="117">
        <f t="shared" si="245"/>
        <v>34</v>
      </c>
      <c r="AN248" s="117">
        <f t="shared" si="246"/>
        <v>83</v>
      </c>
      <c r="AO248" s="8">
        <f t="shared" si="247"/>
        <v>0</v>
      </c>
      <c r="AP248" s="8">
        <f t="shared" si="248"/>
        <v>13</v>
      </c>
      <c r="AQ248" s="8">
        <f t="shared" si="249"/>
        <v>0</v>
      </c>
      <c r="AR248" s="8">
        <f t="shared" si="250"/>
        <v>0</v>
      </c>
      <c r="AS248" s="8">
        <f t="shared" si="251"/>
        <v>17</v>
      </c>
      <c r="AT248" s="8">
        <f t="shared" si="252"/>
        <v>0</v>
      </c>
      <c r="AU248" s="8">
        <f t="shared" si="253"/>
        <v>18</v>
      </c>
      <c r="AV248" s="8">
        <f t="shared" si="254"/>
        <v>0</v>
      </c>
      <c r="AW248" s="8">
        <f t="shared" si="255"/>
        <v>0</v>
      </c>
      <c r="AX248" s="8">
        <f t="shared" ref="AX248:AY248" si="303">IF(S248=1,2,0)</f>
        <v>0</v>
      </c>
      <c r="AY248" s="8">
        <f t="shared" si="303"/>
        <v>0</v>
      </c>
      <c r="AZ248" s="8">
        <f t="shared" si="257"/>
        <v>10</v>
      </c>
      <c r="BA248" s="8">
        <f t="shared" si="258"/>
        <v>0</v>
      </c>
      <c r="BB248" s="8">
        <f t="shared" si="259"/>
        <v>10</v>
      </c>
      <c r="BC248" s="8">
        <f t="shared" si="260"/>
        <v>0</v>
      </c>
      <c r="BD248" s="8">
        <f t="shared" si="261"/>
        <v>0</v>
      </c>
      <c r="BE248" s="8">
        <f t="shared" si="262"/>
        <v>0</v>
      </c>
      <c r="BF248" s="8">
        <f t="shared" si="263"/>
        <v>0</v>
      </c>
      <c r="BG248" s="8">
        <f t="shared" si="264"/>
        <v>15</v>
      </c>
      <c r="BH248" s="8">
        <f t="shared" si="265"/>
        <v>0</v>
      </c>
      <c r="BI248" s="8">
        <f t="shared" si="266"/>
        <v>0</v>
      </c>
      <c r="BJ248" s="645"/>
      <c r="BK248" s="8">
        <f t="shared" si="268"/>
        <v>16</v>
      </c>
      <c r="BL248" s="645"/>
    </row>
    <row r="249" spans="1:64">
      <c r="A249" s="120" t="s">
        <v>190</v>
      </c>
      <c r="B249" s="120"/>
      <c r="C249" s="118"/>
      <c r="D249" s="118">
        <v>1</v>
      </c>
      <c r="E249" s="118"/>
      <c r="F249" s="118"/>
      <c r="G249" s="118"/>
      <c r="H249" s="118"/>
      <c r="I249" s="118"/>
      <c r="J249" s="118">
        <v>1</v>
      </c>
      <c r="K249" s="118"/>
      <c r="L249" s="118"/>
      <c r="M249" s="118"/>
      <c r="N249" s="118"/>
      <c r="O249" s="118"/>
      <c r="P249" s="118">
        <v>1</v>
      </c>
      <c r="Q249" s="118"/>
      <c r="R249" s="118"/>
      <c r="S249" s="118"/>
      <c r="T249" s="118"/>
      <c r="U249" s="118"/>
      <c r="V249" s="118"/>
      <c r="W249" s="118"/>
      <c r="X249" s="118"/>
      <c r="Y249" s="118"/>
      <c r="Z249" s="118">
        <v>1</v>
      </c>
      <c r="AA249" s="118"/>
      <c r="AB249" s="118"/>
      <c r="AC249" s="118"/>
      <c r="AD249" s="118">
        <v>1</v>
      </c>
      <c r="AE249" s="118"/>
      <c r="AF249" s="118"/>
      <c r="AG249" s="118">
        <v>1</v>
      </c>
      <c r="AH249" s="118"/>
      <c r="AI249" s="118">
        <v>1</v>
      </c>
      <c r="AJ249" s="118"/>
      <c r="AK249" s="118">
        <v>7</v>
      </c>
      <c r="AL249" s="305" t="s">
        <v>1616</v>
      </c>
      <c r="AM249" s="119">
        <f t="shared" si="245"/>
        <v>46</v>
      </c>
      <c r="AN249" s="119">
        <f t="shared" si="246"/>
        <v>79</v>
      </c>
      <c r="AO249" s="120">
        <f t="shared" si="247"/>
        <v>0</v>
      </c>
      <c r="AP249" s="120">
        <f t="shared" si="248"/>
        <v>13</v>
      </c>
      <c r="AQ249" s="120">
        <f t="shared" si="249"/>
        <v>0</v>
      </c>
      <c r="AR249" s="120">
        <f t="shared" si="250"/>
        <v>0</v>
      </c>
      <c r="AS249" s="120">
        <f t="shared" si="251"/>
        <v>17</v>
      </c>
      <c r="AT249" s="120">
        <f t="shared" si="252"/>
        <v>0</v>
      </c>
      <c r="AU249" s="120">
        <f t="shared" si="253"/>
        <v>18</v>
      </c>
      <c r="AV249" s="120">
        <f t="shared" si="254"/>
        <v>0</v>
      </c>
      <c r="AW249" s="120">
        <f t="shared" si="255"/>
        <v>0</v>
      </c>
      <c r="AX249" s="120">
        <f t="shared" ref="AX249:AY249" si="304">IF(S249=1,2,0)</f>
        <v>0</v>
      </c>
      <c r="AY249" s="120">
        <f t="shared" si="304"/>
        <v>0</v>
      </c>
      <c r="AZ249" s="120">
        <f t="shared" si="257"/>
        <v>0</v>
      </c>
      <c r="BA249" s="120">
        <f t="shared" si="258"/>
        <v>0</v>
      </c>
      <c r="BB249" s="120">
        <f t="shared" si="259"/>
        <v>0</v>
      </c>
      <c r="BC249" s="120">
        <f t="shared" si="260"/>
        <v>8</v>
      </c>
      <c r="BD249" s="120">
        <f t="shared" si="261"/>
        <v>0</v>
      </c>
      <c r="BE249" s="120">
        <f t="shared" si="262"/>
        <v>5</v>
      </c>
      <c r="BF249" s="120">
        <f t="shared" si="263"/>
        <v>0</v>
      </c>
      <c r="BG249" s="120">
        <f t="shared" si="264"/>
        <v>15</v>
      </c>
      <c r="BH249" s="120">
        <f t="shared" si="265"/>
        <v>3</v>
      </c>
      <c r="BI249" s="120">
        <f t="shared" si="266"/>
        <v>0</v>
      </c>
      <c r="BJ249" s="120"/>
      <c r="BK249" s="120">
        <f t="shared" si="268"/>
        <v>9</v>
      </c>
      <c r="BL249" s="120"/>
    </row>
    <row r="250" spans="1:64">
      <c r="A250" s="8" t="s">
        <v>973</v>
      </c>
      <c r="B250" s="645"/>
      <c r="C250" s="116">
        <v>1</v>
      </c>
      <c r="D250" s="116">
        <v>1</v>
      </c>
      <c r="E250" s="116">
        <v>1</v>
      </c>
      <c r="F250" s="116"/>
      <c r="G250" s="116">
        <v>1</v>
      </c>
      <c r="H250" s="116"/>
      <c r="I250" s="116"/>
      <c r="J250" s="116">
        <v>1</v>
      </c>
      <c r="K250" s="116"/>
      <c r="L250" s="116"/>
      <c r="M250" s="116"/>
      <c r="N250" s="116"/>
      <c r="O250" s="116"/>
      <c r="P250" s="116">
        <v>1</v>
      </c>
      <c r="Q250" s="116"/>
      <c r="R250" s="116"/>
      <c r="S250" s="116"/>
      <c r="T250" s="116"/>
      <c r="U250" s="116">
        <v>1</v>
      </c>
      <c r="V250" s="116"/>
      <c r="W250" s="116"/>
      <c r="X250" s="116"/>
      <c r="Y250" s="116"/>
      <c r="Z250" s="116">
        <v>1</v>
      </c>
      <c r="AA250" s="116"/>
      <c r="AB250" s="116"/>
      <c r="AC250" s="116"/>
      <c r="AD250" s="116"/>
      <c r="AE250" s="116"/>
      <c r="AF250" s="116"/>
      <c r="AG250" s="116">
        <v>1</v>
      </c>
      <c r="AH250" s="116"/>
      <c r="AI250" s="116"/>
      <c r="AJ250" s="116">
        <v>1</v>
      </c>
      <c r="AK250" s="116">
        <v>10</v>
      </c>
      <c r="AL250" s="11" t="s">
        <v>1455</v>
      </c>
      <c r="AM250" s="117">
        <f t="shared" si="245"/>
        <v>90</v>
      </c>
      <c r="AN250" s="117">
        <f t="shared" si="246"/>
        <v>96</v>
      </c>
      <c r="AO250" s="8">
        <f t="shared" si="247"/>
        <v>9</v>
      </c>
      <c r="AP250" s="8">
        <f t="shared" si="248"/>
        <v>13</v>
      </c>
      <c r="AQ250" s="8">
        <f t="shared" si="249"/>
        <v>6</v>
      </c>
      <c r="AR250" s="8">
        <f t="shared" si="250"/>
        <v>6</v>
      </c>
      <c r="AS250" s="8">
        <f t="shared" si="251"/>
        <v>17</v>
      </c>
      <c r="AT250" s="8">
        <f t="shared" si="252"/>
        <v>0</v>
      </c>
      <c r="AU250" s="8">
        <f t="shared" si="253"/>
        <v>18</v>
      </c>
      <c r="AV250" s="8">
        <f t="shared" si="254"/>
        <v>0</v>
      </c>
      <c r="AW250" s="8">
        <f t="shared" si="255"/>
        <v>0</v>
      </c>
      <c r="AX250" s="8">
        <f t="shared" ref="AX250:AY250" si="305">IF(S250=1,2,0)</f>
        <v>0</v>
      </c>
      <c r="AY250" s="8">
        <f t="shared" si="305"/>
        <v>0</v>
      </c>
      <c r="AZ250" s="8">
        <f t="shared" si="257"/>
        <v>10</v>
      </c>
      <c r="BA250" s="8">
        <f t="shared" si="258"/>
        <v>0</v>
      </c>
      <c r="BB250" s="8">
        <f t="shared" si="259"/>
        <v>0</v>
      </c>
      <c r="BC250" s="8">
        <f t="shared" si="260"/>
        <v>8</v>
      </c>
      <c r="BD250" s="8">
        <f t="shared" si="261"/>
        <v>0</v>
      </c>
      <c r="BE250" s="8">
        <f t="shared" si="262"/>
        <v>0</v>
      </c>
      <c r="BF250" s="8">
        <f t="shared" si="263"/>
        <v>0</v>
      </c>
      <c r="BG250" s="8">
        <f t="shared" si="264"/>
        <v>15</v>
      </c>
      <c r="BH250" s="8">
        <f t="shared" si="265"/>
        <v>0</v>
      </c>
      <c r="BI250" s="8">
        <f t="shared" si="266"/>
        <v>2</v>
      </c>
      <c r="BJ250" s="645"/>
      <c r="BK250" s="8">
        <f t="shared" si="268"/>
        <v>0</v>
      </c>
      <c r="BL250" s="645"/>
    </row>
    <row r="251" spans="1:64">
      <c r="A251" s="120" t="s">
        <v>1303</v>
      </c>
      <c r="B251" s="120"/>
      <c r="C251" s="118">
        <v>1</v>
      </c>
      <c r="D251" s="118"/>
      <c r="E251" s="118">
        <v>1</v>
      </c>
      <c r="F251" s="118"/>
      <c r="G251" s="118">
        <v>1</v>
      </c>
      <c r="H251" s="118"/>
      <c r="I251" s="118"/>
      <c r="J251" s="118">
        <v>1</v>
      </c>
      <c r="K251" s="118"/>
      <c r="L251" s="118"/>
      <c r="M251" s="118"/>
      <c r="N251" s="118"/>
      <c r="O251" s="118"/>
      <c r="P251" s="118">
        <v>1</v>
      </c>
      <c r="Q251" s="118"/>
      <c r="R251" s="118"/>
      <c r="S251" s="118"/>
      <c r="T251" s="118"/>
      <c r="U251" s="118"/>
      <c r="V251" s="118"/>
      <c r="W251" s="118"/>
      <c r="X251" s="118"/>
      <c r="Y251" s="118">
        <v>1</v>
      </c>
      <c r="Z251" s="118"/>
      <c r="AA251" s="118"/>
      <c r="AB251" s="118"/>
      <c r="AC251" s="118"/>
      <c r="AD251" s="118"/>
      <c r="AE251" s="118"/>
      <c r="AF251" s="118"/>
      <c r="AG251" s="118"/>
      <c r="AH251" s="118"/>
      <c r="AI251" s="118"/>
      <c r="AJ251" s="118">
        <v>1</v>
      </c>
      <c r="AK251" s="118">
        <v>7</v>
      </c>
      <c r="AL251" s="305" t="s">
        <v>1617</v>
      </c>
      <c r="AM251" s="119">
        <f t="shared" si="245"/>
        <v>61</v>
      </c>
      <c r="AN251" s="119">
        <f t="shared" si="246"/>
        <v>68</v>
      </c>
      <c r="AO251" s="120">
        <f t="shared" si="247"/>
        <v>9</v>
      </c>
      <c r="AP251" s="120">
        <f t="shared" si="248"/>
        <v>0</v>
      </c>
      <c r="AQ251" s="120">
        <f t="shared" si="249"/>
        <v>6</v>
      </c>
      <c r="AR251" s="120">
        <f t="shared" si="250"/>
        <v>6</v>
      </c>
      <c r="AS251" s="120">
        <f t="shared" si="251"/>
        <v>17</v>
      </c>
      <c r="AT251" s="120">
        <f t="shared" si="252"/>
        <v>0</v>
      </c>
      <c r="AU251" s="120">
        <f t="shared" si="253"/>
        <v>18</v>
      </c>
      <c r="AV251" s="120">
        <f t="shared" si="254"/>
        <v>0</v>
      </c>
      <c r="AW251" s="120">
        <f t="shared" si="255"/>
        <v>0</v>
      </c>
      <c r="AX251" s="120">
        <f t="shared" ref="AX251:AY251" si="306">IF(S251=1,2,0)</f>
        <v>0</v>
      </c>
      <c r="AY251" s="120">
        <f t="shared" si="306"/>
        <v>0</v>
      </c>
      <c r="AZ251" s="120">
        <f t="shared" si="257"/>
        <v>0</v>
      </c>
      <c r="BA251" s="120">
        <f t="shared" si="258"/>
        <v>0</v>
      </c>
      <c r="BB251" s="120">
        <f t="shared" si="259"/>
        <v>10</v>
      </c>
      <c r="BC251" s="120">
        <f t="shared" si="260"/>
        <v>0</v>
      </c>
      <c r="BD251" s="120">
        <f t="shared" si="261"/>
        <v>0</v>
      </c>
      <c r="BE251" s="120">
        <f t="shared" si="262"/>
        <v>0</v>
      </c>
      <c r="BF251" s="120">
        <f t="shared" si="263"/>
        <v>0</v>
      </c>
      <c r="BG251" s="120">
        <f t="shared" si="264"/>
        <v>0</v>
      </c>
      <c r="BH251" s="120">
        <f t="shared" si="265"/>
        <v>0</v>
      </c>
      <c r="BI251" s="120">
        <f t="shared" si="266"/>
        <v>2</v>
      </c>
      <c r="BJ251" s="120"/>
      <c r="BK251" s="120">
        <f t="shared" si="268"/>
        <v>9</v>
      </c>
      <c r="BL251" s="120"/>
    </row>
    <row r="252" spans="1:64">
      <c r="A252" s="8" t="s">
        <v>1618</v>
      </c>
      <c r="B252" s="645"/>
      <c r="C252" s="116">
        <v>1</v>
      </c>
      <c r="D252" s="116"/>
      <c r="E252" s="116"/>
      <c r="F252" s="116"/>
      <c r="G252" s="116"/>
      <c r="H252" s="116"/>
      <c r="I252" s="116"/>
      <c r="J252" s="116">
        <v>1</v>
      </c>
      <c r="K252" s="116"/>
      <c r="L252" s="116"/>
      <c r="M252" s="116"/>
      <c r="N252" s="116"/>
      <c r="O252" s="116"/>
      <c r="P252" s="116">
        <v>1</v>
      </c>
      <c r="Q252" s="116">
        <v>1</v>
      </c>
      <c r="R252" s="116"/>
      <c r="S252" s="116"/>
      <c r="T252" s="116"/>
      <c r="U252" s="116"/>
      <c r="V252" s="116"/>
      <c r="W252" s="116"/>
      <c r="X252" s="116"/>
      <c r="Y252" s="116">
        <v>1</v>
      </c>
      <c r="Z252" s="116">
        <v>1</v>
      </c>
      <c r="AA252" s="116"/>
      <c r="AB252" s="116">
        <v>1</v>
      </c>
      <c r="AC252" s="116"/>
      <c r="AD252" s="116"/>
      <c r="AE252" s="116"/>
      <c r="AF252" s="116"/>
      <c r="AG252" s="116">
        <v>1</v>
      </c>
      <c r="AH252" s="116"/>
      <c r="AI252" s="116"/>
      <c r="AJ252" s="116"/>
      <c r="AK252" s="116">
        <v>8</v>
      </c>
      <c r="AL252" s="11" t="s">
        <v>1619</v>
      </c>
      <c r="AM252" s="117">
        <f t="shared" si="245"/>
        <v>66</v>
      </c>
      <c r="AN252" s="117">
        <f t="shared" si="246"/>
        <v>86</v>
      </c>
      <c r="AO252" s="8">
        <f t="shared" si="247"/>
        <v>9</v>
      </c>
      <c r="AP252" s="8">
        <f t="shared" si="248"/>
        <v>0</v>
      </c>
      <c r="AQ252" s="8">
        <f t="shared" si="249"/>
        <v>0</v>
      </c>
      <c r="AR252" s="8">
        <f t="shared" si="250"/>
        <v>0</v>
      </c>
      <c r="AS252" s="8">
        <f t="shared" si="251"/>
        <v>17</v>
      </c>
      <c r="AT252" s="8">
        <f t="shared" si="252"/>
        <v>0</v>
      </c>
      <c r="AU252" s="8">
        <f t="shared" si="253"/>
        <v>18</v>
      </c>
      <c r="AV252" s="8">
        <f t="shared" si="254"/>
        <v>4</v>
      </c>
      <c r="AW252" s="8">
        <f t="shared" si="255"/>
        <v>0</v>
      </c>
      <c r="AX252" s="8">
        <f t="shared" ref="AX252:AY252" si="307">IF(S252=1,2,0)</f>
        <v>0</v>
      </c>
      <c r="AY252" s="8">
        <f t="shared" si="307"/>
        <v>0</v>
      </c>
      <c r="AZ252" s="8">
        <f t="shared" si="257"/>
        <v>0</v>
      </c>
      <c r="BA252" s="8">
        <f t="shared" si="258"/>
        <v>0</v>
      </c>
      <c r="BB252" s="8">
        <f t="shared" si="259"/>
        <v>10</v>
      </c>
      <c r="BC252" s="8">
        <f t="shared" si="260"/>
        <v>8</v>
      </c>
      <c r="BD252" s="8">
        <f t="shared" si="261"/>
        <v>5</v>
      </c>
      <c r="BE252" s="8">
        <f t="shared" si="262"/>
        <v>0</v>
      </c>
      <c r="BF252" s="8">
        <f t="shared" si="263"/>
        <v>0</v>
      </c>
      <c r="BG252" s="8">
        <f t="shared" si="264"/>
        <v>15</v>
      </c>
      <c r="BH252" s="8">
        <f t="shared" si="265"/>
        <v>0</v>
      </c>
      <c r="BI252" s="8">
        <f t="shared" si="266"/>
        <v>0</v>
      </c>
      <c r="BJ252" s="645"/>
      <c r="BK252" s="8">
        <f t="shared" si="268"/>
        <v>4</v>
      </c>
      <c r="BL252" s="645"/>
    </row>
    <row r="253" spans="1:64">
      <c r="A253" s="120" t="s">
        <v>1620</v>
      </c>
      <c r="B253" s="120"/>
      <c r="C253" s="118">
        <v>1</v>
      </c>
      <c r="D253" s="118"/>
      <c r="E253" s="118">
        <v>1</v>
      </c>
      <c r="F253" s="118"/>
      <c r="G253" s="118">
        <v>1</v>
      </c>
      <c r="H253" s="118"/>
      <c r="I253" s="118"/>
      <c r="J253" s="118"/>
      <c r="K253" s="118"/>
      <c r="L253" s="118"/>
      <c r="M253" s="118"/>
      <c r="N253" s="118"/>
      <c r="O253" s="118"/>
      <c r="P253" s="118">
        <v>1</v>
      </c>
      <c r="Q253" s="118"/>
      <c r="R253" s="118"/>
      <c r="S253" s="118"/>
      <c r="T253" s="118">
        <v>1</v>
      </c>
      <c r="U253" s="118"/>
      <c r="V253" s="118"/>
      <c r="W253" s="118"/>
      <c r="X253" s="118"/>
      <c r="Y253" s="118">
        <v>1</v>
      </c>
      <c r="Z253" s="118">
        <v>1</v>
      </c>
      <c r="AA253" s="118"/>
      <c r="AB253" s="118"/>
      <c r="AC253" s="118"/>
      <c r="AD253" s="118">
        <v>1</v>
      </c>
      <c r="AE253" s="118"/>
      <c r="AF253" s="118">
        <v>1</v>
      </c>
      <c r="AG253" s="118">
        <v>1</v>
      </c>
      <c r="AH253" s="118"/>
      <c r="AI253" s="118"/>
      <c r="AJ253" s="118"/>
      <c r="AK253" s="118">
        <v>10</v>
      </c>
      <c r="AL253" s="305" t="s">
        <v>1455</v>
      </c>
      <c r="AM253" s="119">
        <f t="shared" si="245"/>
        <v>90</v>
      </c>
      <c r="AN253" s="119">
        <f t="shared" si="246"/>
        <v>77</v>
      </c>
      <c r="AO253" s="120">
        <f t="shared" si="247"/>
        <v>9</v>
      </c>
      <c r="AP253" s="120">
        <f t="shared" si="248"/>
        <v>0</v>
      </c>
      <c r="AQ253" s="120">
        <f t="shared" si="249"/>
        <v>6</v>
      </c>
      <c r="AR253" s="120">
        <f t="shared" si="250"/>
        <v>6</v>
      </c>
      <c r="AS253" s="120">
        <f t="shared" si="251"/>
        <v>0</v>
      </c>
      <c r="AT253" s="120">
        <f t="shared" si="252"/>
        <v>0</v>
      </c>
      <c r="AU253" s="120">
        <f t="shared" si="253"/>
        <v>18</v>
      </c>
      <c r="AV253" s="120">
        <f t="shared" si="254"/>
        <v>0</v>
      </c>
      <c r="AW253" s="120">
        <f t="shared" si="255"/>
        <v>0</v>
      </c>
      <c r="AX253" s="120">
        <f t="shared" ref="AX253:AY253" si="308">IF(S253=1,2,0)</f>
        <v>0</v>
      </c>
      <c r="AY253" s="120">
        <f t="shared" si="308"/>
        <v>2</v>
      </c>
      <c r="AZ253" s="120">
        <f t="shared" si="257"/>
        <v>0</v>
      </c>
      <c r="BA253" s="120">
        <f t="shared" si="258"/>
        <v>0</v>
      </c>
      <c r="BB253" s="120">
        <f t="shared" si="259"/>
        <v>10</v>
      </c>
      <c r="BC253" s="120">
        <f t="shared" si="260"/>
        <v>8</v>
      </c>
      <c r="BD253" s="120">
        <f t="shared" si="261"/>
        <v>0</v>
      </c>
      <c r="BE253" s="120">
        <f t="shared" si="262"/>
        <v>5</v>
      </c>
      <c r="BF253" s="120">
        <f t="shared" si="263"/>
        <v>1</v>
      </c>
      <c r="BG253" s="120">
        <f t="shared" si="264"/>
        <v>15</v>
      </c>
      <c r="BH253" s="120">
        <f t="shared" si="265"/>
        <v>0</v>
      </c>
      <c r="BI253" s="120">
        <f t="shared" si="266"/>
        <v>0</v>
      </c>
      <c r="BJ253" s="120"/>
      <c r="BK253" s="120">
        <f t="shared" si="268"/>
        <v>0</v>
      </c>
      <c r="BL253" s="120"/>
    </row>
    <row r="254" spans="1:64">
      <c r="A254" s="8" t="s">
        <v>192</v>
      </c>
      <c r="B254" s="645"/>
      <c r="C254" s="116">
        <v>1</v>
      </c>
      <c r="D254" s="116"/>
      <c r="E254" s="116">
        <v>1</v>
      </c>
      <c r="F254" s="116"/>
      <c r="G254" s="116">
        <v>1</v>
      </c>
      <c r="H254" s="116"/>
      <c r="I254" s="116"/>
      <c r="J254" s="116">
        <v>1</v>
      </c>
      <c r="K254" s="116"/>
      <c r="L254" s="116"/>
      <c r="M254" s="116"/>
      <c r="N254" s="116">
        <v>1</v>
      </c>
      <c r="O254" s="116"/>
      <c r="P254" s="116">
        <v>1</v>
      </c>
      <c r="Q254" s="116"/>
      <c r="R254" s="116"/>
      <c r="S254" s="116"/>
      <c r="T254" s="116"/>
      <c r="U254" s="116"/>
      <c r="V254" s="116"/>
      <c r="W254" s="116"/>
      <c r="X254" s="116"/>
      <c r="Y254" s="116">
        <v>1</v>
      </c>
      <c r="Z254" s="116">
        <v>1</v>
      </c>
      <c r="AA254" s="116"/>
      <c r="AB254" s="116">
        <v>1</v>
      </c>
      <c r="AC254" s="116"/>
      <c r="AD254" s="116"/>
      <c r="AE254" s="116"/>
      <c r="AF254" s="116"/>
      <c r="AG254" s="116">
        <v>1</v>
      </c>
      <c r="AH254" s="116"/>
      <c r="AI254" s="116"/>
      <c r="AJ254" s="116"/>
      <c r="AK254" s="116">
        <v>10</v>
      </c>
      <c r="AL254" s="11" t="s">
        <v>1621</v>
      </c>
      <c r="AM254" s="117">
        <f t="shared" si="245"/>
        <v>96</v>
      </c>
      <c r="AN254" s="117">
        <f t="shared" si="246"/>
        <v>89</v>
      </c>
      <c r="AO254" s="8">
        <f t="shared" si="247"/>
        <v>9</v>
      </c>
      <c r="AP254" s="8">
        <f t="shared" si="248"/>
        <v>0</v>
      </c>
      <c r="AQ254" s="8">
        <f t="shared" si="249"/>
        <v>6</v>
      </c>
      <c r="AR254" s="8">
        <f t="shared" si="250"/>
        <v>6</v>
      </c>
      <c r="AS254" s="8">
        <f t="shared" si="251"/>
        <v>17</v>
      </c>
      <c r="AT254" s="8">
        <f t="shared" si="252"/>
        <v>2</v>
      </c>
      <c r="AU254" s="8">
        <f t="shared" si="253"/>
        <v>18</v>
      </c>
      <c r="AV254" s="8">
        <f t="shared" si="254"/>
        <v>0</v>
      </c>
      <c r="AW254" s="8">
        <f t="shared" si="255"/>
        <v>0</v>
      </c>
      <c r="AX254" s="8">
        <f t="shared" ref="AX254:AY254" si="309">IF(S254=1,2,0)</f>
        <v>0</v>
      </c>
      <c r="AY254" s="8">
        <f t="shared" si="309"/>
        <v>0</v>
      </c>
      <c r="AZ254" s="8">
        <f t="shared" si="257"/>
        <v>0</v>
      </c>
      <c r="BA254" s="8">
        <f t="shared" si="258"/>
        <v>0</v>
      </c>
      <c r="BB254" s="8">
        <f t="shared" si="259"/>
        <v>10</v>
      </c>
      <c r="BC254" s="8">
        <f t="shared" si="260"/>
        <v>8</v>
      </c>
      <c r="BD254" s="8">
        <f t="shared" si="261"/>
        <v>5</v>
      </c>
      <c r="BE254" s="8">
        <f t="shared" si="262"/>
        <v>0</v>
      </c>
      <c r="BF254" s="8">
        <f t="shared" si="263"/>
        <v>0</v>
      </c>
      <c r="BG254" s="8">
        <f t="shared" si="264"/>
        <v>15</v>
      </c>
      <c r="BH254" s="8">
        <f t="shared" si="265"/>
        <v>0</v>
      </c>
      <c r="BI254" s="8">
        <f t="shared" si="266"/>
        <v>0</v>
      </c>
      <c r="BJ254" s="645"/>
      <c r="BK254" s="8">
        <f t="shared" si="268"/>
        <v>0</v>
      </c>
      <c r="BL254" s="645"/>
    </row>
    <row r="255" spans="1:64">
      <c r="A255" s="8" t="s">
        <v>193</v>
      </c>
      <c r="B255" s="645"/>
      <c r="C255" s="116">
        <v>1</v>
      </c>
      <c r="D255" s="116">
        <v>1</v>
      </c>
      <c r="E255" s="116"/>
      <c r="F255" s="116"/>
      <c r="G255" s="116"/>
      <c r="H255" s="116"/>
      <c r="I255" s="116"/>
      <c r="J255" s="116">
        <v>1</v>
      </c>
      <c r="K255" s="116"/>
      <c r="L255" s="116"/>
      <c r="M255" s="116"/>
      <c r="N255" s="116"/>
      <c r="O255" s="116"/>
      <c r="P255" s="116">
        <v>1</v>
      </c>
      <c r="Q255" s="116"/>
      <c r="R255" s="116"/>
      <c r="S255" s="116"/>
      <c r="T255" s="116"/>
      <c r="U255" s="116"/>
      <c r="V255" s="116"/>
      <c r="W255" s="116"/>
      <c r="X255" s="116"/>
      <c r="Y255" s="116">
        <v>1</v>
      </c>
      <c r="Z255" s="116">
        <v>1</v>
      </c>
      <c r="AA255" s="116"/>
      <c r="AB255" s="116"/>
      <c r="AC255" s="116"/>
      <c r="AD255" s="116"/>
      <c r="AE255" s="116"/>
      <c r="AF255" s="116"/>
      <c r="AG255" s="116">
        <v>1</v>
      </c>
      <c r="AH255" s="116"/>
      <c r="AI255" s="116"/>
      <c r="AJ255" s="116"/>
      <c r="AK255" s="116">
        <v>7</v>
      </c>
      <c r="AL255" s="11" t="s">
        <v>1622</v>
      </c>
      <c r="AM255" s="117">
        <f t="shared" si="245"/>
        <v>58</v>
      </c>
      <c r="AN255" s="117">
        <f t="shared" si="246"/>
        <v>90</v>
      </c>
      <c r="AO255" s="8">
        <f t="shared" si="247"/>
        <v>9</v>
      </c>
      <c r="AP255" s="8">
        <f t="shared" si="248"/>
        <v>13</v>
      </c>
      <c r="AQ255" s="8">
        <f t="shared" si="249"/>
        <v>0</v>
      </c>
      <c r="AR255" s="8">
        <f t="shared" si="250"/>
        <v>0</v>
      </c>
      <c r="AS255" s="8">
        <f t="shared" si="251"/>
        <v>17</v>
      </c>
      <c r="AT255" s="8">
        <f t="shared" si="252"/>
        <v>0</v>
      </c>
      <c r="AU255" s="8">
        <f t="shared" si="253"/>
        <v>18</v>
      </c>
      <c r="AV255" s="8">
        <f t="shared" si="254"/>
        <v>0</v>
      </c>
      <c r="AW255" s="8">
        <f t="shared" si="255"/>
        <v>0</v>
      </c>
      <c r="AX255" s="8">
        <f t="shared" ref="AX255:AY255" si="310">IF(S255=1,2,0)</f>
        <v>0</v>
      </c>
      <c r="AY255" s="8">
        <f t="shared" si="310"/>
        <v>0</v>
      </c>
      <c r="AZ255" s="8">
        <f t="shared" si="257"/>
        <v>0</v>
      </c>
      <c r="BA255" s="8">
        <f t="shared" si="258"/>
        <v>0</v>
      </c>
      <c r="BB255" s="8">
        <f t="shared" si="259"/>
        <v>10</v>
      </c>
      <c r="BC255" s="8">
        <f t="shared" si="260"/>
        <v>8</v>
      </c>
      <c r="BD255" s="8">
        <f t="shared" si="261"/>
        <v>0</v>
      </c>
      <c r="BE255" s="8">
        <f t="shared" si="262"/>
        <v>0</v>
      </c>
      <c r="BF255" s="8">
        <f t="shared" si="263"/>
        <v>0</v>
      </c>
      <c r="BG255" s="8">
        <f t="shared" si="264"/>
        <v>15</v>
      </c>
      <c r="BH255" s="8">
        <f t="shared" si="265"/>
        <v>0</v>
      </c>
      <c r="BI255" s="8">
        <f t="shared" si="266"/>
        <v>0</v>
      </c>
      <c r="BJ255" s="645"/>
      <c r="BK255" s="8">
        <f t="shared" si="268"/>
        <v>9</v>
      </c>
      <c r="BL255" s="645"/>
    </row>
    <row r="256" spans="1:64">
      <c r="A256" s="120" t="s">
        <v>195</v>
      </c>
      <c r="B256" s="120"/>
      <c r="C256" s="118">
        <v>1</v>
      </c>
      <c r="D256" s="118">
        <v>1</v>
      </c>
      <c r="E256" s="118"/>
      <c r="F256" s="118"/>
      <c r="G256" s="118"/>
      <c r="H256" s="118"/>
      <c r="I256" s="118"/>
      <c r="J256" s="118">
        <v>1</v>
      </c>
      <c r="K256" s="118"/>
      <c r="L256" s="118"/>
      <c r="M256" s="118"/>
      <c r="N256" s="118"/>
      <c r="O256" s="118"/>
      <c r="P256" s="118">
        <v>1</v>
      </c>
      <c r="Q256" s="118">
        <v>1</v>
      </c>
      <c r="R256" s="118"/>
      <c r="S256" s="118">
        <v>1</v>
      </c>
      <c r="T256" s="118"/>
      <c r="U256" s="118"/>
      <c r="V256" s="118"/>
      <c r="W256" s="118"/>
      <c r="X256" s="118"/>
      <c r="Y256" s="118">
        <v>1</v>
      </c>
      <c r="Z256" s="118"/>
      <c r="AA256" s="118"/>
      <c r="AB256" s="118"/>
      <c r="AC256" s="118"/>
      <c r="AD256" s="118">
        <v>1</v>
      </c>
      <c r="AE256" s="118"/>
      <c r="AF256" s="118"/>
      <c r="AG256" s="118">
        <v>1</v>
      </c>
      <c r="AH256" s="118"/>
      <c r="AI256" s="118"/>
      <c r="AJ256" s="118"/>
      <c r="AK256" s="118">
        <v>9</v>
      </c>
      <c r="AL256" s="305" t="s">
        <v>1623</v>
      </c>
      <c r="AM256" s="119">
        <f t="shared" si="245"/>
        <v>65</v>
      </c>
      <c r="AN256" s="119">
        <f t="shared" si="246"/>
        <v>91</v>
      </c>
      <c r="AO256" s="120">
        <f t="shared" si="247"/>
        <v>9</v>
      </c>
      <c r="AP256" s="120">
        <f t="shared" si="248"/>
        <v>13</v>
      </c>
      <c r="AQ256" s="120">
        <f t="shared" si="249"/>
        <v>0</v>
      </c>
      <c r="AR256" s="120">
        <f t="shared" si="250"/>
        <v>0</v>
      </c>
      <c r="AS256" s="120">
        <f t="shared" si="251"/>
        <v>17</v>
      </c>
      <c r="AT256" s="120">
        <f t="shared" si="252"/>
        <v>0</v>
      </c>
      <c r="AU256" s="120">
        <f t="shared" si="253"/>
        <v>18</v>
      </c>
      <c r="AV256" s="120">
        <f t="shared" si="254"/>
        <v>4</v>
      </c>
      <c r="AW256" s="120">
        <f t="shared" si="255"/>
        <v>0</v>
      </c>
      <c r="AX256" s="120">
        <f t="shared" ref="AX256:AY256" si="311">IF(S256=1,2,0)</f>
        <v>2</v>
      </c>
      <c r="AY256" s="120">
        <f t="shared" si="311"/>
        <v>0</v>
      </c>
      <c r="AZ256" s="120">
        <f t="shared" si="257"/>
        <v>0</v>
      </c>
      <c r="BA256" s="120">
        <f t="shared" si="258"/>
        <v>0</v>
      </c>
      <c r="BB256" s="120">
        <f t="shared" si="259"/>
        <v>10</v>
      </c>
      <c r="BC256" s="120">
        <f t="shared" si="260"/>
        <v>0</v>
      </c>
      <c r="BD256" s="120">
        <f t="shared" si="261"/>
        <v>0</v>
      </c>
      <c r="BE256" s="120">
        <f t="shared" si="262"/>
        <v>5</v>
      </c>
      <c r="BF256" s="120">
        <f t="shared" si="263"/>
        <v>0</v>
      </c>
      <c r="BG256" s="120">
        <f t="shared" si="264"/>
        <v>15</v>
      </c>
      <c r="BH256" s="120">
        <f t="shared" si="265"/>
        <v>0</v>
      </c>
      <c r="BI256" s="120">
        <f t="shared" si="266"/>
        <v>0</v>
      </c>
      <c r="BJ256" s="120"/>
      <c r="BK256" s="120">
        <f t="shared" si="268"/>
        <v>1</v>
      </c>
      <c r="BL256" s="120"/>
    </row>
    <row r="257" spans="1:64">
      <c r="A257" s="8" t="s">
        <v>1307</v>
      </c>
      <c r="B257" s="645"/>
      <c r="C257" s="116">
        <v>1</v>
      </c>
      <c r="D257" s="116">
        <v>1</v>
      </c>
      <c r="E257" s="116"/>
      <c r="F257" s="116"/>
      <c r="G257" s="116"/>
      <c r="H257" s="116"/>
      <c r="I257" s="116"/>
      <c r="J257" s="116">
        <v>1</v>
      </c>
      <c r="K257" s="116"/>
      <c r="L257" s="116"/>
      <c r="M257" s="116"/>
      <c r="N257" s="116">
        <v>1</v>
      </c>
      <c r="O257" s="116"/>
      <c r="P257" s="116">
        <v>1</v>
      </c>
      <c r="Q257" s="116"/>
      <c r="R257" s="116"/>
      <c r="S257" s="116">
        <v>1</v>
      </c>
      <c r="T257" s="116"/>
      <c r="U257" s="116"/>
      <c r="V257" s="116">
        <v>1</v>
      </c>
      <c r="W257" s="116"/>
      <c r="X257" s="116"/>
      <c r="Y257" s="116">
        <v>1</v>
      </c>
      <c r="Z257" s="116"/>
      <c r="AA257" s="116"/>
      <c r="AB257" s="116"/>
      <c r="AC257" s="116"/>
      <c r="AD257" s="116"/>
      <c r="AE257" s="116"/>
      <c r="AF257" s="116"/>
      <c r="AG257" s="116">
        <v>1</v>
      </c>
      <c r="AH257" s="116"/>
      <c r="AI257" s="116"/>
      <c r="AJ257" s="116"/>
      <c r="AK257" s="116">
        <v>9</v>
      </c>
      <c r="AL257" s="11" t="s">
        <v>1455</v>
      </c>
      <c r="AM257" s="117">
        <f t="shared" si="245"/>
        <v>67</v>
      </c>
      <c r="AN257" s="117">
        <f t="shared" si="246"/>
        <v>87</v>
      </c>
      <c r="AO257" s="8">
        <f t="shared" si="247"/>
        <v>9</v>
      </c>
      <c r="AP257" s="8">
        <f t="shared" si="248"/>
        <v>13</v>
      </c>
      <c r="AQ257" s="8">
        <f t="shared" si="249"/>
        <v>0</v>
      </c>
      <c r="AR257" s="8">
        <f t="shared" si="250"/>
        <v>0</v>
      </c>
      <c r="AS257" s="8">
        <f t="shared" si="251"/>
        <v>17</v>
      </c>
      <c r="AT257" s="8">
        <f t="shared" si="252"/>
        <v>2</v>
      </c>
      <c r="AU257" s="8">
        <f t="shared" si="253"/>
        <v>18</v>
      </c>
      <c r="AV257" s="8">
        <f t="shared" si="254"/>
        <v>0</v>
      </c>
      <c r="AW257" s="8">
        <f t="shared" si="255"/>
        <v>0</v>
      </c>
      <c r="AX257" s="8">
        <f t="shared" ref="AX257:AY257" si="312">IF(S257=1,2,0)</f>
        <v>2</v>
      </c>
      <c r="AY257" s="8">
        <f t="shared" si="312"/>
        <v>0</v>
      </c>
      <c r="AZ257" s="8">
        <f t="shared" si="257"/>
        <v>0</v>
      </c>
      <c r="BA257" s="8">
        <f t="shared" si="258"/>
        <v>3</v>
      </c>
      <c r="BB257" s="8">
        <f t="shared" si="259"/>
        <v>10</v>
      </c>
      <c r="BC257" s="8">
        <f t="shared" si="260"/>
        <v>0</v>
      </c>
      <c r="BD257" s="8">
        <f t="shared" si="261"/>
        <v>0</v>
      </c>
      <c r="BE257" s="8">
        <f t="shared" si="262"/>
        <v>0</v>
      </c>
      <c r="BF257" s="8">
        <f t="shared" si="263"/>
        <v>0</v>
      </c>
      <c r="BG257" s="8">
        <f t="shared" si="264"/>
        <v>15</v>
      </c>
      <c r="BH257" s="8">
        <f t="shared" si="265"/>
        <v>0</v>
      </c>
      <c r="BI257" s="8">
        <f t="shared" si="266"/>
        <v>0</v>
      </c>
      <c r="BJ257" s="645"/>
      <c r="BK257" s="8">
        <f t="shared" si="268"/>
        <v>1</v>
      </c>
      <c r="BL257" s="645"/>
    </row>
    <row r="258" spans="1:64">
      <c r="A258" s="120" t="s">
        <v>1309</v>
      </c>
      <c r="B258" s="120"/>
      <c r="C258" s="118"/>
      <c r="D258" s="118"/>
      <c r="E258" s="118"/>
      <c r="F258" s="118"/>
      <c r="G258" s="118"/>
      <c r="H258" s="118"/>
      <c r="I258" s="118"/>
      <c r="J258" s="118">
        <v>1</v>
      </c>
      <c r="K258" s="118"/>
      <c r="L258" s="118"/>
      <c r="M258" s="118"/>
      <c r="N258" s="118"/>
      <c r="O258" s="118"/>
      <c r="P258" s="118">
        <v>1</v>
      </c>
      <c r="Q258" s="118"/>
      <c r="R258" s="118"/>
      <c r="S258" s="118"/>
      <c r="T258" s="118"/>
      <c r="U258" s="118"/>
      <c r="V258" s="118"/>
      <c r="W258" s="118"/>
      <c r="X258" s="118"/>
      <c r="Y258" s="118">
        <v>1</v>
      </c>
      <c r="Z258" s="118"/>
      <c r="AA258" s="118"/>
      <c r="AB258" s="118"/>
      <c r="AC258" s="118"/>
      <c r="AD258" s="118"/>
      <c r="AE258" s="118"/>
      <c r="AF258" s="118"/>
      <c r="AG258" s="118">
        <v>1</v>
      </c>
      <c r="AH258" s="118"/>
      <c r="AI258" s="118"/>
      <c r="AJ258" s="118"/>
      <c r="AK258" s="118">
        <v>4</v>
      </c>
      <c r="AL258" s="305" t="s">
        <v>1455</v>
      </c>
      <c r="AM258" s="119">
        <f t="shared" si="245"/>
        <v>6</v>
      </c>
      <c r="AN258" s="119">
        <f t="shared" si="246"/>
        <v>60</v>
      </c>
      <c r="AO258" s="120">
        <f t="shared" si="247"/>
        <v>0</v>
      </c>
      <c r="AP258" s="120">
        <f t="shared" si="248"/>
        <v>0</v>
      </c>
      <c r="AQ258" s="120">
        <f t="shared" si="249"/>
        <v>0</v>
      </c>
      <c r="AR258" s="120">
        <f t="shared" si="250"/>
        <v>0</v>
      </c>
      <c r="AS258" s="120">
        <f t="shared" si="251"/>
        <v>17</v>
      </c>
      <c r="AT258" s="120">
        <f t="shared" si="252"/>
        <v>0</v>
      </c>
      <c r="AU258" s="120">
        <f t="shared" si="253"/>
        <v>18</v>
      </c>
      <c r="AV258" s="120">
        <f t="shared" si="254"/>
        <v>0</v>
      </c>
      <c r="AW258" s="120">
        <f t="shared" si="255"/>
        <v>0</v>
      </c>
      <c r="AX258" s="120">
        <f t="shared" ref="AX258:AY258" si="313">IF(S258=1,2,0)</f>
        <v>0</v>
      </c>
      <c r="AY258" s="120">
        <f t="shared" si="313"/>
        <v>0</v>
      </c>
      <c r="AZ258" s="120">
        <f t="shared" si="257"/>
        <v>0</v>
      </c>
      <c r="BA258" s="120">
        <f t="shared" si="258"/>
        <v>0</v>
      </c>
      <c r="BB258" s="120">
        <f t="shared" si="259"/>
        <v>10</v>
      </c>
      <c r="BC258" s="120">
        <f t="shared" si="260"/>
        <v>0</v>
      </c>
      <c r="BD258" s="120">
        <f t="shared" si="261"/>
        <v>0</v>
      </c>
      <c r="BE258" s="120">
        <f t="shared" si="262"/>
        <v>0</v>
      </c>
      <c r="BF258" s="120">
        <f t="shared" si="263"/>
        <v>0</v>
      </c>
      <c r="BG258" s="120">
        <f t="shared" si="264"/>
        <v>15</v>
      </c>
      <c r="BH258" s="120">
        <f t="shared" si="265"/>
        <v>0</v>
      </c>
      <c r="BI258" s="120">
        <f t="shared" si="266"/>
        <v>0</v>
      </c>
      <c r="BJ258" s="120"/>
      <c r="BK258" s="120">
        <f t="shared" si="268"/>
        <v>36</v>
      </c>
      <c r="BL258" s="120"/>
    </row>
    <row r="259" spans="1:64">
      <c r="A259" s="8" t="s">
        <v>825</v>
      </c>
      <c r="B259" s="645"/>
      <c r="C259" s="116">
        <v>1</v>
      </c>
      <c r="D259" s="116">
        <v>1</v>
      </c>
      <c r="E259" s="116"/>
      <c r="F259" s="116"/>
      <c r="G259" s="116"/>
      <c r="H259" s="116"/>
      <c r="I259" s="116"/>
      <c r="J259" s="116">
        <v>1</v>
      </c>
      <c r="K259" s="116"/>
      <c r="L259" s="116"/>
      <c r="M259" s="116"/>
      <c r="N259" s="116">
        <v>1</v>
      </c>
      <c r="O259" s="116"/>
      <c r="P259" s="116">
        <v>1</v>
      </c>
      <c r="Q259" s="116"/>
      <c r="R259" s="116"/>
      <c r="S259" s="116"/>
      <c r="T259" s="116"/>
      <c r="U259" s="116"/>
      <c r="V259" s="116"/>
      <c r="W259" s="116"/>
      <c r="X259" s="116"/>
      <c r="Y259" s="116">
        <v>1</v>
      </c>
      <c r="Z259" s="116">
        <v>1</v>
      </c>
      <c r="AA259" s="116"/>
      <c r="AB259" s="116"/>
      <c r="AC259" s="116"/>
      <c r="AD259" s="116">
        <v>1</v>
      </c>
      <c r="AE259" s="116"/>
      <c r="AF259" s="116"/>
      <c r="AG259" s="116">
        <v>1</v>
      </c>
      <c r="AH259" s="116"/>
      <c r="AI259" s="116">
        <v>1</v>
      </c>
      <c r="AJ259" s="116"/>
      <c r="AK259" s="116">
        <v>10</v>
      </c>
      <c r="AL259" s="11" t="s">
        <v>1624</v>
      </c>
      <c r="AM259" s="117">
        <f t="shared" si="245"/>
        <v>76</v>
      </c>
      <c r="AN259" s="117">
        <f t="shared" si="246"/>
        <v>95</v>
      </c>
      <c r="AO259" s="8">
        <f t="shared" si="247"/>
        <v>9</v>
      </c>
      <c r="AP259" s="8">
        <f t="shared" si="248"/>
        <v>13</v>
      </c>
      <c r="AQ259" s="8">
        <f t="shared" si="249"/>
        <v>0</v>
      </c>
      <c r="AR259" s="8">
        <f t="shared" si="250"/>
        <v>0</v>
      </c>
      <c r="AS259" s="8">
        <f t="shared" si="251"/>
        <v>17</v>
      </c>
      <c r="AT259" s="8">
        <f t="shared" si="252"/>
        <v>2</v>
      </c>
      <c r="AU259" s="8">
        <f t="shared" si="253"/>
        <v>18</v>
      </c>
      <c r="AV259" s="8">
        <f t="shared" si="254"/>
        <v>0</v>
      </c>
      <c r="AW259" s="8">
        <f t="shared" si="255"/>
        <v>0</v>
      </c>
      <c r="AX259" s="8">
        <f t="shared" ref="AX259:AY259" si="314">IF(S259=1,2,0)</f>
        <v>0</v>
      </c>
      <c r="AY259" s="8">
        <f t="shared" si="314"/>
        <v>0</v>
      </c>
      <c r="AZ259" s="8">
        <f t="shared" si="257"/>
        <v>0</v>
      </c>
      <c r="BA259" s="8">
        <f t="shared" si="258"/>
        <v>0</v>
      </c>
      <c r="BB259" s="8">
        <f t="shared" si="259"/>
        <v>10</v>
      </c>
      <c r="BC259" s="8">
        <f t="shared" si="260"/>
        <v>8</v>
      </c>
      <c r="BD259" s="8">
        <f t="shared" si="261"/>
        <v>0</v>
      </c>
      <c r="BE259" s="8">
        <f t="shared" si="262"/>
        <v>5</v>
      </c>
      <c r="BF259" s="8">
        <f t="shared" si="263"/>
        <v>0</v>
      </c>
      <c r="BG259" s="8">
        <f t="shared" si="264"/>
        <v>15</v>
      </c>
      <c r="BH259" s="8">
        <f t="shared" si="265"/>
        <v>3</v>
      </c>
      <c r="BI259" s="8">
        <f t="shared" si="266"/>
        <v>0</v>
      </c>
      <c r="BJ259" s="645"/>
      <c r="BK259" s="8">
        <f t="shared" si="268"/>
        <v>0</v>
      </c>
      <c r="BL259" s="645"/>
    </row>
    <row r="260" spans="1:64">
      <c r="A260" s="120" t="s">
        <v>214</v>
      </c>
      <c r="B260" s="120"/>
      <c r="C260" s="118">
        <v>1</v>
      </c>
      <c r="D260" s="118">
        <v>1</v>
      </c>
      <c r="E260" s="118"/>
      <c r="F260" s="118"/>
      <c r="G260" s="118"/>
      <c r="H260" s="118"/>
      <c r="I260" s="118"/>
      <c r="J260" s="118">
        <v>1</v>
      </c>
      <c r="K260" s="118"/>
      <c r="L260" s="118"/>
      <c r="M260" s="118"/>
      <c r="N260" s="118"/>
      <c r="O260" s="118"/>
      <c r="P260" s="118">
        <v>1</v>
      </c>
      <c r="Q260" s="118"/>
      <c r="R260" s="118"/>
      <c r="S260" s="118"/>
      <c r="T260" s="118"/>
      <c r="U260" s="118">
        <v>1</v>
      </c>
      <c r="V260" s="118"/>
      <c r="W260" s="118"/>
      <c r="X260" s="118"/>
      <c r="Y260" s="118">
        <v>1</v>
      </c>
      <c r="Z260" s="118">
        <v>1</v>
      </c>
      <c r="AA260" s="118"/>
      <c r="AB260" s="118">
        <v>1</v>
      </c>
      <c r="AC260" s="118"/>
      <c r="AD260" s="118"/>
      <c r="AE260" s="118"/>
      <c r="AF260" s="118"/>
      <c r="AG260" s="118">
        <v>1</v>
      </c>
      <c r="AH260" s="118"/>
      <c r="AI260" s="118"/>
      <c r="AJ260" s="118"/>
      <c r="AK260" s="118">
        <v>9</v>
      </c>
      <c r="AL260" s="11" t="s">
        <v>1488</v>
      </c>
      <c r="AM260" s="119">
        <f t="shared" si="245"/>
        <v>72</v>
      </c>
      <c r="AN260" s="119">
        <f t="shared" si="246"/>
        <v>100</v>
      </c>
      <c r="AO260" s="120">
        <f t="shared" si="247"/>
        <v>9</v>
      </c>
      <c r="AP260" s="120">
        <f t="shared" si="248"/>
        <v>13</v>
      </c>
      <c r="AQ260" s="120">
        <f t="shared" si="249"/>
        <v>0</v>
      </c>
      <c r="AR260" s="120">
        <f t="shared" si="250"/>
        <v>0</v>
      </c>
      <c r="AS260" s="120">
        <f t="shared" si="251"/>
        <v>17</v>
      </c>
      <c r="AT260" s="120">
        <f t="shared" si="252"/>
        <v>0</v>
      </c>
      <c r="AU260" s="120">
        <f t="shared" si="253"/>
        <v>18</v>
      </c>
      <c r="AV260" s="120">
        <f t="shared" si="254"/>
        <v>0</v>
      </c>
      <c r="AW260" s="120">
        <f t="shared" si="255"/>
        <v>0</v>
      </c>
      <c r="AX260" s="120">
        <f t="shared" ref="AX260:AY260" si="315">IF(S260=1,2,0)</f>
        <v>0</v>
      </c>
      <c r="AY260" s="120">
        <f t="shared" si="315"/>
        <v>0</v>
      </c>
      <c r="AZ260" s="120">
        <f t="shared" si="257"/>
        <v>10</v>
      </c>
      <c r="BA260" s="120">
        <f t="shared" si="258"/>
        <v>0</v>
      </c>
      <c r="BB260" s="120">
        <f t="shared" si="259"/>
        <v>10</v>
      </c>
      <c r="BC260" s="120">
        <f t="shared" si="260"/>
        <v>8</v>
      </c>
      <c r="BD260" s="120">
        <f t="shared" si="261"/>
        <v>5</v>
      </c>
      <c r="BE260" s="120">
        <f t="shared" si="262"/>
        <v>0</v>
      </c>
      <c r="BF260" s="120">
        <f t="shared" si="263"/>
        <v>0</v>
      </c>
      <c r="BG260" s="120">
        <f t="shared" si="264"/>
        <v>15</v>
      </c>
      <c r="BH260" s="120">
        <f t="shared" si="265"/>
        <v>0</v>
      </c>
      <c r="BI260" s="120">
        <f t="shared" si="266"/>
        <v>0</v>
      </c>
      <c r="BJ260" s="120"/>
      <c r="BK260" s="120">
        <f t="shared" si="268"/>
        <v>1</v>
      </c>
      <c r="BL260" s="120"/>
    </row>
    <row r="261" spans="1:64">
      <c r="A261" s="8" t="s">
        <v>1625</v>
      </c>
      <c r="B261" s="645"/>
      <c r="C261" s="116"/>
      <c r="D261" s="116"/>
      <c r="E261" s="116"/>
      <c r="F261" s="116"/>
      <c r="G261" s="116"/>
      <c r="H261" s="116"/>
      <c r="I261" s="116"/>
      <c r="J261" s="116">
        <v>1</v>
      </c>
      <c r="K261" s="116"/>
      <c r="L261" s="116"/>
      <c r="M261" s="116"/>
      <c r="N261" s="116"/>
      <c r="O261" s="116"/>
      <c r="P261" s="116">
        <v>1</v>
      </c>
      <c r="Q261" s="116">
        <v>1</v>
      </c>
      <c r="R261" s="116"/>
      <c r="S261" s="116"/>
      <c r="T261" s="116"/>
      <c r="U261" s="116">
        <v>1</v>
      </c>
      <c r="V261" s="116">
        <v>1</v>
      </c>
      <c r="W261" s="116"/>
      <c r="X261" s="116"/>
      <c r="Y261" s="116">
        <v>1</v>
      </c>
      <c r="Z261" s="116">
        <v>1</v>
      </c>
      <c r="AA261" s="116"/>
      <c r="AB261" s="116">
        <v>1</v>
      </c>
      <c r="AC261" s="116"/>
      <c r="AD261" s="116">
        <v>1</v>
      </c>
      <c r="AE261" s="116"/>
      <c r="AF261" s="116"/>
      <c r="AG261" s="116"/>
      <c r="AH261" s="116"/>
      <c r="AI261" s="116">
        <v>1</v>
      </c>
      <c r="AJ261" s="116"/>
      <c r="AK261" s="116">
        <v>10</v>
      </c>
      <c r="AL261" s="11" t="s">
        <v>1455</v>
      </c>
      <c r="AM261" s="117">
        <f t="shared" si="245"/>
        <v>61</v>
      </c>
      <c r="AN261" s="117">
        <f t="shared" si="246"/>
        <v>77</v>
      </c>
      <c r="AO261" s="8">
        <f t="shared" si="247"/>
        <v>0</v>
      </c>
      <c r="AP261" s="8">
        <f t="shared" si="248"/>
        <v>0</v>
      </c>
      <c r="AQ261" s="8">
        <f t="shared" si="249"/>
        <v>0</v>
      </c>
      <c r="AR261" s="8">
        <f t="shared" si="250"/>
        <v>0</v>
      </c>
      <c r="AS261" s="8">
        <f t="shared" si="251"/>
        <v>17</v>
      </c>
      <c r="AT261" s="8">
        <f t="shared" si="252"/>
        <v>0</v>
      </c>
      <c r="AU261" s="8">
        <f t="shared" si="253"/>
        <v>18</v>
      </c>
      <c r="AV261" s="8">
        <f t="shared" si="254"/>
        <v>4</v>
      </c>
      <c r="AW261" s="8">
        <f t="shared" si="255"/>
        <v>0</v>
      </c>
      <c r="AX261" s="8">
        <f t="shared" ref="AX261:AY261" si="316">IF(S261=1,2,0)</f>
        <v>0</v>
      </c>
      <c r="AY261" s="8">
        <f t="shared" si="316"/>
        <v>0</v>
      </c>
      <c r="AZ261" s="8">
        <f t="shared" si="257"/>
        <v>10</v>
      </c>
      <c r="BA261" s="8">
        <f t="shared" si="258"/>
        <v>3</v>
      </c>
      <c r="BB261" s="8">
        <f t="shared" si="259"/>
        <v>10</v>
      </c>
      <c r="BC261" s="8">
        <f t="shared" si="260"/>
        <v>8</v>
      </c>
      <c r="BD261" s="8">
        <f t="shared" si="261"/>
        <v>5</v>
      </c>
      <c r="BE261" s="8">
        <f t="shared" si="262"/>
        <v>5</v>
      </c>
      <c r="BF261" s="8">
        <f t="shared" si="263"/>
        <v>0</v>
      </c>
      <c r="BG261" s="8">
        <f t="shared" si="264"/>
        <v>0</v>
      </c>
      <c r="BH261" s="8">
        <f t="shared" si="265"/>
        <v>3</v>
      </c>
      <c r="BI261" s="8">
        <f t="shared" si="266"/>
        <v>0</v>
      </c>
      <c r="BJ261" s="645"/>
      <c r="BK261" s="8">
        <f t="shared" si="268"/>
        <v>0</v>
      </c>
      <c r="BL261" s="645"/>
    </row>
    <row r="262" spans="1:64">
      <c r="A262" s="120" t="s">
        <v>218</v>
      </c>
      <c r="B262" s="120"/>
      <c r="C262" s="118">
        <v>1</v>
      </c>
      <c r="D262" s="118">
        <v>1</v>
      </c>
      <c r="E262" s="118"/>
      <c r="F262" s="118"/>
      <c r="G262" s="118"/>
      <c r="H262" s="118"/>
      <c r="I262" s="118"/>
      <c r="J262" s="118">
        <v>1</v>
      </c>
      <c r="K262" s="118"/>
      <c r="L262" s="118"/>
      <c r="M262" s="118"/>
      <c r="N262" s="118"/>
      <c r="O262" s="118"/>
      <c r="P262" s="118">
        <v>1</v>
      </c>
      <c r="Q262" s="118"/>
      <c r="R262" s="118"/>
      <c r="S262" s="118">
        <v>1</v>
      </c>
      <c r="T262" s="118"/>
      <c r="U262" s="118">
        <v>1</v>
      </c>
      <c r="V262" s="118"/>
      <c r="W262" s="118"/>
      <c r="X262" s="118"/>
      <c r="Y262" s="118">
        <v>1</v>
      </c>
      <c r="Z262" s="118"/>
      <c r="AA262" s="118"/>
      <c r="AB262" s="118"/>
      <c r="AC262" s="118"/>
      <c r="AD262" s="118">
        <v>1</v>
      </c>
      <c r="AE262" s="118"/>
      <c r="AF262" s="118"/>
      <c r="AG262" s="118">
        <v>1</v>
      </c>
      <c r="AH262" s="118"/>
      <c r="AI262" s="118">
        <v>1</v>
      </c>
      <c r="AJ262" s="118"/>
      <c r="AK262" s="118">
        <v>10</v>
      </c>
      <c r="AL262" s="305" t="s">
        <v>1626</v>
      </c>
      <c r="AM262" s="119">
        <f t="shared" si="245"/>
        <v>67</v>
      </c>
      <c r="AN262" s="119">
        <f t="shared" si="246"/>
        <v>97</v>
      </c>
      <c r="AO262" s="120">
        <f t="shared" si="247"/>
        <v>9</v>
      </c>
      <c r="AP262" s="120">
        <f t="shared" si="248"/>
        <v>13</v>
      </c>
      <c r="AQ262" s="120">
        <f t="shared" si="249"/>
        <v>0</v>
      </c>
      <c r="AR262" s="120">
        <f t="shared" si="250"/>
        <v>0</v>
      </c>
      <c r="AS262" s="120">
        <f t="shared" si="251"/>
        <v>17</v>
      </c>
      <c r="AT262" s="120">
        <f t="shared" si="252"/>
        <v>0</v>
      </c>
      <c r="AU262" s="120">
        <f t="shared" si="253"/>
        <v>18</v>
      </c>
      <c r="AV262" s="120">
        <f t="shared" si="254"/>
        <v>0</v>
      </c>
      <c r="AW262" s="120">
        <f t="shared" si="255"/>
        <v>0</v>
      </c>
      <c r="AX262" s="120">
        <f t="shared" ref="AX262:AY262" si="317">IF(S262=1,2,0)</f>
        <v>2</v>
      </c>
      <c r="AY262" s="120">
        <f t="shared" si="317"/>
        <v>0</v>
      </c>
      <c r="AZ262" s="120">
        <f t="shared" si="257"/>
        <v>10</v>
      </c>
      <c r="BA262" s="120">
        <f t="shared" si="258"/>
        <v>0</v>
      </c>
      <c r="BB262" s="120">
        <f t="shared" si="259"/>
        <v>10</v>
      </c>
      <c r="BC262" s="120">
        <f t="shared" si="260"/>
        <v>0</v>
      </c>
      <c r="BD262" s="120">
        <f t="shared" si="261"/>
        <v>0</v>
      </c>
      <c r="BE262" s="120">
        <f t="shared" si="262"/>
        <v>5</v>
      </c>
      <c r="BF262" s="120">
        <f t="shared" si="263"/>
        <v>0</v>
      </c>
      <c r="BG262" s="120">
        <f t="shared" si="264"/>
        <v>15</v>
      </c>
      <c r="BH262" s="120">
        <f t="shared" si="265"/>
        <v>3</v>
      </c>
      <c r="BI262" s="120">
        <f t="shared" si="266"/>
        <v>0</v>
      </c>
      <c r="BJ262" s="120"/>
      <c r="BK262" s="120">
        <f t="shared" si="268"/>
        <v>0</v>
      </c>
      <c r="BL262" s="120"/>
    </row>
    <row r="263" spans="1:64">
      <c r="A263" s="8" t="s">
        <v>431</v>
      </c>
      <c r="B263" s="645"/>
      <c r="C263" s="116"/>
      <c r="D263" s="116"/>
      <c r="E263" s="116"/>
      <c r="F263" s="116"/>
      <c r="G263" s="116"/>
      <c r="H263" s="116"/>
      <c r="I263" s="116"/>
      <c r="J263" s="116">
        <v>1</v>
      </c>
      <c r="K263" s="116"/>
      <c r="L263" s="116"/>
      <c r="M263" s="116"/>
      <c r="N263" s="116"/>
      <c r="O263" s="116"/>
      <c r="P263" s="116">
        <v>1</v>
      </c>
      <c r="Q263" s="116">
        <v>1</v>
      </c>
      <c r="R263" s="116"/>
      <c r="S263" s="116"/>
      <c r="T263" s="116"/>
      <c r="U263" s="116">
        <v>1</v>
      </c>
      <c r="V263" s="116"/>
      <c r="W263" s="116"/>
      <c r="X263" s="116"/>
      <c r="Y263" s="116"/>
      <c r="Z263" s="116"/>
      <c r="AA263" s="116"/>
      <c r="AB263" s="116">
        <v>1</v>
      </c>
      <c r="AC263" s="116"/>
      <c r="AD263" s="116"/>
      <c r="AE263" s="116"/>
      <c r="AF263" s="116"/>
      <c r="AG263" s="116">
        <v>1</v>
      </c>
      <c r="AH263" s="116"/>
      <c r="AI263" s="116">
        <v>1</v>
      </c>
      <c r="AJ263" s="116"/>
      <c r="AK263" s="116">
        <v>7</v>
      </c>
      <c r="AL263" s="11" t="s">
        <v>1455</v>
      </c>
      <c r="AM263" s="117">
        <f t="shared" si="245"/>
        <v>40</v>
      </c>
      <c r="AN263" s="117">
        <f t="shared" si="246"/>
        <v>72</v>
      </c>
      <c r="AO263" s="8">
        <f t="shared" si="247"/>
        <v>0</v>
      </c>
      <c r="AP263" s="8">
        <f t="shared" si="248"/>
        <v>0</v>
      </c>
      <c r="AQ263" s="8">
        <f t="shared" si="249"/>
        <v>0</v>
      </c>
      <c r="AR263" s="8">
        <f t="shared" si="250"/>
        <v>0</v>
      </c>
      <c r="AS263" s="8">
        <f t="shared" si="251"/>
        <v>17</v>
      </c>
      <c r="AT263" s="8">
        <f t="shared" si="252"/>
        <v>0</v>
      </c>
      <c r="AU263" s="8">
        <f t="shared" si="253"/>
        <v>18</v>
      </c>
      <c r="AV263" s="8">
        <f t="shared" si="254"/>
        <v>4</v>
      </c>
      <c r="AW263" s="8">
        <f t="shared" si="255"/>
        <v>0</v>
      </c>
      <c r="AX263" s="8">
        <f t="shared" ref="AX263:AY263" si="318">IF(S263=1,2,0)</f>
        <v>0</v>
      </c>
      <c r="AY263" s="8">
        <f t="shared" si="318"/>
        <v>0</v>
      </c>
      <c r="AZ263" s="8">
        <f t="shared" si="257"/>
        <v>10</v>
      </c>
      <c r="BA263" s="8">
        <f t="shared" si="258"/>
        <v>0</v>
      </c>
      <c r="BB263" s="8">
        <f t="shared" si="259"/>
        <v>0</v>
      </c>
      <c r="BC263" s="8">
        <f t="shared" si="260"/>
        <v>0</v>
      </c>
      <c r="BD263" s="8">
        <f t="shared" si="261"/>
        <v>5</v>
      </c>
      <c r="BE263" s="8">
        <f t="shared" si="262"/>
        <v>0</v>
      </c>
      <c r="BF263" s="8">
        <f t="shared" si="263"/>
        <v>0</v>
      </c>
      <c r="BG263" s="8">
        <f t="shared" si="264"/>
        <v>15</v>
      </c>
      <c r="BH263" s="8">
        <f t="shared" si="265"/>
        <v>3</v>
      </c>
      <c r="BI263" s="8">
        <f t="shared" si="266"/>
        <v>0</v>
      </c>
      <c r="BJ263" s="645"/>
      <c r="BK263" s="8">
        <f t="shared" si="268"/>
        <v>9</v>
      </c>
      <c r="BL263" s="645"/>
    </row>
    <row r="264" spans="1:64">
      <c r="A264" s="120" t="s">
        <v>1162</v>
      </c>
      <c r="B264" s="120"/>
      <c r="C264" s="118"/>
      <c r="D264" s="118"/>
      <c r="E264" s="118"/>
      <c r="F264" s="118"/>
      <c r="G264" s="118"/>
      <c r="H264" s="118"/>
      <c r="I264" s="118"/>
      <c r="J264" s="118">
        <v>1</v>
      </c>
      <c r="K264" s="118"/>
      <c r="L264" s="118"/>
      <c r="M264" s="118"/>
      <c r="N264" s="118"/>
      <c r="O264" s="118"/>
      <c r="P264" s="118">
        <v>1</v>
      </c>
      <c r="Q264" s="118"/>
      <c r="R264" s="118"/>
      <c r="S264" s="118">
        <v>1</v>
      </c>
      <c r="T264" s="118"/>
      <c r="U264" s="118">
        <v>1</v>
      </c>
      <c r="V264" s="118"/>
      <c r="W264" s="118"/>
      <c r="X264" s="118"/>
      <c r="Y264" s="118"/>
      <c r="Z264" s="118"/>
      <c r="AA264" s="118"/>
      <c r="AB264" s="118">
        <v>1</v>
      </c>
      <c r="AC264" s="118"/>
      <c r="AD264" s="118"/>
      <c r="AE264" s="118"/>
      <c r="AF264" s="118"/>
      <c r="AG264" s="118">
        <v>1</v>
      </c>
      <c r="AH264" s="118"/>
      <c r="AI264" s="118"/>
      <c r="AJ264" s="118"/>
      <c r="AK264" s="118">
        <v>6</v>
      </c>
      <c r="AL264" s="120" t="s">
        <v>1137</v>
      </c>
      <c r="AM264" s="119">
        <f t="shared" si="245"/>
        <v>25</v>
      </c>
      <c r="AN264" s="119">
        <f t="shared" si="246"/>
        <v>67</v>
      </c>
      <c r="AO264" s="120">
        <f t="shared" si="247"/>
        <v>0</v>
      </c>
      <c r="AP264" s="120">
        <f t="shared" si="248"/>
        <v>0</v>
      </c>
      <c r="AQ264" s="120">
        <f t="shared" si="249"/>
        <v>0</v>
      </c>
      <c r="AR264" s="120">
        <f t="shared" si="250"/>
        <v>0</v>
      </c>
      <c r="AS264" s="120">
        <f t="shared" si="251"/>
        <v>17</v>
      </c>
      <c r="AT264" s="120">
        <f t="shared" si="252"/>
        <v>0</v>
      </c>
      <c r="AU264" s="120">
        <f t="shared" si="253"/>
        <v>18</v>
      </c>
      <c r="AV264" s="120">
        <f t="shared" si="254"/>
        <v>0</v>
      </c>
      <c r="AW264" s="120">
        <f t="shared" si="255"/>
        <v>0</v>
      </c>
      <c r="AX264" s="120">
        <f t="shared" ref="AX264:AY264" si="319">IF(S264=1,2,0)</f>
        <v>2</v>
      </c>
      <c r="AY264" s="120">
        <f t="shared" si="319"/>
        <v>0</v>
      </c>
      <c r="AZ264" s="120">
        <f t="shared" si="257"/>
        <v>10</v>
      </c>
      <c r="BA264" s="120">
        <f t="shared" si="258"/>
        <v>0</v>
      </c>
      <c r="BB264" s="120">
        <f t="shared" si="259"/>
        <v>0</v>
      </c>
      <c r="BC264" s="120">
        <f t="shared" si="260"/>
        <v>0</v>
      </c>
      <c r="BD264" s="120">
        <f t="shared" si="261"/>
        <v>5</v>
      </c>
      <c r="BE264" s="120">
        <f t="shared" si="262"/>
        <v>0</v>
      </c>
      <c r="BF264" s="120">
        <f t="shared" si="263"/>
        <v>0</v>
      </c>
      <c r="BG264" s="120">
        <f t="shared" si="264"/>
        <v>15</v>
      </c>
      <c r="BH264" s="120">
        <f t="shared" si="265"/>
        <v>0</v>
      </c>
      <c r="BI264" s="120">
        <f t="shared" si="266"/>
        <v>0</v>
      </c>
      <c r="BJ264" s="120"/>
      <c r="BK264" s="120">
        <f t="shared" si="268"/>
        <v>16</v>
      </c>
      <c r="BL264" s="120"/>
    </row>
    <row r="265" spans="1:64" ht="38.25">
      <c r="A265" s="8" t="s">
        <v>581</v>
      </c>
      <c r="B265" s="645"/>
      <c r="C265" s="116">
        <v>1</v>
      </c>
      <c r="D265" s="116">
        <v>1</v>
      </c>
      <c r="E265" s="116">
        <v>1</v>
      </c>
      <c r="F265" s="116"/>
      <c r="G265" s="116">
        <v>1</v>
      </c>
      <c r="H265" s="116"/>
      <c r="I265" s="116"/>
      <c r="J265" s="116">
        <v>1</v>
      </c>
      <c r="K265" s="116"/>
      <c r="L265" s="116"/>
      <c r="M265" s="116"/>
      <c r="N265" s="116"/>
      <c r="O265" s="116"/>
      <c r="P265" s="116">
        <v>1</v>
      </c>
      <c r="Q265" s="116"/>
      <c r="R265" s="116">
        <v>1</v>
      </c>
      <c r="S265" s="116"/>
      <c r="T265" s="116"/>
      <c r="U265" s="116">
        <v>1</v>
      </c>
      <c r="V265" s="116">
        <v>1</v>
      </c>
      <c r="W265" s="116"/>
      <c r="X265" s="116"/>
      <c r="Y265" s="116"/>
      <c r="Z265" s="116"/>
      <c r="AA265" s="116"/>
      <c r="AB265" s="116"/>
      <c r="AC265" s="116"/>
      <c r="AD265" s="116"/>
      <c r="AE265" s="116"/>
      <c r="AF265" s="116"/>
      <c r="AG265" s="116">
        <v>1</v>
      </c>
      <c r="AH265" s="116"/>
      <c r="AI265" s="116"/>
      <c r="AJ265" s="116"/>
      <c r="AK265" s="116">
        <v>10</v>
      </c>
      <c r="AL265" s="8" t="s">
        <v>1627</v>
      </c>
      <c r="AM265" s="117">
        <f t="shared" si="245"/>
        <v>84</v>
      </c>
      <c r="AN265" s="117">
        <f t="shared" si="246"/>
        <v>94</v>
      </c>
      <c r="AO265" s="8">
        <f t="shared" si="247"/>
        <v>9</v>
      </c>
      <c r="AP265" s="8">
        <f t="shared" si="248"/>
        <v>13</v>
      </c>
      <c r="AQ265" s="8">
        <f t="shared" si="249"/>
        <v>6</v>
      </c>
      <c r="AR265" s="8">
        <f t="shared" si="250"/>
        <v>6</v>
      </c>
      <c r="AS265" s="8">
        <f t="shared" si="251"/>
        <v>17</v>
      </c>
      <c r="AT265" s="8">
        <f t="shared" si="252"/>
        <v>0</v>
      </c>
      <c r="AU265" s="8">
        <f t="shared" si="253"/>
        <v>18</v>
      </c>
      <c r="AV265" s="8">
        <f t="shared" si="254"/>
        <v>0</v>
      </c>
      <c r="AW265" s="8">
        <f t="shared" si="255"/>
        <v>1</v>
      </c>
      <c r="AX265" s="8">
        <f t="shared" ref="AX265:AY265" si="320">IF(S265=1,2,0)</f>
        <v>0</v>
      </c>
      <c r="AY265" s="8">
        <f t="shared" si="320"/>
        <v>0</v>
      </c>
      <c r="AZ265" s="8">
        <f t="shared" si="257"/>
        <v>10</v>
      </c>
      <c r="BA265" s="8">
        <f t="shared" si="258"/>
        <v>3</v>
      </c>
      <c r="BB265" s="8">
        <f t="shared" si="259"/>
        <v>0</v>
      </c>
      <c r="BC265" s="8">
        <f t="shared" si="260"/>
        <v>0</v>
      </c>
      <c r="BD265" s="8">
        <f t="shared" si="261"/>
        <v>0</v>
      </c>
      <c r="BE265" s="8">
        <f t="shared" si="262"/>
        <v>0</v>
      </c>
      <c r="BF265" s="8">
        <f t="shared" si="263"/>
        <v>0</v>
      </c>
      <c r="BG265" s="8">
        <f t="shared" si="264"/>
        <v>15</v>
      </c>
      <c r="BH265" s="8">
        <f t="shared" si="265"/>
        <v>0</v>
      </c>
      <c r="BI265" s="8">
        <f t="shared" si="266"/>
        <v>0</v>
      </c>
      <c r="BJ265" s="645"/>
      <c r="BK265" s="8">
        <f t="shared" si="268"/>
        <v>0</v>
      </c>
      <c r="BL265" s="645"/>
    </row>
    <row r="266" spans="1:64">
      <c r="A266" s="120" t="s">
        <v>1314</v>
      </c>
      <c r="B266" s="120"/>
      <c r="C266" s="118">
        <v>1</v>
      </c>
      <c r="D266" s="118">
        <v>1</v>
      </c>
      <c r="E266" s="118"/>
      <c r="F266" s="118"/>
      <c r="G266" s="118"/>
      <c r="H266" s="118"/>
      <c r="I266" s="118"/>
      <c r="J266" s="118">
        <v>1</v>
      </c>
      <c r="K266" s="118"/>
      <c r="L266" s="118"/>
      <c r="M266" s="118"/>
      <c r="N266" s="118"/>
      <c r="O266" s="118"/>
      <c r="P266" s="118">
        <v>1</v>
      </c>
      <c r="Q266" s="118"/>
      <c r="R266" s="118"/>
      <c r="S266" s="118"/>
      <c r="T266" s="118"/>
      <c r="U266" s="118">
        <v>1</v>
      </c>
      <c r="V266" s="118"/>
      <c r="W266" s="118"/>
      <c r="X266" s="118"/>
      <c r="Y266" s="118"/>
      <c r="Z266" s="118"/>
      <c r="AA266" s="118"/>
      <c r="AB266" s="118">
        <v>1</v>
      </c>
      <c r="AC266" s="118"/>
      <c r="AD266" s="118">
        <v>1</v>
      </c>
      <c r="AE266" s="118"/>
      <c r="AF266" s="118"/>
      <c r="AG266" s="118">
        <v>1</v>
      </c>
      <c r="AH266" s="118"/>
      <c r="AI266" s="118"/>
      <c r="AJ266" s="118"/>
      <c r="AK266" s="118">
        <v>8</v>
      </c>
      <c r="AL266" s="305" t="s">
        <v>1455</v>
      </c>
      <c r="AM266" s="119">
        <f t="shared" si="245"/>
        <v>52</v>
      </c>
      <c r="AN266" s="119">
        <f t="shared" si="246"/>
        <v>92</v>
      </c>
      <c r="AO266" s="120">
        <f t="shared" si="247"/>
        <v>9</v>
      </c>
      <c r="AP266" s="120">
        <f t="shared" si="248"/>
        <v>13</v>
      </c>
      <c r="AQ266" s="120">
        <f t="shared" si="249"/>
        <v>0</v>
      </c>
      <c r="AR266" s="120">
        <f t="shared" si="250"/>
        <v>0</v>
      </c>
      <c r="AS266" s="120">
        <f t="shared" si="251"/>
        <v>17</v>
      </c>
      <c r="AT266" s="120">
        <f t="shared" si="252"/>
        <v>0</v>
      </c>
      <c r="AU266" s="120">
        <f t="shared" si="253"/>
        <v>18</v>
      </c>
      <c r="AV266" s="120">
        <f t="shared" si="254"/>
        <v>0</v>
      </c>
      <c r="AW266" s="120">
        <f t="shared" si="255"/>
        <v>0</v>
      </c>
      <c r="AX266" s="120">
        <f t="shared" ref="AX266:AY266" si="321">IF(S266=1,2,0)</f>
        <v>0</v>
      </c>
      <c r="AY266" s="120">
        <f t="shared" si="321"/>
        <v>0</v>
      </c>
      <c r="AZ266" s="120">
        <f t="shared" si="257"/>
        <v>10</v>
      </c>
      <c r="BA266" s="120">
        <f t="shared" si="258"/>
        <v>0</v>
      </c>
      <c r="BB266" s="120">
        <f t="shared" si="259"/>
        <v>0</v>
      </c>
      <c r="BC266" s="120">
        <f t="shared" si="260"/>
        <v>0</v>
      </c>
      <c r="BD266" s="120">
        <f t="shared" si="261"/>
        <v>5</v>
      </c>
      <c r="BE266" s="120">
        <f t="shared" si="262"/>
        <v>5</v>
      </c>
      <c r="BF266" s="120">
        <f t="shared" si="263"/>
        <v>0</v>
      </c>
      <c r="BG266" s="120">
        <f t="shared" si="264"/>
        <v>15</v>
      </c>
      <c r="BH266" s="120">
        <f t="shared" si="265"/>
        <v>0</v>
      </c>
      <c r="BI266" s="120">
        <f t="shared" si="266"/>
        <v>0</v>
      </c>
      <c r="BJ266" s="120"/>
      <c r="BK266" s="120">
        <f t="shared" si="268"/>
        <v>4</v>
      </c>
      <c r="BL266" s="120"/>
    </row>
    <row r="267" spans="1:64">
      <c r="A267" s="8" t="s">
        <v>239</v>
      </c>
      <c r="B267" s="645"/>
      <c r="C267" s="116">
        <v>1</v>
      </c>
      <c r="D267" s="116">
        <v>1</v>
      </c>
      <c r="E267" s="116"/>
      <c r="F267" s="116"/>
      <c r="G267" s="116"/>
      <c r="H267" s="116"/>
      <c r="I267" s="116"/>
      <c r="J267" s="116">
        <v>1</v>
      </c>
      <c r="K267" s="116"/>
      <c r="L267" s="116"/>
      <c r="M267" s="116"/>
      <c r="N267" s="116"/>
      <c r="O267" s="116"/>
      <c r="P267" s="116">
        <v>1</v>
      </c>
      <c r="Q267" s="116"/>
      <c r="R267" s="116"/>
      <c r="S267" s="116"/>
      <c r="T267" s="116"/>
      <c r="U267" s="116"/>
      <c r="V267" s="116"/>
      <c r="W267" s="116"/>
      <c r="X267" s="116"/>
      <c r="Y267" s="116">
        <v>1</v>
      </c>
      <c r="Z267" s="116">
        <v>1</v>
      </c>
      <c r="AA267" s="116"/>
      <c r="AB267" s="116">
        <v>1</v>
      </c>
      <c r="AC267" s="116"/>
      <c r="AD267" s="116"/>
      <c r="AE267" s="116"/>
      <c r="AF267" s="116"/>
      <c r="AG267" s="116">
        <v>1</v>
      </c>
      <c r="AH267" s="116"/>
      <c r="AI267" s="116"/>
      <c r="AJ267" s="116"/>
      <c r="AK267" s="116">
        <v>8</v>
      </c>
      <c r="AL267" s="11" t="s">
        <v>1628</v>
      </c>
      <c r="AM267" s="117">
        <f t="shared" si="245"/>
        <v>68</v>
      </c>
      <c r="AN267" s="117">
        <f t="shared" si="246"/>
        <v>95</v>
      </c>
      <c r="AO267" s="8">
        <f t="shared" si="247"/>
        <v>9</v>
      </c>
      <c r="AP267" s="8">
        <f t="shared" si="248"/>
        <v>13</v>
      </c>
      <c r="AQ267" s="8">
        <f t="shared" si="249"/>
        <v>0</v>
      </c>
      <c r="AR267" s="8">
        <f t="shared" si="250"/>
        <v>0</v>
      </c>
      <c r="AS267" s="8">
        <f t="shared" si="251"/>
        <v>17</v>
      </c>
      <c r="AT267" s="8">
        <f t="shared" si="252"/>
        <v>0</v>
      </c>
      <c r="AU267" s="8">
        <f t="shared" si="253"/>
        <v>18</v>
      </c>
      <c r="AV267" s="8">
        <f t="shared" si="254"/>
        <v>0</v>
      </c>
      <c r="AW267" s="8">
        <f t="shared" si="255"/>
        <v>0</v>
      </c>
      <c r="AX267" s="8">
        <f t="shared" ref="AX267:AY267" si="322">IF(S267=1,2,0)</f>
        <v>0</v>
      </c>
      <c r="AY267" s="8">
        <f t="shared" si="322"/>
        <v>0</v>
      </c>
      <c r="AZ267" s="8">
        <f t="shared" si="257"/>
        <v>0</v>
      </c>
      <c r="BA267" s="8">
        <f t="shared" si="258"/>
        <v>0</v>
      </c>
      <c r="BB267" s="8">
        <f t="shared" si="259"/>
        <v>10</v>
      </c>
      <c r="BC267" s="8">
        <f t="shared" si="260"/>
        <v>8</v>
      </c>
      <c r="BD267" s="8">
        <f t="shared" si="261"/>
        <v>5</v>
      </c>
      <c r="BE267" s="8">
        <f t="shared" si="262"/>
        <v>0</v>
      </c>
      <c r="BF267" s="8">
        <f t="shared" si="263"/>
        <v>0</v>
      </c>
      <c r="BG267" s="8">
        <f t="shared" si="264"/>
        <v>15</v>
      </c>
      <c r="BH267" s="8">
        <f t="shared" si="265"/>
        <v>0</v>
      </c>
      <c r="BI267" s="8">
        <f t="shared" si="266"/>
        <v>0</v>
      </c>
      <c r="BJ267" s="645"/>
      <c r="BK267" s="8">
        <f t="shared" si="268"/>
        <v>4</v>
      </c>
      <c r="BL267" s="645"/>
    </row>
    <row r="268" spans="1:64">
      <c r="A268" s="120" t="s">
        <v>1317</v>
      </c>
      <c r="B268" s="120"/>
      <c r="C268" s="118">
        <v>1</v>
      </c>
      <c r="D268" s="118"/>
      <c r="E268" s="118"/>
      <c r="F268" s="118"/>
      <c r="G268" s="118"/>
      <c r="H268" s="118"/>
      <c r="I268" s="118"/>
      <c r="J268" s="118"/>
      <c r="K268" s="118"/>
      <c r="L268" s="118"/>
      <c r="M268" s="118"/>
      <c r="N268" s="118"/>
      <c r="O268" s="118"/>
      <c r="P268" s="118">
        <v>1</v>
      </c>
      <c r="Q268" s="118"/>
      <c r="R268" s="118"/>
      <c r="S268" s="118"/>
      <c r="T268" s="118"/>
      <c r="U268" s="118"/>
      <c r="V268" s="118"/>
      <c r="W268" s="118"/>
      <c r="X268" s="118"/>
      <c r="Y268" s="118">
        <v>1</v>
      </c>
      <c r="Z268" s="118"/>
      <c r="AA268" s="118"/>
      <c r="AB268" s="118">
        <v>1</v>
      </c>
      <c r="AC268" s="118"/>
      <c r="AD268" s="118"/>
      <c r="AE268" s="118"/>
      <c r="AF268" s="118"/>
      <c r="AG268" s="118"/>
      <c r="AH268" s="118"/>
      <c r="AI268" s="118"/>
      <c r="AJ268" s="118"/>
      <c r="AK268" s="118">
        <v>4</v>
      </c>
      <c r="AL268" s="305" t="s">
        <v>1455</v>
      </c>
      <c r="AM268" s="119">
        <f t="shared" si="245"/>
        <v>1</v>
      </c>
      <c r="AN268" s="119">
        <f t="shared" si="246"/>
        <v>42</v>
      </c>
      <c r="AO268" s="120">
        <f t="shared" si="247"/>
        <v>9</v>
      </c>
      <c r="AP268" s="120">
        <f t="shared" si="248"/>
        <v>0</v>
      </c>
      <c r="AQ268" s="120">
        <f t="shared" si="249"/>
        <v>0</v>
      </c>
      <c r="AR268" s="120">
        <f t="shared" si="250"/>
        <v>0</v>
      </c>
      <c r="AS268" s="120">
        <f t="shared" si="251"/>
        <v>0</v>
      </c>
      <c r="AT268" s="120">
        <f t="shared" si="252"/>
        <v>0</v>
      </c>
      <c r="AU268" s="120">
        <f t="shared" si="253"/>
        <v>18</v>
      </c>
      <c r="AV268" s="120">
        <f t="shared" si="254"/>
        <v>0</v>
      </c>
      <c r="AW268" s="120">
        <f t="shared" si="255"/>
        <v>0</v>
      </c>
      <c r="AX268" s="120">
        <f t="shared" ref="AX268:AY268" si="323">IF(S268=1,2,0)</f>
        <v>0</v>
      </c>
      <c r="AY268" s="120">
        <f t="shared" si="323"/>
        <v>0</v>
      </c>
      <c r="AZ268" s="120">
        <f t="shared" si="257"/>
        <v>0</v>
      </c>
      <c r="BA268" s="120">
        <f t="shared" si="258"/>
        <v>0</v>
      </c>
      <c r="BB268" s="120">
        <f t="shared" si="259"/>
        <v>10</v>
      </c>
      <c r="BC268" s="120">
        <f t="shared" si="260"/>
        <v>0</v>
      </c>
      <c r="BD268" s="120">
        <f t="shared" si="261"/>
        <v>5</v>
      </c>
      <c r="BE268" s="120">
        <f t="shared" si="262"/>
        <v>0</v>
      </c>
      <c r="BF268" s="120">
        <f t="shared" si="263"/>
        <v>0</v>
      </c>
      <c r="BG268" s="120">
        <f t="shared" si="264"/>
        <v>0</v>
      </c>
      <c r="BH268" s="120">
        <f t="shared" si="265"/>
        <v>0</v>
      </c>
      <c r="BI268" s="120">
        <f t="shared" si="266"/>
        <v>0</v>
      </c>
      <c r="BJ268" s="120"/>
      <c r="BK268" s="120">
        <f t="shared" si="268"/>
        <v>36</v>
      </c>
      <c r="BL268" s="120"/>
    </row>
    <row r="269" spans="1:64">
      <c r="A269" s="8" t="s">
        <v>437</v>
      </c>
      <c r="B269" s="645"/>
      <c r="C269" s="116">
        <v>1</v>
      </c>
      <c r="D269" s="116">
        <v>1</v>
      </c>
      <c r="E269" s="116">
        <v>1</v>
      </c>
      <c r="F269" s="116"/>
      <c r="G269" s="116">
        <v>1</v>
      </c>
      <c r="H269" s="116"/>
      <c r="I269" s="116"/>
      <c r="J269" s="116">
        <v>1</v>
      </c>
      <c r="K269" s="116"/>
      <c r="L269" s="116"/>
      <c r="M269" s="116"/>
      <c r="N269" s="116"/>
      <c r="O269" s="116"/>
      <c r="P269" s="116">
        <v>1</v>
      </c>
      <c r="Q269" s="116"/>
      <c r="R269" s="116"/>
      <c r="S269" s="116"/>
      <c r="T269" s="116"/>
      <c r="U269" s="116">
        <v>1</v>
      </c>
      <c r="V269" s="116"/>
      <c r="W269" s="116"/>
      <c r="X269" s="116">
        <v>1</v>
      </c>
      <c r="Y269" s="116">
        <v>1</v>
      </c>
      <c r="Z269" s="116"/>
      <c r="AA269" s="116"/>
      <c r="AB269" s="116"/>
      <c r="AC269" s="116"/>
      <c r="AD269" s="116"/>
      <c r="AE269" s="116"/>
      <c r="AF269" s="116"/>
      <c r="AG269" s="116">
        <v>1</v>
      </c>
      <c r="AH269" s="116"/>
      <c r="AI269" s="116"/>
      <c r="AJ269" s="116"/>
      <c r="AK269" s="116">
        <v>10</v>
      </c>
      <c r="AL269" s="11" t="s">
        <v>1455</v>
      </c>
      <c r="AM269" s="117">
        <f t="shared" si="245"/>
        <v>89</v>
      </c>
      <c r="AN269" s="117">
        <f t="shared" si="246"/>
        <v>98</v>
      </c>
      <c r="AO269" s="8">
        <f t="shared" si="247"/>
        <v>9</v>
      </c>
      <c r="AP269" s="8">
        <f t="shared" si="248"/>
        <v>13</v>
      </c>
      <c r="AQ269" s="8">
        <f t="shared" si="249"/>
        <v>6</v>
      </c>
      <c r="AR269" s="8">
        <f t="shared" si="250"/>
        <v>6</v>
      </c>
      <c r="AS269" s="8">
        <f t="shared" si="251"/>
        <v>17</v>
      </c>
      <c r="AT269" s="8">
        <f t="shared" si="252"/>
        <v>0</v>
      </c>
      <c r="AU269" s="8">
        <f t="shared" si="253"/>
        <v>18</v>
      </c>
      <c r="AV269" s="8">
        <f t="shared" si="254"/>
        <v>0</v>
      </c>
      <c r="AW269" s="8">
        <f t="shared" si="255"/>
        <v>0</v>
      </c>
      <c r="AX269" s="8">
        <f t="shared" ref="AX269:AY269" si="324">IF(S269=1,2,0)</f>
        <v>0</v>
      </c>
      <c r="AY269" s="8">
        <f t="shared" si="324"/>
        <v>0</v>
      </c>
      <c r="AZ269" s="8">
        <f t="shared" si="257"/>
        <v>10</v>
      </c>
      <c r="BA269" s="8">
        <f t="shared" si="258"/>
        <v>0</v>
      </c>
      <c r="BB269" s="8">
        <f t="shared" si="259"/>
        <v>10</v>
      </c>
      <c r="BC269" s="8">
        <f t="shared" si="260"/>
        <v>0</v>
      </c>
      <c r="BD269" s="8">
        <f t="shared" si="261"/>
        <v>0</v>
      </c>
      <c r="BE269" s="8">
        <f t="shared" si="262"/>
        <v>0</v>
      </c>
      <c r="BF269" s="8">
        <f t="shared" si="263"/>
        <v>0</v>
      </c>
      <c r="BG269" s="8">
        <f t="shared" si="264"/>
        <v>15</v>
      </c>
      <c r="BH269" s="8">
        <f t="shared" si="265"/>
        <v>0</v>
      </c>
      <c r="BI269" s="8">
        <f t="shared" si="266"/>
        <v>0</v>
      </c>
      <c r="BJ269" s="645"/>
      <c r="BK269" s="8">
        <f t="shared" si="268"/>
        <v>0</v>
      </c>
      <c r="BL269" s="645"/>
    </row>
    <row r="270" spans="1:64">
      <c r="A270" s="120" t="s">
        <v>240</v>
      </c>
      <c r="B270" s="120"/>
      <c r="C270" s="118"/>
      <c r="D270" s="118">
        <v>1</v>
      </c>
      <c r="E270" s="118">
        <v>1</v>
      </c>
      <c r="F270" s="118"/>
      <c r="G270" s="118">
        <v>1</v>
      </c>
      <c r="H270" s="118"/>
      <c r="I270" s="118"/>
      <c r="J270" s="118">
        <v>1</v>
      </c>
      <c r="K270" s="118"/>
      <c r="L270" s="118"/>
      <c r="M270" s="118"/>
      <c r="N270" s="118"/>
      <c r="O270" s="118"/>
      <c r="P270" s="118">
        <v>1</v>
      </c>
      <c r="Q270" s="118"/>
      <c r="R270" s="118"/>
      <c r="S270" s="118"/>
      <c r="T270" s="118"/>
      <c r="U270" s="118">
        <v>1</v>
      </c>
      <c r="V270" s="118"/>
      <c r="W270" s="118"/>
      <c r="X270" s="118">
        <v>1</v>
      </c>
      <c r="Y270" s="118">
        <v>1</v>
      </c>
      <c r="Z270" s="118"/>
      <c r="AA270" s="118"/>
      <c r="AB270" s="118">
        <v>1</v>
      </c>
      <c r="AC270" s="118"/>
      <c r="AD270" s="118"/>
      <c r="AE270" s="118"/>
      <c r="AF270" s="118"/>
      <c r="AG270" s="118">
        <v>1</v>
      </c>
      <c r="AH270" s="118"/>
      <c r="AI270" s="118"/>
      <c r="AJ270" s="118"/>
      <c r="AK270" s="118">
        <v>10</v>
      </c>
      <c r="AL270" s="305" t="s">
        <v>1629</v>
      </c>
      <c r="AM270" s="119">
        <f t="shared" si="245"/>
        <v>85</v>
      </c>
      <c r="AN270" s="119">
        <f t="shared" si="246"/>
        <v>95</v>
      </c>
      <c r="AO270" s="120">
        <f t="shared" si="247"/>
        <v>0</v>
      </c>
      <c r="AP270" s="120">
        <f t="shared" si="248"/>
        <v>13</v>
      </c>
      <c r="AQ270" s="120">
        <f t="shared" si="249"/>
        <v>6</v>
      </c>
      <c r="AR270" s="120">
        <f t="shared" si="250"/>
        <v>6</v>
      </c>
      <c r="AS270" s="120">
        <f t="shared" si="251"/>
        <v>17</v>
      </c>
      <c r="AT270" s="120">
        <f t="shared" si="252"/>
        <v>0</v>
      </c>
      <c r="AU270" s="120">
        <f t="shared" si="253"/>
        <v>18</v>
      </c>
      <c r="AV270" s="120">
        <f t="shared" si="254"/>
        <v>0</v>
      </c>
      <c r="AW270" s="120">
        <f t="shared" si="255"/>
        <v>0</v>
      </c>
      <c r="AX270" s="120">
        <f t="shared" ref="AX270:AY270" si="325">IF(S270=1,2,0)</f>
        <v>0</v>
      </c>
      <c r="AY270" s="120">
        <f t="shared" si="325"/>
        <v>0</v>
      </c>
      <c r="AZ270" s="120">
        <f t="shared" si="257"/>
        <v>10</v>
      </c>
      <c r="BA270" s="120">
        <f t="shared" si="258"/>
        <v>0</v>
      </c>
      <c r="BB270" s="120">
        <f t="shared" si="259"/>
        <v>10</v>
      </c>
      <c r="BC270" s="120">
        <f t="shared" si="260"/>
        <v>0</v>
      </c>
      <c r="BD270" s="120">
        <f t="shared" si="261"/>
        <v>5</v>
      </c>
      <c r="BE270" s="120">
        <f t="shared" si="262"/>
        <v>0</v>
      </c>
      <c r="BF270" s="120">
        <f t="shared" si="263"/>
        <v>0</v>
      </c>
      <c r="BG270" s="120">
        <f t="shared" si="264"/>
        <v>15</v>
      </c>
      <c r="BH270" s="120">
        <f t="shared" si="265"/>
        <v>0</v>
      </c>
      <c r="BI270" s="120">
        <f t="shared" si="266"/>
        <v>0</v>
      </c>
      <c r="BJ270" s="120"/>
      <c r="BK270" s="120">
        <f t="shared" si="268"/>
        <v>0</v>
      </c>
      <c r="BL270" s="120"/>
    </row>
    <row r="271" spans="1:64">
      <c r="A271" s="8" t="s">
        <v>850</v>
      </c>
      <c r="B271" s="645"/>
      <c r="C271" s="116"/>
      <c r="D271" s="116">
        <v>1</v>
      </c>
      <c r="E271" s="116"/>
      <c r="F271" s="116"/>
      <c r="G271" s="116"/>
      <c r="H271" s="116"/>
      <c r="I271" s="116"/>
      <c r="J271" s="116">
        <v>1</v>
      </c>
      <c r="K271" s="116"/>
      <c r="L271" s="116"/>
      <c r="M271" s="116"/>
      <c r="N271" s="116"/>
      <c r="O271" s="116"/>
      <c r="P271" s="116">
        <v>1</v>
      </c>
      <c r="Q271" s="116"/>
      <c r="R271" s="116"/>
      <c r="S271" s="116">
        <v>1</v>
      </c>
      <c r="T271" s="116"/>
      <c r="U271" s="116"/>
      <c r="V271" s="116"/>
      <c r="W271" s="116"/>
      <c r="X271" s="116"/>
      <c r="Y271" s="116">
        <v>1</v>
      </c>
      <c r="Z271" s="116">
        <v>1</v>
      </c>
      <c r="AA271" s="116"/>
      <c r="AB271" s="116"/>
      <c r="AC271" s="116"/>
      <c r="AD271" s="116"/>
      <c r="AE271" s="116"/>
      <c r="AF271" s="116"/>
      <c r="AG271" s="116">
        <v>1</v>
      </c>
      <c r="AH271" s="116"/>
      <c r="AI271" s="116"/>
      <c r="AJ271" s="116"/>
      <c r="AK271" s="116">
        <v>7</v>
      </c>
      <c r="AL271" s="8" t="s">
        <v>1137</v>
      </c>
      <c r="AM271" s="117">
        <f t="shared" si="245"/>
        <v>51</v>
      </c>
      <c r="AN271" s="117">
        <f t="shared" si="246"/>
        <v>83</v>
      </c>
      <c r="AO271" s="8">
        <f t="shared" si="247"/>
        <v>0</v>
      </c>
      <c r="AP271" s="8">
        <f t="shared" si="248"/>
        <v>13</v>
      </c>
      <c r="AQ271" s="8">
        <f t="shared" si="249"/>
        <v>0</v>
      </c>
      <c r="AR271" s="8">
        <f t="shared" si="250"/>
        <v>0</v>
      </c>
      <c r="AS271" s="8">
        <f t="shared" si="251"/>
        <v>17</v>
      </c>
      <c r="AT271" s="8">
        <f t="shared" si="252"/>
        <v>0</v>
      </c>
      <c r="AU271" s="8">
        <f t="shared" si="253"/>
        <v>18</v>
      </c>
      <c r="AV271" s="8">
        <f t="shared" si="254"/>
        <v>0</v>
      </c>
      <c r="AW271" s="8">
        <f t="shared" si="255"/>
        <v>0</v>
      </c>
      <c r="AX271" s="8">
        <f t="shared" ref="AX271:AY271" si="326">IF(S271=1,2,0)</f>
        <v>2</v>
      </c>
      <c r="AY271" s="8">
        <f t="shared" si="326"/>
        <v>0</v>
      </c>
      <c r="AZ271" s="8">
        <f t="shared" si="257"/>
        <v>0</v>
      </c>
      <c r="BA271" s="8">
        <f t="shared" si="258"/>
        <v>0</v>
      </c>
      <c r="BB271" s="8">
        <f t="shared" si="259"/>
        <v>10</v>
      </c>
      <c r="BC271" s="8">
        <f t="shared" si="260"/>
        <v>8</v>
      </c>
      <c r="BD271" s="8">
        <f t="shared" si="261"/>
        <v>0</v>
      </c>
      <c r="BE271" s="8">
        <f t="shared" si="262"/>
        <v>0</v>
      </c>
      <c r="BF271" s="8">
        <f t="shared" si="263"/>
        <v>0</v>
      </c>
      <c r="BG271" s="8">
        <f t="shared" si="264"/>
        <v>15</v>
      </c>
      <c r="BH271" s="8">
        <f t="shared" si="265"/>
        <v>0</v>
      </c>
      <c r="BI271" s="8">
        <f t="shared" si="266"/>
        <v>0</v>
      </c>
      <c r="BJ271" s="645"/>
      <c r="BK271" s="8">
        <f t="shared" si="268"/>
        <v>9</v>
      </c>
      <c r="BL271" s="645"/>
    </row>
    <row r="272" spans="1:64">
      <c r="A272" s="120" t="s">
        <v>1630</v>
      </c>
      <c r="B272" s="120"/>
      <c r="C272" s="118"/>
      <c r="D272" s="118"/>
      <c r="E272" s="118">
        <v>1</v>
      </c>
      <c r="F272" s="118"/>
      <c r="G272" s="118">
        <v>1</v>
      </c>
      <c r="H272" s="118"/>
      <c r="I272" s="118"/>
      <c r="J272" s="118">
        <v>1</v>
      </c>
      <c r="K272" s="118"/>
      <c r="L272" s="118"/>
      <c r="M272" s="118"/>
      <c r="N272" s="118"/>
      <c r="O272" s="118"/>
      <c r="P272" s="118">
        <v>1</v>
      </c>
      <c r="Q272" s="118"/>
      <c r="R272" s="118"/>
      <c r="S272" s="118"/>
      <c r="T272" s="118">
        <v>1</v>
      </c>
      <c r="U272" s="118">
        <v>1</v>
      </c>
      <c r="V272" s="118"/>
      <c r="W272" s="118"/>
      <c r="X272" s="118"/>
      <c r="Y272" s="118">
        <v>1</v>
      </c>
      <c r="Z272" s="118"/>
      <c r="AA272" s="118"/>
      <c r="AB272" s="118">
        <v>1</v>
      </c>
      <c r="AC272" s="118"/>
      <c r="AD272" s="118"/>
      <c r="AE272" s="118"/>
      <c r="AF272" s="118">
        <v>1</v>
      </c>
      <c r="AG272" s="118">
        <v>1</v>
      </c>
      <c r="AH272" s="118"/>
      <c r="AI272" s="118"/>
      <c r="AJ272" s="118"/>
      <c r="AK272" s="118">
        <v>10</v>
      </c>
      <c r="AL272" s="305" t="s">
        <v>1455</v>
      </c>
      <c r="AM272" s="119">
        <f t="shared" si="245"/>
        <v>84</v>
      </c>
      <c r="AN272" s="119">
        <f t="shared" si="246"/>
        <v>87</v>
      </c>
      <c r="AO272" s="120">
        <f t="shared" si="247"/>
        <v>0</v>
      </c>
      <c r="AP272" s="120">
        <f t="shared" si="248"/>
        <v>0</v>
      </c>
      <c r="AQ272" s="120">
        <f t="shared" si="249"/>
        <v>6</v>
      </c>
      <c r="AR272" s="120">
        <f t="shared" si="250"/>
        <v>6</v>
      </c>
      <c r="AS272" s="120">
        <f t="shared" si="251"/>
        <v>17</v>
      </c>
      <c r="AT272" s="120">
        <f t="shared" si="252"/>
        <v>0</v>
      </c>
      <c r="AU272" s="120">
        <f t="shared" si="253"/>
        <v>18</v>
      </c>
      <c r="AV272" s="120">
        <f t="shared" si="254"/>
        <v>0</v>
      </c>
      <c r="AW272" s="120">
        <f t="shared" si="255"/>
        <v>0</v>
      </c>
      <c r="AX272" s="120">
        <f t="shared" ref="AX272:AY272" si="327">IF(S272=1,2,0)</f>
        <v>0</v>
      </c>
      <c r="AY272" s="120">
        <f t="shared" si="327"/>
        <v>2</v>
      </c>
      <c r="AZ272" s="120">
        <f t="shared" si="257"/>
        <v>10</v>
      </c>
      <c r="BA272" s="120">
        <f t="shared" si="258"/>
        <v>0</v>
      </c>
      <c r="BB272" s="120">
        <f t="shared" si="259"/>
        <v>10</v>
      </c>
      <c r="BC272" s="120">
        <f t="shared" si="260"/>
        <v>0</v>
      </c>
      <c r="BD272" s="120">
        <f t="shared" si="261"/>
        <v>5</v>
      </c>
      <c r="BE272" s="120">
        <f t="shared" si="262"/>
        <v>0</v>
      </c>
      <c r="BF272" s="120">
        <f t="shared" si="263"/>
        <v>1</v>
      </c>
      <c r="BG272" s="120">
        <f t="shared" si="264"/>
        <v>15</v>
      </c>
      <c r="BH272" s="120">
        <f t="shared" si="265"/>
        <v>0</v>
      </c>
      <c r="BI272" s="120">
        <f t="shared" si="266"/>
        <v>0</v>
      </c>
      <c r="BJ272" s="120"/>
      <c r="BK272" s="120">
        <f t="shared" si="268"/>
        <v>0</v>
      </c>
      <c r="BL272" s="120"/>
    </row>
    <row r="273" spans="1:64">
      <c r="A273" s="8" t="s">
        <v>245</v>
      </c>
      <c r="B273" s="645"/>
      <c r="C273" s="116"/>
      <c r="D273" s="116">
        <v>1</v>
      </c>
      <c r="E273" s="116">
        <v>1</v>
      </c>
      <c r="F273" s="116"/>
      <c r="G273" s="116">
        <v>1</v>
      </c>
      <c r="H273" s="116"/>
      <c r="I273" s="116"/>
      <c r="J273" s="116">
        <v>1</v>
      </c>
      <c r="K273" s="116"/>
      <c r="L273" s="116"/>
      <c r="M273" s="116"/>
      <c r="N273" s="116"/>
      <c r="O273" s="116"/>
      <c r="P273" s="116">
        <v>1</v>
      </c>
      <c r="Q273" s="116"/>
      <c r="R273" s="116"/>
      <c r="S273" s="116">
        <v>1</v>
      </c>
      <c r="T273" s="116"/>
      <c r="U273" s="116">
        <v>1</v>
      </c>
      <c r="V273" s="116"/>
      <c r="W273" s="116"/>
      <c r="X273" s="116"/>
      <c r="Y273" s="116">
        <v>1</v>
      </c>
      <c r="Z273" s="116">
        <v>1</v>
      </c>
      <c r="AA273" s="116"/>
      <c r="AB273" s="116"/>
      <c r="AC273" s="116"/>
      <c r="AD273" s="116"/>
      <c r="AE273" s="116"/>
      <c r="AF273" s="116"/>
      <c r="AG273" s="116">
        <v>1</v>
      </c>
      <c r="AH273" s="116"/>
      <c r="AI273" s="116"/>
      <c r="AJ273" s="116"/>
      <c r="AK273" s="116">
        <v>10</v>
      </c>
      <c r="AL273" s="11" t="s">
        <v>1616</v>
      </c>
      <c r="AM273" s="117">
        <f t="shared" si="245"/>
        <v>89</v>
      </c>
      <c r="AN273" s="117">
        <f t="shared" si="246"/>
        <v>97</v>
      </c>
      <c r="AO273" s="8">
        <f t="shared" si="247"/>
        <v>0</v>
      </c>
      <c r="AP273" s="8">
        <f t="shared" si="248"/>
        <v>13</v>
      </c>
      <c r="AQ273" s="8">
        <f t="shared" si="249"/>
        <v>6</v>
      </c>
      <c r="AR273" s="8">
        <f t="shared" si="250"/>
        <v>6</v>
      </c>
      <c r="AS273" s="8">
        <f t="shared" si="251"/>
        <v>17</v>
      </c>
      <c r="AT273" s="8">
        <f t="shared" si="252"/>
        <v>0</v>
      </c>
      <c r="AU273" s="8">
        <f t="shared" si="253"/>
        <v>18</v>
      </c>
      <c r="AV273" s="8">
        <f t="shared" si="254"/>
        <v>0</v>
      </c>
      <c r="AW273" s="8">
        <f t="shared" si="255"/>
        <v>0</v>
      </c>
      <c r="AX273" s="8">
        <f t="shared" ref="AX273:AY273" si="328">IF(S273=1,2,0)</f>
        <v>2</v>
      </c>
      <c r="AY273" s="8">
        <f t="shared" si="328"/>
        <v>0</v>
      </c>
      <c r="AZ273" s="8">
        <f t="shared" si="257"/>
        <v>10</v>
      </c>
      <c r="BA273" s="8">
        <f t="shared" si="258"/>
        <v>0</v>
      </c>
      <c r="BB273" s="8">
        <f t="shared" si="259"/>
        <v>10</v>
      </c>
      <c r="BC273" s="8">
        <f t="shared" si="260"/>
        <v>8</v>
      </c>
      <c r="BD273" s="8">
        <f t="shared" si="261"/>
        <v>0</v>
      </c>
      <c r="BE273" s="8">
        <f t="shared" si="262"/>
        <v>0</v>
      </c>
      <c r="BF273" s="8">
        <f t="shared" si="263"/>
        <v>0</v>
      </c>
      <c r="BG273" s="8">
        <f t="shared" si="264"/>
        <v>15</v>
      </c>
      <c r="BH273" s="8">
        <f t="shared" si="265"/>
        <v>0</v>
      </c>
      <c r="BI273" s="8">
        <f t="shared" si="266"/>
        <v>0</v>
      </c>
      <c r="BJ273" s="645"/>
      <c r="BK273" s="8">
        <f t="shared" si="268"/>
        <v>0</v>
      </c>
      <c r="BL273" s="645"/>
    </row>
    <row r="274" spans="1:64">
      <c r="A274" s="120" t="s">
        <v>590</v>
      </c>
      <c r="B274" s="120"/>
      <c r="C274" s="118"/>
      <c r="D274" s="118">
        <v>1</v>
      </c>
      <c r="E274" s="118">
        <v>1</v>
      </c>
      <c r="F274" s="118"/>
      <c r="G274" s="118">
        <v>1</v>
      </c>
      <c r="H274" s="118"/>
      <c r="I274" s="118"/>
      <c r="J274" s="118">
        <v>1</v>
      </c>
      <c r="K274" s="118"/>
      <c r="L274" s="118"/>
      <c r="M274" s="118"/>
      <c r="N274" s="118"/>
      <c r="O274" s="118"/>
      <c r="P274" s="118">
        <v>1</v>
      </c>
      <c r="Q274" s="118"/>
      <c r="R274" s="118"/>
      <c r="S274" s="118"/>
      <c r="T274" s="118"/>
      <c r="U274" s="118">
        <v>1</v>
      </c>
      <c r="V274" s="118">
        <v>1</v>
      </c>
      <c r="W274" s="118"/>
      <c r="X274" s="118"/>
      <c r="Y274" s="118">
        <v>1</v>
      </c>
      <c r="Z274" s="118">
        <v>1</v>
      </c>
      <c r="AA274" s="118"/>
      <c r="AB274" s="118"/>
      <c r="AC274" s="118"/>
      <c r="AD274" s="118"/>
      <c r="AE274" s="118"/>
      <c r="AF274" s="118"/>
      <c r="AG274" s="118">
        <v>1</v>
      </c>
      <c r="AH274" s="118"/>
      <c r="AI274" s="118"/>
      <c r="AJ274" s="118"/>
      <c r="AK274" s="118">
        <v>10</v>
      </c>
      <c r="AL274" s="305" t="s">
        <v>1631</v>
      </c>
      <c r="AM274" s="119">
        <f t="shared" si="245"/>
        <v>92</v>
      </c>
      <c r="AN274" s="119">
        <f t="shared" si="246"/>
        <v>97</v>
      </c>
      <c r="AO274" s="120">
        <f t="shared" si="247"/>
        <v>0</v>
      </c>
      <c r="AP274" s="120">
        <f t="shared" si="248"/>
        <v>13</v>
      </c>
      <c r="AQ274" s="120">
        <f t="shared" si="249"/>
        <v>6</v>
      </c>
      <c r="AR274" s="120">
        <f t="shared" si="250"/>
        <v>6</v>
      </c>
      <c r="AS274" s="120">
        <f t="shared" si="251"/>
        <v>17</v>
      </c>
      <c r="AT274" s="120">
        <f t="shared" si="252"/>
        <v>0</v>
      </c>
      <c r="AU274" s="120">
        <f t="shared" si="253"/>
        <v>18</v>
      </c>
      <c r="AV274" s="120">
        <f t="shared" si="254"/>
        <v>0</v>
      </c>
      <c r="AW274" s="120">
        <f t="shared" si="255"/>
        <v>0</v>
      </c>
      <c r="AX274" s="120">
        <f t="shared" ref="AX274:AY274" si="329">IF(S274=1,2,0)</f>
        <v>0</v>
      </c>
      <c r="AY274" s="120">
        <f t="shared" si="329"/>
        <v>0</v>
      </c>
      <c r="AZ274" s="120">
        <f t="shared" si="257"/>
        <v>10</v>
      </c>
      <c r="BA274" s="120">
        <f t="shared" si="258"/>
        <v>3</v>
      </c>
      <c r="BB274" s="120">
        <f t="shared" si="259"/>
        <v>10</v>
      </c>
      <c r="BC274" s="120">
        <f t="shared" si="260"/>
        <v>8</v>
      </c>
      <c r="BD274" s="120">
        <f t="shared" si="261"/>
        <v>0</v>
      </c>
      <c r="BE274" s="120">
        <f t="shared" si="262"/>
        <v>0</v>
      </c>
      <c r="BF274" s="120">
        <f t="shared" si="263"/>
        <v>0</v>
      </c>
      <c r="BG274" s="120">
        <f t="shared" si="264"/>
        <v>15</v>
      </c>
      <c r="BH274" s="120">
        <f t="shared" si="265"/>
        <v>0</v>
      </c>
      <c r="BI274" s="120">
        <f t="shared" si="266"/>
        <v>0</v>
      </c>
      <c r="BJ274" s="120"/>
      <c r="BK274" s="120">
        <f t="shared" si="268"/>
        <v>0</v>
      </c>
      <c r="BL274" s="120"/>
    </row>
    <row r="275" spans="1:64">
      <c r="A275" s="8" t="s">
        <v>591</v>
      </c>
      <c r="B275" s="645"/>
      <c r="C275" s="116"/>
      <c r="D275" s="116"/>
      <c r="E275" s="116"/>
      <c r="F275" s="116"/>
      <c r="G275" s="116"/>
      <c r="H275" s="116"/>
      <c r="I275" s="116"/>
      <c r="J275" s="116">
        <v>1</v>
      </c>
      <c r="K275" s="116"/>
      <c r="L275" s="116"/>
      <c r="M275" s="116"/>
      <c r="N275" s="116">
        <v>1</v>
      </c>
      <c r="O275" s="116"/>
      <c r="P275" s="116">
        <v>1</v>
      </c>
      <c r="Q275" s="116">
        <v>1</v>
      </c>
      <c r="R275" s="116">
        <v>1</v>
      </c>
      <c r="S275" s="116">
        <v>1</v>
      </c>
      <c r="T275" s="116"/>
      <c r="U275" s="116"/>
      <c r="V275" s="116">
        <v>1</v>
      </c>
      <c r="W275" s="116"/>
      <c r="X275" s="116"/>
      <c r="Y275" s="116"/>
      <c r="Z275" s="116">
        <v>1</v>
      </c>
      <c r="AA275" s="116"/>
      <c r="AB275" s="116">
        <v>1</v>
      </c>
      <c r="AC275" s="116"/>
      <c r="AD275" s="116"/>
      <c r="AE275" s="116"/>
      <c r="AF275" s="116"/>
      <c r="AG275" s="116">
        <v>1</v>
      </c>
      <c r="AH275" s="116"/>
      <c r="AI275" s="116"/>
      <c r="AJ275" s="116"/>
      <c r="AK275" s="116">
        <v>10</v>
      </c>
      <c r="AL275" s="8" t="s">
        <v>1632</v>
      </c>
      <c r="AM275" s="117">
        <f t="shared" si="245"/>
        <v>63</v>
      </c>
      <c r="AN275" s="117">
        <f t="shared" si="246"/>
        <v>72</v>
      </c>
      <c r="AO275" s="8">
        <f t="shared" si="247"/>
        <v>0</v>
      </c>
      <c r="AP275" s="8">
        <f t="shared" si="248"/>
        <v>0</v>
      </c>
      <c r="AQ275" s="8">
        <f t="shared" si="249"/>
        <v>0</v>
      </c>
      <c r="AR275" s="8">
        <f t="shared" si="250"/>
        <v>0</v>
      </c>
      <c r="AS275" s="8">
        <f t="shared" si="251"/>
        <v>17</v>
      </c>
      <c r="AT275" s="8">
        <f t="shared" si="252"/>
        <v>2</v>
      </c>
      <c r="AU275" s="8">
        <f t="shared" si="253"/>
        <v>18</v>
      </c>
      <c r="AV275" s="8">
        <f t="shared" si="254"/>
        <v>4</v>
      </c>
      <c r="AW275" s="8">
        <f t="shared" si="255"/>
        <v>1</v>
      </c>
      <c r="AX275" s="8">
        <f t="shared" ref="AX275:AY275" si="330">IF(S275=1,2,0)</f>
        <v>2</v>
      </c>
      <c r="AY275" s="8">
        <f t="shared" si="330"/>
        <v>0</v>
      </c>
      <c r="AZ275" s="8">
        <f t="shared" si="257"/>
        <v>0</v>
      </c>
      <c r="BA275" s="8">
        <f t="shared" si="258"/>
        <v>3</v>
      </c>
      <c r="BB275" s="8">
        <f t="shared" si="259"/>
        <v>0</v>
      </c>
      <c r="BC275" s="8">
        <f t="shared" si="260"/>
        <v>8</v>
      </c>
      <c r="BD275" s="8">
        <f t="shared" si="261"/>
        <v>5</v>
      </c>
      <c r="BE275" s="8">
        <f t="shared" si="262"/>
        <v>0</v>
      </c>
      <c r="BF275" s="8">
        <f t="shared" si="263"/>
        <v>0</v>
      </c>
      <c r="BG275" s="8">
        <f t="shared" si="264"/>
        <v>15</v>
      </c>
      <c r="BH275" s="8">
        <f t="shared" si="265"/>
        <v>0</v>
      </c>
      <c r="BI275" s="8">
        <f t="shared" si="266"/>
        <v>0</v>
      </c>
      <c r="BJ275" s="645"/>
      <c r="BK275" s="8">
        <f t="shared" si="268"/>
        <v>0</v>
      </c>
      <c r="BL275" s="645"/>
    </row>
    <row r="276" spans="1:64">
      <c r="A276" s="120" t="s">
        <v>252</v>
      </c>
      <c r="B276" s="120"/>
      <c r="C276" s="118"/>
      <c r="D276" s="118"/>
      <c r="E276" s="118"/>
      <c r="F276" s="118"/>
      <c r="G276" s="118"/>
      <c r="H276" s="118"/>
      <c r="I276" s="118"/>
      <c r="J276" s="118"/>
      <c r="K276" s="118"/>
      <c r="L276" s="118"/>
      <c r="M276" s="118"/>
      <c r="N276" s="118"/>
      <c r="O276" s="118"/>
      <c r="P276" s="118">
        <v>1</v>
      </c>
      <c r="Q276" s="118"/>
      <c r="R276" s="118"/>
      <c r="S276" s="118"/>
      <c r="T276" s="118"/>
      <c r="U276" s="118"/>
      <c r="V276" s="118"/>
      <c r="W276" s="118"/>
      <c r="X276" s="118"/>
      <c r="Y276" s="118"/>
      <c r="Z276" s="118">
        <v>1</v>
      </c>
      <c r="AA276" s="118"/>
      <c r="AB276" s="118"/>
      <c r="AC276" s="118"/>
      <c r="AD276" s="118">
        <v>1</v>
      </c>
      <c r="AE276" s="118"/>
      <c r="AF276" s="118"/>
      <c r="AG276" s="118">
        <v>1</v>
      </c>
      <c r="AH276" s="118"/>
      <c r="AI276" s="118"/>
      <c r="AJ276" s="118"/>
      <c r="AK276" s="118">
        <v>4</v>
      </c>
      <c r="AL276" s="305" t="s">
        <v>1633</v>
      </c>
      <c r="AM276" s="119">
        <f t="shared" si="245"/>
        <v>0</v>
      </c>
      <c r="AN276" s="119">
        <f t="shared" si="246"/>
        <v>46</v>
      </c>
      <c r="AO276" s="120">
        <f t="shared" si="247"/>
        <v>0</v>
      </c>
      <c r="AP276" s="120">
        <f t="shared" si="248"/>
        <v>0</v>
      </c>
      <c r="AQ276" s="120">
        <f t="shared" si="249"/>
        <v>0</v>
      </c>
      <c r="AR276" s="120">
        <f t="shared" si="250"/>
        <v>0</v>
      </c>
      <c r="AS276" s="120">
        <f t="shared" si="251"/>
        <v>0</v>
      </c>
      <c r="AT276" s="120">
        <f t="shared" si="252"/>
        <v>0</v>
      </c>
      <c r="AU276" s="120">
        <f t="shared" si="253"/>
        <v>18</v>
      </c>
      <c r="AV276" s="120">
        <f t="shared" si="254"/>
        <v>0</v>
      </c>
      <c r="AW276" s="120">
        <f t="shared" si="255"/>
        <v>0</v>
      </c>
      <c r="AX276" s="120">
        <f t="shared" ref="AX276:AY276" si="331">IF(S276=1,2,0)</f>
        <v>0</v>
      </c>
      <c r="AY276" s="120">
        <f t="shared" si="331"/>
        <v>0</v>
      </c>
      <c r="AZ276" s="120">
        <f t="shared" si="257"/>
        <v>0</v>
      </c>
      <c r="BA276" s="120">
        <f t="shared" si="258"/>
        <v>0</v>
      </c>
      <c r="BB276" s="120">
        <f t="shared" si="259"/>
        <v>0</v>
      </c>
      <c r="BC276" s="120">
        <f t="shared" si="260"/>
        <v>8</v>
      </c>
      <c r="BD276" s="120">
        <f t="shared" si="261"/>
        <v>0</v>
      </c>
      <c r="BE276" s="120">
        <f t="shared" si="262"/>
        <v>5</v>
      </c>
      <c r="BF276" s="120">
        <f t="shared" si="263"/>
        <v>0</v>
      </c>
      <c r="BG276" s="120">
        <f t="shared" si="264"/>
        <v>15</v>
      </c>
      <c r="BH276" s="120">
        <f t="shared" si="265"/>
        <v>0</v>
      </c>
      <c r="BI276" s="120">
        <f t="shared" si="266"/>
        <v>0</v>
      </c>
      <c r="BJ276" s="120"/>
      <c r="BK276" s="120">
        <f t="shared" si="268"/>
        <v>36</v>
      </c>
      <c r="BL276" s="120"/>
    </row>
    <row r="277" spans="1:64">
      <c r="A277" s="8" t="s">
        <v>1634</v>
      </c>
      <c r="B277" s="645"/>
      <c r="C277" s="116"/>
      <c r="D277" s="116">
        <v>1</v>
      </c>
      <c r="E277" s="116">
        <v>1</v>
      </c>
      <c r="F277" s="116"/>
      <c r="G277" s="116">
        <v>1</v>
      </c>
      <c r="H277" s="116"/>
      <c r="I277" s="116"/>
      <c r="J277" s="116">
        <v>1</v>
      </c>
      <c r="K277" s="116"/>
      <c r="L277" s="116"/>
      <c r="M277" s="116"/>
      <c r="N277" s="116"/>
      <c r="O277" s="116"/>
      <c r="P277" s="116">
        <v>1</v>
      </c>
      <c r="Q277" s="116"/>
      <c r="R277" s="116"/>
      <c r="S277" s="116"/>
      <c r="T277" s="116"/>
      <c r="U277" s="116">
        <v>1</v>
      </c>
      <c r="V277" s="116">
        <v>1</v>
      </c>
      <c r="W277" s="116"/>
      <c r="X277" s="116"/>
      <c r="Y277" s="116"/>
      <c r="Z277" s="116">
        <v>1</v>
      </c>
      <c r="AA277" s="116"/>
      <c r="AB277" s="116">
        <v>1</v>
      </c>
      <c r="AC277" s="116"/>
      <c r="AD277" s="116"/>
      <c r="AE277" s="116"/>
      <c r="AF277" s="116"/>
      <c r="AG277" s="116">
        <v>1</v>
      </c>
      <c r="AH277" s="116"/>
      <c r="AI277" s="116"/>
      <c r="AJ277" s="116"/>
      <c r="AK277" s="116">
        <v>10</v>
      </c>
      <c r="AL277" s="11" t="s">
        <v>1635</v>
      </c>
      <c r="AM277" s="117">
        <f t="shared" si="245"/>
        <v>88</v>
      </c>
      <c r="AN277" s="117">
        <f t="shared" si="246"/>
        <v>93</v>
      </c>
      <c r="AO277" s="8">
        <f t="shared" si="247"/>
        <v>0</v>
      </c>
      <c r="AP277" s="8">
        <f t="shared" si="248"/>
        <v>13</v>
      </c>
      <c r="AQ277" s="8">
        <f t="shared" si="249"/>
        <v>6</v>
      </c>
      <c r="AR277" s="8">
        <f t="shared" si="250"/>
        <v>6</v>
      </c>
      <c r="AS277" s="8">
        <f t="shared" si="251"/>
        <v>17</v>
      </c>
      <c r="AT277" s="8">
        <f t="shared" si="252"/>
        <v>0</v>
      </c>
      <c r="AU277" s="8">
        <f t="shared" si="253"/>
        <v>18</v>
      </c>
      <c r="AV277" s="8">
        <f t="shared" si="254"/>
        <v>0</v>
      </c>
      <c r="AW277" s="8">
        <f t="shared" si="255"/>
        <v>0</v>
      </c>
      <c r="AX277" s="8">
        <f t="shared" ref="AX277:AY277" si="332">IF(S277=1,2,0)</f>
        <v>0</v>
      </c>
      <c r="AY277" s="8">
        <f t="shared" si="332"/>
        <v>0</v>
      </c>
      <c r="AZ277" s="8">
        <f t="shared" si="257"/>
        <v>10</v>
      </c>
      <c r="BA277" s="8">
        <f t="shared" si="258"/>
        <v>3</v>
      </c>
      <c r="BB277" s="8">
        <f t="shared" si="259"/>
        <v>0</v>
      </c>
      <c r="BC277" s="8">
        <f t="shared" si="260"/>
        <v>8</v>
      </c>
      <c r="BD277" s="8">
        <f t="shared" si="261"/>
        <v>5</v>
      </c>
      <c r="BE277" s="8">
        <f t="shared" si="262"/>
        <v>0</v>
      </c>
      <c r="BF277" s="8">
        <f t="shared" si="263"/>
        <v>0</v>
      </c>
      <c r="BG277" s="8">
        <f t="shared" si="264"/>
        <v>15</v>
      </c>
      <c r="BH277" s="8">
        <f t="shared" si="265"/>
        <v>0</v>
      </c>
      <c r="BI277" s="8">
        <f t="shared" si="266"/>
        <v>0</v>
      </c>
      <c r="BJ277" s="645"/>
      <c r="BK277" s="8">
        <f t="shared" si="268"/>
        <v>0</v>
      </c>
      <c r="BL277" s="645"/>
    </row>
    <row r="278" spans="1:64">
      <c r="A278" s="120" t="s">
        <v>1328</v>
      </c>
      <c r="B278" s="120"/>
      <c r="C278" s="118"/>
      <c r="D278" s="118"/>
      <c r="E278" s="118">
        <v>1</v>
      </c>
      <c r="F278" s="118"/>
      <c r="G278" s="118">
        <v>1</v>
      </c>
      <c r="H278" s="118"/>
      <c r="I278" s="118"/>
      <c r="J278" s="118">
        <v>1</v>
      </c>
      <c r="K278" s="118"/>
      <c r="L278" s="118"/>
      <c r="M278" s="118"/>
      <c r="N278" s="118"/>
      <c r="O278" s="118"/>
      <c r="P278" s="118">
        <v>1</v>
      </c>
      <c r="Q278" s="118"/>
      <c r="R278" s="118"/>
      <c r="S278" s="118"/>
      <c r="T278" s="118">
        <v>1</v>
      </c>
      <c r="U278" s="118">
        <v>1</v>
      </c>
      <c r="V278" s="118"/>
      <c r="W278" s="118"/>
      <c r="X278" s="118"/>
      <c r="Y278" s="118">
        <v>1</v>
      </c>
      <c r="Z278" s="118"/>
      <c r="AA278" s="118"/>
      <c r="AB278" s="118">
        <v>1</v>
      </c>
      <c r="AC278" s="118"/>
      <c r="AD278" s="118"/>
      <c r="AE278" s="118"/>
      <c r="AF278" s="118"/>
      <c r="AG278" s="118">
        <v>1</v>
      </c>
      <c r="AH278" s="118"/>
      <c r="AI278" s="118">
        <v>1</v>
      </c>
      <c r="AJ278" s="118"/>
      <c r="AK278" s="118">
        <v>10</v>
      </c>
      <c r="AL278" s="305" t="s">
        <v>1455</v>
      </c>
      <c r="AM278" s="119">
        <f t="shared" si="245"/>
        <v>86</v>
      </c>
      <c r="AN278" s="119">
        <f t="shared" si="246"/>
        <v>87</v>
      </c>
      <c r="AO278" s="120">
        <f t="shared" si="247"/>
        <v>0</v>
      </c>
      <c r="AP278" s="120">
        <f t="shared" si="248"/>
        <v>0</v>
      </c>
      <c r="AQ278" s="120">
        <f t="shared" si="249"/>
        <v>6</v>
      </c>
      <c r="AR278" s="120">
        <f t="shared" si="250"/>
        <v>6</v>
      </c>
      <c r="AS278" s="120">
        <f t="shared" si="251"/>
        <v>17</v>
      </c>
      <c r="AT278" s="120">
        <f t="shared" si="252"/>
        <v>0</v>
      </c>
      <c r="AU278" s="120">
        <f t="shared" si="253"/>
        <v>18</v>
      </c>
      <c r="AV278" s="120">
        <f t="shared" si="254"/>
        <v>0</v>
      </c>
      <c r="AW278" s="120">
        <f t="shared" si="255"/>
        <v>0</v>
      </c>
      <c r="AX278" s="120">
        <f t="shared" ref="AX278:AY278" si="333">IF(S278=1,2,0)</f>
        <v>0</v>
      </c>
      <c r="AY278" s="120">
        <f t="shared" si="333"/>
        <v>2</v>
      </c>
      <c r="AZ278" s="120">
        <f t="shared" si="257"/>
        <v>10</v>
      </c>
      <c r="BA278" s="120">
        <f t="shared" si="258"/>
        <v>0</v>
      </c>
      <c r="BB278" s="120">
        <f t="shared" si="259"/>
        <v>10</v>
      </c>
      <c r="BC278" s="120">
        <f t="shared" si="260"/>
        <v>0</v>
      </c>
      <c r="BD278" s="120">
        <f t="shared" si="261"/>
        <v>5</v>
      </c>
      <c r="BE278" s="120">
        <f t="shared" si="262"/>
        <v>0</v>
      </c>
      <c r="BF278" s="120">
        <f t="shared" si="263"/>
        <v>0</v>
      </c>
      <c r="BG278" s="120">
        <f t="shared" si="264"/>
        <v>15</v>
      </c>
      <c r="BH278" s="120">
        <f t="shared" si="265"/>
        <v>3</v>
      </c>
      <c r="BI278" s="120">
        <f t="shared" si="266"/>
        <v>0</v>
      </c>
      <c r="BJ278" s="120"/>
      <c r="BK278" s="120">
        <f t="shared" si="268"/>
        <v>0</v>
      </c>
      <c r="BL278" s="120"/>
    </row>
    <row r="279" spans="1:64">
      <c r="A279" s="8" t="s">
        <v>444</v>
      </c>
      <c r="B279" s="645"/>
      <c r="C279" s="116"/>
      <c r="D279" s="116">
        <v>1</v>
      </c>
      <c r="E279" s="116"/>
      <c r="F279" s="116"/>
      <c r="G279" s="116"/>
      <c r="H279" s="116"/>
      <c r="I279" s="116"/>
      <c r="J279" s="116">
        <v>1</v>
      </c>
      <c r="K279" s="116"/>
      <c r="L279" s="116"/>
      <c r="M279" s="116"/>
      <c r="N279" s="116"/>
      <c r="O279" s="116"/>
      <c r="P279" s="116">
        <v>1</v>
      </c>
      <c r="Q279" s="116"/>
      <c r="R279" s="116">
        <v>1</v>
      </c>
      <c r="S279" s="116"/>
      <c r="T279" s="116">
        <v>1</v>
      </c>
      <c r="U279" s="116">
        <v>1</v>
      </c>
      <c r="V279" s="116"/>
      <c r="W279" s="116"/>
      <c r="X279" s="116"/>
      <c r="Y279" s="116">
        <v>1</v>
      </c>
      <c r="Z279" s="116"/>
      <c r="AA279" s="116"/>
      <c r="AB279" s="116"/>
      <c r="AC279" s="116"/>
      <c r="AD279" s="116"/>
      <c r="AE279" s="116"/>
      <c r="AF279" s="116">
        <v>1</v>
      </c>
      <c r="AG279" s="116">
        <v>1</v>
      </c>
      <c r="AH279" s="116"/>
      <c r="AI279" s="116">
        <v>1</v>
      </c>
      <c r="AJ279" s="116"/>
      <c r="AK279" s="116">
        <v>10</v>
      </c>
      <c r="AL279" s="11" t="s">
        <v>1455</v>
      </c>
      <c r="AM279" s="117">
        <f t="shared" si="245"/>
        <v>64</v>
      </c>
      <c r="AN279" s="117">
        <f t="shared" si="246"/>
        <v>88</v>
      </c>
      <c r="AO279" s="8">
        <f t="shared" si="247"/>
        <v>0</v>
      </c>
      <c r="AP279" s="8">
        <f t="shared" si="248"/>
        <v>13</v>
      </c>
      <c r="AQ279" s="8">
        <f t="shared" si="249"/>
        <v>0</v>
      </c>
      <c r="AR279" s="8">
        <f t="shared" si="250"/>
        <v>0</v>
      </c>
      <c r="AS279" s="8">
        <f t="shared" si="251"/>
        <v>17</v>
      </c>
      <c r="AT279" s="8">
        <f t="shared" si="252"/>
        <v>0</v>
      </c>
      <c r="AU279" s="8">
        <f t="shared" si="253"/>
        <v>18</v>
      </c>
      <c r="AV279" s="8">
        <f t="shared" si="254"/>
        <v>0</v>
      </c>
      <c r="AW279" s="8">
        <f t="shared" si="255"/>
        <v>1</v>
      </c>
      <c r="AX279" s="8">
        <f t="shared" ref="AX279:AY279" si="334">IF(S279=1,2,0)</f>
        <v>0</v>
      </c>
      <c r="AY279" s="8">
        <f t="shared" si="334"/>
        <v>2</v>
      </c>
      <c r="AZ279" s="8">
        <f t="shared" si="257"/>
        <v>10</v>
      </c>
      <c r="BA279" s="8">
        <f t="shared" si="258"/>
        <v>0</v>
      </c>
      <c r="BB279" s="8">
        <f t="shared" si="259"/>
        <v>10</v>
      </c>
      <c r="BC279" s="8">
        <f t="shared" si="260"/>
        <v>0</v>
      </c>
      <c r="BD279" s="8">
        <f t="shared" si="261"/>
        <v>0</v>
      </c>
      <c r="BE279" s="8">
        <f t="shared" si="262"/>
        <v>0</v>
      </c>
      <c r="BF279" s="8">
        <f t="shared" si="263"/>
        <v>1</v>
      </c>
      <c r="BG279" s="8">
        <f t="shared" si="264"/>
        <v>15</v>
      </c>
      <c r="BH279" s="8">
        <f t="shared" si="265"/>
        <v>3</v>
      </c>
      <c r="BI279" s="8">
        <f t="shared" si="266"/>
        <v>0</v>
      </c>
      <c r="BJ279" s="645"/>
      <c r="BK279" s="8">
        <f t="shared" si="268"/>
        <v>0</v>
      </c>
      <c r="BL279" s="645"/>
    </row>
    <row r="280" spans="1:64">
      <c r="A280" s="120" t="s">
        <v>1636</v>
      </c>
      <c r="B280" s="120"/>
      <c r="C280" s="118">
        <v>1</v>
      </c>
      <c r="D280" s="118">
        <v>1</v>
      </c>
      <c r="E280" s="118"/>
      <c r="F280" s="118"/>
      <c r="G280" s="118"/>
      <c r="H280" s="118"/>
      <c r="I280" s="118"/>
      <c r="J280" s="118">
        <v>1</v>
      </c>
      <c r="K280" s="118"/>
      <c r="L280" s="118"/>
      <c r="M280" s="118"/>
      <c r="N280" s="118"/>
      <c r="O280" s="118"/>
      <c r="P280" s="118">
        <v>1</v>
      </c>
      <c r="Q280" s="118"/>
      <c r="R280" s="118"/>
      <c r="S280" s="118"/>
      <c r="T280" s="118"/>
      <c r="U280" s="118"/>
      <c r="V280" s="118"/>
      <c r="W280" s="118"/>
      <c r="X280" s="118"/>
      <c r="Y280" s="118"/>
      <c r="Z280" s="118"/>
      <c r="AA280" s="118"/>
      <c r="AB280" s="118"/>
      <c r="AC280" s="118"/>
      <c r="AD280" s="118"/>
      <c r="AE280" s="118"/>
      <c r="AF280" s="118"/>
      <c r="AG280" s="118">
        <v>1</v>
      </c>
      <c r="AH280" s="118"/>
      <c r="AI280" s="118"/>
      <c r="AJ280" s="118"/>
      <c r="AK280" s="118">
        <v>5</v>
      </c>
      <c r="AL280" s="305" t="s">
        <v>1455</v>
      </c>
      <c r="AM280" s="119">
        <f t="shared" si="245"/>
        <v>24</v>
      </c>
      <c r="AN280" s="119">
        <f t="shared" si="246"/>
        <v>72</v>
      </c>
      <c r="AO280" s="120">
        <f t="shared" si="247"/>
        <v>9</v>
      </c>
      <c r="AP280" s="120">
        <f t="shared" si="248"/>
        <v>13</v>
      </c>
      <c r="AQ280" s="120">
        <f t="shared" si="249"/>
        <v>0</v>
      </c>
      <c r="AR280" s="120">
        <f t="shared" si="250"/>
        <v>0</v>
      </c>
      <c r="AS280" s="120">
        <f t="shared" si="251"/>
        <v>17</v>
      </c>
      <c r="AT280" s="120">
        <f t="shared" si="252"/>
        <v>0</v>
      </c>
      <c r="AU280" s="120">
        <f t="shared" si="253"/>
        <v>18</v>
      </c>
      <c r="AV280" s="120">
        <f t="shared" si="254"/>
        <v>0</v>
      </c>
      <c r="AW280" s="120">
        <f t="shared" si="255"/>
        <v>0</v>
      </c>
      <c r="AX280" s="120">
        <f t="shared" ref="AX280:AY280" si="335">IF(S280=1,2,0)</f>
        <v>0</v>
      </c>
      <c r="AY280" s="120">
        <f t="shared" si="335"/>
        <v>0</v>
      </c>
      <c r="AZ280" s="120">
        <f t="shared" si="257"/>
        <v>0</v>
      </c>
      <c r="BA280" s="120">
        <f t="shared" si="258"/>
        <v>0</v>
      </c>
      <c r="BB280" s="120">
        <f t="shared" si="259"/>
        <v>0</v>
      </c>
      <c r="BC280" s="120">
        <f t="shared" si="260"/>
        <v>0</v>
      </c>
      <c r="BD280" s="120">
        <f t="shared" si="261"/>
        <v>0</v>
      </c>
      <c r="BE280" s="120">
        <f t="shared" si="262"/>
        <v>0</v>
      </c>
      <c r="BF280" s="120">
        <f t="shared" si="263"/>
        <v>0</v>
      </c>
      <c r="BG280" s="120">
        <f t="shared" si="264"/>
        <v>15</v>
      </c>
      <c r="BH280" s="120">
        <f t="shared" si="265"/>
        <v>0</v>
      </c>
      <c r="BI280" s="120">
        <f t="shared" si="266"/>
        <v>0</v>
      </c>
      <c r="BJ280" s="120"/>
      <c r="BK280" s="120">
        <f t="shared" si="268"/>
        <v>25</v>
      </c>
      <c r="BL280" s="120"/>
    </row>
    <row r="281" spans="1:64">
      <c r="A281" s="8" t="s">
        <v>673</v>
      </c>
      <c r="B281" s="645"/>
      <c r="C281" s="116">
        <v>1</v>
      </c>
      <c r="D281" s="116">
        <v>1</v>
      </c>
      <c r="E281" s="116"/>
      <c r="F281" s="116"/>
      <c r="G281" s="116"/>
      <c r="H281" s="116"/>
      <c r="I281" s="116"/>
      <c r="J281" s="116">
        <v>1</v>
      </c>
      <c r="K281" s="116"/>
      <c r="L281" s="116"/>
      <c r="M281" s="116"/>
      <c r="N281" s="116">
        <v>1</v>
      </c>
      <c r="O281" s="116"/>
      <c r="P281" s="116">
        <v>1</v>
      </c>
      <c r="Q281" s="116"/>
      <c r="R281" s="116"/>
      <c r="S281" s="116">
        <v>1</v>
      </c>
      <c r="T281" s="116"/>
      <c r="U281" s="116">
        <v>1</v>
      </c>
      <c r="V281" s="116">
        <v>1</v>
      </c>
      <c r="W281" s="116"/>
      <c r="X281" s="116"/>
      <c r="Y281" s="116">
        <v>1</v>
      </c>
      <c r="Z281" s="116"/>
      <c r="AA281" s="116"/>
      <c r="AB281" s="116"/>
      <c r="AC281" s="116"/>
      <c r="AD281" s="116"/>
      <c r="AE281" s="116"/>
      <c r="AF281" s="116"/>
      <c r="AG281" s="116">
        <v>1</v>
      </c>
      <c r="AH281" s="116"/>
      <c r="AI281" s="116"/>
      <c r="AJ281" s="116"/>
      <c r="AK281" s="116">
        <v>10</v>
      </c>
      <c r="AL281" s="11" t="s">
        <v>1455</v>
      </c>
      <c r="AM281" s="117">
        <f t="shared" si="245"/>
        <v>69</v>
      </c>
      <c r="AN281" s="117">
        <f t="shared" si="246"/>
        <v>95</v>
      </c>
      <c r="AO281" s="8">
        <f t="shared" si="247"/>
        <v>9</v>
      </c>
      <c r="AP281" s="8">
        <f t="shared" si="248"/>
        <v>13</v>
      </c>
      <c r="AQ281" s="8">
        <f t="shared" si="249"/>
        <v>0</v>
      </c>
      <c r="AR281" s="8">
        <f t="shared" si="250"/>
        <v>0</v>
      </c>
      <c r="AS281" s="8">
        <f t="shared" si="251"/>
        <v>17</v>
      </c>
      <c r="AT281" s="8">
        <f t="shared" si="252"/>
        <v>2</v>
      </c>
      <c r="AU281" s="8">
        <f t="shared" si="253"/>
        <v>18</v>
      </c>
      <c r="AV281" s="8">
        <f t="shared" si="254"/>
        <v>0</v>
      </c>
      <c r="AW281" s="8">
        <f t="shared" si="255"/>
        <v>0</v>
      </c>
      <c r="AX281" s="8">
        <f t="shared" ref="AX281:AY281" si="336">IF(S281=1,2,0)</f>
        <v>2</v>
      </c>
      <c r="AY281" s="8">
        <f t="shared" si="336"/>
        <v>0</v>
      </c>
      <c r="AZ281" s="8">
        <f t="shared" si="257"/>
        <v>10</v>
      </c>
      <c r="BA281" s="8">
        <f t="shared" si="258"/>
        <v>3</v>
      </c>
      <c r="BB281" s="8">
        <f t="shared" si="259"/>
        <v>10</v>
      </c>
      <c r="BC281" s="8">
        <f t="shared" si="260"/>
        <v>0</v>
      </c>
      <c r="BD281" s="8">
        <f t="shared" si="261"/>
        <v>0</v>
      </c>
      <c r="BE281" s="8">
        <f t="shared" si="262"/>
        <v>0</v>
      </c>
      <c r="BF281" s="8">
        <f t="shared" si="263"/>
        <v>0</v>
      </c>
      <c r="BG281" s="8">
        <f t="shared" si="264"/>
        <v>15</v>
      </c>
      <c r="BH281" s="8">
        <f t="shared" si="265"/>
        <v>0</v>
      </c>
      <c r="BI281" s="8">
        <f t="shared" si="266"/>
        <v>0</v>
      </c>
      <c r="BJ281" s="645"/>
      <c r="BK281" s="8">
        <f t="shared" si="268"/>
        <v>0</v>
      </c>
      <c r="BL281" s="645"/>
    </row>
    <row r="282" spans="1:64">
      <c r="A282" s="120" t="s">
        <v>1637</v>
      </c>
      <c r="B282" s="120"/>
      <c r="C282" s="118">
        <v>1</v>
      </c>
      <c r="D282" s="118">
        <v>1</v>
      </c>
      <c r="E282" s="118">
        <v>1</v>
      </c>
      <c r="F282" s="118"/>
      <c r="G282" s="118">
        <v>1</v>
      </c>
      <c r="H282" s="118"/>
      <c r="I282" s="118"/>
      <c r="J282" s="118">
        <v>1</v>
      </c>
      <c r="K282" s="118"/>
      <c r="L282" s="118"/>
      <c r="M282" s="118"/>
      <c r="N282" s="118"/>
      <c r="O282" s="118"/>
      <c r="P282" s="118">
        <v>1</v>
      </c>
      <c r="Q282" s="118"/>
      <c r="R282" s="118"/>
      <c r="S282" s="118"/>
      <c r="T282" s="118"/>
      <c r="U282" s="118"/>
      <c r="V282" s="118"/>
      <c r="W282" s="118"/>
      <c r="X282" s="118"/>
      <c r="Y282" s="118">
        <v>1</v>
      </c>
      <c r="Z282" s="118">
        <v>1</v>
      </c>
      <c r="AA282" s="118"/>
      <c r="AB282" s="118"/>
      <c r="AC282" s="118"/>
      <c r="AD282" s="118"/>
      <c r="AE282" s="118"/>
      <c r="AF282" s="118"/>
      <c r="AG282" s="118">
        <v>1</v>
      </c>
      <c r="AH282" s="118"/>
      <c r="AI282" s="118">
        <v>1</v>
      </c>
      <c r="AJ282" s="118"/>
      <c r="AK282" s="118">
        <v>10</v>
      </c>
      <c r="AL282" s="305" t="s">
        <v>1455</v>
      </c>
      <c r="AM282" s="119">
        <f t="shared" si="245"/>
        <v>100</v>
      </c>
      <c r="AN282" s="119">
        <f t="shared" si="246"/>
        <v>96</v>
      </c>
      <c r="AO282" s="120">
        <f t="shared" si="247"/>
        <v>9</v>
      </c>
      <c r="AP282" s="120">
        <f t="shared" si="248"/>
        <v>13</v>
      </c>
      <c r="AQ282" s="120">
        <f t="shared" si="249"/>
        <v>6</v>
      </c>
      <c r="AR282" s="120">
        <f t="shared" si="250"/>
        <v>6</v>
      </c>
      <c r="AS282" s="120">
        <f t="shared" si="251"/>
        <v>17</v>
      </c>
      <c r="AT282" s="120">
        <f t="shared" si="252"/>
        <v>0</v>
      </c>
      <c r="AU282" s="120">
        <f t="shared" si="253"/>
        <v>18</v>
      </c>
      <c r="AV282" s="120">
        <f t="shared" si="254"/>
        <v>0</v>
      </c>
      <c r="AW282" s="120">
        <f t="shared" si="255"/>
        <v>0</v>
      </c>
      <c r="AX282" s="120">
        <f t="shared" ref="AX282:AY282" si="337">IF(S282=1,2,0)</f>
        <v>0</v>
      </c>
      <c r="AY282" s="120">
        <f t="shared" si="337"/>
        <v>0</v>
      </c>
      <c r="AZ282" s="120">
        <f t="shared" si="257"/>
        <v>0</v>
      </c>
      <c r="BA282" s="120">
        <f t="shared" si="258"/>
        <v>0</v>
      </c>
      <c r="BB282" s="120">
        <f t="shared" si="259"/>
        <v>10</v>
      </c>
      <c r="BC282" s="120">
        <f t="shared" si="260"/>
        <v>8</v>
      </c>
      <c r="BD282" s="120">
        <f t="shared" si="261"/>
        <v>0</v>
      </c>
      <c r="BE282" s="120">
        <f t="shared" si="262"/>
        <v>0</v>
      </c>
      <c r="BF282" s="120">
        <f t="shared" si="263"/>
        <v>0</v>
      </c>
      <c r="BG282" s="120">
        <f t="shared" si="264"/>
        <v>15</v>
      </c>
      <c r="BH282" s="120">
        <f t="shared" si="265"/>
        <v>3</v>
      </c>
      <c r="BI282" s="120">
        <f t="shared" si="266"/>
        <v>0</v>
      </c>
      <c r="BJ282" s="120"/>
      <c r="BK282" s="120">
        <f t="shared" si="268"/>
        <v>0</v>
      </c>
      <c r="BL282" s="120"/>
    </row>
    <row r="283" spans="1:64">
      <c r="A283" s="8" t="s">
        <v>1638</v>
      </c>
      <c r="B283" s="645"/>
      <c r="C283" s="116">
        <v>1</v>
      </c>
      <c r="D283" s="116">
        <v>1</v>
      </c>
      <c r="E283" s="116">
        <v>1</v>
      </c>
      <c r="F283" s="116"/>
      <c r="G283" s="116">
        <v>1</v>
      </c>
      <c r="H283" s="116"/>
      <c r="I283" s="116"/>
      <c r="J283" s="116">
        <v>1</v>
      </c>
      <c r="K283" s="116"/>
      <c r="L283" s="116"/>
      <c r="M283" s="116"/>
      <c r="N283" s="116"/>
      <c r="O283" s="116"/>
      <c r="P283" s="116">
        <v>1</v>
      </c>
      <c r="Q283" s="116"/>
      <c r="R283" s="116"/>
      <c r="S283" s="116"/>
      <c r="T283" s="116"/>
      <c r="U283" s="116">
        <v>1</v>
      </c>
      <c r="V283" s="116"/>
      <c r="W283" s="116"/>
      <c r="X283" s="116"/>
      <c r="Y283" s="116"/>
      <c r="Z283" s="116">
        <v>1</v>
      </c>
      <c r="AA283" s="116"/>
      <c r="AB283" s="116"/>
      <c r="AC283" s="116"/>
      <c r="AD283" s="116">
        <v>1</v>
      </c>
      <c r="AE283" s="116"/>
      <c r="AF283" s="116"/>
      <c r="AG283" s="116">
        <v>1</v>
      </c>
      <c r="AH283" s="116"/>
      <c r="AI283" s="116"/>
      <c r="AJ283" s="116"/>
      <c r="AK283" s="116">
        <v>10</v>
      </c>
      <c r="AL283" s="8" t="s">
        <v>1137</v>
      </c>
      <c r="AM283" s="117">
        <f t="shared" si="245"/>
        <v>88</v>
      </c>
      <c r="AN283" s="117">
        <f t="shared" si="246"/>
        <v>96</v>
      </c>
      <c r="AO283" s="8">
        <f t="shared" si="247"/>
        <v>9</v>
      </c>
      <c r="AP283" s="8">
        <f t="shared" si="248"/>
        <v>13</v>
      </c>
      <c r="AQ283" s="8">
        <f t="shared" si="249"/>
        <v>6</v>
      </c>
      <c r="AR283" s="8">
        <f t="shared" si="250"/>
        <v>6</v>
      </c>
      <c r="AS283" s="8">
        <f t="shared" si="251"/>
        <v>17</v>
      </c>
      <c r="AT283" s="8">
        <f t="shared" si="252"/>
        <v>0</v>
      </c>
      <c r="AU283" s="8">
        <f t="shared" si="253"/>
        <v>18</v>
      </c>
      <c r="AV283" s="8">
        <f t="shared" si="254"/>
        <v>0</v>
      </c>
      <c r="AW283" s="8">
        <f t="shared" si="255"/>
        <v>0</v>
      </c>
      <c r="AX283" s="8">
        <f t="shared" ref="AX283:AY283" si="338">IF(S283=1,2,0)</f>
        <v>0</v>
      </c>
      <c r="AY283" s="8">
        <f t="shared" si="338"/>
        <v>0</v>
      </c>
      <c r="AZ283" s="8">
        <f t="shared" si="257"/>
        <v>10</v>
      </c>
      <c r="BA283" s="8">
        <f t="shared" si="258"/>
        <v>0</v>
      </c>
      <c r="BB283" s="8">
        <f t="shared" si="259"/>
        <v>0</v>
      </c>
      <c r="BC283" s="8">
        <f t="shared" si="260"/>
        <v>8</v>
      </c>
      <c r="BD283" s="8">
        <f t="shared" si="261"/>
        <v>0</v>
      </c>
      <c r="BE283" s="8">
        <f t="shared" si="262"/>
        <v>5</v>
      </c>
      <c r="BF283" s="8">
        <f t="shared" si="263"/>
        <v>0</v>
      </c>
      <c r="BG283" s="8">
        <f t="shared" si="264"/>
        <v>15</v>
      </c>
      <c r="BH283" s="8">
        <f t="shared" si="265"/>
        <v>0</v>
      </c>
      <c r="BI283" s="8">
        <f t="shared" si="266"/>
        <v>0</v>
      </c>
      <c r="BJ283" s="645"/>
      <c r="BK283" s="8">
        <f t="shared" si="268"/>
        <v>0</v>
      </c>
      <c r="BL283" s="645"/>
    </row>
    <row r="284" spans="1:64">
      <c r="A284" s="120" t="s">
        <v>1639</v>
      </c>
      <c r="B284" s="120"/>
      <c r="C284" s="118">
        <v>1</v>
      </c>
      <c r="D284" s="118">
        <v>1</v>
      </c>
      <c r="E284" s="118">
        <v>1</v>
      </c>
      <c r="F284" s="118"/>
      <c r="G284" s="118">
        <v>1</v>
      </c>
      <c r="H284" s="118"/>
      <c r="I284" s="118"/>
      <c r="J284" s="118">
        <v>1</v>
      </c>
      <c r="K284" s="118"/>
      <c r="L284" s="118"/>
      <c r="M284" s="118"/>
      <c r="N284" s="118"/>
      <c r="O284" s="118"/>
      <c r="P284" s="118">
        <v>1</v>
      </c>
      <c r="Q284" s="118">
        <v>1</v>
      </c>
      <c r="R284" s="118"/>
      <c r="S284" s="118"/>
      <c r="T284" s="118"/>
      <c r="U284" s="118"/>
      <c r="V284" s="118"/>
      <c r="W284" s="118"/>
      <c r="X284" s="118"/>
      <c r="Y284" s="118">
        <v>1</v>
      </c>
      <c r="Z284" s="118"/>
      <c r="AA284" s="118"/>
      <c r="AB284" s="118">
        <v>1</v>
      </c>
      <c r="AC284" s="118"/>
      <c r="AD284" s="118"/>
      <c r="AE284" s="118"/>
      <c r="AF284" s="118"/>
      <c r="AG284" s="118">
        <v>1</v>
      </c>
      <c r="AH284" s="118"/>
      <c r="AI284" s="118"/>
      <c r="AJ284" s="118"/>
      <c r="AK284" s="118">
        <v>10</v>
      </c>
      <c r="AL284" s="305" t="s">
        <v>1640</v>
      </c>
      <c r="AM284" s="119">
        <f t="shared" si="245"/>
        <v>96</v>
      </c>
      <c r="AN284" s="119">
        <f t="shared" si="246"/>
        <v>94</v>
      </c>
      <c r="AO284" s="120">
        <f t="shared" si="247"/>
        <v>9</v>
      </c>
      <c r="AP284" s="120">
        <f t="shared" si="248"/>
        <v>13</v>
      </c>
      <c r="AQ284" s="120">
        <f t="shared" si="249"/>
        <v>6</v>
      </c>
      <c r="AR284" s="120">
        <f t="shared" si="250"/>
        <v>6</v>
      </c>
      <c r="AS284" s="120">
        <f t="shared" si="251"/>
        <v>17</v>
      </c>
      <c r="AT284" s="120">
        <f t="shared" si="252"/>
        <v>0</v>
      </c>
      <c r="AU284" s="120">
        <f t="shared" si="253"/>
        <v>18</v>
      </c>
      <c r="AV284" s="120">
        <f t="shared" si="254"/>
        <v>4</v>
      </c>
      <c r="AW284" s="120">
        <f t="shared" si="255"/>
        <v>0</v>
      </c>
      <c r="AX284" s="120">
        <f t="shared" ref="AX284:AY284" si="339">IF(S284=1,2,0)</f>
        <v>0</v>
      </c>
      <c r="AY284" s="120">
        <f t="shared" si="339"/>
        <v>0</v>
      </c>
      <c r="AZ284" s="120">
        <f t="shared" si="257"/>
        <v>0</v>
      </c>
      <c r="BA284" s="120">
        <f t="shared" si="258"/>
        <v>0</v>
      </c>
      <c r="BB284" s="120">
        <f t="shared" si="259"/>
        <v>10</v>
      </c>
      <c r="BC284" s="120">
        <f t="shared" si="260"/>
        <v>0</v>
      </c>
      <c r="BD284" s="120">
        <f t="shared" si="261"/>
        <v>5</v>
      </c>
      <c r="BE284" s="120">
        <f t="shared" si="262"/>
        <v>0</v>
      </c>
      <c r="BF284" s="120">
        <f t="shared" si="263"/>
        <v>0</v>
      </c>
      <c r="BG284" s="120">
        <f t="shared" si="264"/>
        <v>15</v>
      </c>
      <c r="BH284" s="120">
        <f t="shared" si="265"/>
        <v>0</v>
      </c>
      <c r="BI284" s="120">
        <f t="shared" si="266"/>
        <v>0</v>
      </c>
      <c r="BJ284" s="120"/>
      <c r="BK284" s="120">
        <f t="shared" si="268"/>
        <v>0</v>
      </c>
      <c r="BL284" s="120"/>
    </row>
    <row r="285" spans="1:64">
      <c r="A285" s="8" t="s">
        <v>447</v>
      </c>
      <c r="B285" s="645"/>
      <c r="C285" s="116"/>
      <c r="D285" s="116"/>
      <c r="E285" s="116">
        <v>1</v>
      </c>
      <c r="F285" s="116"/>
      <c r="G285" s="116">
        <v>1</v>
      </c>
      <c r="H285" s="116"/>
      <c r="I285" s="116"/>
      <c r="J285" s="116">
        <v>1</v>
      </c>
      <c r="K285" s="116"/>
      <c r="L285" s="116"/>
      <c r="M285" s="116"/>
      <c r="N285" s="116"/>
      <c r="O285" s="116"/>
      <c r="P285" s="116">
        <v>1</v>
      </c>
      <c r="Q285" s="116"/>
      <c r="R285" s="116"/>
      <c r="S285" s="116"/>
      <c r="T285" s="116">
        <v>1</v>
      </c>
      <c r="U285" s="116"/>
      <c r="V285" s="116">
        <v>1</v>
      </c>
      <c r="W285" s="116"/>
      <c r="X285" s="116"/>
      <c r="Y285" s="116">
        <v>1</v>
      </c>
      <c r="Z285" s="116">
        <v>1</v>
      </c>
      <c r="AA285" s="116"/>
      <c r="AB285" s="116"/>
      <c r="AC285" s="116"/>
      <c r="AD285" s="116"/>
      <c r="AE285" s="116"/>
      <c r="AF285" s="116">
        <v>1</v>
      </c>
      <c r="AG285" s="116">
        <v>1</v>
      </c>
      <c r="AH285" s="116"/>
      <c r="AI285" s="116"/>
      <c r="AJ285" s="116"/>
      <c r="AK285" s="116">
        <v>10</v>
      </c>
      <c r="AL285" s="11" t="s">
        <v>1641</v>
      </c>
      <c r="AM285" s="117">
        <f t="shared" si="245"/>
        <v>92</v>
      </c>
      <c r="AN285" s="117">
        <f t="shared" si="246"/>
        <v>83</v>
      </c>
      <c r="AO285" s="8">
        <f t="shared" si="247"/>
        <v>0</v>
      </c>
      <c r="AP285" s="8">
        <f t="shared" si="248"/>
        <v>0</v>
      </c>
      <c r="AQ285" s="8">
        <f t="shared" si="249"/>
        <v>6</v>
      </c>
      <c r="AR285" s="8">
        <f t="shared" si="250"/>
        <v>6</v>
      </c>
      <c r="AS285" s="8">
        <f t="shared" si="251"/>
        <v>17</v>
      </c>
      <c r="AT285" s="8">
        <f t="shared" si="252"/>
        <v>0</v>
      </c>
      <c r="AU285" s="8">
        <f t="shared" si="253"/>
        <v>18</v>
      </c>
      <c r="AV285" s="8">
        <f t="shared" si="254"/>
        <v>0</v>
      </c>
      <c r="AW285" s="8">
        <f t="shared" si="255"/>
        <v>0</v>
      </c>
      <c r="AX285" s="8">
        <f t="shared" ref="AX285:AY285" si="340">IF(S285=1,2,0)</f>
        <v>0</v>
      </c>
      <c r="AY285" s="8">
        <f t="shared" si="340"/>
        <v>2</v>
      </c>
      <c r="AZ285" s="8">
        <f t="shared" si="257"/>
        <v>0</v>
      </c>
      <c r="BA285" s="8">
        <f t="shared" si="258"/>
        <v>3</v>
      </c>
      <c r="BB285" s="8">
        <f t="shared" si="259"/>
        <v>10</v>
      </c>
      <c r="BC285" s="8">
        <f t="shared" si="260"/>
        <v>8</v>
      </c>
      <c r="BD285" s="8">
        <f t="shared" si="261"/>
        <v>0</v>
      </c>
      <c r="BE285" s="8">
        <f t="shared" si="262"/>
        <v>0</v>
      </c>
      <c r="BF285" s="8">
        <f t="shared" si="263"/>
        <v>1</v>
      </c>
      <c r="BG285" s="8">
        <f t="shared" si="264"/>
        <v>15</v>
      </c>
      <c r="BH285" s="8">
        <f t="shared" si="265"/>
        <v>0</v>
      </c>
      <c r="BI285" s="8">
        <f t="shared" si="266"/>
        <v>0</v>
      </c>
      <c r="BJ285" s="645"/>
      <c r="BK285" s="8">
        <f t="shared" si="268"/>
        <v>0</v>
      </c>
      <c r="BL285" s="645"/>
    </row>
    <row r="286" spans="1:64">
      <c r="A286" s="120" t="s">
        <v>1334</v>
      </c>
      <c r="B286" s="120"/>
      <c r="C286" s="118">
        <v>1</v>
      </c>
      <c r="D286" s="118"/>
      <c r="E286" s="118">
        <v>1</v>
      </c>
      <c r="F286" s="118"/>
      <c r="G286" s="118">
        <v>1</v>
      </c>
      <c r="H286" s="118"/>
      <c r="I286" s="118"/>
      <c r="J286" s="118">
        <v>1</v>
      </c>
      <c r="K286" s="118"/>
      <c r="L286" s="118"/>
      <c r="M286" s="118"/>
      <c r="N286" s="118"/>
      <c r="O286" s="118"/>
      <c r="P286" s="118">
        <v>1</v>
      </c>
      <c r="Q286" s="118"/>
      <c r="R286" s="118"/>
      <c r="S286" s="118"/>
      <c r="T286" s="118">
        <v>1</v>
      </c>
      <c r="U286" s="118">
        <v>1</v>
      </c>
      <c r="V286" s="118"/>
      <c r="W286" s="118"/>
      <c r="X286" s="118"/>
      <c r="Y286" s="118">
        <v>1</v>
      </c>
      <c r="Z286" s="118">
        <v>1</v>
      </c>
      <c r="AA286" s="118"/>
      <c r="AB286" s="118"/>
      <c r="AC286" s="118"/>
      <c r="AD286" s="118"/>
      <c r="AE286" s="118"/>
      <c r="AF286" s="118"/>
      <c r="AG286" s="118">
        <v>1</v>
      </c>
      <c r="AH286" s="118"/>
      <c r="AI286" s="118"/>
      <c r="AJ286" s="118"/>
      <c r="AK286" s="118">
        <v>10</v>
      </c>
      <c r="AL286" s="305" t="s">
        <v>1455</v>
      </c>
      <c r="AM286" s="119">
        <f t="shared" si="245"/>
        <v>94</v>
      </c>
      <c r="AN286" s="119">
        <f t="shared" si="246"/>
        <v>93</v>
      </c>
      <c r="AO286" s="120">
        <f t="shared" si="247"/>
        <v>9</v>
      </c>
      <c r="AP286" s="120">
        <f t="shared" si="248"/>
        <v>0</v>
      </c>
      <c r="AQ286" s="120">
        <f t="shared" si="249"/>
        <v>6</v>
      </c>
      <c r="AR286" s="120">
        <f t="shared" si="250"/>
        <v>6</v>
      </c>
      <c r="AS286" s="120">
        <f t="shared" si="251"/>
        <v>17</v>
      </c>
      <c r="AT286" s="120">
        <f t="shared" si="252"/>
        <v>0</v>
      </c>
      <c r="AU286" s="120">
        <f t="shared" si="253"/>
        <v>18</v>
      </c>
      <c r="AV286" s="120">
        <f t="shared" si="254"/>
        <v>0</v>
      </c>
      <c r="AW286" s="120">
        <f t="shared" si="255"/>
        <v>0</v>
      </c>
      <c r="AX286" s="120">
        <f t="shared" ref="AX286:AY286" si="341">IF(S286=1,2,0)</f>
        <v>0</v>
      </c>
      <c r="AY286" s="120">
        <f t="shared" si="341"/>
        <v>2</v>
      </c>
      <c r="AZ286" s="120">
        <f t="shared" si="257"/>
        <v>10</v>
      </c>
      <c r="BA286" s="120">
        <f t="shared" si="258"/>
        <v>0</v>
      </c>
      <c r="BB286" s="120">
        <f t="shared" si="259"/>
        <v>10</v>
      </c>
      <c r="BC286" s="120">
        <f t="shared" si="260"/>
        <v>8</v>
      </c>
      <c r="BD286" s="120">
        <f t="shared" si="261"/>
        <v>0</v>
      </c>
      <c r="BE286" s="120">
        <f t="shared" si="262"/>
        <v>0</v>
      </c>
      <c r="BF286" s="120">
        <f t="shared" si="263"/>
        <v>0</v>
      </c>
      <c r="BG286" s="120">
        <f t="shared" si="264"/>
        <v>15</v>
      </c>
      <c r="BH286" s="120">
        <f t="shared" si="265"/>
        <v>0</v>
      </c>
      <c r="BI286" s="120">
        <f t="shared" si="266"/>
        <v>0</v>
      </c>
      <c r="BJ286" s="120"/>
      <c r="BK286" s="120">
        <f t="shared" si="268"/>
        <v>0</v>
      </c>
      <c r="BL286" s="120"/>
    </row>
    <row r="287" spans="1:64">
      <c r="A287" s="8" t="s">
        <v>1642</v>
      </c>
      <c r="B287" s="645"/>
      <c r="C287" s="116"/>
      <c r="D287" s="116"/>
      <c r="E287" s="116">
        <v>1</v>
      </c>
      <c r="F287" s="116"/>
      <c r="G287" s="116">
        <v>1</v>
      </c>
      <c r="H287" s="116"/>
      <c r="I287" s="116"/>
      <c r="J287" s="116">
        <v>1</v>
      </c>
      <c r="K287" s="116"/>
      <c r="L287" s="116"/>
      <c r="M287" s="116"/>
      <c r="N287" s="116"/>
      <c r="O287" s="116"/>
      <c r="P287" s="116">
        <v>1</v>
      </c>
      <c r="Q287" s="116"/>
      <c r="R287" s="116"/>
      <c r="S287" s="116"/>
      <c r="T287" s="116"/>
      <c r="U287" s="116">
        <v>1</v>
      </c>
      <c r="V287" s="116"/>
      <c r="W287" s="116"/>
      <c r="X287" s="116"/>
      <c r="Y287" s="116">
        <v>1</v>
      </c>
      <c r="Z287" s="116"/>
      <c r="AA287" s="116"/>
      <c r="AB287" s="116"/>
      <c r="AC287" s="116"/>
      <c r="AD287" s="116"/>
      <c r="AE287" s="116"/>
      <c r="AF287" s="116"/>
      <c r="AG287" s="116">
        <v>1</v>
      </c>
      <c r="AH287" s="116"/>
      <c r="AI287" s="116"/>
      <c r="AJ287" s="116"/>
      <c r="AK287" s="116">
        <v>7</v>
      </c>
      <c r="AL287" s="11" t="s">
        <v>1455</v>
      </c>
      <c r="AM287" s="117">
        <f t="shared" si="245"/>
        <v>62</v>
      </c>
      <c r="AN287" s="117">
        <f t="shared" si="246"/>
        <v>82</v>
      </c>
      <c r="AO287" s="8">
        <f t="shared" si="247"/>
        <v>0</v>
      </c>
      <c r="AP287" s="8">
        <f t="shared" si="248"/>
        <v>0</v>
      </c>
      <c r="AQ287" s="8">
        <f t="shared" si="249"/>
        <v>6</v>
      </c>
      <c r="AR287" s="8">
        <f t="shared" si="250"/>
        <v>6</v>
      </c>
      <c r="AS287" s="8">
        <f t="shared" si="251"/>
        <v>17</v>
      </c>
      <c r="AT287" s="8">
        <f t="shared" si="252"/>
        <v>0</v>
      </c>
      <c r="AU287" s="8">
        <f t="shared" si="253"/>
        <v>18</v>
      </c>
      <c r="AV287" s="8">
        <f t="shared" si="254"/>
        <v>0</v>
      </c>
      <c r="AW287" s="8">
        <f t="shared" si="255"/>
        <v>0</v>
      </c>
      <c r="AX287" s="8">
        <f t="shared" ref="AX287:AY287" si="342">IF(S287=1,2,0)</f>
        <v>0</v>
      </c>
      <c r="AY287" s="8">
        <f t="shared" si="342"/>
        <v>0</v>
      </c>
      <c r="AZ287" s="8">
        <f t="shared" si="257"/>
        <v>10</v>
      </c>
      <c r="BA287" s="8">
        <f t="shared" si="258"/>
        <v>0</v>
      </c>
      <c r="BB287" s="8">
        <f t="shared" si="259"/>
        <v>10</v>
      </c>
      <c r="BC287" s="8">
        <f t="shared" si="260"/>
        <v>0</v>
      </c>
      <c r="BD287" s="8">
        <f t="shared" si="261"/>
        <v>0</v>
      </c>
      <c r="BE287" s="8">
        <f t="shared" si="262"/>
        <v>0</v>
      </c>
      <c r="BF287" s="8">
        <f t="shared" si="263"/>
        <v>0</v>
      </c>
      <c r="BG287" s="8">
        <f t="shared" si="264"/>
        <v>15</v>
      </c>
      <c r="BH287" s="8">
        <f t="shared" si="265"/>
        <v>0</v>
      </c>
      <c r="BI287" s="8">
        <f t="shared" si="266"/>
        <v>0</v>
      </c>
      <c r="BJ287" s="645"/>
      <c r="BK287" s="8">
        <f t="shared" si="268"/>
        <v>9</v>
      </c>
      <c r="BL287" s="645"/>
    </row>
    <row r="288" spans="1:64">
      <c r="A288" s="120" t="s">
        <v>275</v>
      </c>
      <c r="B288" s="120"/>
      <c r="C288" s="118"/>
      <c r="D288" s="118">
        <v>1</v>
      </c>
      <c r="E288" s="118"/>
      <c r="F288" s="118"/>
      <c r="G288" s="118"/>
      <c r="H288" s="118"/>
      <c r="I288" s="118"/>
      <c r="J288" s="118">
        <v>1</v>
      </c>
      <c r="K288" s="118"/>
      <c r="L288" s="118"/>
      <c r="M288" s="118"/>
      <c r="N288" s="118"/>
      <c r="O288" s="118"/>
      <c r="P288" s="118">
        <v>1</v>
      </c>
      <c r="Q288" s="118"/>
      <c r="R288" s="118"/>
      <c r="S288" s="118"/>
      <c r="T288" s="118"/>
      <c r="U288" s="118">
        <v>1</v>
      </c>
      <c r="V288" s="118">
        <v>1</v>
      </c>
      <c r="W288" s="118"/>
      <c r="X288" s="118"/>
      <c r="Y288" s="118"/>
      <c r="Z288" s="118">
        <v>1</v>
      </c>
      <c r="AA288" s="118"/>
      <c r="AB288" s="118">
        <v>1</v>
      </c>
      <c r="AC288" s="118"/>
      <c r="AD288" s="118"/>
      <c r="AE288" s="118"/>
      <c r="AF288" s="118"/>
      <c r="AG288" s="118">
        <v>1</v>
      </c>
      <c r="AH288" s="118"/>
      <c r="AI288" s="118"/>
      <c r="AJ288" s="118"/>
      <c r="AK288" s="118">
        <v>8</v>
      </c>
      <c r="AL288" s="305" t="s">
        <v>1643</v>
      </c>
      <c r="AM288" s="119">
        <f t="shared" si="245"/>
        <v>56</v>
      </c>
      <c r="AN288" s="119">
        <f t="shared" si="246"/>
        <v>89</v>
      </c>
      <c r="AO288" s="120">
        <f t="shared" si="247"/>
        <v>0</v>
      </c>
      <c r="AP288" s="120">
        <f t="shared" si="248"/>
        <v>13</v>
      </c>
      <c r="AQ288" s="120">
        <f t="shared" si="249"/>
        <v>0</v>
      </c>
      <c r="AR288" s="120">
        <f t="shared" si="250"/>
        <v>0</v>
      </c>
      <c r="AS288" s="120">
        <f t="shared" si="251"/>
        <v>17</v>
      </c>
      <c r="AT288" s="120">
        <f t="shared" si="252"/>
        <v>0</v>
      </c>
      <c r="AU288" s="120">
        <f t="shared" si="253"/>
        <v>18</v>
      </c>
      <c r="AV288" s="120">
        <f t="shared" si="254"/>
        <v>0</v>
      </c>
      <c r="AW288" s="120">
        <f t="shared" si="255"/>
        <v>0</v>
      </c>
      <c r="AX288" s="120">
        <f t="shared" ref="AX288:AY288" si="343">IF(S288=1,2,0)</f>
        <v>0</v>
      </c>
      <c r="AY288" s="120">
        <f t="shared" si="343"/>
        <v>0</v>
      </c>
      <c r="AZ288" s="120">
        <f t="shared" si="257"/>
        <v>10</v>
      </c>
      <c r="BA288" s="120">
        <f t="shared" si="258"/>
        <v>3</v>
      </c>
      <c r="BB288" s="120">
        <f t="shared" si="259"/>
        <v>0</v>
      </c>
      <c r="BC288" s="120">
        <f t="shared" si="260"/>
        <v>8</v>
      </c>
      <c r="BD288" s="120">
        <f t="shared" si="261"/>
        <v>5</v>
      </c>
      <c r="BE288" s="120">
        <f t="shared" si="262"/>
        <v>0</v>
      </c>
      <c r="BF288" s="120">
        <f t="shared" si="263"/>
        <v>0</v>
      </c>
      <c r="BG288" s="120">
        <f t="shared" si="264"/>
        <v>15</v>
      </c>
      <c r="BH288" s="120">
        <f t="shared" si="265"/>
        <v>0</v>
      </c>
      <c r="BI288" s="120">
        <f t="shared" si="266"/>
        <v>0</v>
      </c>
      <c r="BJ288" s="120"/>
      <c r="BK288" s="120">
        <f t="shared" si="268"/>
        <v>4</v>
      </c>
      <c r="BL288" s="120"/>
    </row>
    <row r="289" spans="1:64">
      <c r="A289" s="8" t="s">
        <v>677</v>
      </c>
      <c r="B289" s="645"/>
      <c r="C289" s="116"/>
      <c r="D289" s="116">
        <v>1</v>
      </c>
      <c r="E289" s="116"/>
      <c r="F289" s="116"/>
      <c r="G289" s="116"/>
      <c r="H289" s="116"/>
      <c r="I289" s="116"/>
      <c r="J289" s="116">
        <v>1</v>
      </c>
      <c r="K289" s="116"/>
      <c r="L289" s="116"/>
      <c r="M289" s="116"/>
      <c r="N289" s="116"/>
      <c r="O289" s="116"/>
      <c r="P289" s="116">
        <v>1</v>
      </c>
      <c r="Q289" s="116"/>
      <c r="R289" s="116"/>
      <c r="S289" s="116"/>
      <c r="T289" s="116"/>
      <c r="U289" s="116">
        <v>1</v>
      </c>
      <c r="V289" s="116"/>
      <c r="W289" s="116"/>
      <c r="X289" s="116"/>
      <c r="Y289" s="116"/>
      <c r="Z289" s="116">
        <v>1</v>
      </c>
      <c r="AA289" s="116"/>
      <c r="AB289" s="116"/>
      <c r="AC289" s="116"/>
      <c r="AD289" s="116">
        <v>1</v>
      </c>
      <c r="AE289" s="116"/>
      <c r="AF289" s="116"/>
      <c r="AG289" s="116">
        <v>1</v>
      </c>
      <c r="AH289" s="116"/>
      <c r="AI289" s="116"/>
      <c r="AJ289" s="116"/>
      <c r="AK289" s="116">
        <v>7</v>
      </c>
      <c r="AL289" s="11" t="s">
        <v>1644</v>
      </c>
      <c r="AM289" s="117">
        <f t="shared" si="245"/>
        <v>42</v>
      </c>
      <c r="AN289" s="117">
        <f t="shared" si="246"/>
        <v>86</v>
      </c>
      <c r="AO289" s="8">
        <f t="shared" si="247"/>
        <v>0</v>
      </c>
      <c r="AP289" s="8">
        <f t="shared" si="248"/>
        <v>13</v>
      </c>
      <c r="AQ289" s="8">
        <f t="shared" si="249"/>
        <v>0</v>
      </c>
      <c r="AR289" s="8">
        <f t="shared" si="250"/>
        <v>0</v>
      </c>
      <c r="AS289" s="8">
        <f t="shared" si="251"/>
        <v>17</v>
      </c>
      <c r="AT289" s="8">
        <f t="shared" si="252"/>
        <v>0</v>
      </c>
      <c r="AU289" s="8">
        <f t="shared" si="253"/>
        <v>18</v>
      </c>
      <c r="AV289" s="8">
        <f t="shared" si="254"/>
        <v>0</v>
      </c>
      <c r="AW289" s="8">
        <f t="shared" si="255"/>
        <v>0</v>
      </c>
      <c r="AX289" s="8">
        <f t="shared" ref="AX289:AY289" si="344">IF(S289=1,2,0)</f>
        <v>0</v>
      </c>
      <c r="AY289" s="8">
        <f t="shared" si="344"/>
        <v>0</v>
      </c>
      <c r="AZ289" s="8">
        <f t="shared" si="257"/>
        <v>10</v>
      </c>
      <c r="BA289" s="8">
        <f t="shared" si="258"/>
        <v>0</v>
      </c>
      <c r="BB289" s="8">
        <f t="shared" si="259"/>
        <v>0</v>
      </c>
      <c r="BC289" s="8">
        <f t="shared" si="260"/>
        <v>8</v>
      </c>
      <c r="BD289" s="8">
        <f t="shared" si="261"/>
        <v>0</v>
      </c>
      <c r="BE289" s="8">
        <f t="shared" si="262"/>
        <v>5</v>
      </c>
      <c r="BF289" s="8">
        <f t="shared" si="263"/>
        <v>0</v>
      </c>
      <c r="BG289" s="8">
        <f t="shared" si="264"/>
        <v>15</v>
      </c>
      <c r="BH289" s="8">
        <f t="shared" si="265"/>
        <v>0</v>
      </c>
      <c r="BI289" s="8">
        <f t="shared" si="266"/>
        <v>0</v>
      </c>
      <c r="BJ289" s="645"/>
      <c r="BK289" s="8">
        <f t="shared" si="268"/>
        <v>9</v>
      </c>
      <c r="BL289" s="645"/>
    </row>
    <row r="290" spans="1:64">
      <c r="A290" s="120" t="s">
        <v>452</v>
      </c>
      <c r="B290" s="120"/>
      <c r="C290" s="118"/>
      <c r="D290" s="118">
        <v>1</v>
      </c>
      <c r="E290" s="118"/>
      <c r="F290" s="118"/>
      <c r="G290" s="118"/>
      <c r="H290" s="118"/>
      <c r="I290" s="118"/>
      <c r="J290" s="118">
        <v>1</v>
      </c>
      <c r="K290" s="118"/>
      <c r="L290" s="118"/>
      <c r="M290" s="118"/>
      <c r="N290" s="118"/>
      <c r="O290" s="118"/>
      <c r="P290" s="118">
        <v>1</v>
      </c>
      <c r="Q290" s="118"/>
      <c r="R290" s="118"/>
      <c r="S290" s="118"/>
      <c r="T290" s="118"/>
      <c r="U290" s="118">
        <v>1</v>
      </c>
      <c r="V290" s="118"/>
      <c r="W290" s="118"/>
      <c r="X290" s="118"/>
      <c r="Y290" s="118"/>
      <c r="Z290" s="118"/>
      <c r="AA290" s="118"/>
      <c r="AB290" s="118"/>
      <c r="AC290" s="118"/>
      <c r="AD290" s="118"/>
      <c r="AE290" s="118"/>
      <c r="AF290" s="118"/>
      <c r="AG290" s="118">
        <v>1</v>
      </c>
      <c r="AH290" s="118"/>
      <c r="AI290" s="118"/>
      <c r="AJ290" s="118"/>
      <c r="AK290" s="118">
        <v>5</v>
      </c>
      <c r="AL290" s="305" t="s">
        <v>1645</v>
      </c>
      <c r="AM290" s="119">
        <f t="shared" si="245"/>
        <v>16</v>
      </c>
      <c r="AN290" s="119">
        <f t="shared" si="246"/>
        <v>73</v>
      </c>
      <c r="AO290" s="120">
        <f t="shared" si="247"/>
        <v>0</v>
      </c>
      <c r="AP290" s="120">
        <f t="shared" si="248"/>
        <v>13</v>
      </c>
      <c r="AQ290" s="120">
        <f t="shared" si="249"/>
        <v>0</v>
      </c>
      <c r="AR290" s="120">
        <f t="shared" si="250"/>
        <v>0</v>
      </c>
      <c r="AS290" s="120">
        <f t="shared" si="251"/>
        <v>17</v>
      </c>
      <c r="AT290" s="120">
        <f t="shared" si="252"/>
        <v>0</v>
      </c>
      <c r="AU290" s="120">
        <f t="shared" si="253"/>
        <v>18</v>
      </c>
      <c r="AV290" s="120">
        <f t="shared" si="254"/>
        <v>0</v>
      </c>
      <c r="AW290" s="120">
        <f t="shared" si="255"/>
        <v>0</v>
      </c>
      <c r="AX290" s="120">
        <f t="shared" ref="AX290:AY290" si="345">IF(S290=1,2,0)</f>
        <v>0</v>
      </c>
      <c r="AY290" s="120">
        <f t="shared" si="345"/>
        <v>0</v>
      </c>
      <c r="AZ290" s="120">
        <f t="shared" si="257"/>
        <v>10</v>
      </c>
      <c r="BA290" s="120">
        <f t="shared" si="258"/>
        <v>0</v>
      </c>
      <c r="BB290" s="120">
        <f t="shared" si="259"/>
        <v>0</v>
      </c>
      <c r="BC290" s="120">
        <f t="shared" si="260"/>
        <v>0</v>
      </c>
      <c r="BD290" s="120">
        <f t="shared" si="261"/>
        <v>0</v>
      </c>
      <c r="BE290" s="120">
        <f t="shared" si="262"/>
        <v>0</v>
      </c>
      <c r="BF290" s="120">
        <f t="shared" si="263"/>
        <v>0</v>
      </c>
      <c r="BG290" s="120">
        <f t="shared" si="264"/>
        <v>15</v>
      </c>
      <c r="BH290" s="120">
        <f t="shared" si="265"/>
        <v>0</v>
      </c>
      <c r="BI290" s="120">
        <f t="shared" si="266"/>
        <v>0</v>
      </c>
      <c r="BJ290" s="120"/>
      <c r="BK290" s="120">
        <f t="shared" si="268"/>
        <v>25</v>
      </c>
      <c r="BL290" s="120"/>
    </row>
    <row r="291" spans="1:64">
      <c r="A291" s="8" t="s">
        <v>1646</v>
      </c>
      <c r="B291" s="645"/>
      <c r="C291" s="116">
        <v>1</v>
      </c>
      <c r="D291" s="116">
        <v>1</v>
      </c>
      <c r="E291" s="116">
        <v>1</v>
      </c>
      <c r="F291" s="116"/>
      <c r="G291" s="116">
        <v>1</v>
      </c>
      <c r="H291" s="116"/>
      <c r="I291" s="116"/>
      <c r="J291" s="116">
        <v>1</v>
      </c>
      <c r="K291" s="116"/>
      <c r="L291" s="116"/>
      <c r="M291" s="116"/>
      <c r="N291" s="116">
        <v>1</v>
      </c>
      <c r="O291" s="116"/>
      <c r="P291" s="116">
        <v>1</v>
      </c>
      <c r="Q291" s="116"/>
      <c r="R291" s="116"/>
      <c r="S291" s="116"/>
      <c r="T291" s="116"/>
      <c r="U291" s="116"/>
      <c r="V291" s="116"/>
      <c r="W291" s="116"/>
      <c r="X291" s="116"/>
      <c r="Y291" s="116">
        <v>1</v>
      </c>
      <c r="Z291" s="116">
        <v>1</v>
      </c>
      <c r="AA291" s="116"/>
      <c r="AB291" s="116"/>
      <c r="AC291" s="116"/>
      <c r="AD291" s="116">
        <v>1</v>
      </c>
      <c r="AE291" s="116"/>
      <c r="AF291" s="116"/>
      <c r="AG291" s="116"/>
      <c r="AH291" s="116"/>
      <c r="AI291" s="116"/>
      <c r="AJ291" s="116"/>
      <c r="AK291" s="116">
        <v>10</v>
      </c>
      <c r="AL291" s="8" t="s">
        <v>1592</v>
      </c>
      <c r="AM291" s="121">
        <f t="shared" si="245"/>
        <v>87</v>
      </c>
      <c r="AN291" s="121">
        <f t="shared" si="246"/>
        <v>87</v>
      </c>
      <c r="AO291" s="122">
        <f t="shared" si="247"/>
        <v>9</v>
      </c>
      <c r="AP291" s="122">
        <f t="shared" si="248"/>
        <v>13</v>
      </c>
      <c r="AQ291" s="122">
        <f t="shared" si="249"/>
        <v>6</v>
      </c>
      <c r="AR291" s="122">
        <f t="shared" si="250"/>
        <v>6</v>
      </c>
      <c r="AS291" s="122">
        <f t="shared" si="251"/>
        <v>17</v>
      </c>
      <c r="AT291" s="122">
        <f t="shared" si="252"/>
        <v>2</v>
      </c>
      <c r="AU291" s="122">
        <f t="shared" si="253"/>
        <v>18</v>
      </c>
      <c r="AV291" s="122">
        <f t="shared" si="254"/>
        <v>0</v>
      </c>
      <c r="AW291" s="122">
        <f t="shared" si="255"/>
        <v>0</v>
      </c>
      <c r="AX291" s="122">
        <f t="shared" ref="AX291:AY291" si="346">IF(S291=1,2,0)</f>
        <v>0</v>
      </c>
      <c r="AY291" s="122">
        <f t="shared" si="346"/>
        <v>0</v>
      </c>
      <c r="AZ291" s="122">
        <f t="shared" si="257"/>
        <v>0</v>
      </c>
      <c r="BA291" s="122">
        <f t="shared" si="258"/>
        <v>0</v>
      </c>
      <c r="BB291" s="122">
        <f t="shared" si="259"/>
        <v>10</v>
      </c>
      <c r="BC291" s="122">
        <f t="shared" si="260"/>
        <v>8</v>
      </c>
      <c r="BD291" s="122">
        <f t="shared" si="261"/>
        <v>0</v>
      </c>
      <c r="BE291" s="122">
        <f t="shared" si="262"/>
        <v>5</v>
      </c>
      <c r="BF291" s="122">
        <f t="shared" si="263"/>
        <v>0</v>
      </c>
      <c r="BG291" s="122">
        <f t="shared" si="264"/>
        <v>0</v>
      </c>
      <c r="BH291" s="122">
        <f t="shared" si="265"/>
        <v>0</v>
      </c>
      <c r="BI291" s="122">
        <f t="shared" si="266"/>
        <v>0</v>
      </c>
      <c r="BJ291" s="122"/>
      <c r="BK291" s="122">
        <f t="shared" si="268"/>
        <v>0</v>
      </c>
      <c r="BL291" s="122"/>
    </row>
    <row r="292" spans="1:64">
      <c r="A292" s="8" t="s">
        <v>292</v>
      </c>
      <c r="B292" s="645"/>
      <c r="C292" s="116">
        <v>1</v>
      </c>
      <c r="D292" s="116">
        <v>1</v>
      </c>
      <c r="E292" s="116"/>
      <c r="F292" s="116"/>
      <c r="G292" s="116"/>
      <c r="H292" s="116"/>
      <c r="I292" s="116"/>
      <c r="J292" s="116">
        <v>1</v>
      </c>
      <c r="K292" s="116"/>
      <c r="L292" s="116"/>
      <c r="M292" s="116"/>
      <c r="N292" s="116"/>
      <c r="O292" s="116"/>
      <c r="P292" s="116">
        <v>1</v>
      </c>
      <c r="Q292" s="116"/>
      <c r="R292" s="116"/>
      <c r="S292" s="116">
        <v>1</v>
      </c>
      <c r="T292" s="116"/>
      <c r="U292" s="116"/>
      <c r="V292" s="116"/>
      <c r="W292" s="116"/>
      <c r="X292" s="116"/>
      <c r="Y292" s="116">
        <v>1</v>
      </c>
      <c r="Z292" s="116"/>
      <c r="AA292" s="116"/>
      <c r="AB292" s="116">
        <v>1</v>
      </c>
      <c r="AC292" s="116"/>
      <c r="AD292" s="116"/>
      <c r="AE292" s="116"/>
      <c r="AF292" s="116"/>
      <c r="AG292" s="116">
        <v>1</v>
      </c>
      <c r="AH292" s="116"/>
      <c r="AI292" s="116"/>
      <c r="AJ292" s="116"/>
      <c r="AK292" s="116">
        <v>8</v>
      </c>
      <c r="AL292" s="11" t="s">
        <v>1647</v>
      </c>
      <c r="AM292" s="117">
        <f t="shared" si="245"/>
        <v>61</v>
      </c>
      <c r="AN292" s="117">
        <f t="shared" si="246"/>
        <v>89</v>
      </c>
      <c r="AO292" s="8">
        <f t="shared" si="247"/>
        <v>9</v>
      </c>
      <c r="AP292" s="8">
        <f t="shared" si="248"/>
        <v>13</v>
      </c>
      <c r="AQ292" s="8">
        <f t="shared" si="249"/>
        <v>0</v>
      </c>
      <c r="AR292" s="8">
        <f t="shared" si="250"/>
        <v>0</v>
      </c>
      <c r="AS292" s="8">
        <f t="shared" si="251"/>
        <v>17</v>
      </c>
      <c r="AT292" s="8">
        <f t="shared" si="252"/>
        <v>0</v>
      </c>
      <c r="AU292" s="8">
        <f t="shared" si="253"/>
        <v>18</v>
      </c>
      <c r="AV292" s="8">
        <f t="shared" si="254"/>
        <v>0</v>
      </c>
      <c r="AW292" s="8">
        <f t="shared" si="255"/>
        <v>0</v>
      </c>
      <c r="AX292" s="8">
        <f t="shared" ref="AX292:AY292" si="347">IF(S292=1,2,0)</f>
        <v>2</v>
      </c>
      <c r="AY292" s="8">
        <f t="shared" si="347"/>
        <v>0</v>
      </c>
      <c r="AZ292" s="8">
        <f t="shared" si="257"/>
        <v>0</v>
      </c>
      <c r="BA292" s="8">
        <f t="shared" si="258"/>
        <v>0</v>
      </c>
      <c r="BB292" s="8">
        <f t="shared" si="259"/>
        <v>10</v>
      </c>
      <c r="BC292" s="8">
        <f t="shared" si="260"/>
        <v>0</v>
      </c>
      <c r="BD292" s="8">
        <f t="shared" si="261"/>
        <v>5</v>
      </c>
      <c r="BE292" s="8">
        <f t="shared" si="262"/>
        <v>0</v>
      </c>
      <c r="BF292" s="8">
        <f t="shared" si="263"/>
        <v>0</v>
      </c>
      <c r="BG292" s="8">
        <f t="shared" si="264"/>
        <v>15</v>
      </c>
      <c r="BH292" s="8">
        <f t="shared" si="265"/>
        <v>0</v>
      </c>
      <c r="BI292" s="8">
        <f t="shared" si="266"/>
        <v>0</v>
      </c>
      <c r="BJ292" s="645"/>
      <c r="BK292" s="8">
        <f t="shared" si="268"/>
        <v>4</v>
      </c>
      <c r="BL292" s="645"/>
    </row>
    <row r="293" spans="1:64">
      <c r="A293" s="120" t="s">
        <v>294</v>
      </c>
      <c r="B293" s="120"/>
      <c r="C293" s="118">
        <v>1</v>
      </c>
      <c r="D293" s="118"/>
      <c r="E293" s="118">
        <v>1</v>
      </c>
      <c r="F293" s="118"/>
      <c r="G293" s="118">
        <v>1</v>
      </c>
      <c r="H293" s="118"/>
      <c r="I293" s="118"/>
      <c r="J293" s="118">
        <v>1</v>
      </c>
      <c r="K293" s="118"/>
      <c r="L293" s="118"/>
      <c r="M293" s="118"/>
      <c r="N293" s="118"/>
      <c r="O293" s="118"/>
      <c r="P293" s="118">
        <v>1</v>
      </c>
      <c r="Q293" s="118"/>
      <c r="R293" s="118"/>
      <c r="S293" s="118"/>
      <c r="T293" s="118">
        <v>1</v>
      </c>
      <c r="U293" s="118"/>
      <c r="V293" s="118"/>
      <c r="W293" s="118"/>
      <c r="X293" s="118"/>
      <c r="Y293" s="118">
        <v>1</v>
      </c>
      <c r="Z293" s="118">
        <v>1</v>
      </c>
      <c r="AA293" s="118"/>
      <c r="AB293" s="118"/>
      <c r="AC293" s="118"/>
      <c r="AD293" s="118"/>
      <c r="AE293" s="118"/>
      <c r="AF293" s="118">
        <v>1</v>
      </c>
      <c r="AG293" s="118">
        <v>1</v>
      </c>
      <c r="AH293" s="118"/>
      <c r="AI293" s="118"/>
      <c r="AJ293" s="118"/>
      <c r="AK293" s="118">
        <v>10</v>
      </c>
      <c r="AL293" s="305" t="s">
        <v>1648</v>
      </c>
      <c r="AM293" s="119">
        <f t="shared" si="245"/>
        <v>96</v>
      </c>
      <c r="AN293" s="119">
        <f t="shared" si="246"/>
        <v>89</v>
      </c>
      <c r="AO293" s="120">
        <f t="shared" si="247"/>
        <v>9</v>
      </c>
      <c r="AP293" s="120">
        <f t="shared" si="248"/>
        <v>0</v>
      </c>
      <c r="AQ293" s="120">
        <f t="shared" si="249"/>
        <v>6</v>
      </c>
      <c r="AR293" s="120">
        <f t="shared" si="250"/>
        <v>6</v>
      </c>
      <c r="AS293" s="120">
        <f t="shared" si="251"/>
        <v>17</v>
      </c>
      <c r="AT293" s="120">
        <f t="shared" si="252"/>
        <v>0</v>
      </c>
      <c r="AU293" s="120">
        <f t="shared" si="253"/>
        <v>18</v>
      </c>
      <c r="AV293" s="120">
        <f t="shared" si="254"/>
        <v>0</v>
      </c>
      <c r="AW293" s="120">
        <f t="shared" si="255"/>
        <v>0</v>
      </c>
      <c r="AX293" s="120">
        <f t="shared" ref="AX293:AY293" si="348">IF(S293=1,2,0)</f>
        <v>0</v>
      </c>
      <c r="AY293" s="120">
        <f t="shared" si="348"/>
        <v>2</v>
      </c>
      <c r="AZ293" s="120">
        <f t="shared" si="257"/>
        <v>0</v>
      </c>
      <c r="BA293" s="120">
        <f t="shared" si="258"/>
        <v>0</v>
      </c>
      <c r="BB293" s="120">
        <f t="shared" si="259"/>
        <v>10</v>
      </c>
      <c r="BC293" s="120">
        <f t="shared" si="260"/>
        <v>8</v>
      </c>
      <c r="BD293" s="120">
        <f t="shared" si="261"/>
        <v>0</v>
      </c>
      <c r="BE293" s="120">
        <f t="shared" si="262"/>
        <v>0</v>
      </c>
      <c r="BF293" s="120">
        <f t="shared" si="263"/>
        <v>1</v>
      </c>
      <c r="BG293" s="120">
        <f t="shared" si="264"/>
        <v>15</v>
      </c>
      <c r="BH293" s="120">
        <f t="shared" si="265"/>
        <v>0</v>
      </c>
      <c r="BI293" s="120">
        <f t="shared" si="266"/>
        <v>0</v>
      </c>
      <c r="BJ293" s="120"/>
      <c r="BK293" s="120">
        <f t="shared" si="268"/>
        <v>0</v>
      </c>
      <c r="BL293" s="120"/>
    </row>
    <row r="294" spans="1:64">
      <c r="A294" s="8" t="s">
        <v>615</v>
      </c>
      <c r="B294" s="645"/>
      <c r="C294" s="116">
        <v>1</v>
      </c>
      <c r="D294" s="116">
        <v>1</v>
      </c>
      <c r="E294" s="116"/>
      <c r="F294" s="116"/>
      <c r="G294" s="116"/>
      <c r="H294" s="116"/>
      <c r="I294" s="116"/>
      <c r="J294" s="116">
        <v>1</v>
      </c>
      <c r="K294" s="116"/>
      <c r="L294" s="116"/>
      <c r="M294" s="116"/>
      <c r="N294" s="116">
        <v>1</v>
      </c>
      <c r="O294" s="116"/>
      <c r="P294" s="116">
        <v>1</v>
      </c>
      <c r="Q294" s="116"/>
      <c r="R294" s="116"/>
      <c r="S294" s="116"/>
      <c r="T294" s="116"/>
      <c r="U294" s="116">
        <v>1</v>
      </c>
      <c r="V294" s="116">
        <v>1</v>
      </c>
      <c r="W294" s="116"/>
      <c r="X294" s="116"/>
      <c r="Y294" s="116">
        <v>1</v>
      </c>
      <c r="Z294" s="116"/>
      <c r="AA294" s="116"/>
      <c r="AB294" s="116"/>
      <c r="AC294" s="116"/>
      <c r="AD294" s="116">
        <v>1</v>
      </c>
      <c r="AE294" s="116"/>
      <c r="AF294" s="116"/>
      <c r="AG294" s="116">
        <v>1</v>
      </c>
      <c r="AH294" s="116"/>
      <c r="AI294" s="116"/>
      <c r="AJ294" s="116"/>
      <c r="AK294" s="116">
        <v>10</v>
      </c>
      <c r="AL294" s="11" t="s">
        <v>1649</v>
      </c>
      <c r="AM294" s="121">
        <f t="shared" si="245"/>
        <v>68</v>
      </c>
      <c r="AN294" s="121">
        <f t="shared" si="246"/>
        <v>97</v>
      </c>
      <c r="AO294" s="122">
        <f t="shared" si="247"/>
        <v>9</v>
      </c>
      <c r="AP294" s="122">
        <f t="shared" si="248"/>
        <v>13</v>
      </c>
      <c r="AQ294" s="122">
        <f t="shared" si="249"/>
        <v>0</v>
      </c>
      <c r="AR294" s="122">
        <f t="shared" si="250"/>
        <v>0</v>
      </c>
      <c r="AS294" s="122">
        <f t="shared" si="251"/>
        <v>17</v>
      </c>
      <c r="AT294" s="122">
        <f t="shared" si="252"/>
        <v>2</v>
      </c>
      <c r="AU294" s="122">
        <f t="shared" si="253"/>
        <v>18</v>
      </c>
      <c r="AV294" s="122">
        <f t="shared" si="254"/>
        <v>0</v>
      </c>
      <c r="AW294" s="122">
        <f t="shared" si="255"/>
        <v>0</v>
      </c>
      <c r="AX294" s="122">
        <f t="shared" ref="AX294:AY294" si="349">IF(S294=1,2,0)</f>
        <v>0</v>
      </c>
      <c r="AY294" s="122">
        <f t="shared" si="349"/>
        <v>0</v>
      </c>
      <c r="AZ294" s="122">
        <f t="shared" si="257"/>
        <v>10</v>
      </c>
      <c r="BA294" s="122">
        <f t="shared" si="258"/>
        <v>3</v>
      </c>
      <c r="BB294" s="122">
        <f t="shared" si="259"/>
        <v>10</v>
      </c>
      <c r="BC294" s="122">
        <f t="shared" si="260"/>
        <v>0</v>
      </c>
      <c r="BD294" s="122">
        <f t="shared" si="261"/>
        <v>0</v>
      </c>
      <c r="BE294" s="122">
        <f t="shared" si="262"/>
        <v>5</v>
      </c>
      <c r="BF294" s="122">
        <f t="shared" si="263"/>
        <v>0</v>
      </c>
      <c r="BG294" s="122">
        <f t="shared" si="264"/>
        <v>15</v>
      </c>
      <c r="BH294" s="122">
        <f t="shared" si="265"/>
        <v>0</v>
      </c>
      <c r="BI294" s="122">
        <f t="shared" si="266"/>
        <v>0</v>
      </c>
      <c r="BJ294" s="122"/>
      <c r="BK294" s="122">
        <f t="shared" si="268"/>
        <v>0</v>
      </c>
      <c r="BL294" s="122"/>
    </row>
    <row r="295" spans="1:64">
      <c r="A295" s="8" t="s">
        <v>1650</v>
      </c>
      <c r="B295" s="645"/>
      <c r="C295" s="116"/>
      <c r="D295" s="116">
        <v>1</v>
      </c>
      <c r="E295" s="116">
        <v>1</v>
      </c>
      <c r="F295" s="116"/>
      <c r="G295" s="116">
        <v>1</v>
      </c>
      <c r="H295" s="116"/>
      <c r="I295" s="116"/>
      <c r="J295" s="116">
        <v>1</v>
      </c>
      <c r="K295" s="116"/>
      <c r="L295" s="116"/>
      <c r="M295" s="116"/>
      <c r="N295" s="116"/>
      <c r="O295" s="116"/>
      <c r="P295" s="116">
        <v>1</v>
      </c>
      <c r="Q295" s="116"/>
      <c r="R295" s="116"/>
      <c r="S295" s="116"/>
      <c r="T295" s="116"/>
      <c r="U295" s="116"/>
      <c r="V295" s="116"/>
      <c r="W295" s="116"/>
      <c r="X295" s="116"/>
      <c r="Y295" s="116">
        <v>1</v>
      </c>
      <c r="Z295" s="116"/>
      <c r="AA295" s="116"/>
      <c r="AB295" s="116"/>
      <c r="AC295" s="116"/>
      <c r="AD295" s="116"/>
      <c r="AE295" s="116"/>
      <c r="AF295" s="116"/>
      <c r="AG295" s="116"/>
      <c r="AH295" s="116"/>
      <c r="AI295" s="116"/>
      <c r="AJ295" s="116"/>
      <c r="AK295" s="116">
        <v>6</v>
      </c>
      <c r="AL295" s="11" t="s">
        <v>1455</v>
      </c>
      <c r="AM295" s="117">
        <f t="shared" si="245"/>
        <v>49</v>
      </c>
      <c r="AN295" s="117">
        <f t="shared" si="246"/>
        <v>70</v>
      </c>
      <c r="AO295" s="8">
        <f t="shared" si="247"/>
        <v>0</v>
      </c>
      <c r="AP295" s="8">
        <f t="shared" si="248"/>
        <v>13</v>
      </c>
      <c r="AQ295" s="8">
        <f t="shared" si="249"/>
        <v>6</v>
      </c>
      <c r="AR295" s="8">
        <f t="shared" si="250"/>
        <v>6</v>
      </c>
      <c r="AS295" s="8">
        <f t="shared" si="251"/>
        <v>17</v>
      </c>
      <c r="AT295" s="8">
        <f t="shared" si="252"/>
        <v>0</v>
      </c>
      <c r="AU295" s="8">
        <f t="shared" si="253"/>
        <v>18</v>
      </c>
      <c r="AV295" s="8">
        <f t="shared" si="254"/>
        <v>0</v>
      </c>
      <c r="AW295" s="8">
        <f t="shared" si="255"/>
        <v>0</v>
      </c>
      <c r="AX295" s="8">
        <f t="shared" ref="AX295:AY295" si="350">IF(S295=1,2,0)</f>
        <v>0</v>
      </c>
      <c r="AY295" s="8">
        <f t="shared" si="350"/>
        <v>0</v>
      </c>
      <c r="AZ295" s="8">
        <f t="shared" si="257"/>
        <v>0</v>
      </c>
      <c r="BA295" s="8">
        <f t="shared" si="258"/>
        <v>0</v>
      </c>
      <c r="BB295" s="8">
        <f t="shared" si="259"/>
        <v>10</v>
      </c>
      <c r="BC295" s="8">
        <f t="shared" si="260"/>
        <v>0</v>
      </c>
      <c r="BD295" s="8">
        <f t="shared" si="261"/>
        <v>0</v>
      </c>
      <c r="BE295" s="8">
        <f t="shared" si="262"/>
        <v>0</v>
      </c>
      <c r="BF295" s="8">
        <f t="shared" si="263"/>
        <v>0</v>
      </c>
      <c r="BG295" s="8">
        <f t="shared" si="264"/>
        <v>0</v>
      </c>
      <c r="BH295" s="8">
        <f t="shared" si="265"/>
        <v>0</v>
      </c>
      <c r="BI295" s="8">
        <f t="shared" si="266"/>
        <v>0</v>
      </c>
      <c r="BJ295" s="645"/>
      <c r="BK295" s="8">
        <f t="shared" si="268"/>
        <v>16</v>
      </c>
      <c r="BL295" s="645"/>
    </row>
    <row r="296" spans="1:64">
      <c r="A296" s="120" t="s">
        <v>1651</v>
      </c>
      <c r="B296" s="120"/>
      <c r="C296" s="118"/>
      <c r="D296" s="118">
        <v>1</v>
      </c>
      <c r="E296" s="118"/>
      <c r="F296" s="118"/>
      <c r="G296" s="118"/>
      <c r="H296" s="118"/>
      <c r="I296" s="118"/>
      <c r="J296" s="118">
        <v>1</v>
      </c>
      <c r="K296" s="118"/>
      <c r="L296" s="118"/>
      <c r="M296" s="118"/>
      <c r="N296" s="118"/>
      <c r="O296" s="118"/>
      <c r="P296" s="118">
        <v>1</v>
      </c>
      <c r="Q296" s="118"/>
      <c r="R296" s="118"/>
      <c r="S296" s="118"/>
      <c r="T296" s="118"/>
      <c r="U296" s="118">
        <v>1</v>
      </c>
      <c r="V296" s="118"/>
      <c r="W296" s="118"/>
      <c r="X296" s="118"/>
      <c r="Y296" s="118">
        <v>1</v>
      </c>
      <c r="Z296" s="118">
        <v>1</v>
      </c>
      <c r="AA296" s="118"/>
      <c r="AB296" s="118">
        <v>1</v>
      </c>
      <c r="AC296" s="118"/>
      <c r="AD296" s="118">
        <v>1</v>
      </c>
      <c r="AE296" s="118"/>
      <c r="AF296" s="118"/>
      <c r="AG296" s="118">
        <v>1</v>
      </c>
      <c r="AH296" s="118"/>
      <c r="AI296" s="118">
        <v>1</v>
      </c>
      <c r="AJ296" s="118"/>
      <c r="AK296" s="118">
        <v>10</v>
      </c>
      <c r="AL296" s="305" t="s">
        <v>1652</v>
      </c>
      <c r="AM296" s="119">
        <f t="shared" si="245"/>
        <v>70</v>
      </c>
      <c r="AN296" s="119">
        <f t="shared" si="246"/>
        <v>96</v>
      </c>
      <c r="AO296" s="120">
        <f t="shared" si="247"/>
        <v>0</v>
      </c>
      <c r="AP296" s="120">
        <f t="shared" si="248"/>
        <v>13</v>
      </c>
      <c r="AQ296" s="120">
        <f t="shared" si="249"/>
        <v>0</v>
      </c>
      <c r="AR296" s="120">
        <f t="shared" si="250"/>
        <v>0</v>
      </c>
      <c r="AS296" s="120">
        <f t="shared" si="251"/>
        <v>17</v>
      </c>
      <c r="AT296" s="120">
        <f t="shared" si="252"/>
        <v>0</v>
      </c>
      <c r="AU296" s="120">
        <f t="shared" si="253"/>
        <v>18</v>
      </c>
      <c r="AV296" s="120">
        <f t="shared" si="254"/>
        <v>0</v>
      </c>
      <c r="AW296" s="120">
        <f t="shared" si="255"/>
        <v>0</v>
      </c>
      <c r="AX296" s="120">
        <f t="shared" ref="AX296:AY296" si="351">IF(S296=1,2,0)</f>
        <v>0</v>
      </c>
      <c r="AY296" s="120">
        <f t="shared" si="351"/>
        <v>0</v>
      </c>
      <c r="AZ296" s="120">
        <f t="shared" si="257"/>
        <v>10</v>
      </c>
      <c r="BA296" s="120">
        <f t="shared" si="258"/>
        <v>0</v>
      </c>
      <c r="BB296" s="120">
        <f t="shared" si="259"/>
        <v>10</v>
      </c>
      <c r="BC296" s="120">
        <f t="shared" si="260"/>
        <v>8</v>
      </c>
      <c r="BD296" s="120">
        <f t="shared" si="261"/>
        <v>5</v>
      </c>
      <c r="BE296" s="120">
        <f t="shared" si="262"/>
        <v>5</v>
      </c>
      <c r="BF296" s="120">
        <f t="shared" si="263"/>
        <v>0</v>
      </c>
      <c r="BG296" s="120">
        <f t="shared" si="264"/>
        <v>15</v>
      </c>
      <c r="BH296" s="120">
        <f t="shared" si="265"/>
        <v>3</v>
      </c>
      <c r="BI296" s="120">
        <f t="shared" si="266"/>
        <v>0</v>
      </c>
      <c r="BJ296" s="120"/>
      <c r="BK296" s="120">
        <f t="shared" si="268"/>
        <v>0</v>
      </c>
      <c r="BL296" s="120"/>
    </row>
    <row r="297" spans="1:64">
      <c r="A297" s="8" t="s">
        <v>1343</v>
      </c>
      <c r="B297" s="645"/>
      <c r="C297" s="116"/>
      <c r="D297" s="116">
        <v>1</v>
      </c>
      <c r="E297" s="116"/>
      <c r="F297" s="116"/>
      <c r="G297" s="116"/>
      <c r="H297" s="116"/>
      <c r="I297" s="116"/>
      <c r="J297" s="116">
        <v>1</v>
      </c>
      <c r="K297" s="116"/>
      <c r="L297" s="116"/>
      <c r="M297" s="116"/>
      <c r="N297" s="116"/>
      <c r="O297" s="116"/>
      <c r="P297" s="116">
        <v>1</v>
      </c>
      <c r="Q297" s="116"/>
      <c r="R297" s="116"/>
      <c r="S297" s="116"/>
      <c r="T297" s="116"/>
      <c r="U297" s="116">
        <v>1</v>
      </c>
      <c r="V297" s="116"/>
      <c r="W297" s="116"/>
      <c r="X297" s="116"/>
      <c r="Y297" s="116"/>
      <c r="Z297" s="116"/>
      <c r="AA297" s="116"/>
      <c r="AB297" s="116"/>
      <c r="AC297" s="116"/>
      <c r="AD297" s="116"/>
      <c r="AE297" s="116"/>
      <c r="AF297" s="116"/>
      <c r="AG297" s="116">
        <v>1</v>
      </c>
      <c r="AH297" s="116"/>
      <c r="AI297" s="116"/>
      <c r="AJ297" s="116"/>
      <c r="AK297" s="116">
        <v>5</v>
      </c>
      <c r="AL297" s="11" t="s">
        <v>1455</v>
      </c>
      <c r="AM297" s="117">
        <f t="shared" si="245"/>
        <v>16</v>
      </c>
      <c r="AN297" s="117">
        <f t="shared" si="246"/>
        <v>73</v>
      </c>
      <c r="AO297" s="8">
        <f t="shared" si="247"/>
        <v>0</v>
      </c>
      <c r="AP297" s="8">
        <f t="shared" si="248"/>
        <v>13</v>
      </c>
      <c r="AQ297" s="8">
        <f t="shared" si="249"/>
        <v>0</v>
      </c>
      <c r="AR297" s="8">
        <f t="shared" si="250"/>
        <v>0</v>
      </c>
      <c r="AS297" s="8">
        <f t="shared" si="251"/>
        <v>17</v>
      </c>
      <c r="AT297" s="8">
        <f t="shared" si="252"/>
        <v>0</v>
      </c>
      <c r="AU297" s="8">
        <f t="shared" si="253"/>
        <v>18</v>
      </c>
      <c r="AV297" s="8">
        <f t="shared" si="254"/>
        <v>0</v>
      </c>
      <c r="AW297" s="8">
        <f t="shared" si="255"/>
        <v>0</v>
      </c>
      <c r="AX297" s="8">
        <f t="shared" ref="AX297:AY297" si="352">IF(S297=1,2,0)</f>
        <v>0</v>
      </c>
      <c r="AY297" s="8">
        <f t="shared" si="352"/>
        <v>0</v>
      </c>
      <c r="AZ297" s="8">
        <f t="shared" si="257"/>
        <v>10</v>
      </c>
      <c r="BA297" s="8">
        <f t="shared" si="258"/>
        <v>0</v>
      </c>
      <c r="BB297" s="8">
        <f t="shared" si="259"/>
        <v>0</v>
      </c>
      <c r="BC297" s="8">
        <f t="shared" si="260"/>
        <v>0</v>
      </c>
      <c r="BD297" s="8">
        <f t="shared" si="261"/>
        <v>0</v>
      </c>
      <c r="BE297" s="8">
        <f t="shared" si="262"/>
        <v>0</v>
      </c>
      <c r="BF297" s="8">
        <f t="shared" si="263"/>
        <v>0</v>
      </c>
      <c r="BG297" s="8">
        <f t="shared" si="264"/>
        <v>15</v>
      </c>
      <c r="BH297" s="8">
        <f t="shared" si="265"/>
        <v>0</v>
      </c>
      <c r="BI297" s="8">
        <f t="shared" si="266"/>
        <v>0</v>
      </c>
      <c r="BJ297" s="645"/>
      <c r="BK297" s="8">
        <f t="shared" si="268"/>
        <v>25</v>
      </c>
      <c r="BL297" s="645"/>
    </row>
    <row r="298" spans="1:64">
      <c r="A298" s="120" t="s">
        <v>1653</v>
      </c>
      <c r="B298" s="120"/>
      <c r="C298" s="118">
        <v>1</v>
      </c>
      <c r="D298" s="118">
        <v>1</v>
      </c>
      <c r="E298" s="118"/>
      <c r="F298" s="118"/>
      <c r="G298" s="118"/>
      <c r="H298" s="118"/>
      <c r="I298" s="118"/>
      <c r="J298" s="118">
        <v>1</v>
      </c>
      <c r="K298" s="118"/>
      <c r="L298" s="118"/>
      <c r="M298" s="118"/>
      <c r="N298" s="118"/>
      <c r="O298" s="118"/>
      <c r="P298" s="118">
        <v>1</v>
      </c>
      <c r="Q298" s="118"/>
      <c r="R298" s="118"/>
      <c r="S298" s="118"/>
      <c r="T298" s="118"/>
      <c r="U298" s="118">
        <v>1</v>
      </c>
      <c r="V298" s="118"/>
      <c r="W298" s="118"/>
      <c r="X298" s="118"/>
      <c r="Y298" s="118"/>
      <c r="Z298" s="118">
        <v>1</v>
      </c>
      <c r="AA298" s="118"/>
      <c r="AB298" s="118"/>
      <c r="AC298" s="118"/>
      <c r="AD298" s="118">
        <v>1</v>
      </c>
      <c r="AE298" s="118"/>
      <c r="AF298" s="118"/>
      <c r="AG298" s="118">
        <v>1</v>
      </c>
      <c r="AH298" s="118"/>
      <c r="AI298" s="118">
        <v>1</v>
      </c>
      <c r="AJ298" s="118">
        <v>1</v>
      </c>
      <c r="AK298" s="118">
        <v>10</v>
      </c>
      <c r="AL298" s="305" t="s">
        <v>1644</v>
      </c>
      <c r="AM298" s="119">
        <f t="shared" si="245"/>
        <v>68</v>
      </c>
      <c r="AN298" s="119">
        <f t="shared" si="246"/>
        <v>95</v>
      </c>
      <c r="AO298" s="120">
        <f t="shared" si="247"/>
        <v>9</v>
      </c>
      <c r="AP298" s="120">
        <f t="shared" si="248"/>
        <v>13</v>
      </c>
      <c r="AQ298" s="120">
        <f t="shared" si="249"/>
        <v>0</v>
      </c>
      <c r="AR298" s="120">
        <f t="shared" si="250"/>
        <v>0</v>
      </c>
      <c r="AS298" s="120">
        <f t="shared" si="251"/>
        <v>17</v>
      </c>
      <c r="AT298" s="120">
        <f t="shared" si="252"/>
        <v>0</v>
      </c>
      <c r="AU298" s="120">
        <f t="shared" si="253"/>
        <v>18</v>
      </c>
      <c r="AV298" s="120">
        <f t="shared" si="254"/>
        <v>0</v>
      </c>
      <c r="AW298" s="120">
        <f t="shared" si="255"/>
        <v>0</v>
      </c>
      <c r="AX298" s="120">
        <f t="shared" ref="AX298:AY298" si="353">IF(S298=1,2,0)</f>
        <v>0</v>
      </c>
      <c r="AY298" s="120">
        <f t="shared" si="353"/>
        <v>0</v>
      </c>
      <c r="AZ298" s="120">
        <f t="shared" si="257"/>
        <v>10</v>
      </c>
      <c r="BA298" s="120">
        <f t="shared" si="258"/>
        <v>0</v>
      </c>
      <c r="BB298" s="120">
        <f t="shared" si="259"/>
        <v>0</v>
      </c>
      <c r="BC298" s="120">
        <f t="shared" si="260"/>
        <v>8</v>
      </c>
      <c r="BD298" s="120">
        <f t="shared" si="261"/>
        <v>0</v>
      </c>
      <c r="BE298" s="120">
        <f t="shared" si="262"/>
        <v>5</v>
      </c>
      <c r="BF298" s="120">
        <f t="shared" si="263"/>
        <v>0</v>
      </c>
      <c r="BG298" s="120">
        <f t="shared" si="264"/>
        <v>15</v>
      </c>
      <c r="BH298" s="120">
        <f t="shared" si="265"/>
        <v>3</v>
      </c>
      <c r="BI298" s="120">
        <f t="shared" si="266"/>
        <v>2</v>
      </c>
      <c r="BJ298" s="120"/>
      <c r="BK298" s="120">
        <f t="shared" si="268"/>
        <v>0</v>
      </c>
      <c r="BL298" s="120"/>
    </row>
    <row r="299" spans="1:64">
      <c r="A299" s="8" t="s">
        <v>461</v>
      </c>
      <c r="B299" s="645"/>
      <c r="C299" s="116">
        <v>1</v>
      </c>
      <c r="D299" s="116">
        <v>1</v>
      </c>
      <c r="E299" s="116"/>
      <c r="F299" s="116"/>
      <c r="G299" s="116"/>
      <c r="H299" s="116"/>
      <c r="I299" s="116"/>
      <c r="J299" s="116">
        <v>1</v>
      </c>
      <c r="K299" s="116"/>
      <c r="L299" s="116"/>
      <c r="M299" s="116"/>
      <c r="N299" s="116"/>
      <c r="O299" s="116"/>
      <c r="P299" s="116">
        <v>1</v>
      </c>
      <c r="Q299" s="116">
        <v>1</v>
      </c>
      <c r="R299" s="116"/>
      <c r="S299" s="116"/>
      <c r="T299" s="116"/>
      <c r="U299" s="116">
        <v>1</v>
      </c>
      <c r="V299" s="116"/>
      <c r="W299" s="116"/>
      <c r="X299" s="116"/>
      <c r="Y299" s="116">
        <v>1</v>
      </c>
      <c r="Z299" s="116">
        <v>1</v>
      </c>
      <c r="AA299" s="116"/>
      <c r="AB299" s="116">
        <v>1</v>
      </c>
      <c r="AC299" s="116"/>
      <c r="AD299" s="116"/>
      <c r="AE299" s="116"/>
      <c r="AF299" s="116"/>
      <c r="AG299" s="116">
        <v>1</v>
      </c>
      <c r="AH299" s="116"/>
      <c r="AI299" s="116"/>
      <c r="AJ299" s="116"/>
      <c r="AK299" s="116">
        <v>10</v>
      </c>
      <c r="AL299" s="11" t="s">
        <v>1455</v>
      </c>
      <c r="AM299" s="117">
        <f t="shared" si="245"/>
        <v>78</v>
      </c>
      <c r="AN299" s="117">
        <f t="shared" si="246"/>
        <v>100</v>
      </c>
      <c r="AO299" s="8">
        <f t="shared" si="247"/>
        <v>9</v>
      </c>
      <c r="AP299" s="8">
        <f t="shared" si="248"/>
        <v>13</v>
      </c>
      <c r="AQ299" s="8">
        <f t="shared" si="249"/>
        <v>0</v>
      </c>
      <c r="AR299" s="8">
        <f t="shared" si="250"/>
        <v>0</v>
      </c>
      <c r="AS299" s="8">
        <f t="shared" si="251"/>
        <v>17</v>
      </c>
      <c r="AT299" s="8">
        <f t="shared" si="252"/>
        <v>0</v>
      </c>
      <c r="AU299" s="8">
        <f t="shared" si="253"/>
        <v>18</v>
      </c>
      <c r="AV299" s="8">
        <f t="shared" si="254"/>
        <v>4</v>
      </c>
      <c r="AW299" s="8">
        <f t="shared" si="255"/>
        <v>0</v>
      </c>
      <c r="AX299" s="8">
        <f t="shared" ref="AX299:AY299" si="354">IF(S299=1,2,0)</f>
        <v>0</v>
      </c>
      <c r="AY299" s="8">
        <f t="shared" si="354"/>
        <v>0</v>
      </c>
      <c r="AZ299" s="8">
        <f t="shared" si="257"/>
        <v>10</v>
      </c>
      <c r="BA299" s="8">
        <f t="shared" si="258"/>
        <v>0</v>
      </c>
      <c r="BB299" s="8">
        <f t="shared" si="259"/>
        <v>10</v>
      </c>
      <c r="BC299" s="8">
        <f t="shared" si="260"/>
        <v>8</v>
      </c>
      <c r="BD299" s="8">
        <f t="shared" si="261"/>
        <v>5</v>
      </c>
      <c r="BE299" s="8">
        <f t="shared" si="262"/>
        <v>0</v>
      </c>
      <c r="BF299" s="8">
        <f t="shared" si="263"/>
        <v>0</v>
      </c>
      <c r="BG299" s="8">
        <f t="shared" si="264"/>
        <v>15</v>
      </c>
      <c r="BH299" s="8">
        <f t="shared" si="265"/>
        <v>0</v>
      </c>
      <c r="BI299" s="8">
        <f t="shared" si="266"/>
        <v>0</v>
      </c>
      <c r="BJ299" s="645"/>
      <c r="BK299" s="8">
        <f t="shared" si="268"/>
        <v>0</v>
      </c>
      <c r="BL299" s="645"/>
    </row>
    <row r="300" spans="1:64">
      <c r="A300" s="120" t="s">
        <v>1654</v>
      </c>
      <c r="B300" s="120"/>
      <c r="C300" s="118">
        <v>1</v>
      </c>
      <c r="D300" s="118">
        <v>1</v>
      </c>
      <c r="E300" s="118"/>
      <c r="F300" s="118"/>
      <c r="G300" s="118"/>
      <c r="H300" s="118"/>
      <c r="I300" s="118"/>
      <c r="J300" s="118">
        <v>1</v>
      </c>
      <c r="K300" s="118"/>
      <c r="L300" s="118"/>
      <c r="M300" s="118"/>
      <c r="N300" s="118"/>
      <c r="O300" s="118"/>
      <c r="P300" s="118">
        <v>1</v>
      </c>
      <c r="Q300" s="118"/>
      <c r="R300" s="118"/>
      <c r="S300" s="118"/>
      <c r="T300" s="118"/>
      <c r="U300" s="118">
        <v>1</v>
      </c>
      <c r="V300" s="118">
        <v>1</v>
      </c>
      <c r="W300" s="118"/>
      <c r="X300" s="118"/>
      <c r="Y300" s="118">
        <v>1</v>
      </c>
      <c r="Z300" s="118">
        <v>1</v>
      </c>
      <c r="AA300" s="118"/>
      <c r="AB300" s="118">
        <v>1</v>
      </c>
      <c r="AC300" s="118"/>
      <c r="AD300" s="118">
        <v>1</v>
      </c>
      <c r="AE300" s="118"/>
      <c r="AF300" s="118"/>
      <c r="AG300" s="118"/>
      <c r="AH300" s="118"/>
      <c r="AI300" s="118"/>
      <c r="AJ300" s="118"/>
      <c r="AK300" s="118">
        <v>10</v>
      </c>
      <c r="AL300" s="305" t="s">
        <v>1455</v>
      </c>
      <c r="AM300" s="119">
        <f t="shared" si="245"/>
        <v>67</v>
      </c>
      <c r="AN300" s="119">
        <f t="shared" si="246"/>
        <v>90</v>
      </c>
      <c r="AO300" s="120">
        <f t="shared" si="247"/>
        <v>9</v>
      </c>
      <c r="AP300" s="120">
        <f t="shared" si="248"/>
        <v>13</v>
      </c>
      <c r="AQ300" s="120">
        <f t="shared" si="249"/>
        <v>0</v>
      </c>
      <c r="AR300" s="120">
        <f t="shared" si="250"/>
        <v>0</v>
      </c>
      <c r="AS300" s="120">
        <f t="shared" si="251"/>
        <v>17</v>
      </c>
      <c r="AT300" s="120">
        <f t="shared" si="252"/>
        <v>0</v>
      </c>
      <c r="AU300" s="120">
        <f t="shared" si="253"/>
        <v>18</v>
      </c>
      <c r="AV300" s="120">
        <f t="shared" si="254"/>
        <v>0</v>
      </c>
      <c r="AW300" s="120">
        <f t="shared" si="255"/>
        <v>0</v>
      </c>
      <c r="AX300" s="120">
        <f t="shared" ref="AX300:AY300" si="355">IF(S300=1,2,0)</f>
        <v>0</v>
      </c>
      <c r="AY300" s="120">
        <f t="shared" si="355"/>
        <v>0</v>
      </c>
      <c r="AZ300" s="120">
        <f t="shared" si="257"/>
        <v>10</v>
      </c>
      <c r="BA300" s="120">
        <f t="shared" si="258"/>
        <v>3</v>
      </c>
      <c r="BB300" s="120">
        <f t="shared" si="259"/>
        <v>10</v>
      </c>
      <c r="BC300" s="120">
        <f t="shared" si="260"/>
        <v>8</v>
      </c>
      <c r="BD300" s="120">
        <f t="shared" si="261"/>
        <v>5</v>
      </c>
      <c r="BE300" s="120">
        <f t="shared" si="262"/>
        <v>5</v>
      </c>
      <c r="BF300" s="120">
        <f t="shared" si="263"/>
        <v>0</v>
      </c>
      <c r="BG300" s="120">
        <f t="shared" si="264"/>
        <v>0</v>
      </c>
      <c r="BH300" s="120">
        <f t="shared" si="265"/>
        <v>0</v>
      </c>
      <c r="BI300" s="120">
        <f t="shared" si="266"/>
        <v>0</v>
      </c>
      <c r="BJ300" s="120"/>
      <c r="BK300" s="120">
        <f t="shared" si="268"/>
        <v>0</v>
      </c>
      <c r="BL300" s="120"/>
    </row>
    <row r="301" spans="1:64">
      <c r="A301" s="8" t="s">
        <v>1655</v>
      </c>
      <c r="B301" s="645"/>
      <c r="C301" s="116"/>
      <c r="D301" s="116"/>
      <c r="E301" s="116"/>
      <c r="F301" s="116"/>
      <c r="G301" s="116"/>
      <c r="H301" s="116"/>
      <c r="I301" s="116"/>
      <c r="J301" s="116">
        <v>1</v>
      </c>
      <c r="K301" s="116"/>
      <c r="L301" s="116"/>
      <c r="M301" s="116"/>
      <c r="N301" s="116"/>
      <c r="O301" s="116"/>
      <c r="P301" s="116">
        <v>1</v>
      </c>
      <c r="Q301" s="116"/>
      <c r="R301" s="116"/>
      <c r="S301" s="116"/>
      <c r="T301" s="116"/>
      <c r="U301" s="116"/>
      <c r="V301" s="116"/>
      <c r="W301" s="116"/>
      <c r="X301" s="116"/>
      <c r="Y301" s="116"/>
      <c r="Z301" s="116"/>
      <c r="AA301" s="116"/>
      <c r="AB301" s="116"/>
      <c r="AC301" s="116"/>
      <c r="AD301" s="116"/>
      <c r="AE301" s="116"/>
      <c r="AF301" s="116"/>
      <c r="AG301" s="116">
        <v>1</v>
      </c>
      <c r="AH301" s="116"/>
      <c r="AI301" s="116"/>
      <c r="AJ301" s="116"/>
      <c r="AK301" s="116">
        <v>3</v>
      </c>
      <c r="AL301" s="11" t="s">
        <v>1455</v>
      </c>
      <c r="AM301" s="117">
        <f t="shared" si="245"/>
        <v>-16</v>
      </c>
      <c r="AN301" s="117">
        <f t="shared" si="246"/>
        <v>50</v>
      </c>
      <c r="AO301" s="8">
        <f t="shared" si="247"/>
        <v>0</v>
      </c>
      <c r="AP301" s="8">
        <f t="shared" si="248"/>
        <v>0</v>
      </c>
      <c r="AQ301" s="8">
        <f t="shared" si="249"/>
        <v>0</v>
      </c>
      <c r="AR301" s="8">
        <f t="shared" si="250"/>
        <v>0</v>
      </c>
      <c r="AS301" s="8">
        <f t="shared" si="251"/>
        <v>17</v>
      </c>
      <c r="AT301" s="8">
        <f t="shared" si="252"/>
        <v>0</v>
      </c>
      <c r="AU301" s="8">
        <f t="shared" si="253"/>
        <v>18</v>
      </c>
      <c r="AV301" s="8">
        <f t="shared" si="254"/>
        <v>0</v>
      </c>
      <c r="AW301" s="8">
        <f t="shared" si="255"/>
        <v>0</v>
      </c>
      <c r="AX301" s="8">
        <f t="shared" ref="AX301:AY301" si="356">IF(S301=1,2,0)</f>
        <v>0</v>
      </c>
      <c r="AY301" s="8">
        <f t="shared" si="356"/>
        <v>0</v>
      </c>
      <c r="AZ301" s="8">
        <f t="shared" si="257"/>
        <v>0</v>
      </c>
      <c r="BA301" s="8">
        <f t="shared" si="258"/>
        <v>0</v>
      </c>
      <c r="BB301" s="8">
        <f t="shared" si="259"/>
        <v>0</v>
      </c>
      <c r="BC301" s="8">
        <f t="shared" si="260"/>
        <v>0</v>
      </c>
      <c r="BD301" s="8">
        <f t="shared" si="261"/>
        <v>0</v>
      </c>
      <c r="BE301" s="8">
        <f t="shared" si="262"/>
        <v>0</v>
      </c>
      <c r="BF301" s="8">
        <f t="shared" si="263"/>
        <v>0</v>
      </c>
      <c r="BG301" s="8">
        <f t="shared" si="264"/>
        <v>15</v>
      </c>
      <c r="BH301" s="8">
        <f t="shared" si="265"/>
        <v>0</v>
      </c>
      <c r="BI301" s="8">
        <f t="shared" si="266"/>
        <v>0</v>
      </c>
      <c r="BJ301" s="645"/>
      <c r="BK301" s="8">
        <f t="shared" si="268"/>
        <v>49</v>
      </c>
      <c r="BL301" s="645"/>
    </row>
    <row r="302" spans="1:64">
      <c r="A302" s="120" t="s">
        <v>1656</v>
      </c>
      <c r="B302" s="120"/>
      <c r="C302" s="118">
        <v>1</v>
      </c>
      <c r="D302" s="118">
        <v>1</v>
      </c>
      <c r="E302" s="118"/>
      <c r="F302" s="118"/>
      <c r="G302" s="118"/>
      <c r="H302" s="118"/>
      <c r="I302" s="118"/>
      <c r="J302" s="118">
        <v>1</v>
      </c>
      <c r="K302" s="118"/>
      <c r="L302" s="118"/>
      <c r="M302" s="118"/>
      <c r="N302" s="118">
        <v>1</v>
      </c>
      <c r="O302" s="118"/>
      <c r="P302" s="118">
        <v>1</v>
      </c>
      <c r="Q302" s="118"/>
      <c r="R302" s="118"/>
      <c r="S302" s="118">
        <v>1</v>
      </c>
      <c r="T302" s="118"/>
      <c r="U302" s="118"/>
      <c r="V302" s="118">
        <v>1</v>
      </c>
      <c r="W302" s="118"/>
      <c r="X302" s="118"/>
      <c r="Y302" s="118">
        <v>1</v>
      </c>
      <c r="Z302" s="118">
        <v>1</v>
      </c>
      <c r="AA302" s="118"/>
      <c r="AB302" s="118"/>
      <c r="AC302" s="118"/>
      <c r="AD302" s="118"/>
      <c r="AE302" s="118"/>
      <c r="AF302" s="118"/>
      <c r="AG302" s="118">
        <v>1</v>
      </c>
      <c r="AH302" s="118"/>
      <c r="AI302" s="118"/>
      <c r="AJ302" s="118"/>
      <c r="AK302" s="118">
        <v>10</v>
      </c>
      <c r="AL302" s="305" t="s">
        <v>1455</v>
      </c>
      <c r="AM302" s="119">
        <f t="shared" si="245"/>
        <v>77</v>
      </c>
      <c r="AN302" s="119">
        <f t="shared" si="246"/>
        <v>93</v>
      </c>
      <c r="AO302" s="120">
        <f t="shared" si="247"/>
        <v>9</v>
      </c>
      <c r="AP302" s="120">
        <f t="shared" si="248"/>
        <v>13</v>
      </c>
      <c r="AQ302" s="120">
        <f t="shared" si="249"/>
        <v>0</v>
      </c>
      <c r="AR302" s="120">
        <f t="shared" si="250"/>
        <v>0</v>
      </c>
      <c r="AS302" s="120">
        <f t="shared" si="251"/>
        <v>17</v>
      </c>
      <c r="AT302" s="120">
        <f t="shared" si="252"/>
        <v>2</v>
      </c>
      <c r="AU302" s="120">
        <f t="shared" si="253"/>
        <v>18</v>
      </c>
      <c r="AV302" s="120">
        <f t="shared" si="254"/>
        <v>0</v>
      </c>
      <c r="AW302" s="120">
        <f t="shared" si="255"/>
        <v>0</v>
      </c>
      <c r="AX302" s="120">
        <f t="shared" ref="AX302:AY302" si="357">IF(S302=1,2,0)</f>
        <v>2</v>
      </c>
      <c r="AY302" s="120">
        <f t="shared" si="357"/>
        <v>0</v>
      </c>
      <c r="AZ302" s="120">
        <f t="shared" si="257"/>
        <v>0</v>
      </c>
      <c r="BA302" s="120">
        <f t="shared" si="258"/>
        <v>3</v>
      </c>
      <c r="BB302" s="120">
        <f t="shared" si="259"/>
        <v>10</v>
      </c>
      <c r="BC302" s="120">
        <f t="shared" si="260"/>
        <v>8</v>
      </c>
      <c r="BD302" s="120">
        <f t="shared" si="261"/>
        <v>0</v>
      </c>
      <c r="BE302" s="120">
        <f t="shared" si="262"/>
        <v>0</v>
      </c>
      <c r="BF302" s="120">
        <f t="shared" si="263"/>
        <v>0</v>
      </c>
      <c r="BG302" s="120">
        <f t="shared" si="264"/>
        <v>15</v>
      </c>
      <c r="BH302" s="120">
        <f t="shared" si="265"/>
        <v>0</v>
      </c>
      <c r="BI302" s="120">
        <f t="shared" si="266"/>
        <v>0</v>
      </c>
      <c r="BJ302" s="120"/>
      <c r="BK302" s="120">
        <f t="shared" si="268"/>
        <v>0</v>
      </c>
      <c r="BL302" s="120"/>
    </row>
    <row r="303" spans="1:64">
      <c r="A303" s="8" t="s">
        <v>1004</v>
      </c>
      <c r="B303" s="645"/>
      <c r="C303" s="116">
        <v>1</v>
      </c>
      <c r="D303" s="116">
        <v>1</v>
      </c>
      <c r="E303" s="116"/>
      <c r="F303" s="116"/>
      <c r="G303" s="116"/>
      <c r="H303" s="116"/>
      <c r="I303" s="116"/>
      <c r="J303" s="116">
        <v>1</v>
      </c>
      <c r="K303" s="116"/>
      <c r="L303" s="116"/>
      <c r="M303" s="116"/>
      <c r="N303" s="116"/>
      <c r="O303" s="116"/>
      <c r="P303" s="116">
        <v>1</v>
      </c>
      <c r="Q303" s="116"/>
      <c r="R303" s="116"/>
      <c r="S303" s="116"/>
      <c r="T303" s="116"/>
      <c r="U303" s="116">
        <v>1</v>
      </c>
      <c r="V303" s="116"/>
      <c r="W303" s="116"/>
      <c r="X303" s="116"/>
      <c r="Y303" s="116"/>
      <c r="Z303" s="116">
        <v>1</v>
      </c>
      <c r="AA303" s="116"/>
      <c r="AB303" s="116"/>
      <c r="AC303" s="116"/>
      <c r="AD303" s="116"/>
      <c r="AE303" s="116"/>
      <c r="AF303" s="116"/>
      <c r="AG303" s="116">
        <v>1</v>
      </c>
      <c r="AH303" s="116"/>
      <c r="AI303" s="116"/>
      <c r="AJ303" s="116"/>
      <c r="AK303" s="116">
        <v>7</v>
      </c>
      <c r="AL303" s="11" t="s">
        <v>1590</v>
      </c>
      <c r="AM303" s="117">
        <f t="shared" si="245"/>
        <v>50</v>
      </c>
      <c r="AN303" s="117">
        <f t="shared" si="246"/>
        <v>90</v>
      </c>
      <c r="AO303" s="8">
        <f t="shared" si="247"/>
        <v>9</v>
      </c>
      <c r="AP303" s="8">
        <f t="shared" si="248"/>
        <v>13</v>
      </c>
      <c r="AQ303" s="8">
        <f t="shared" si="249"/>
        <v>0</v>
      </c>
      <c r="AR303" s="8">
        <f t="shared" si="250"/>
        <v>0</v>
      </c>
      <c r="AS303" s="8">
        <f t="shared" si="251"/>
        <v>17</v>
      </c>
      <c r="AT303" s="8">
        <f t="shared" si="252"/>
        <v>0</v>
      </c>
      <c r="AU303" s="8">
        <f t="shared" si="253"/>
        <v>18</v>
      </c>
      <c r="AV303" s="8">
        <f t="shared" si="254"/>
        <v>0</v>
      </c>
      <c r="AW303" s="8">
        <f t="shared" si="255"/>
        <v>0</v>
      </c>
      <c r="AX303" s="8">
        <f t="shared" ref="AX303:AY303" si="358">IF(S303=1,2,0)</f>
        <v>0</v>
      </c>
      <c r="AY303" s="8">
        <f t="shared" si="358"/>
        <v>0</v>
      </c>
      <c r="AZ303" s="8">
        <f t="shared" si="257"/>
        <v>10</v>
      </c>
      <c r="BA303" s="8">
        <f t="shared" si="258"/>
        <v>0</v>
      </c>
      <c r="BB303" s="8">
        <f t="shared" si="259"/>
        <v>0</v>
      </c>
      <c r="BC303" s="8">
        <f t="shared" si="260"/>
        <v>8</v>
      </c>
      <c r="BD303" s="8">
        <f t="shared" si="261"/>
        <v>0</v>
      </c>
      <c r="BE303" s="8">
        <f t="shared" si="262"/>
        <v>0</v>
      </c>
      <c r="BF303" s="8">
        <f t="shared" si="263"/>
        <v>0</v>
      </c>
      <c r="BG303" s="8">
        <f t="shared" si="264"/>
        <v>15</v>
      </c>
      <c r="BH303" s="8">
        <f t="shared" si="265"/>
        <v>0</v>
      </c>
      <c r="BI303" s="8">
        <f t="shared" si="266"/>
        <v>0</v>
      </c>
      <c r="BJ303" s="645"/>
      <c r="BK303" s="8">
        <f t="shared" si="268"/>
        <v>9</v>
      </c>
      <c r="BL303" s="645"/>
    </row>
    <row r="304" spans="1:64">
      <c r="A304" s="120" t="s">
        <v>634</v>
      </c>
      <c r="B304" s="120"/>
      <c r="C304" s="118"/>
      <c r="D304" s="118"/>
      <c r="E304" s="118"/>
      <c r="F304" s="118"/>
      <c r="G304" s="118"/>
      <c r="H304" s="118"/>
      <c r="I304" s="118"/>
      <c r="J304" s="118">
        <v>1</v>
      </c>
      <c r="K304" s="118"/>
      <c r="L304" s="118"/>
      <c r="M304" s="118"/>
      <c r="N304" s="118"/>
      <c r="O304" s="118"/>
      <c r="P304" s="118">
        <v>1</v>
      </c>
      <c r="Q304" s="118"/>
      <c r="R304" s="118"/>
      <c r="S304" s="118">
        <v>1</v>
      </c>
      <c r="T304" s="118"/>
      <c r="U304" s="118"/>
      <c r="V304" s="118"/>
      <c r="W304" s="118"/>
      <c r="X304" s="118"/>
      <c r="Y304" s="118"/>
      <c r="Z304" s="118"/>
      <c r="AA304" s="118"/>
      <c r="AB304" s="118"/>
      <c r="AC304" s="118"/>
      <c r="AD304" s="118"/>
      <c r="AE304" s="118"/>
      <c r="AF304" s="118"/>
      <c r="AG304" s="118">
        <v>1</v>
      </c>
      <c r="AH304" s="118"/>
      <c r="AI304" s="118"/>
      <c r="AJ304" s="118"/>
      <c r="AK304" s="118">
        <v>4</v>
      </c>
      <c r="AL304" s="305" t="s">
        <v>1657</v>
      </c>
      <c r="AM304" s="119">
        <f t="shared" si="245"/>
        <v>-1</v>
      </c>
      <c r="AN304" s="119">
        <f t="shared" si="246"/>
        <v>52</v>
      </c>
      <c r="AO304" s="120">
        <f t="shared" si="247"/>
        <v>0</v>
      </c>
      <c r="AP304" s="120">
        <f t="shared" si="248"/>
        <v>0</v>
      </c>
      <c r="AQ304" s="120">
        <f t="shared" si="249"/>
        <v>0</v>
      </c>
      <c r="AR304" s="120">
        <f t="shared" si="250"/>
        <v>0</v>
      </c>
      <c r="AS304" s="120">
        <f t="shared" si="251"/>
        <v>17</v>
      </c>
      <c r="AT304" s="120">
        <f t="shared" si="252"/>
        <v>0</v>
      </c>
      <c r="AU304" s="120">
        <f t="shared" si="253"/>
        <v>18</v>
      </c>
      <c r="AV304" s="120">
        <f t="shared" si="254"/>
        <v>0</v>
      </c>
      <c r="AW304" s="120">
        <f t="shared" si="255"/>
        <v>0</v>
      </c>
      <c r="AX304" s="120">
        <f t="shared" ref="AX304:AY304" si="359">IF(S304=1,2,0)</f>
        <v>2</v>
      </c>
      <c r="AY304" s="120">
        <f t="shared" si="359"/>
        <v>0</v>
      </c>
      <c r="AZ304" s="120">
        <f t="shared" si="257"/>
        <v>0</v>
      </c>
      <c r="BA304" s="120">
        <f t="shared" si="258"/>
        <v>0</v>
      </c>
      <c r="BB304" s="120">
        <f t="shared" si="259"/>
        <v>0</v>
      </c>
      <c r="BC304" s="120">
        <f t="shared" si="260"/>
        <v>0</v>
      </c>
      <c r="BD304" s="120">
        <f t="shared" si="261"/>
        <v>0</v>
      </c>
      <c r="BE304" s="120">
        <f t="shared" si="262"/>
        <v>0</v>
      </c>
      <c r="BF304" s="120">
        <f t="shared" si="263"/>
        <v>0</v>
      </c>
      <c r="BG304" s="120">
        <f t="shared" si="264"/>
        <v>15</v>
      </c>
      <c r="BH304" s="120">
        <f t="shared" si="265"/>
        <v>0</v>
      </c>
      <c r="BI304" s="120">
        <f t="shared" si="266"/>
        <v>0</v>
      </c>
      <c r="BJ304" s="120"/>
      <c r="BK304" s="120">
        <f t="shared" si="268"/>
        <v>36</v>
      </c>
      <c r="BL304" s="120"/>
    </row>
    <row r="305" spans="1:64">
      <c r="A305" s="8" t="s">
        <v>1658</v>
      </c>
      <c r="B305" s="645"/>
      <c r="C305" s="116"/>
      <c r="D305" s="116"/>
      <c r="E305" s="116"/>
      <c r="F305" s="116"/>
      <c r="G305" s="116"/>
      <c r="H305" s="116"/>
      <c r="I305" s="116"/>
      <c r="J305" s="116"/>
      <c r="K305" s="116"/>
      <c r="L305" s="116"/>
      <c r="M305" s="116"/>
      <c r="N305" s="116"/>
      <c r="O305" s="116"/>
      <c r="P305" s="116"/>
      <c r="Q305" s="116"/>
      <c r="R305" s="116"/>
      <c r="S305" s="116"/>
      <c r="T305" s="116"/>
      <c r="U305" s="116">
        <v>1</v>
      </c>
      <c r="V305" s="116"/>
      <c r="W305" s="116">
        <v>1</v>
      </c>
      <c r="X305" s="116"/>
      <c r="Y305" s="116"/>
      <c r="Z305" s="116">
        <v>1</v>
      </c>
      <c r="AA305" s="116"/>
      <c r="AB305" s="116"/>
      <c r="AC305" s="116"/>
      <c r="AD305" s="116"/>
      <c r="AE305" s="116"/>
      <c r="AF305" s="116"/>
      <c r="AG305" s="116"/>
      <c r="AH305" s="116"/>
      <c r="AI305" s="116">
        <v>1</v>
      </c>
      <c r="AJ305" s="116"/>
      <c r="AK305" s="116">
        <v>4</v>
      </c>
      <c r="AL305" s="11" t="s">
        <v>1455</v>
      </c>
      <c r="AM305" s="117">
        <f t="shared" si="245"/>
        <v>-21</v>
      </c>
      <c r="AN305" s="117">
        <f t="shared" si="246"/>
        <v>21</v>
      </c>
      <c r="AO305" s="8">
        <f t="shared" si="247"/>
        <v>0</v>
      </c>
      <c r="AP305" s="8">
        <f t="shared" si="248"/>
        <v>0</v>
      </c>
      <c r="AQ305" s="8">
        <f t="shared" si="249"/>
        <v>0</v>
      </c>
      <c r="AR305" s="8">
        <f t="shared" si="250"/>
        <v>0</v>
      </c>
      <c r="AS305" s="8">
        <f t="shared" si="251"/>
        <v>0</v>
      </c>
      <c r="AT305" s="8">
        <f t="shared" si="252"/>
        <v>0</v>
      </c>
      <c r="AU305" s="8">
        <f t="shared" si="253"/>
        <v>0</v>
      </c>
      <c r="AV305" s="8">
        <f t="shared" si="254"/>
        <v>0</v>
      </c>
      <c r="AW305" s="8">
        <f t="shared" si="255"/>
        <v>0</v>
      </c>
      <c r="AX305" s="8">
        <f t="shared" ref="AX305:AY305" si="360">IF(S305=1,2,0)</f>
        <v>0</v>
      </c>
      <c r="AY305" s="8">
        <f t="shared" si="360"/>
        <v>0</v>
      </c>
      <c r="AZ305" s="8">
        <f t="shared" si="257"/>
        <v>10</v>
      </c>
      <c r="BA305" s="8">
        <f t="shared" si="258"/>
        <v>0</v>
      </c>
      <c r="BB305" s="8">
        <f t="shared" si="259"/>
        <v>0</v>
      </c>
      <c r="BC305" s="8">
        <f t="shared" si="260"/>
        <v>8</v>
      </c>
      <c r="BD305" s="8">
        <f t="shared" si="261"/>
        <v>0</v>
      </c>
      <c r="BE305" s="8">
        <f t="shared" si="262"/>
        <v>0</v>
      </c>
      <c r="BF305" s="8">
        <f t="shared" si="263"/>
        <v>0</v>
      </c>
      <c r="BG305" s="8">
        <f t="shared" si="264"/>
        <v>0</v>
      </c>
      <c r="BH305" s="8">
        <f t="shared" si="265"/>
        <v>3</v>
      </c>
      <c r="BI305" s="8">
        <f t="shared" si="266"/>
        <v>0</v>
      </c>
      <c r="BJ305" s="645"/>
      <c r="BK305" s="8">
        <f t="shared" si="268"/>
        <v>36</v>
      </c>
      <c r="BL305" s="645"/>
    </row>
    <row r="306" spans="1:64">
      <c r="A306" s="120" t="s">
        <v>343</v>
      </c>
      <c r="B306" s="120"/>
      <c r="C306" s="118">
        <v>1</v>
      </c>
      <c r="D306" s="118"/>
      <c r="E306" s="118">
        <v>1</v>
      </c>
      <c r="F306" s="118"/>
      <c r="G306" s="118">
        <v>1</v>
      </c>
      <c r="H306" s="118"/>
      <c r="I306" s="118"/>
      <c r="J306" s="118"/>
      <c r="K306" s="118"/>
      <c r="L306" s="118"/>
      <c r="M306" s="118"/>
      <c r="N306" s="118"/>
      <c r="O306" s="118"/>
      <c r="P306" s="118">
        <v>1</v>
      </c>
      <c r="Q306" s="118">
        <v>1</v>
      </c>
      <c r="R306" s="118"/>
      <c r="S306" s="118"/>
      <c r="T306" s="118"/>
      <c r="U306" s="118"/>
      <c r="V306" s="118">
        <v>1</v>
      </c>
      <c r="W306" s="118"/>
      <c r="X306" s="118"/>
      <c r="Y306" s="118">
        <v>1</v>
      </c>
      <c r="Z306" s="118">
        <v>1</v>
      </c>
      <c r="AA306" s="118"/>
      <c r="AB306" s="118">
        <v>1</v>
      </c>
      <c r="AC306" s="118"/>
      <c r="AD306" s="118"/>
      <c r="AE306" s="118"/>
      <c r="AF306" s="118"/>
      <c r="AG306" s="118">
        <v>1</v>
      </c>
      <c r="AH306" s="118"/>
      <c r="AI306" s="118"/>
      <c r="AJ306" s="118"/>
      <c r="AK306" s="118">
        <v>10</v>
      </c>
      <c r="AL306" s="305" t="s">
        <v>1455</v>
      </c>
      <c r="AM306" s="119">
        <f t="shared" si="245"/>
        <v>96</v>
      </c>
      <c r="AN306" s="119">
        <f t="shared" si="246"/>
        <v>77</v>
      </c>
      <c r="AO306" s="120">
        <f t="shared" si="247"/>
        <v>9</v>
      </c>
      <c r="AP306" s="120">
        <f t="shared" si="248"/>
        <v>0</v>
      </c>
      <c r="AQ306" s="120">
        <f t="shared" si="249"/>
        <v>6</v>
      </c>
      <c r="AR306" s="120">
        <f t="shared" si="250"/>
        <v>6</v>
      </c>
      <c r="AS306" s="120">
        <f t="shared" si="251"/>
        <v>0</v>
      </c>
      <c r="AT306" s="120">
        <f t="shared" si="252"/>
        <v>0</v>
      </c>
      <c r="AU306" s="120">
        <f t="shared" si="253"/>
        <v>18</v>
      </c>
      <c r="AV306" s="120">
        <f t="shared" si="254"/>
        <v>4</v>
      </c>
      <c r="AW306" s="120">
        <f t="shared" si="255"/>
        <v>0</v>
      </c>
      <c r="AX306" s="120">
        <f t="shared" ref="AX306:AY306" si="361">IF(S306=1,2,0)</f>
        <v>0</v>
      </c>
      <c r="AY306" s="120">
        <f t="shared" si="361"/>
        <v>0</v>
      </c>
      <c r="AZ306" s="120">
        <f t="shared" si="257"/>
        <v>0</v>
      </c>
      <c r="BA306" s="120">
        <f t="shared" si="258"/>
        <v>3</v>
      </c>
      <c r="BB306" s="120">
        <f t="shared" si="259"/>
        <v>10</v>
      </c>
      <c r="BC306" s="120">
        <f t="shared" si="260"/>
        <v>8</v>
      </c>
      <c r="BD306" s="120">
        <f t="shared" si="261"/>
        <v>5</v>
      </c>
      <c r="BE306" s="120">
        <f t="shared" si="262"/>
        <v>0</v>
      </c>
      <c r="BF306" s="120">
        <f t="shared" si="263"/>
        <v>0</v>
      </c>
      <c r="BG306" s="120">
        <f t="shared" si="264"/>
        <v>15</v>
      </c>
      <c r="BH306" s="120">
        <f t="shared" si="265"/>
        <v>0</v>
      </c>
      <c r="BI306" s="120">
        <f t="shared" si="266"/>
        <v>0</v>
      </c>
      <c r="BJ306" s="120"/>
      <c r="BK306" s="120">
        <f t="shared" si="268"/>
        <v>0</v>
      </c>
      <c r="BL306" s="120"/>
    </row>
    <row r="307" spans="1:64">
      <c r="A307" s="8" t="s">
        <v>1357</v>
      </c>
      <c r="B307" s="645"/>
      <c r="C307" s="116"/>
      <c r="D307" s="116"/>
      <c r="E307" s="116"/>
      <c r="F307" s="116"/>
      <c r="G307" s="116"/>
      <c r="H307" s="116"/>
      <c r="I307" s="116"/>
      <c r="J307" s="116">
        <v>1</v>
      </c>
      <c r="K307" s="116"/>
      <c r="L307" s="116"/>
      <c r="M307" s="116"/>
      <c r="N307" s="116"/>
      <c r="O307" s="116"/>
      <c r="P307" s="116">
        <v>1</v>
      </c>
      <c r="Q307" s="116"/>
      <c r="R307" s="116"/>
      <c r="S307" s="116"/>
      <c r="T307" s="116"/>
      <c r="U307" s="116">
        <v>1</v>
      </c>
      <c r="V307" s="116"/>
      <c r="W307" s="116"/>
      <c r="X307" s="116"/>
      <c r="Y307" s="116"/>
      <c r="Z307" s="116"/>
      <c r="AA307" s="116"/>
      <c r="AB307" s="116"/>
      <c r="AC307" s="116"/>
      <c r="AD307" s="116"/>
      <c r="AE307" s="116"/>
      <c r="AF307" s="116"/>
      <c r="AG307" s="116">
        <v>1</v>
      </c>
      <c r="AH307" s="116"/>
      <c r="AI307" s="116"/>
      <c r="AJ307" s="116"/>
      <c r="AK307" s="116">
        <v>4</v>
      </c>
      <c r="AL307" s="11" t="s">
        <v>1455</v>
      </c>
      <c r="AM307" s="117">
        <f t="shared" si="245"/>
        <v>-2</v>
      </c>
      <c r="AN307" s="117">
        <f t="shared" si="246"/>
        <v>60</v>
      </c>
      <c r="AO307" s="8">
        <f t="shared" si="247"/>
        <v>0</v>
      </c>
      <c r="AP307" s="8">
        <f t="shared" si="248"/>
        <v>0</v>
      </c>
      <c r="AQ307" s="8">
        <f t="shared" si="249"/>
        <v>0</v>
      </c>
      <c r="AR307" s="8">
        <f t="shared" si="250"/>
        <v>0</v>
      </c>
      <c r="AS307" s="8">
        <f t="shared" si="251"/>
        <v>17</v>
      </c>
      <c r="AT307" s="8">
        <f t="shared" si="252"/>
        <v>0</v>
      </c>
      <c r="AU307" s="8">
        <f t="shared" si="253"/>
        <v>18</v>
      </c>
      <c r="AV307" s="8">
        <f t="shared" si="254"/>
        <v>0</v>
      </c>
      <c r="AW307" s="8">
        <f t="shared" si="255"/>
        <v>0</v>
      </c>
      <c r="AX307" s="8">
        <f t="shared" ref="AX307:AY307" si="362">IF(S307=1,2,0)</f>
        <v>0</v>
      </c>
      <c r="AY307" s="8">
        <f t="shared" si="362"/>
        <v>0</v>
      </c>
      <c r="AZ307" s="8">
        <f t="shared" si="257"/>
        <v>10</v>
      </c>
      <c r="BA307" s="8">
        <f t="shared" si="258"/>
        <v>0</v>
      </c>
      <c r="BB307" s="8">
        <f t="shared" si="259"/>
        <v>0</v>
      </c>
      <c r="BC307" s="8">
        <f t="shared" si="260"/>
        <v>0</v>
      </c>
      <c r="BD307" s="8">
        <f t="shared" si="261"/>
        <v>0</v>
      </c>
      <c r="BE307" s="8">
        <f t="shared" si="262"/>
        <v>0</v>
      </c>
      <c r="BF307" s="8">
        <f t="shared" si="263"/>
        <v>0</v>
      </c>
      <c r="BG307" s="8">
        <f t="shared" si="264"/>
        <v>15</v>
      </c>
      <c r="BH307" s="8">
        <f t="shared" si="265"/>
        <v>0</v>
      </c>
      <c r="BI307" s="8">
        <f t="shared" si="266"/>
        <v>0</v>
      </c>
      <c r="BJ307" s="645"/>
      <c r="BK307" s="8">
        <f t="shared" si="268"/>
        <v>36</v>
      </c>
      <c r="BL307" s="645"/>
    </row>
    <row r="308" spans="1:64">
      <c r="A308" s="120" t="s">
        <v>1360</v>
      </c>
      <c r="B308" s="120"/>
      <c r="C308" s="118">
        <v>1</v>
      </c>
      <c r="D308" s="118">
        <v>1</v>
      </c>
      <c r="E308" s="118"/>
      <c r="F308" s="118"/>
      <c r="G308" s="118"/>
      <c r="H308" s="118"/>
      <c r="I308" s="118"/>
      <c r="J308" s="118">
        <v>1</v>
      </c>
      <c r="K308" s="118"/>
      <c r="L308" s="118"/>
      <c r="M308" s="118"/>
      <c r="N308" s="118"/>
      <c r="O308" s="118"/>
      <c r="P308" s="118">
        <v>1</v>
      </c>
      <c r="Q308" s="118">
        <v>1</v>
      </c>
      <c r="R308" s="118"/>
      <c r="S308" s="118"/>
      <c r="T308" s="118"/>
      <c r="U308" s="118">
        <v>1</v>
      </c>
      <c r="V308" s="118"/>
      <c r="W308" s="118"/>
      <c r="X308" s="118"/>
      <c r="Y308" s="118">
        <v>1</v>
      </c>
      <c r="Z308" s="118">
        <v>1</v>
      </c>
      <c r="AA308" s="118"/>
      <c r="AB308" s="118">
        <v>1</v>
      </c>
      <c r="AC308" s="118"/>
      <c r="AD308" s="118"/>
      <c r="AE308" s="118"/>
      <c r="AF308" s="118"/>
      <c r="AG308" s="118">
        <v>1</v>
      </c>
      <c r="AH308" s="118"/>
      <c r="AI308" s="118"/>
      <c r="AJ308" s="118"/>
      <c r="AK308" s="118">
        <v>10</v>
      </c>
      <c r="AL308" s="305" t="s">
        <v>1455</v>
      </c>
      <c r="AM308" s="119">
        <f t="shared" si="245"/>
        <v>78</v>
      </c>
      <c r="AN308" s="119">
        <f t="shared" si="246"/>
        <v>100</v>
      </c>
      <c r="AO308" s="120">
        <f t="shared" si="247"/>
        <v>9</v>
      </c>
      <c r="AP308" s="120">
        <f t="shared" si="248"/>
        <v>13</v>
      </c>
      <c r="AQ308" s="120">
        <f t="shared" si="249"/>
        <v>0</v>
      </c>
      <c r="AR308" s="120">
        <f t="shared" si="250"/>
        <v>0</v>
      </c>
      <c r="AS308" s="120">
        <f t="shared" si="251"/>
        <v>17</v>
      </c>
      <c r="AT308" s="120">
        <f t="shared" si="252"/>
        <v>0</v>
      </c>
      <c r="AU308" s="120">
        <f t="shared" si="253"/>
        <v>18</v>
      </c>
      <c r="AV308" s="120">
        <f t="shared" si="254"/>
        <v>4</v>
      </c>
      <c r="AW308" s="120">
        <f t="shared" si="255"/>
        <v>0</v>
      </c>
      <c r="AX308" s="120">
        <f t="shared" ref="AX308:AY308" si="363">IF(S308=1,2,0)</f>
        <v>0</v>
      </c>
      <c r="AY308" s="120">
        <f t="shared" si="363"/>
        <v>0</v>
      </c>
      <c r="AZ308" s="120">
        <f t="shared" si="257"/>
        <v>10</v>
      </c>
      <c r="BA308" s="120">
        <f t="shared" si="258"/>
        <v>0</v>
      </c>
      <c r="BB308" s="120">
        <f t="shared" si="259"/>
        <v>10</v>
      </c>
      <c r="BC308" s="120">
        <f t="shared" si="260"/>
        <v>8</v>
      </c>
      <c r="BD308" s="120">
        <f t="shared" si="261"/>
        <v>5</v>
      </c>
      <c r="BE308" s="120">
        <f t="shared" si="262"/>
        <v>0</v>
      </c>
      <c r="BF308" s="120">
        <f t="shared" si="263"/>
        <v>0</v>
      </c>
      <c r="BG308" s="120">
        <f t="shared" si="264"/>
        <v>15</v>
      </c>
      <c r="BH308" s="120">
        <f t="shared" si="265"/>
        <v>0</v>
      </c>
      <c r="BI308" s="120">
        <f t="shared" si="266"/>
        <v>0</v>
      </c>
      <c r="BJ308" s="120"/>
      <c r="BK308" s="120">
        <f t="shared" si="268"/>
        <v>0</v>
      </c>
      <c r="BL308" s="120"/>
    </row>
    <row r="309" spans="1:64">
      <c r="A309" s="8" t="s">
        <v>1659</v>
      </c>
      <c r="B309" s="645"/>
      <c r="C309" s="116"/>
      <c r="D309" s="116">
        <v>1</v>
      </c>
      <c r="E309" s="116"/>
      <c r="F309" s="116"/>
      <c r="G309" s="116"/>
      <c r="H309" s="116"/>
      <c r="I309" s="116"/>
      <c r="J309" s="116">
        <v>1</v>
      </c>
      <c r="K309" s="116"/>
      <c r="L309" s="116"/>
      <c r="M309" s="116"/>
      <c r="N309" s="116"/>
      <c r="O309" s="116"/>
      <c r="P309" s="116">
        <v>1</v>
      </c>
      <c r="Q309" s="116"/>
      <c r="R309" s="116"/>
      <c r="S309" s="116"/>
      <c r="T309" s="116"/>
      <c r="U309" s="116">
        <v>1</v>
      </c>
      <c r="V309" s="116"/>
      <c r="W309" s="116"/>
      <c r="X309" s="116"/>
      <c r="Y309" s="116"/>
      <c r="Z309" s="116"/>
      <c r="AA309" s="116"/>
      <c r="AB309" s="116"/>
      <c r="AC309" s="116"/>
      <c r="AD309" s="116"/>
      <c r="AE309" s="116"/>
      <c r="AF309" s="116"/>
      <c r="AG309" s="116">
        <v>1</v>
      </c>
      <c r="AH309" s="116"/>
      <c r="AI309" s="116">
        <v>1</v>
      </c>
      <c r="AJ309" s="116"/>
      <c r="AK309" s="116">
        <v>7</v>
      </c>
      <c r="AL309" s="8" t="s">
        <v>1660</v>
      </c>
      <c r="AM309" s="117">
        <f t="shared" si="245"/>
        <v>37</v>
      </c>
      <c r="AN309" s="117">
        <f t="shared" si="246"/>
        <v>76</v>
      </c>
      <c r="AO309" s="8">
        <f t="shared" si="247"/>
        <v>0</v>
      </c>
      <c r="AP309" s="8">
        <f t="shared" si="248"/>
        <v>13</v>
      </c>
      <c r="AQ309" s="8">
        <f t="shared" si="249"/>
        <v>0</v>
      </c>
      <c r="AR309" s="8">
        <f t="shared" si="250"/>
        <v>0</v>
      </c>
      <c r="AS309" s="8">
        <f t="shared" si="251"/>
        <v>17</v>
      </c>
      <c r="AT309" s="8">
        <f t="shared" si="252"/>
        <v>0</v>
      </c>
      <c r="AU309" s="8">
        <f t="shared" si="253"/>
        <v>18</v>
      </c>
      <c r="AV309" s="8">
        <f t="shared" si="254"/>
        <v>0</v>
      </c>
      <c r="AW309" s="8">
        <f t="shared" si="255"/>
        <v>0</v>
      </c>
      <c r="AX309" s="8">
        <f t="shared" ref="AX309:AY309" si="364">IF(S309=1,2,0)</f>
        <v>0</v>
      </c>
      <c r="AY309" s="8">
        <f t="shared" si="364"/>
        <v>0</v>
      </c>
      <c r="AZ309" s="8">
        <f t="shared" si="257"/>
        <v>10</v>
      </c>
      <c r="BA309" s="8">
        <f t="shared" si="258"/>
        <v>0</v>
      </c>
      <c r="BB309" s="8">
        <f t="shared" si="259"/>
        <v>0</v>
      </c>
      <c r="BC309" s="8">
        <f t="shared" si="260"/>
        <v>0</v>
      </c>
      <c r="BD309" s="8">
        <f t="shared" si="261"/>
        <v>0</v>
      </c>
      <c r="BE309" s="8">
        <f t="shared" si="262"/>
        <v>0</v>
      </c>
      <c r="BF309" s="8">
        <f t="shared" si="263"/>
        <v>0</v>
      </c>
      <c r="BG309" s="8">
        <f t="shared" si="264"/>
        <v>15</v>
      </c>
      <c r="BH309" s="8">
        <f t="shared" si="265"/>
        <v>3</v>
      </c>
      <c r="BI309" s="8">
        <f t="shared" si="266"/>
        <v>0</v>
      </c>
      <c r="BJ309" s="645"/>
      <c r="BK309" s="8">
        <f t="shared" si="268"/>
        <v>9</v>
      </c>
      <c r="BL309" s="645"/>
    </row>
    <row r="310" spans="1:64">
      <c r="A310" s="120" t="s">
        <v>366</v>
      </c>
      <c r="B310" s="120"/>
      <c r="C310" s="118"/>
      <c r="D310" s="118"/>
      <c r="E310" s="118">
        <v>1</v>
      </c>
      <c r="F310" s="118"/>
      <c r="G310" s="118">
        <v>1</v>
      </c>
      <c r="H310" s="118"/>
      <c r="I310" s="118"/>
      <c r="J310" s="118">
        <v>1</v>
      </c>
      <c r="K310" s="118"/>
      <c r="L310" s="118"/>
      <c r="M310" s="118"/>
      <c r="N310" s="118"/>
      <c r="O310" s="118"/>
      <c r="P310" s="118">
        <v>1</v>
      </c>
      <c r="Q310" s="118">
        <v>1</v>
      </c>
      <c r="R310" s="118"/>
      <c r="S310" s="118"/>
      <c r="T310" s="118"/>
      <c r="U310" s="118">
        <v>1</v>
      </c>
      <c r="V310" s="118"/>
      <c r="W310" s="118"/>
      <c r="X310" s="118"/>
      <c r="Y310" s="118"/>
      <c r="Z310" s="118"/>
      <c r="AA310" s="118"/>
      <c r="AB310" s="118"/>
      <c r="AC310" s="118"/>
      <c r="AD310" s="118">
        <v>1</v>
      </c>
      <c r="AE310" s="118"/>
      <c r="AF310" s="118"/>
      <c r="AG310" s="118">
        <v>1</v>
      </c>
      <c r="AH310" s="118"/>
      <c r="AI310" s="118"/>
      <c r="AJ310" s="118"/>
      <c r="AK310" s="118">
        <v>8</v>
      </c>
      <c r="AL310" s="305" t="s">
        <v>1661</v>
      </c>
      <c r="AM310" s="119">
        <f t="shared" si="245"/>
        <v>64</v>
      </c>
      <c r="AN310" s="119">
        <f t="shared" si="246"/>
        <v>81</v>
      </c>
      <c r="AO310" s="120">
        <f t="shared" si="247"/>
        <v>0</v>
      </c>
      <c r="AP310" s="120">
        <f t="shared" si="248"/>
        <v>0</v>
      </c>
      <c r="AQ310" s="120">
        <f t="shared" si="249"/>
        <v>6</v>
      </c>
      <c r="AR310" s="120">
        <f t="shared" si="250"/>
        <v>6</v>
      </c>
      <c r="AS310" s="120">
        <f t="shared" si="251"/>
        <v>17</v>
      </c>
      <c r="AT310" s="120">
        <f t="shared" si="252"/>
        <v>0</v>
      </c>
      <c r="AU310" s="120">
        <f t="shared" si="253"/>
        <v>18</v>
      </c>
      <c r="AV310" s="120">
        <f t="shared" si="254"/>
        <v>4</v>
      </c>
      <c r="AW310" s="120">
        <f t="shared" si="255"/>
        <v>0</v>
      </c>
      <c r="AX310" s="120">
        <f t="shared" ref="AX310:AY310" si="365">IF(S310=1,2,0)</f>
        <v>0</v>
      </c>
      <c r="AY310" s="120">
        <f t="shared" si="365"/>
        <v>0</v>
      </c>
      <c r="AZ310" s="120">
        <f t="shared" si="257"/>
        <v>10</v>
      </c>
      <c r="BA310" s="120">
        <f t="shared" si="258"/>
        <v>0</v>
      </c>
      <c r="BB310" s="120">
        <f t="shared" si="259"/>
        <v>0</v>
      </c>
      <c r="BC310" s="120">
        <f t="shared" si="260"/>
        <v>0</v>
      </c>
      <c r="BD310" s="120">
        <f t="shared" si="261"/>
        <v>0</v>
      </c>
      <c r="BE310" s="120">
        <f t="shared" si="262"/>
        <v>5</v>
      </c>
      <c r="BF310" s="120">
        <f t="shared" si="263"/>
        <v>0</v>
      </c>
      <c r="BG310" s="120">
        <f t="shared" si="264"/>
        <v>15</v>
      </c>
      <c r="BH310" s="120">
        <f t="shared" si="265"/>
        <v>0</v>
      </c>
      <c r="BI310" s="120">
        <f t="shared" si="266"/>
        <v>0</v>
      </c>
      <c r="BJ310" s="120"/>
      <c r="BK310" s="120">
        <f t="shared" si="268"/>
        <v>4</v>
      </c>
      <c r="BL310" s="120"/>
    </row>
    <row r="311" spans="1:64">
      <c r="A311" s="8" t="s">
        <v>1662</v>
      </c>
      <c r="B311" s="645"/>
      <c r="C311" s="116">
        <v>1</v>
      </c>
      <c r="D311" s="116"/>
      <c r="E311" s="116">
        <v>1</v>
      </c>
      <c r="F311" s="116"/>
      <c r="G311" s="116">
        <v>1</v>
      </c>
      <c r="H311" s="116"/>
      <c r="I311" s="116"/>
      <c r="J311" s="116">
        <v>1</v>
      </c>
      <c r="K311" s="116"/>
      <c r="L311" s="116"/>
      <c r="M311" s="116"/>
      <c r="N311" s="116">
        <v>1</v>
      </c>
      <c r="O311" s="116"/>
      <c r="P311" s="116">
        <v>1</v>
      </c>
      <c r="Q311" s="116">
        <v>1</v>
      </c>
      <c r="R311" s="116"/>
      <c r="S311" s="116"/>
      <c r="T311" s="116">
        <v>1</v>
      </c>
      <c r="U311" s="116"/>
      <c r="V311" s="116"/>
      <c r="W311" s="116"/>
      <c r="X311" s="116"/>
      <c r="Y311" s="116"/>
      <c r="Z311" s="116"/>
      <c r="AA311" s="116"/>
      <c r="AB311" s="116"/>
      <c r="AC311" s="116"/>
      <c r="AD311" s="116"/>
      <c r="AE311" s="116"/>
      <c r="AF311" s="116"/>
      <c r="AG311" s="116"/>
      <c r="AH311" s="116"/>
      <c r="AI311" s="116">
        <v>1</v>
      </c>
      <c r="AJ311" s="116"/>
      <c r="AK311" s="116">
        <v>9</v>
      </c>
      <c r="AL311" s="8" t="s">
        <v>1137</v>
      </c>
      <c r="AM311" s="117">
        <f t="shared" si="245"/>
        <v>75</v>
      </c>
      <c r="AN311" s="117">
        <f t="shared" si="246"/>
        <v>65</v>
      </c>
      <c r="AO311" s="8">
        <f t="shared" si="247"/>
        <v>9</v>
      </c>
      <c r="AP311" s="8">
        <f t="shared" si="248"/>
        <v>0</v>
      </c>
      <c r="AQ311" s="8">
        <f t="shared" si="249"/>
        <v>6</v>
      </c>
      <c r="AR311" s="8">
        <f t="shared" si="250"/>
        <v>6</v>
      </c>
      <c r="AS311" s="8">
        <f t="shared" si="251"/>
        <v>17</v>
      </c>
      <c r="AT311" s="8">
        <f t="shared" si="252"/>
        <v>2</v>
      </c>
      <c r="AU311" s="8">
        <f t="shared" si="253"/>
        <v>18</v>
      </c>
      <c r="AV311" s="8">
        <f t="shared" si="254"/>
        <v>4</v>
      </c>
      <c r="AW311" s="8">
        <f t="shared" si="255"/>
        <v>0</v>
      </c>
      <c r="AX311" s="8">
        <f t="shared" ref="AX311:AY311" si="366">IF(S311=1,2,0)</f>
        <v>0</v>
      </c>
      <c r="AY311" s="8">
        <f t="shared" si="366"/>
        <v>2</v>
      </c>
      <c r="AZ311" s="8">
        <f t="shared" si="257"/>
        <v>0</v>
      </c>
      <c r="BA311" s="8">
        <f t="shared" si="258"/>
        <v>0</v>
      </c>
      <c r="BB311" s="8">
        <f t="shared" si="259"/>
        <v>0</v>
      </c>
      <c r="BC311" s="8">
        <f t="shared" si="260"/>
        <v>0</v>
      </c>
      <c r="BD311" s="8">
        <f t="shared" si="261"/>
        <v>0</v>
      </c>
      <c r="BE311" s="8">
        <f t="shared" si="262"/>
        <v>0</v>
      </c>
      <c r="BF311" s="8">
        <f t="shared" si="263"/>
        <v>0</v>
      </c>
      <c r="BG311" s="8">
        <f t="shared" si="264"/>
        <v>0</v>
      </c>
      <c r="BH311" s="8">
        <f t="shared" si="265"/>
        <v>3</v>
      </c>
      <c r="BI311" s="8">
        <f t="shared" si="266"/>
        <v>0</v>
      </c>
      <c r="BJ311" s="645"/>
      <c r="BK311" s="8">
        <f t="shared" si="268"/>
        <v>1</v>
      </c>
      <c r="BL311" s="645"/>
    </row>
    <row r="312" spans="1:64">
      <c r="A312" s="120" t="s">
        <v>1663</v>
      </c>
      <c r="B312" s="120"/>
      <c r="C312" s="118">
        <v>1</v>
      </c>
      <c r="D312" s="118">
        <v>1</v>
      </c>
      <c r="E312" s="118"/>
      <c r="F312" s="118"/>
      <c r="G312" s="118"/>
      <c r="H312" s="118"/>
      <c r="I312" s="118"/>
      <c r="J312" s="118">
        <v>1</v>
      </c>
      <c r="K312" s="118"/>
      <c r="L312" s="118"/>
      <c r="M312" s="118"/>
      <c r="N312" s="118">
        <v>1</v>
      </c>
      <c r="O312" s="118"/>
      <c r="P312" s="118">
        <v>1</v>
      </c>
      <c r="Q312" s="118"/>
      <c r="R312" s="118"/>
      <c r="S312" s="118"/>
      <c r="T312" s="118"/>
      <c r="U312" s="118"/>
      <c r="V312" s="118"/>
      <c r="W312" s="118"/>
      <c r="X312" s="118"/>
      <c r="Y312" s="118">
        <v>1</v>
      </c>
      <c r="Z312" s="118">
        <v>1</v>
      </c>
      <c r="AA312" s="118"/>
      <c r="AB312" s="118">
        <v>1</v>
      </c>
      <c r="AC312" s="118"/>
      <c r="AD312" s="118"/>
      <c r="AE312" s="118"/>
      <c r="AF312" s="118"/>
      <c r="AG312" s="118">
        <v>1</v>
      </c>
      <c r="AH312" s="118"/>
      <c r="AI312" s="118"/>
      <c r="AJ312" s="118">
        <v>1</v>
      </c>
      <c r="AK312" s="118">
        <v>10</v>
      </c>
      <c r="AL312" s="305" t="s">
        <v>1455</v>
      </c>
      <c r="AM312" s="119">
        <f t="shared" si="245"/>
        <v>78</v>
      </c>
      <c r="AN312" s="119">
        <f t="shared" si="246"/>
        <v>95</v>
      </c>
      <c r="AO312" s="120">
        <f t="shared" si="247"/>
        <v>9</v>
      </c>
      <c r="AP312" s="120">
        <f t="shared" si="248"/>
        <v>13</v>
      </c>
      <c r="AQ312" s="120">
        <f t="shared" si="249"/>
        <v>0</v>
      </c>
      <c r="AR312" s="120">
        <f t="shared" si="250"/>
        <v>0</v>
      </c>
      <c r="AS312" s="120">
        <f t="shared" si="251"/>
        <v>17</v>
      </c>
      <c r="AT312" s="120">
        <f t="shared" si="252"/>
        <v>2</v>
      </c>
      <c r="AU312" s="120">
        <f t="shared" si="253"/>
        <v>18</v>
      </c>
      <c r="AV312" s="120">
        <f t="shared" si="254"/>
        <v>0</v>
      </c>
      <c r="AW312" s="120">
        <f t="shared" si="255"/>
        <v>0</v>
      </c>
      <c r="AX312" s="120">
        <f t="shared" ref="AX312:AY312" si="367">IF(S312=1,2,0)</f>
        <v>0</v>
      </c>
      <c r="AY312" s="120">
        <f t="shared" si="367"/>
        <v>0</v>
      </c>
      <c r="AZ312" s="120">
        <f t="shared" si="257"/>
        <v>0</v>
      </c>
      <c r="BA312" s="120">
        <f t="shared" si="258"/>
        <v>0</v>
      </c>
      <c r="BB312" s="120">
        <f t="shared" si="259"/>
        <v>10</v>
      </c>
      <c r="BC312" s="120">
        <f t="shared" si="260"/>
        <v>8</v>
      </c>
      <c r="BD312" s="120">
        <f t="shared" si="261"/>
        <v>5</v>
      </c>
      <c r="BE312" s="120">
        <f t="shared" si="262"/>
        <v>0</v>
      </c>
      <c r="BF312" s="120">
        <f t="shared" si="263"/>
        <v>0</v>
      </c>
      <c r="BG312" s="120">
        <f t="shared" si="264"/>
        <v>15</v>
      </c>
      <c r="BH312" s="120">
        <f t="shared" si="265"/>
        <v>0</v>
      </c>
      <c r="BI312" s="120">
        <f t="shared" si="266"/>
        <v>2</v>
      </c>
      <c r="BJ312" s="120"/>
      <c r="BK312" s="120">
        <f t="shared" si="268"/>
        <v>0</v>
      </c>
      <c r="BL312" s="120"/>
    </row>
    <row r="313" spans="1:64">
      <c r="A313" s="8" t="s">
        <v>1664</v>
      </c>
      <c r="B313" s="645"/>
      <c r="C313" s="116"/>
      <c r="D313" s="116">
        <v>1</v>
      </c>
      <c r="E313" s="116"/>
      <c r="F313" s="116"/>
      <c r="G313" s="116"/>
      <c r="H313" s="116"/>
      <c r="I313" s="116"/>
      <c r="J313" s="116">
        <v>1</v>
      </c>
      <c r="K313" s="116"/>
      <c r="L313" s="116"/>
      <c r="M313" s="116"/>
      <c r="N313" s="116"/>
      <c r="O313" s="116"/>
      <c r="P313" s="116">
        <v>1</v>
      </c>
      <c r="Q313" s="116"/>
      <c r="R313" s="116">
        <v>1</v>
      </c>
      <c r="S313" s="116"/>
      <c r="T313" s="116"/>
      <c r="U313" s="116">
        <v>1</v>
      </c>
      <c r="V313" s="116">
        <v>1</v>
      </c>
      <c r="W313" s="116"/>
      <c r="X313" s="116"/>
      <c r="Y313" s="116">
        <v>1</v>
      </c>
      <c r="Z313" s="116">
        <v>1</v>
      </c>
      <c r="AA313" s="116"/>
      <c r="AB313" s="116">
        <v>1</v>
      </c>
      <c r="AC313" s="116"/>
      <c r="AD313" s="116"/>
      <c r="AE313" s="116"/>
      <c r="AF313" s="116"/>
      <c r="AG313" s="116">
        <v>1</v>
      </c>
      <c r="AH313" s="116"/>
      <c r="AI313" s="116"/>
      <c r="AJ313" s="116"/>
      <c r="AK313" s="116">
        <v>10</v>
      </c>
      <c r="AL313" s="11" t="s">
        <v>1455</v>
      </c>
      <c r="AM313" s="117">
        <f t="shared" si="245"/>
        <v>70</v>
      </c>
      <c r="AN313" s="117">
        <f t="shared" si="246"/>
        <v>96</v>
      </c>
      <c r="AO313" s="8">
        <f t="shared" si="247"/>
        <v>0</v>
      </c>
      <c r="AP313" s="8">
        <f t="shared" si="248"/>
        <v>13</v>
      </c>
      <c r="AQ313" s="8">
        <f t="shared" si="249"/>
        <v>0</v>
      </c>
      <c r="AR313" s="8">
        <f t="shared" si="250"/>
        <v>0</v>
      </c>
      <c r="AS313" s="8">
        <f t="shared" si="251"/>
        <v>17</v>
      </c>
      <c r="AT313" s="8">
        <f t="shared" si="252"/>
        <v>0</v>
      </c>
      <c r="AU313" s="8">
        <f t="shared" si="253"/>
        <v>18</v>
      </c>
      <c r="AV313" s="8">
        <f t="shared" si="254"/>
        <v>0</v>
      </c>
      <c r="AW313" s="8">
        <f t="shared" si="255"/>
        <v>1</v>
      </c>
      <c r="AX313" s="8">
        <f t="shared" ref="AX313:AY313" si="368">IF(S313=1,2,0)</f>
        <v>0</v>
      </c>
      <c r="AY313" s="8">
        <f t="shared" si="368"/>
        <v>0</v>
      </c>
      <c r="AZ313" s="8">
        <f t="shared" si="257"/>
        <v>10</v>
      </c>
      <c r="BA313" s="8">
        <f t="shared" si="258"/>
        <v>3</v>
      </c>
      <c r="BB313" s="8">
        <f t="shared" si="259"/>
        <v>10</v>
      </c>
      <c r="BC313" s="8">
        <f t="shared" si="260"/>
        <v>8</v>
      </c>
      <c r="BD313" s="8">
        <f t="shared" si="261"/>
        <v>5</v>
      </c>
      <c r="BE313" s="8">
        <f t="shared" si="262"/>
        <v>0</v>
      </c>
      <c r="BF313" s="8">
        <f t="shared" si="263"/>
        <v>0</v>
      </c>
      <c r="BG313" s="8">
        <f t="shared" si="264"/>
        <v>15</v>
      </c>
      <c r="BH313" s="8">
        <f t="shared" si="265"/>
        <v>0</v>
      </c>
      <c r="BI313" s="8">
        <f t="shared" si="266"/>
        <v>0</v>
      </c>
      <c r="BJ313" s="645"/>
      <c r="BK313" s="8">
        <f t="shared" si="268"/>
        <v>0</v>
      </c>
      <c r="BL313" s="645"/>
    </row>
    <row r="314" spans="1:64">
      <c r="A314" s="120" t="s">
        <v>1365</v>
      </c>
      <c r="B314" s="120"/>
      <c r="C314" s="118"/>
      <c r="D314" s="118">
        <v>1</v>
      </c>
      <c r="E314" s="118"/>
      <c r="F314" s="118"/>
      <c r="G314" s="118"/>
      <c r="H314" s="118"/>
      <c r="I314" s="118"/>
      <c r="J314" s="118">
        <v>1</v>
      </c>
      <c r="K314" s="118"/>
      <c r="L314" s="118"/>
      <c r="M314" s="118"/>
      <c r="N314" s="118"/>
      <c r="O314" s="118"/>
      <c r="P314" s="118">
        <v>1</v>
      </c>
      <c r="Q314" s="118"/>
      <c r="R314" s="118"/>
      <c r="S314" s="118"/>
      <c r="T314" s="118"/>
      <c r="U314" s="118">
        <v>1</v>
      </c>
      <c r="V314" s="118"/>
      <c r="W314" s="118"/>
      <c r="X314" s="118"/>
      <c r="Y314" s="118"/>
      <c r="Z314" s="118">
        <v>1</v>
      </c>
      <c r="AA314" s="118"/>
      <c r="AB314" s="118"/>
      <c r="AC314" s="118"/>
      <c r="AD314" s="118"/>
      <c r="AE314" s="118"/>
      <c r="AF314" s="118"/>
      <c r="AG314" s="118">
        <v>1</v>
      </c>
      <c r="AH314" s="118"/>
      <c r="AI314" s="118"/>
      <c r="AJ314" s="118"/>
      <c r="AK314" s="118">
        <v>6</v>
      </c>
      <c r="AL314" s="305" t="s">
        <v>1665</v>
      </c>
      <c r="AM314" s="119">
        <f t="shared" si="245"/>
        <v>34</v>
      </c>
      <c r="AN314" s="119">
        <f t="shared" si="246"/>
        <v>81</v>
      </c>
      <c r="AO314" s="120">
        <f t="shared" si="247"/>
        <v>0</v>
      </c>
      <c r="AP314" s="120">
        <f t="shared" si="248"/>
        <v>13</v>
      </c>
      <c r="AQ314" s="120">
        <f t="shared" si="249"/>
        <v>0</v>
      </c>
      <c r="AR314" s="120">
        <f t="shared" si="250"/>
        <v>0</v>
      </c>
      <c r="AS314" s="120">
        <f t="shared" si="251"/>
        <v>17</v>
      </c>
      <c r="AT314" s="120">
        <f t="shared" si="252"/>
        <v>0</v>
      </c>
      <c r="AU314" s="120">
        <f t="shared" si="253"/>
        <v>18</v>
      </c>
      <c r="AV314" s="120">
        <f t="shared" si="254"/>
        <v>0</v>
      </c>
      <c r="AW314" s="120">
        <f t="shared" si="255"/>
        <v>0</v>
      </c>
      <c r="AX314" s="120">
        <f t="shared" ref="AX314:AY314" si="369">IF(S314=1,2,0)</f>
        <v>0</v>
      </c>
      <c r="AY314" s="120">
        <f t="shared" si="369"/>
        <v>0</v>
      </c>
      <c r="AZ314" s="120">
        <f t="shared" si="257"/>
        <v>10</v>
      </c>
      <c r="BA314" s="120">
        <f t="shared" si="258"/>
        <v>0</v>
      </c>
      <c r="BB314" s="120">
        <f t="shared" si="259"/>
        <v>0</v>
      </c>
      <c r="BC314" s="120">
        <f t="shared" si="260"/>
        <v>8</v>
      </c>
      <c r="BD314" s="120">
        <f t="shared" si="261"/>
        <v>0</v>
      </c>
      <c r="BE314" s="120">
        <f t="shared" si="262"/>
        <v>0</v>
      </c>
      <c r="BF314" s="120">
        <f t="shared" si="263"/>
        <v>0</v>
      </c>
      <c r="BG314" s="120">
        <f t="shared" si="264"/>
        <v>15</v>
      </c>
      <c r="BH314" s="120">
        <f t="shared" si="265"/>
        <v>0</v>
      </c>
      <c r="BI314" s="120">
        <f t="shared" si="266"/>
        <v>0</v>
      </c>
      <c r="BJ314" s="120"/>
      <c r="BK314" s="120">
        <f t="shared" si="268"/>
        <v>16</v>
      </c>
      <c r="BL314" s="120"/>
    </row>
    <row r="315" spans="1:64">
      <c r="A315" s="8" t="s">
        <v>653</v>
      </c>
      <c r="B315" s="645"/>
      <c r="C315" s="116">
        <v>1</v>
      </c>
      <c r="D315" s="116">
        <v>1</v>
      </c>
      <c r="E315" s="116"/>
      <c r="F315" s="116"/>
      <c r="G315" s="116"/>
      <c r="H315" s="116"/>
      <c r="I315" s="116"/>
      <c r="J315" s="116">
        <v>1</v>
      </c>
      <c r="K315" s="116"/>
      <c r="L315" s="116"/>
      <c r="M315" s="116"/>
      <c r="N315" s="116"/>
      <c r="O315" s="116"/>
      <c r="P315" s="116">
        <v>1</v>
      </c>
      <c r="Q315" s="116">
        <v>1</v>
      </c>
      <c r="R315" s="116"/>
      <c r="S315" s="116"/>
      <c r="T315" s="116"/>
      <c r="U315" s="116"/>
      <c r="V315" s="116"/>
      <c r="W315" s="116"/>
      <c r="X315" s="116"/>
      <c r="Y315" s="116">
        <v>1</v>
      </c>
      <c r="Z315" s="116"/>
      <c r="AA315" s="116"/>
      <c r="AB315" s="116">
        <v>1</v>
      </c>
      <c r="AC315" s="116"/>
      <c r="AD315" s="116">
        <v>1</v>
      </c>
      <c r="AE315" s="116"/>
      <c r="AF315" s="116"/>
      <c r="AG315" s="116">
        <v>1</v>
      </c>
      <c r="AH315" s="116"/>
      <c r="AI315" s="116"/>
      <c r="AJ315" s="116">
        <v>1</v>
      </c>
      <c r="AK315" s="116">
        <v>10</v>
      </c>
      <c r="AL315" s="11" t="s">
        <v>1666</v>
      </c>
      <c r="AM315" s="117">
        <f t="shared" si="245"/>
        <v>72</v>
      </c>
      <c r="AN315" s="117">
        <f t="shared" si="246"/>
        <v>92</v>
      </c>
      <c r="AO315" s="8">
        <f t="shared" si="247"/>
        <v>9</v>
      </c>
      <c r="AP315" s="8">
        <f t="shared" si="248"/>
        <v>13</v>
      </c>
      <c r="AQ315" s="8">
        <f t="shared" si="249"/>
        <v>0</v>
      </c>
      <c r="AR315" s="8">
        <f t="shared" si="250"/>
        <v>0</v>
      </c>
      <c r="AS315" s="8">
        <f t="shared" si="251"/>
        <v>17</v>
      </c>
      <c r="AT315" s="8">
        <f t="shared" si="252"/>
        <v>0</v>
      </c>
      <c r="AU315" s="8">
        <f t="shared" si="253"/>
        <v>18</v>
      </c>
      <c r="AV315" s="8">
        <f t="shared" si="254"/>
        <v>4</v>
      </c>
      <c r="AW315" s="8">
        <f t="shared" si="255"/>
        <v>0</v>
      </c>
      <c r="AX315" s="8">
        <f t="shared" ref="AX315:AY315" si="370">IF(S315=1,2,0)</f>
        <v>0</v>
      </c>
      <c r="AY315" s="8">
        <f t="shared" si="370"/>
        <v>0</v>
      </c>
      <c r="AZ315" s="8">
        <f t="shared" si="257"/>
        <v>0</v>
      </c>
      <c r="BA315" s="8">
        <f t="shared" si="258"/>
        <v>0</v>
      </c>
      <c r="BB315" s="8">
        <f t="shared" si="259"/>
        <v>10</v>
      </c>
      <c r="BC315" s="8">
        <f t="shared" si="260"/>
        <v>0</v>
      </c>
      <c r="BD315" s="8">
        <f t="shared" si="261"/>
        <v>5</v>
      </c>
      <c r="BE315" s="8">
        <f t="shared" si="262"/>
        <v>5</v>
      </c>
      <c r="BF315" s="8">
        <f t="shared" si="263"/>
        <v>0</v>
      </c>
      <c r="BG315" s="8">
        <f t="shared" si="264"/>
        <v>15</v>
      </c>
      <c r="BH315" s="8">
        <f t="shared" si="265"/>
        <v>0</v>
      </c>
      <c r="BI315" s="8">
        <f t="shared" si="266"/>
        <v>2</v>
      </c>
      <c r="BJ315" s="645"/>
      <c r="BK315" s="8">
        <f t="shared" si="268"/>
        <v>0</v>
      </c>
      <c r="BL315" s="645"/>
    </row>
    <row r="316" spans="1:64">
      <c r="A316" s="120" t="s">
        <v>395</v>
      </c>
      <c r="B316" s="120"/>
      <c r="C316" s="118">
        <v>1</v>
      </c>
      <c r="D316" s="118">
        <v>1</v>
      </c>
      <c r="E316" s="118"/>
      <c r="F316" s="118"/>
      <c r="G316" s="118"/>
      <c r="H316" s="118"/>
      <c r="I316" s="118"/>
      <c r="J316" s="118">
        <v>1</v>
      </c>
      <c r="K316" s="118"/>
      <c r="L316" s="118"/>
      <c r="M316" s="118"/>
      <c r="N316" s="118"/>
      <c r="O316" s="118"/>
      <c r="P316" s="118">
        <v>1</v>
      </c>
      <c r="Q316" s="118"/>
      <c r="R316" s="118"/>
      <c r="S316" s="118">
        <v>1</v>
      </c>
      <c r="T316" s="118"/>
      <c r="U316" s="118">
        <v>1</v>
      </c>
      <c r="V316" s="118">
        <v>1</v>
      </c>
      <c r="W316" s="118"/>
      <c r="X316" s="118"/>
      <c r="Y316" s="118"/>
      <c r="Z316" s="118">
        <v>1</v>
      </c>
      <c r="AA316" s="118"/>
      <c r="AB316" s="118"/>
      <c r="AC316" s="118"/>
      <c r="AD316" s="118">
        <v>1</v>
      </c>
      <c r="AE316" s="118"/>
      <c r="AF316" s="118"/>
      <c r="AG316" s="118">
        <v>1</v>
      </c>
      <c r="AH316" s="118"/>
      <c r="AI316" s="118"/>
      <c r="AJ316" s="118"/>
      <c r="AK316" s="118">
        <v>10</v>
      </c>
      <c r="AL316" s="305" t="s">
        <v>1644</v>
      </c>
      <c r="AM316" s="119">
        <f t="shared" si="245"/>
        <v>67</v>
      </c>
      <c r="AN316" s="119">
        <f t="shared" si="246"/>
        <v>95</v>
      </c>
      <c r="AO316" s="120">
        <f t="shared" si="247"/>
        <v>9</v>
      </c>
      <c r="AP316" s="120">
        <f t="shared" si="248"/>
        <v>13</v>
      </c>
      <c r="AQ316" s="120">
        <f t="shared" si="249"/>
        <v>0</v>
      </c>
      <c r="AR316" s="120">
        <f t="shared" si="250"/>
        <v>0</v>
      </c>
      <c r="AS316" s="120">
        <f t="shared" si="251"/>
        <v>17</v>
      </c>
      <c r="AT316" s="120">
        <f t="shared" si="252"/>
        <v>0</v>
      </c>
      <c r="AU316" s="120">
        <f t="shared" si="253"/>
        <v>18</v>
      </c>
      <c r="AV316" s="120">
        <f t="shared" si="254"/>
        <v>0</v>
      </c>
      <c r="AW316" s="120">
        <f t="shared" si="255"/>
        <v>0</v>
      </c>
      <c r="AX316" s="120">
        <f t="shared" ref="AX316:AY316" si="371">IF(S316=1,2,0)</f>
        <v>2</v>
      </c>
      <c r="AY316" s="120">
        <f t="shared" si="371"/>
        <v>0</v>
      </c>
      <c r="AZ316" s="120">
        <f t="shared" si="257"/>
        <v>10</v>
      </c>
      <c r="BA316" s="120">
        <f t="shared" si="258"/>
        <v>3</v>
      </c>
      <c r="BB316" s="120">
        <f t="shared" si="259"/>
        <v>0</v>
      </c>
      <c r="BC316" s="120">
        <f t="shared" si="260"/>
        <v>8</v>
      </c>
      <c r="BD316" s="120">
        <f t="shared" si="261"/>
        <v>0</v>
      </c>
      <c r="BE316" s="120">
        <f t="shared" si="262"/>
        <v>5</v>
      </c>
      <c r="BF316" s="120">
        <f t="shared" si="263"/>
        <v>0</v>
      </c>
      <c r="BG316" s="120">
        <f t="shared" si="264"/>
        <v>15</v>
      </c>
      <c r="BH316" s="120">
        <f t="shared" si="265"/>
        <v>0</v>
      </c>
      <c r="BI316" s="120">
        <f t="shared" si="266"/>
        <v>0</v>
      </c>
      <c r="BJ316" s="120"/>
      <c r="BK316" s="120">
        <f t="shared" si="268"/>
        <v>0</v>
      </c>
      <c r="BL316" s="120"/>
    </row>
    <row r="317" spans="1:64">
      <c r="A317" s="8" t="s">
        <v>1011</v>
      </c>
      <c r="B317" s="645"/>
      <c r="C317" s="116"/>
      <c r="D317" s="116">
        <v>1</v>
      </c>
      <c r="E317" s="116"/>
      <c r="F317" s="116"/>
      <c r="G317" s="116"/>
      <c r="H317" s="116"/>
      <c r="I317" s="116"/>
      <c r="J317" s="116">
        <v>1</v>
      </c>
      <c r="K317" s="116"/>
      <c r="L317" s="116"/>
      <c r="M317" s="116"/>
      <c r="N317" s="116"/>
      <c r="O317" s="116"/>
      <c r="P317" s="116">
        <v>1</v>
      </c>
      <c r="Q317" s="116">
        <v>1</v>
      </c>
      <c r="R317" s="116"/>
      <c r="S317" s="116"/>
      <c r="T317" s="116"/>
      <c r="U317" s="116">
        <v>1</v>
      </c>
      <c r="V317" s="116">
        <v>1</v>
      </c>
      <c r="W317" s="116"/>
      <c r="X317" s="116"/>
      <c r="Y317" s="116"/>
      <c r="Z317" s="116"/>
      <c r="AA317" s="116"/>
      <c r="AB317" s="116"/>
      <c r="AC317" s="116"/>
      <c r="AD317" s="116"/>
      <c r="AE317" s="116"/>
      <c r="AF317" s="116"/>
      <c r="AG317" s="116">
        <v>1</v>
      </c>
      <c r="AH317" s="116"/>
      <c r="AI317" s="116">
        <v>1</v>
      </c>
      <c r="AJ317" s="116"/>
      <c r="AK317" s="116">
        <v>8</v>
      </c>
      <c r="AL317" s="11" t="s">
        <v>1455</v>
      </c>
      <c r="AM317" s="117">
        <f t="shared" si="245"/>
        <v>52</v>
      </c>
      <c r="AN317" s="117">
        <f t="shared" si="246"/>
        <v>83</v>
      </c>
      <c r="AO317" s="8">
        <f t="shared" si="247"/>
        <v>0</v>
      </c>
      <c r="AP317" s="8">
        <f t="shared" si="248"/>
        <v>13</v>
      </c>
      <c r="AQ317" s="8">
        <f t="shared" si="249"/>
        <v>0</v>
      </c>
      <c r="AR317" s="8">
        <f t="shared" si="250"/>
        <v>0</v>
      </c>
      <c r="AS317" s="8">
        <f t="shared" si="251"/>
        <v>17</v>
      </c>
      <c r="AT317" s="8">
        <f t="shared" si="252"/>
        <v>0</v>
      </c>
      <c r="AU317" s="8">
        <f t="shared" si="253"/>
        <v>18</v>
      </c>
      <c r="AV317" s="8">
        <f t="shared" si="254"/>
        <v>4</v>
      </c>
      <c r="AW317" s="8">
        <f t="shared" si="255"/>
        <v>0</v>
      </c>
      <c r="AX317" s="8">
        <f t="shared" ref="AX317:AY317" si="372">IF(S317=1,2,0)</f>
        <v>0</v>
      </c>
      <c r="AY317" s="8">
        <f t="shared" si="372"/>
        <v>0</v>
      </c>
      <c r="AZ317" s="8">
        <f t="shared" si="257"/>
        <v>10</v>
      </c>
      <c r="BA317" s="8">
        <f t="shared" si="258"/>
        <v>3</v>
      </c>
      <c r="BB317" s="8">
        <f t="shared" si="259"/>
        <v>0</v>
      </c>
      <c r="BC317" s="8">
        <f t="shared" si="260"/>
        <v>0</v>
      </c>
      <c r="BD317" s="8">
        <f t="shared" si="261"/>
        <v>0</v>
      </c>
      <c r="BE317" s="8">
        <f t="shared" si="262"/>
        <v>0</v>
      </c>
      <c r="BF317" s="8">
        <f t="shared" si="263"/>
        <v>0</v>
      </c>
      <c r="BG317" s="8">
        <f t="shared" si="264"/>
        <v>15</v>
      </c>
      <c r="BH317" s="8">
        <f t="shared" si="265"/>
        <v>3</v>
      </c>
      <c r="BI317" s="8">
        <f t="shared" si="266"/>
        <v>0</v>
      </c>
      <c r="BJ317" s="645"/>
      <c r="BK317" s="8">
        <f t="shared" si="268"/>
        <v>4</v>
      </c>
      <c r="BL317" s="645"/>
    </row>
    <row r="318" spans="1:64">
      <c r="A318" s="120" t="s">
        <v>1667</v>
      </c>
      <c r="B318" s="120"/>
      <c r="C318" s="118">
        <v>1</v>
      </c>
      <c r="D318" s="118">
        <v>1</v>
      </c>
      <c r="E318" s="118"/>
      <c r="F318" s="118"/>
      <c r="G318" s="118"/>
      <c r="H318" s="118"/>
      <c r="I318" s="118"/>
      <c r="J318" s="118">
        <v>1</v>
      </c>
      <c r="K318" s="118"/>
      <c r="L318" s="118"/>
      <c r="M318" s="118"/>
      <c r="N318" s="118"/>
      <c r="O318" s="118"/>
      <c r="P318" s="118">
        <v>1</v>
      </c>
      <c r="Q318" s="118"/>
      <c r="R318" s="118"/>
      <c r="S318" s="118"/>
      <c r="T318" s="118"/>
      <c r="U318" s="118">
        <v>1</v>
      </c>
      <c r="V318" s="118"/>
      <c r="W318" s="118"/>
      <c r="X318" s="118"/>
      <c r="Y318" s="118"/>
      <c r="Z318" s="118">
        <v>1</v>
      </c>
      <c r="AA318" s="118"/>
      <c r="AB318" s="118"/>
      <c r="AC318" s="118"/>
      <c r="AD318" s="118"/>
      <c r="AE318" s="118"/>
      <c r="AF318" s="118"/>
      <c r="AG318" s="118">
        <v>1</v>
      </c>
      <c r="AH318" s="118"/>
      <c r="AI318" s="118"/>
      <c r="AJ318" s="118"/>
      <c r="AK318" s="118">
        <v>7</v>
      </c>
      <c r="AL318" s="305" t="s">
        <v>1455</v>
      </c>
      <c r="AM318" s="119">
        <f t="shared" si="245"/>
        <v>50</v>
      </c>
      <c r="AN318" s="119">
        <f t="shared" si="246"/>
        <v>90</v>
      </c>
      <c r="AO318" s="120">
        <f t="shared" si="247"/>
        <v>9</v>
      </c>
      <c r="AP318" s="120">
        <f t="shared" si="248"/>
        <v>13</v>
      </c>
      <c r="AQ318" s="120">
        <f t="shared" si="249"/>
        <v>0</v>
      </c>
      <c r="AR318" s="120">
        <f t="shared" si="250"/>
        <v>0</v>
      </c>
      <c r="AS318" s="120">
        <f t="shared" si="251"/>
        <v>17</v>
      </c>
      <c r="AT318" s="120">
        <f t="shared" si="252"/>
        <v>0</v>
      </c>
      <c r="AU318" s="120">
        <f t="shared" si="253"/>
        <v>18</v>
      </c>
      <c r="AV318" s="120">
        <f t="shared" si="254"/>
        <v>0</v>
      </c>
      <c r="AW318" s="120">
        <f t="shared" si="255"/>
        <v>0</v>
      </c>
      <c r="AX318" s="120">
        <f t="shared" ref="AX318:AY318" si="373">IF(S318=1,2,0)</f>
        <v>0</v>
      </c>
      <c r="AY318" s="120">
        <f t="shared" si="373"/>
        <v>0</v>
      </c>
      <c r="AZ318" s="120">
        <f t="shared" si="257"/>
        <v>10</v>
      </c>
      <c r="BA318" s="120">
        <f t="shared" si="258"/>
        <v>0</v>
      </c>
      <c r="BB318" s="120">
        <f t="shared" si="259"/>
        <v>0</v>
      </c>
      <c r="BC318" s="120">
        <f t="shared" si="260"/>
        <v>8</v>
      </c>
      <c r="BD318" s="120">
        <f t="shared" si="261"/>
        <v>0</v>
      </c>
      <c r="BE318" s="120">
        <f t="shared" si="262"/>
        <v>0</v>
      </c>
      <c r="BF318" s="120">
        <f t="shared" si="263"/>
        <v>0</v>
      </c>
      <c r="BG318" s="120">
        <f t="shared" si="264"/>
        <v>15</v>
      </c>
      <c r="BH318" s="120">
        <f t="shared" si="265"/>
        <v>0</v>
      </c>
      <c r="BI318" s="120">
        <f t="shared" si="266"/>
        <v>0</v>
      </c>
      <c r="BJ318" s="120"/>
      <c r="BK318" s="120">
        <f t="shared" si="268"/>
        <v>9</v>
      </c>
      <c r="BL318" s="120"/>
    </row>
    <row r="319" spans="1:64">
      <c r="A319" s="8" t="s">
        <v>398</v>
      </c>
      <c r="B319" s="645"/>
      <c r="C319" s="116"/>
      <c r="D319" s="116">
        <v>1</v>
      </c>
      <c r="E319" s="116"/>
      <c r="F319" s="116"/>
      <c r="G319" s="116"/>
      <c r="H319" s="116"/>
      <c r="I319" s="116"/>
      <c r="J319" s="116">
        <v>1</v>
      </c>
      <c r="K319" s="116"/>
      <c r="L319" s="116"/>
      <c r="M319" s="116"/>
      <c r="N319" s="116"/>
      <c r="O319" s="116"/>
      <c r="P319" s="116">
        <v>1</v>
      </c>
      <c r="Q319" s="116"/>
      <c r="R319" s="116"/>
      <c r="S319" s="116"/>
      <c r="T319" s="116"/>
      <c r="U319" s="116">
        <v>1</v>
      </c>
      <c r="V319" s="116"/>
      <c r="W319" s="116"/>
      <c r="X319" s="116"/>
      <c r="Y319" s="116">
        <v>1</v>
      </c>
      <c r="Z319" s="116"/>
      <c r="AA319" s="116"/>
      <c r="AB319" s="116"/>
      <c r="AC319" s="116"/>
      <c r="AD319" s="116">
        <v>1</v>
      </c>
      <c r="AE319" s="116"/>
      <c r="AF319" s="116"/>
      <c r="AG319" s="116">
        <v>1</v>
      </c>
      <c r="AH319" s="116"/>
      <c r="AI319" s="116"/>
      <c r="AJ319" s="116"/>
      <c r="AK319" s="116">
        <v>7</v>
      </c>
      <c r="AL319" s="8" t="s">
        <v>1137</v>
      </c>
      <c r="AM319" s="117">
        <f t="shared" si="245"/>
        <v>42</v>
      </c>
      <c r="AN319" s="117">
        <f t="shared" si="246"/>
        <v>88</v>
      </c>
      <c r="AO319" s="8">
        <f t="shared" si="247"/>
        <v>0</v>
      </c>
      <c r="AP319" s="8">
        <f t="shared" si="248"/>
        <v>13</v>
      </c>
      <c r="AQ319" s="8">
        <f t="shared" si="249"/>
        <v>0</v>
      </c>
      <c r="AR319" s="8">
        <f t="shared" si="250"/>
        <v>0</v>
      </c>
      <c r="AS319" s="8">
        <f t="shared" si="251"/>
        <v>17</v>
      </c>
      <c r="AT319" s="8">
        <f t="shared" si="252"/>
        <v>0</v>
      </c>
      <c r="AU319" s="8">
        <f t="shared" si="253"/>
        <v>18</v>
      </c>
      <c r="AV319" s="8">
        <f t="shared" si="254"/>
        <v>0</v>
      </c>
      <c r="AW319" s="8">
        <f t="shared" si="255"/>
        <v>0</v>
      </c>
      <c r="AX319" s="8">
        <f t="shared" ref="AX319:AY319" si="374">IF(S319=1,2,0)</f>
        <v>0</v>
      </c>
      <c r="AY319" s="8">
        <f t="shared" si="374"/>
        <v>0</v>
      </c>
      <c r="AZ319" s="8">
        <f t="shared" si="257"/>
        <v>10</v>
      </c>
      <c r="BA319" s="8">
        <f t="shared" si="258"/>
        <v>0</v>
      </c>
      <c r="BB319" s="8">
        <f t="shared" si="259"/>
        <v>10</v>
      </c>
      <c r="BC319" s="8">
        <f t="shared" si="260"/>
        <v>0</v>
      </c>
      <c r="BD319" s="8">
        <f t="shared" si="261"/>
        <v>0</v>
      </c>
      <c r="BE319" s="8">
        <f t="shared" si="262"/>
        <v>5</v>
      </c>
      <c r="BF319" s="8">
        <f t="shared" si="263"/>
        <v>0</v>
      </c>
      <c r="BG319" s="8">
        <f t="shared" si="264"/>
        <v>15</v>
      </c>
      <c r="BH319" s="8">
        <f t="shared" si="265"/>
        <v>0</v>
      </c>
      <c r="BI319" s="8">
        <f t="shared" si="266"/>
        <v>0</v>
      </c>
      <c r="BJ319" s="645"/>
      <c r="BK319" s="8">
        <f t="shared" si="268"/>
        <v>9</v>
      </c>
      <c r="BL319" s="645"/>
    </row>
    <row r="320" spans="1:64">
      <c r="A320" s="120" t="s">
        <v>691</v>
      </c>
      <c r="B320" s="120"/>
      <c r="C320" s="118">
        <v>1</v>
      </c>
      <c r="D320" s="118">
        <v>1</v>
      </c>
      <c r="E320" s="118"/>
      <c r="F320" s="118"/>
      <c r="G320" s="118"/>
      <c r="H320" s="118"/>
      <c r="I320" s="118"/>
      <c r="J320" s="118">
        <v>1</v>
      </c>
      <c r="K320" s="118"/>
      <c r="L320" s="118"/>
      <c r="M320" s="118"/>
      <c r="N320" s="118"/>
      <c r="O320" s="118"/>
      <c r="P320" s="118">
        <v>1</v>
      </c>
      <c r="Q320" s="118"/>
      <c r="R320" s="118"/>
      <c r="S320" s="118"/>
      <c r="T320" s="118"/>
      <c r="U320" s="118">
        <v>1</v>
      </c>
      <c r="V320" s="118"/>
      <c r="W320" s="118"/>
      <c r="X320" s="118"/>
      <c r="Y320" s="118">
        <v>1</v>
      </c>
      <c r="Z320" s="118">
        <v>1</v>
      </c>
      <c r="AA320" s="118"/>
      <c r="AB320" s="118">
        <v>1</v>
      </c>
      <c r="AC320" s="118"/>
      <c r="AD320" s="118">
        <v>1</v>
      </c>
      <c r="AE320" s="118"/>
      <c r="AF320" s="118"/>
      <c r="AG320" s="118">
        <v>1</v>
      </c>
      <c r="AH320" s="118"/>
      <c r="AI320" s="118"/>
      <c r="AJ320" s="118"/>
      <c r="AK320" s="118">
        <v>10</v>
      </c>
      <c r="AL320" s="305" t="s">
        <v>1455</v>
      </c>
      <c r="AM320" s="119">
        <f t="shared" si="245"/>
        <v>74</v>
      </c>
      <c r="AN320" s="119">
        <f t="shared" si="246"/>
        <v>100</v>
      </c>
      <c r="AO320" s="120">
        <f t="shared" si="247"/>
        <v>9</v>
      </c>
      <c r="AP320" s="120">
        <f t="shared" si="248"/>
        <v>13</v>
      </c>
      <c r="AQ320" s="120">
        <f t="shared" si="249"/>
        <v>0</v>
      </c>
      <c r="AR320" s="120">
        <f t="shared" si="250"/>
        <v>0</v>
      </c>
      <c r="AS320" s="120">
        <f t="shared" si="251"/>
        <v>17</v>
      </c>
      <c r="AT320" s="120">
        <f t="shared" si="252"/>
        <v>0</v>
      </c>
      <c r="AU320" s="120">
        <f t="shared" si="253"/>
        <v>18</v>
      </c>
      <c r="AV320" s="120">
        <f t="shared" si="254"/>
        <v>0</v>
      </c>
      <c r="AW320" s="120">
        <f t="shared" si="255"/>
        <v>0</v>
      </c>
      <c r="AX320" s="120">
        <f t="shared" ref="AX320:AY320" si="375">IF(S320=1,2,0)</f>
        <v>0</v>
      </c>
      <c r="AY320" s="120">
        <f t="shared" si="375"/>
        <v>0</v>
      </c>
      <c r="AZ320" s="120">
        <f t="shared" si="257"/>
        <v>10</v>
      </c>
      <c r="BA320" s="120">
        <f t="shared" si="258"/>
        <v>0</v>
      </c>
      <c r="BB320" s="120">
        <f t="shared" si="259"/>
        <v>10</v>
      </c>
      <c r="BC320" s="120">
        <f t="shared" si="260"/>
        <v>8</v>
      </c>
      <c r="BD320" s="120">
        <f t="shared" si="261"/>
        <v>5</v>
      </c>
      <c r="BE320" s="120">
        <f t="shared" si="262"/>
        <v>5</v>
      </c>
      <c r="BF320" s="120">
        <f t="shared" si="263"/>
        <v>0</v>
      </c>
      <c r="BG320" s="120">
        <f t="shared" si="264"/>
        <v>15</v>
      </c>
      <c r="BH320" s="120">
        <f t="shared" si="265"/>
        <v>0</v>
      </c>
      <c r="BI320" s="120">
        <f t="shared" si="266"/>
        <v>0</v>
      </c>
      <c r="BJ320" s="120"/>
      <c r="BK320" s="120">
        <f t="shared" si="268"/>
        <v>0</v>
      </c>
      <c r="BL320" s="120"/>
    </row>
    <row r="321" spans="1:64">
      <c r="A321" s="8" t="s">
        <v>692</v>
      </c>
      <c r="B321" s="645"/>
      <c r="C321" s="116">
        <v>1</v>
      </c>
      <c r="D321" s="116">
        <v>1</v>
      </c>
      <c r="E321" s="116"/>
      <c r="F321" s="116"/>
      <c r="G321" s="116"/>
      <c r="H321" s="116"/>
      <c r="I321" s="116"/>
      <c r="J321" s="116">
        <v>1</v>
      </c>
      <c r="K321" s="116"/>
      <c r="L321" s="116"/>
      <c r="M321" s="116"/>
      <c r="N321" s="116"/>
      <c r="O321" s="116"/>
      <c r="P321" s="116">
        <v>1</v>
      </c>
      <c r="Q321" s="116"/>
      <c r="R321" s="116"/>
      <c r="S321" s="116"/>
      <c r="T321" s="116"/>
      <c r="U321" s="116">
        <v>1</v>
      </c>
      <c r="V321" s="116"/>
      <c r="W321" s="116"/>
      <c r="X321" s="116"/>
      <c r="Y321" s="116">
        <v>1</v>
      </c>
      <c r="Z321" s="116"/>
      <c r="AA321" s="116"/>
      <c r="AB321" s="116">
        <v>1</v>
      </c>
      <c r="AC321" s="116"/>
      <c r="AD321" s="116"/>
      <c r="AE321" s="116"/>
      <c r="AF321" s="116"/>
      <c r="AG321" s="116">
        <v>1</v>
      </c>
      <c r="AH321" s="116"/>
      <c r="AI321" s="116"/>
      <c r="AJ321" s="116"/>
      <c r="AK321" s="116">
        <v>8</v>
      </c>
      <c r="AL321" s="8" t="s">
        <v>1137</v>
      </c>
      <c r="AM321" s="117">
        <f t="shared" si="245"/>
        <v>60</v>
      </c>
      <c r="AN321" s="117">
        <f t="shared" si="246"/>
        <v>97</v>
      </c>
      <c r="AO321" s="8">
        <f t="shared" si="247"/>
        <v>9</v>
      </c>
      <c r="AP321" s="8">
        <f t="shared" si="248"/>
        <v>13</v>
      </c>
      <c r="AQ321" s="8">
        <f t="shared" si="249"/>
        <v>0</v>
      </c>
      <c r="AR321" s="8">
        <f t="shared" si="250"/>
        <v>0</v>
      </c>
      <c r="AS321" s="8">
        <f t="shared" si="251"/>
        <v>17</v>
      </c>
      <c r="AT321" s="8">
        <f t="shared" si="252"/>
        <v>0</v>
      </c>
      <c r="AU321" s="8">
        <f t="shared" si="253"/>
        <v>18</v>
      </c>
      <c r="AV321" s="8">
        <f t="shared" si="254"/>
        <v>0</v>
      </c>
      <c r="AW321" s="8">
        <f t="shared" si="255"/>
        <v>0</v>
      </c>
      <c r="AX321" s="8">
        <f t="shared" ref="AX321:AY321" si="376">IF(S321=1,2,0)</f>
        <v>0</v>
      </c>
      <c r="AY321" s="8">
        <f t="shared" si="376"/>
        <v>0</v>
      </c>
      <c r="AZ321" s="8">
        <f t="shared" si="257"/>
        <v>10</v>
      </c>
      <c r="BA321" s="8">
        <f t="shared" si="258"/>
        <v>0</v>
      </c>
      <c r="BB321" s="8">
        <f t="shared" si="259"/>
        <v>10</v>
      </c>
      <c r="BC321" s="8">
        <f t="shared" si="260"/>
        <v>0</v>
      </c>
      <c r="BD321" s="8">
        <f t="shared" si="261"/>
        <v>5</v>
      </c>
      <c r="BE321" s="8">
        <f t="shared" si="262"/>
        <v>0</v>
      </c>
      <c r="BF321" s="8">
        <f t="shared" si="263"/>
        <v>0</v>
      </c>
      <c r="BG321" s="8">
        <f t="shared" si="264"/>
        <v>15</v>
      </c>
      <c r="BH321" s="8">
        <f t="shared" si="265"/>
        <v>0</v>
      </c>
      <c r="BI321" s="8">
        <f t="shared" si="266"/>
        <v>0</v>
      </c>
      <c r="BJ321" s="645"/>
      <c r="BK321" s="8">
        <f t="shared" si="268"/>
        <v>4</v>
      </c>
      <c r="BL321" s="645"/>
    </row>
    <row r="322" spans="1:64">
      <c r="A322" s="120" t="s">
        <v>475</v>
      </c>
      <c r="B322" s="120"/>
      <c r="C322" s="118">
        <v>1</v>
      </c>
      <c r="D322" s="118">
        <v>1</v>
      </c>
      <c r="E322" s="118"/>
      <c r="F322" s="118"/>
      <c r="G322" s="118"/>
      <c r="H322" s="118"/>
      <c r="I322" s="118"/>
      <c r="J322" s="118">
        <v>1</v>
      </c>
      <c r="K322" s="118"/>
      <c r="L322" s="118"/>
      <c r="M322" s="118"/>
      <c r="N322" s="118"/>
      <c r="O322" s="118"/>
      <c r="P322" s="118">
        <v>1</v>
      </c>
      <c r="Q322" s="118">
        <v>1</v>
      </c>
      <c r="R322" s="118"/>
      <c r="S322" s="118"/>
      <c r="T322" s="118"/>
      <c r="U322" s="118"/>
      <c r="V322" s="118"/>
      <c r="W322" s="118"/>
      <c r="X322" s="118"/>
      <c r="Y322" s="118">
        <v>1</v>
      </c>
      <c r="Z322" s="118">
        <v>1</v>
      </c>
      <c r="AA322" s="118"/>
      <c r="AB322" s="118">
        <v>1</v>
      </c>
      <c r="AC322" s="118"/>
      <c r="AD322" s="118"/>
      <c r="AE322" s="118"/>
      <c r="AF322" s="118"/>
      <c r="AG322" s="118">
        <v>1</v>
      </c>
      <c r="AH322" s="118"/>
      <c r="AI322" s="118"/>
      <c r="AJ322" s="118">
        <v>1</v>
      </c>
      <c r="AK322" s="118">
        <v>10</v>
      </c>
      <c r="AL322" s="305" t="s">
        <v>1668</v>
      </c>
      <c r="AM322" s="119">
        <f t="shared" si="245"/>
        <v>80</v>
      </c>
      <c r="AN322" s="119">
        <f t="shared" si="246"/>
        <v>95</v>
      </c>
      <c r="AO322" s="120">
        <f t="shared" si="247"/>
        <v>9</v>
      </c>
      <c r="AP322" s="120">
        <f t="shared" si="248"/>
        <v>13</v>
      </c>
      <c r="AQ322" s="120">
        <f t="shared" si="249"/>
        <v>0</v>
      </c>
      <c r="AR322" s="120">
        <f t="shared" si="250"/>
        <v>0</v>
      </c>
      <c r="AS322" s="120">
        <f t="shared" si="251"/>
        <v>17</v>
      </c>
      <c r="AT322" s="120">
        <f t="shared" si="252"/>
        <v>0</v>
      </c>
      <c r="AU322" s="120">
        <f t="shared" si="253"/>
        <v>18</v>
      </c>
      <c r="AV322" s="120">
        <f t="shared" si="254"/>
        <v>4</v>
      </c>
      <c r="AW322" s="120">
        <f t="shared" si="255"/>
        <v>0</v>
      </c>
      <c r="AX322" s="120">
        <f t="shared" ref="AX322:AY322" si="377">IF(S322=1,2,0)</f>
        <v>0</v>
      </c>
      <c r="AY322" s="120">
        <f t="shared" si="377"/>
        <v>0</v>
      </c>
      <c r="AZ322" s="120">
        <f t="shared" si="257"/>
        <v>0</v>
      </c>
      <c r="BA322" s="120">
        <f t="shared" si="258"/>
        <v>0</v>
      </c>
      <c r="BB322" s="120">
        <f t="shared" si="259"/>
        <v>10</v>
      </c>
      <c r="BC322" s="120">
        <f t="shared" si="260"/>
        <v>8</v>
      </c>
      <c r="BD322" s="120">
        <f t="shared" si="261"/>
        <v>5</v>
      </c>
      <c r="BE322" s="120">
        <f t="shared" si="262"/>
        <v>0</v>
      </c>
      <c r="BF322" s="120">
        <f t="shared" si="263"/>
        <v>0</v>
      </c>
      <c r="BG322" s="120">
        <f t="shared" si="264"/>
        <v>15</v>
      </c>
      <c r="BH322" s="120">
        <f t="shared" si="265"/>
        <v>0</v>
      </c>
      <c r="BI322" s="120">
        <f t="shared" si="266"/>
        <v>2</v>
      </c>
      <c r="BJ322" s="120"/>
      <c r="BK322" s="120">
        <f t="shared" si="268"/>
        <v>0</v>
      </c>
      <c r="BL322" s="120"/>
    </row>
    <row r="323" spans="1:64">
      <c r="A323" s="645"/>
      <c r="B323" s="645"/>
      <c r="C323" s="645"/>
      <c r="D323" s="645"/>
      <c r="E323" s="645"/>
      <c r="F323" s="645"/>
      <c r="G323" s="645"/>
      <c r="H323" s="645"/>
      <c r="I323" s="645"/>
      <c r="J323" s="645"/>
      <c r="K323" s="645"/>
      <c r="L323" s="645"/>
      <c r="M323" s="645"/>
      <c r="N323" s="645"/>
      <c r="O323" s="645"/>
      <c r="P323" s="645"/>
      <c r="Q323" s="645"/>
      <c r="R323" s="645"/>
      <c r="S323" s="645"/>
      <c r="T323" s="645"/>
      <c r="U323" s="645"/>
      <c r="V323" s="645"/>
      <c r="W323" s="645"/>
      <c r="X323" s="645"/>
      <c r="Y323" s="645"/>
      <c r="Z323" s="645"/>
      <c r="AA323" s="645"/>
      <c r="AB323" s="645"/>
      <c r="AC323" s="645"/>
      <c r="AD323" s="645"/>
      <c r="AE323" s="645"/>
      <c r="AF323" s="645"/>
      <c r="AG323" s="645"/>
      <c r="AH323" s="645"/>
      <c r="AI323" s="645"/>
      <c r="AJ323" s="645"/>
      <c r="AK323" s="123">
        <f>SUM(AK212:AK322,AK20:AK210)</f>
        <v>2600</v>
      </c>
      <c r="AL323" s="645"/>
      <c r="AM323" s="117"/>
      <c r="AN323" s="645"/>
      <c r="AO323" s="645"/>
      <c r="AP323" s="645"/>
      <c r="AQ323" s="645"/>
      <c r="AR323" s="645"/>
      <c r="AS323" s="645"/>
      <c r="AT323" s="645"/>
      <c r="AU323" s="645"/>
      <c r="AV323" s="645"/>
      <c r="AW323" s="645"/>
      <c r="AX323" s="645"/>
      <c r="AY323" s="645"/>
      <c r="AZ323" s="645"/>
      <c r="BA323" s="645"/>
      <c r="BB323" s="645"/>
      <c r="BC323" s="645"/>
      <c r="BD323" s="645"/>
      <c r="BE323" s="645"/>
      <c r="BF323" s="645"/>
      <c r="BG323" s="645"/>
      <c r="BH323" s="645"/>
      <c r="BI323" s="645"/>
      <c r="BJ323" s="645"/>
      <c r="BK323" s="645"/>
      <c r="BL323" s="645"/>
    </row>
    <row r="324" spans="1:64">
      <c r="A324" s="645"/>
      <c r="B324" s="645"/>
      <c r="C324" s="645"/>
      <c r="D324" s="645"/>
      <c r="E324" s="645"/>
      <c r="F324" s="645"/>
      <c r="G324" s="645"/>
      <c r="H324" s="645"/>
      <c r="I324" s="645"/>
      <c r="J324" s="645"/>
      <c r="K324" s="645"/>
      <c r="L324" s="645"/>
      <c r="M324" s="645"/>
      <c r="N324" s="645"/>
      <c r="O324" s="645"/>
      <c r="P324" s="645"/>
      <c r="Q324" s="645"/>
      <c r="R324" s="645"/>
      <c r="S324" s="645"/>
      <c r="T324" s="645"/>
      <c r="U324" s="645"/>
      <c r="V324" s="645"/>
      <c r="W324" s="645"/>
      <c r="X324" s="645"/>
      <c r="Y324" s="645"/>
      <c r="Z324" s="645"/>
      <c r="AA324" s="645"/>
      <c r="AB324" s="645"/>
      <c r="AC324" s="645"/>
      <c r="AD324" s="645"/>
      <c r="AE324" s="645"/>
      <c r="AF324" s="645"/>
      <c r="AG324" s="645"/>
      <c r="AH324" s="645"/>
      <c r="AI324" s="645"/>
      <c r="AJ324" s="645"/>
      <c r="AK324" s="8" t="e">
        <f t="array" ref="AK324">AK323/(N1-"")</f>
        <v>#VALUE!</v>
      </c>
      <c r="AL324" s="645"/>
      <c r="AM324" s="117"/>
      <c r="AN324" s="645"/>
      <c r="AO324" s="645"/>
      <c r="AP324" s="645"/>
      <c r="AQ324" s="645"/>
      <c r="AR324" s="645"/>
      <c r="AS324" s="645"/>
      <c r="AT324" s="645"/>
      <c r="AU324" s="645"/>
      <c r="AV324" s="645"/>
      <c r="AW324" s="645"/>
      <c r="AX324" s="645"/>
      <c r="AY324" s="645"/>
      <c r="AZ324" s="645"/>
      <c r="BA324" s="645"/>
      <c r="BB324" s="645"/>
      <c r="BC324" s="645"/>
      <c r="BD324" s="645"/>
      <c r="BE324" s="645"/>
      <c r="BF324" s="645"/>
      <c r="BG324" s="645"/>
      <c r="BH324" s="645"/>
      <c r="BI324" s="645"/>
      <c r="BJ324" s="645"/>
      <c r="BK324" s="645"/>
      <c r="BL324" s="645"/>
    </row>
    <row r="325" spans="1:64">
      <c r="A325" s="645"/>
      <c r="B325" s="645"/>
      <c r="C325" s="645"/>
      <c r="D325" s="645"/>
      <c r="E325" s="645"/>
      <c r="F325" s="645"/>
      <c r="G325" s="645"/>
      <c r="H325" s="645"/>
      <c r="I325" s="645"/>
      <c r="J325" s="645"/>
      <c r="K325" s="645"/>
      <c r="L325" s="645"/>
      <c r="M325" s="645"/>
      <c r="N325" s="645"/>
      <c r="O325" s="645"/>
      <c r="P325" s="645"/>
      <c r="Q325" s="645"/>
      <c r="R325" s="645"/>
      <c r="S325" s="645"/>
      <c r="T325" s="645"/>
      <c r="U325" s="645"/>
      <c r="V325" s="645"/>
      <c r="W325" s="645"/>
      <c r="X325" s="645"/>
      <c r="Y325" s="645"/>
      <c r="Z325" s="645"/>
      <c r="AA325" s="645"/>
      <c r="AB325" s="645"/>
      <c r="AC325" s="645"/>
      <c r="AD325" s="645"/>
      <c r="AE325" s="645"/>
      <c r="AF325" s="645"/>
      <c r="AG325" s="645"/>
      <c r="AH325" s="645"/>
      <c r="AI325" s="645"/>
      <c r="AJ325" s="645"/>
      <c r="AK325" s="124">
        <f>4793-AK323</f>
        <v>2193</v>
      </c>
      <c r="AL325" s="45"/>
      <c r="AM325" s="117"/>
      <c r="AN325" s="645"/>
      <c r="AO325" s="645"/>
      <c r="AP325" s="645"/>
      <c r="AQ325" s="645"/>
      <c r="AR325" s="645"/>
      <c r="AS325" s="645"/>
      <c r="AT325" s="645"/>
      <c r="AU325" s="645"/>
      <c r="AV325" s="645"/>
      <c r="AW325" s="645"/>
      <c r="AX325" s="645"/>
      <c r="AY325" s="645"/>
      <c r="AZ325" s="645"/>
      <c r="BA325" s="645"/>
      <c r="BB325" s="645"/>
      <c r="BC325" s="645"/>
      <c r="BD325" s="645"/>
      <c r="BE325" s="645"/>
      <c r="BF325" s="645"/>
      <c r="BG325" s="645"/>
      <c r="BH325" s="645"/>
      <c r="BI325" s="645"/>
      <c r="BJ325" s="645"/>
      <c r="BK325" s="645"/>
      <c r="BL325" s="645"/>
    </row>
    <row r="326" spans="1:64">
      <c r="A326" s="645"/>
      <c r="B326" s="645"/>
      <c r="C326" s="645"/>
      <c r="D326" s="645"/>
      <c r="E326" s="645"/>
      <c r="F326" s="645"/>
      <c r="G326" s="645"/>
      <c r="H326" s="645"/>
      <c r="I326" s="645"/>
      <c r="J326" s="645"/>
      <c r="K326" s="645"/>
      <c r="L326" s="645"/>
      <c r="M326" s="645"/>
      <c r="N326" s="645"/>
      <c r="O326" s="645"/>
      <c r="P326" s="645"/>
      <c r="Q326" s="645"/>
      <c r="R326" s="645"/>
      <c r="S326" s="645"/>
      <c r="T326" s="645"/>
      <c r="U326" s="645"/>
      <c r="V326" s="645"/>
      <c r="W326" s="645"/>
      <c r="X326" s="645"/>
      <c r="Y326" s="645"/>
      <c r="Z326" s="645"/>
      <c r="AA326" s="645"/>
      <c r="AB326" s="645"/>
      <c r="AC326" s="645"/>
      <c r="AD326" s="645"/>
      <c r="AE326" s="645"/>
      <c r="AF326" s="645"/>
      <c r="AG326" s="645"/>
      <c r="AH326" s="645"/>
      <c r="AI326" s="645"/>
      <c r="AJ326" s="645"/>
      <c r="AK326" s="123">
        <f>(SUM(AK212:AK322,AK20:AK210))/298</f>
        <v>8.724832214765101</v>
      </c>
      <c r="AL326" s="645"/>
      <c r="AM326" s="117"/>
      <c r="AN326" s="645"/>
      <c r="AO326" s="645"/>
      <c r="AP326" s="645"/>
      <c r="AQ326" s="645"/>
      <c r="AR326" s="645"/>
      <c r="AS326" s="645"/>
      <c r="AT326" s="645"/>
      <c r="AU326" s="645"/>
      <c r="AV326" s="645"/>
      <c r="AW326" s="645"/>
      <c r="AX326" s="645"/>
      <c r="AY326" s="645"/>
      <c r="AZ326" s="645"/>
      <c r="BA326" s="645"/>
      <c r="BB326" s="645"/>
      <c r="BC326" s="645"/>
      <c r="BD326" s="645"/>
      <c r="BE326" s="645"/>
      <c r="BF326" s="645"/>
      <c r="BG326" s="645"/>
      <c r="BH326" s="645"/>
      <c r="BI326" s="645"/>
      <c r="BJ326" s="645"/>
      <c r="BK326" s="645"/>
      <c r="BL326" s="645"/>
    </row>
    <row r="327" spans="1:64">
      <c r="A327" s="645"/>
      <c r="B327" s="645"/>
      <c r="C327" s="645"/>
      <c r="D327" s="645"/>
      <c r="E327" s="645"/>
      <c r="F327" s="645"/>
      <c r="G327" s="645"/>
      <c r="H327" s="645"/>
      <c r="I327" s="645"/>
      <c r="J327" s="645"/>
      <c r="K327" s="645"/>
      <c r="L327" s="645"/>
      <c r="M327" s="645"/>
      <c r="N327" s="645"/>
      <c r="O327" s="645"/>
      <c r="P327" s="645"/>
      <c r="Q327" s="645"/>
      <c r="R327" s="645"/>
      <c r="S327" s="645"/>
      <c r="T327" s="645"/>
      <c r="U327" s="645"/>
      <c r="V327" s="645"/>
      <c r="W327" s="645"/>
      <c r="X327" s="645"/>
      <c r="Y327" s="645"/>
      <c r="Z327" s="645"/>
      <c r="AA327" s="645"/>
      <c r="AB327" s="645"/>
      <c r="AC327" s="645"/>
      <c r="AD327" s="645"/>
      <c r="AE327" s="645"/>
      <c r="AF327" s="645"/>
      <c r="AG327" s="645"/>
      <c r="AH327" s="645"/>
      <c r="AI327" s="645"/>
      <c r="AJ327" s="645"/>
      <c r="AK327" s="83" t="e">
        <f t="array" ref="AK327">AK325/(571-(N1-""))</f>
        <v>#VALUE!</v>
      </c>
      <c r="AL327" s="645"/>
      <c r="AM327" s="117"/>
      <c r="AN327" s="645"/>
      <c r="AO327" s="645"/>
      <c r="AP327" s="645"/>
      <c r="AQ327" s="645"/>
      <c r="AR327" s="645"/>
      <c r="AS327" s="645"/>
      <c r="AT327" s="645"/>
      <c r="AU327" s="645"/>
      <c r="AV327" s="645"/>
      <c r="AW327" s="645"/>
      <c r="AX327" s="645"/>
      <c r="AY327" s="645"/>
      <c r="AZ327" s="645"/>
      <c r="BA327" s="645"/>
      <c r="BB327" s="645"/>
      <c r="BC327" s="645"/>
      <c r="BD327" s="645"/>
      <c r="BE327" s="645"/>
      <c r="BF327" s="645"/>
      <c r="BG327" s="645"/>
      <c r="BH327" s="645"/>
      <c r="BI327" s="645"/>
      <c r="BJ327" s="645"/>
      <c r="BK327" s="645"/>
      <c r="BL327" s="645"/>
    </row>
    <row r="328" spans="1:64">
      <c r="A328" s="645"/>
      <c r="B328" s="645"/>
      <c r="C328" s="645"/>
      <c r="D328" s="645"/>
      <c r="E328" s="645"/>
      <c r="F328" s="645"/>
      <c r="G328" s="645"/>
      <c r="H328" s="645"/>
      <c r="I328" s="645"/>
      <c r="J328" s="645"/>
      <c r="K328" s="645"/>
      <c r="L328" s="645"/>
      <c r="M328" s="645"/>
      <c r="N328" s="645"/>
      <c r="O328" s="645"/>
      <c r="P328" s="645"/>
      <c r="Q328" s="645"/>
      <c r="R328" s="645"/>
      <c r="S328" s="645"/>
      <c r="T328" s="645"/>
      <c r="U328" s="645"/>
      <c r="V328" s="645"/>
      <c r="W328" s="645"/>
      <c r="X328" s="645"/>
      <c r="Y328" s="645"/>
      <c r="Z328" s="645"/>
      <c r="AA328" s="645"/>
      <c r="AB328" s="645"/>
      <c r="AC328" s="645"/>
      <c r="AD328" s="645"/>
      <c r="AE328" s="645"/>
      <c r="AF328" s="645"/>
      <c r="AG328" s="645"/>
      <c r="AH328" s="645"/>
      <c r="AI328" s="645"/>
      <c r="AJ328" s="645"/>
      <c r="AK328" s="83">
        <f>4793/571</f>
        <v>8.3940455341506137</v>
      </c>
      <c r="AL328" s="645"/>
      <c r="AM328" s="117"/>
      <c r="AN328" s="645"/>
      <c r="AO328" s="645"/>
      <c r="AP328" s="645"/>
      <c r="AQ328" s="645"/>
      <c r="AR328" s="645"/>
      <c r="AS328" s="645"/>
      <c r="AT328" s="645"/>
      <c r="AU328" s="645"/>
      <c r="AV328" s="645"/>
      <c r="AW328" s="645"/>
      <c r="AX328" s="645"/>
      <c r="AY328" s="645"/>
      <c r="AZ328" s="645"/>
      <c r="BA328" s="645"/>
      <c r="BB328" s="645"/>
      <c r="BC328" s="645"/>
      <c r="BD328" s="645"/>
      <c r="BE328" s="645"/>
      <c r="BF328" s="645"/>
      <c r="BG328" s="645"/>
      <c r="BH328" s="645"/>
      <c r="BI328" s="645"/>
      <c r="BJ328" s="645"/>
      <c r="BK328" s="645"/>
      <c r="BL328" s="645"/>
    </row>
    <row r="329" spans="1:64">
      <c r="A329" s="645"/>
      <c r="B329" s="645"/>
      <c r="C329" s="645"/>
      <c r="D329" s="645"/>
      <c r="E329" s="645"/>
      <c r="F329" s="645"/>
      <c r="G329" s="645"/>
      <c r="H329" s="645"/>
      <c r="I329" s="645"/>
      <c r="J329" s="645"/>
      <c r="K329" s="645"/>
      <c r="L329" s="645"/>
      <c r="M329" s="645"/>
      <c r="N329" s="645"/>
      <c r="O329" s="645"/>
      <c r="P329" s="645"/>
      <c r="Q329" s="645"/>
      <c r="R329" s="645"/>
      <c r="S329" s="645"/>
      <c r="T329" s="645"/>
      <c r="U329" s="645"/>
      <c r="V329" s="645"/>
      <c r="W329" s="645"/>
      <c r="X329" s="645"/>
      <c r="Y329" s="645"/>
      <c r="Z329" s="645"/>
      <c r="AA329" s="645"/>
      <c r="AB329" s="645"/>
      <c r="AC329" s="645"/>
      <c r="AD329" s="645"/>
      <c r="AE329" s="645"/>
      <c r="AF329" s="645"/>
      <c r="AG329" s="645"/>
      <c r="AH329" s="645"/>
      <c r="AI329" s="645"/>
      <c r="AJ329" s="645"/>
      <c r="AK329" s="83">
        <f>AK323/N1</f>
        <v>8.6092715231788084</v>
      </c>
      <c r="AL329" s="645"/>
      <c r="AM329" s="117"/>
      <c r="AN329" s="645"/>
      <c r="AO329" s="645"/>
      <c r="AP329" s="645"/>
      <c r="AQ329" s="645"/>
      <c r="AR329" s="645"/>
      <c r="AS329" s="645"/>
      <c r="AT329" s="645"/>
      <c r="AU329" s="645"/>
      <c r="AV329" s="645"/>
      <c r="AW329" s="645"/>
      <c r="AX329" s="645"/>
      <c r="AY329" s="645"/>
      <c r="AZ329" s="645"/>
      <c r="BA329" s="645"/>
      <c r="BB329" s="645"/>
      <c r="BC329" s="645"/>
      <c r="BD329" s="645"/>
      <c r="BE329" s="645"/>
      <c r="BF329" s="645"/>
      <c r="BG329" s="645"/>
      <c r="BH329" s="645"/>
      <c r="BI329" s="645"/>
      <c r="BJ329" s="645"/>
      <c r="BK329" s="645"/>
      <c r="BL329" s="645"/>
    </row>
    <row r="330" spans="1:64">
      <c r="A330" s="645"/>
      <c r="B330" s="645"/>
      <c r="C330" s="645"/>
      <c r="D330" s="645"/>
      <c r="E330" s="645"/>
      <c r="F330" s="645"/>
      <c r="G330" s="645"/>
      <c r="H330" s="645"/>
      <c r="I330" s="645"/>
      <c r="J330" s="645"/>
      <c r="K330" s="645"/>
      <c r="L330" s="645"/>
      <c r="M330" s="645"/>
      <c r="N330" s="645"/>
      <c r="O330" s="645"/>
      <c r="P330" s="645"/>
      <c r="Q330" s="645"/>
      <c r="R330" s="645"/>
      <c r="S330" s="645"/>
      <c r="T330" s="645"/>
      <c r="U330" s="645"/>
      <c r="V330" s="645"/>
      <c r="W330" s="645"/>
      <c r="X330" s="645"/>
      <c r="Y330" s="645"/>
      <c r="Z330" s="645"/>
      <c r="AA330" s="645"/>
      <c r="AB330" s="645"/>
      <c r="AC330" s="645"/>
      <c r="AD330" s="645"/>
      <c r="AE330" s="645"/>
      <c r="AF330" s="645"/>
      <c r="AG330" s="645"/>
      <c r="AH330" s="645"/>
      <c r="AI330" s="645"/>
      <c r="AJ330" s="645"/>
      <c r="AK330" s="125"/>
      <c r="AL330" s="645"/>
      <c r="AM330" s="117"/>
      <c r="AN330" s="645"/>
      <c r="AO330" s="645"/>
      <c r="AP330" s="645"/>
      <c r="AQ330" s="645"/>
      <c r="AR330" s="645"/>
      <c r="AS330" s="645"/>
      <c r="AT330" s="645"/>
      <c r="AU330" s="645"/>
      <c r="AV330" s="645"/>
      <c r="AW330" s="645"/>
      <c r="AX330" s="645"/>
      <c r="AY330" s="645"/>
      <c r="AZ330" s="645"/>
      <c r="BA330" s="645"/>
      <c r="BB330" s="645"/>
      <c r="BC330" s="645"/>
      <c r="BD330" s="645"/>
      <c r="BE330" s="645"/>
      <c r="BF330" s="645"/>
      <c r="BG330" s="645"/>
      <c r="BH330" s="645"/>
      <c r="BI330" s="645"/>
      <c r="BJ330" s="645"/>
      <c r="BK330" s="645"/>
      <c r="BL330" s="645"/>
    </row>
    <row r="331" spans="1:64">
      <c r="A331" s="645"/>
      <c r="B331" s="645"/>
      <c r="C331" s="645"/>
      <c r="D331" s="645"/>
      <c r="E331" s="645"/>
      <c r="F331" s="645"/>
      <c r="G331" s="645"/>
      <c r="H331" s="645"/>
      <c r="I331" s="645"/>
      <c r="J331" s="645"/>
      <c r="K331" s="645"/>
      <c r="L331" s="645"/>
      <c r="M331" s="645"/>
      <c r="N331" s="645"/>
      <c r="O331" s="645"/>
      <c r="P331" s="645"/>
      <c r="Q331" s="645"/>
      <c r="R331" s="645"/>
      <c r="S331" s="645"/>
      <c r="T331" s="645"/>
      <c r="U331" s="645"/>
      <c r="V331" s="645"/>
      <c r="W331" s="645"/>
      <c r="X331" s="645"/>
      <c r="Y331" s="645"/>
      <c r="Z331" s="645"/>
      <c r="AA331" s="645"/>
      <c r="AB331" s="645"/>
      <c r="AC331" s="645"/>
      <c r="AD331" s="645"/>
      <c r="AE331" s="645"/>
      <c r="AF331" s="645"/>
      <c r="AG331" s="645"/>
      <c r="AH331" s="645"/>
      <c r="AI331" s="645"/>
      <c r="AJ331" s="645"/>
      <c r="AK331" s="125"/>
      <c r="AL331" s="645"/>
      <c r="AM331" s="117"/>
      <c r="AN331" s="645"/>
      <c r="AO331" s="645"/>
      <c r="AP331" s="645"/>
      <c r="AQ331" s="645"/>
      <c r="AR331" s="645"/>
      <c r="AS331" s="645"/>
      <c r="AT331" s="645"/>
      <c r="AU331" s="645"/>
      <c r="AV331" s="645"/>
      <c r="AW331" s="645"/>
      <c r="AX331" s="645"/>
      <c r="AY331" s="645"/>
      <c r="AZ331" s="645"/>
      <c r="BA331" s="645"/>
      <c r="BB331" s="645"/>
      <c r="BC331" s="645"/>
      <c r="BD331" s="645"/>
      <c r="BE331" s="645"/>
      <c r="BF331" s="645"/>
      <c r="BG331" s="645"/>
      <c r="BH331" s="645"/>
      <c r="BI331" s="645"/>
      <c r="BJ331" s="645"/>
      <c r="BK331" s="645"/>
      <c r="BL331" s="645"/>
    </row>
    <row r="332" spans="1:64">
      <c r="A332" s="645"/>
      <c r="B332" s="645"/>
      <c r="C332" s="645"/>
      <c r="D332" s="645"/>
      <c r="E332" s="645"/>
      <c r="F332" s="645"/>
      <c r="G332" s="645"/>
      <c r="H332" s="645"/>
      <c r="I332" s="645"/>
      <c r="J332" s="645"/>
      <c r="K332" s="645"/>
      <c r="L332" s="645"/>
      <c r="M332" s="645"/>
      <c r="N332" s="645"/>
      <c r="O332" s="645"/>
      <c r="P332" s="645"/>
      <c r="Q332" s="645"/>
      <c r="R332" s="645"/>
      <c r="S332" s="645"/>
      <c r="T332" s="645"/>
      <c r="U332" s="645"/>
      <c r="V332" s="645"/>
      <c r="W332" s="645"/>
      <c r="X332" s="645"/>
      <c r="Y332" s="645"/>
      <c r="Z332" s="645"/>
      <c r="AA332" s="645"/>
      <c r="AB332" s="645"/>
      <c r="AC332" s="645"/>
      <c r="AD332" s="645"/>
      <c r="AE332" s="645"/>
      <c r="AF332" s="645"/>
      <c r="AG332" s="645"/>
      <c r="AH332" s="645"/>
      <c r="AI332" s="645"/>
      <c r="AJ332" s="645"/>
      <c r="AK332" s="125"/>
      <c r="AL332" s="645"/>
      <c r="AM332" s="117"/>
      <c r="AN332" s="645"/>
      <c r="AO332" s="645"/>
      <c r="AP332" s="645"/>
      <c r="AQ332" s="645"/>
      <c r="AR332" s="645"/>
      <c r="AS332" s="645"/>
      <c r="AT332" s="645"/>
      <c r="AU332" s="645"/>
      <c r="AV332" s="645"/>
      <c r="AW332" s="645"/>
      <c r="AX332" s="645"/>
      <c r="AY332" s="645"/>
      <c r="AZ332" s="645"/>
      <c r="BA332" s="645"/>
      <c r="BB332" s="645"/>
      <c r="BC332" s="645"/>
      <c r="BD332" s="645"/>
      <c r="BE332" s="645"/>
      <c r="BF332" s="645"/>
      <c r="BG332" s="645"/>
      <c r="BH332" s="645"/>
      <c r="BI332" s="645"/>
      <c r="BJ332" s="645"/>
      <c r="BK332" s="645"/>
      <c r="BL332" s="645"/>
    </row>
    <row r="333" spans="1:64">
      <c r="A333" s="645"/>
      <c r="B333" s="645"/>
      <c r="C333" s="645"/>
      <c r="D333" s="645"/>
      <c r="E333" s="645"/>
      <c r="F333" s="645"/>
      <c r="G333" s="645"/>
      <c r="H333" s="645"/>
      <c r="I333" s="645"/>
      <c r="J333" s="645"/>
      <c r="K333" s="645"/>
      <c r="L333" s="645"/>
      <c r="M333" s="645"/>
      <c r="N333" s="645"/>
      <c r="O333" s="645"/>
      <c r="P333" s="645"/>
      <c r="Q333" s="645"/>
      <c r="R333" s="645"/>
      <c r="S333" s="645"/>
      <c r="T333" s="645"/>
      <c r="U333" s="645"/>
      <c r="V333" s="645"/>
      <c r="W333" s="645"/>
      <c r="X333" s="645"/>
      <c r="Y333" s="645"/>
      <c r="Z333" s="645"/>
      <c r="AA333" s="645"/>
      <c r="AB333" s="645"/>
      <c r="AC333" s="645"/>
      <c r="AD333" s="645"/>
      <c r="AE333" s="645"/>
      <c r="AF333" s="645"/>
      <c r="AG333" s="645"/>
      <c r="AH333" s="645"/>
      <c r="AI333" s="645"/>
      <c r="AJ333" s="645"/>
      <c r="AK333" s="125"/>
      <c r="AL333" s="645"/>
      <c r="AM333" s="117"/>
      <c r="AN333" s="645"/>
      <c r="AO333" s="645"/>
      <c r="AP333" s="645"/>
      <c r="AQ333" s="645"/>
      <c r="AR333" s="645"/>
      <c r="AS333" s="645"/>
      <c r="AT333" s="645"/>
      <c r="AU333" s="645"/>
      <c r="AV333" s="645"/>
      <c r="AW333" s="645"/>
      <c r="AX333" s="645"/>
      <c r="AY333" s="645"/>
      <c r="AZ333" s="645"/>
      <c r="BA333" s="645"/>
      <c r="BB333" s="645"/>
      <c r="BC333" s="645"/>
      <c r="BD333" s="645"/>
      <c r="BE333" s="645"/>
      <c r="BF333" s="645"/>
      <c r="BG333" s="645"/>
      <c r="BH333" s="645"/>
      <c r="BI333" s="645"/>
      <c r="BJ333" s="645"/>
      <c r="BK333" s="645"/>
      <c r="BL333" s="645"/>
    </row>
    <row r="334" spans="1:64">
      <c r="A334" s="645"/>
      <c r="B334" s="645"/>
      <c r="C334" s="645"/>
      <c r="D334" s="645"/>
      <c r="E334" s="645"/>
      <c r="F334" s="645"/>
      <c r="G334" s="645"/>
      <c r="H334" s="645"/>
      <c r="I334" s="645"/>
      <c r="J334" s="645"/>
      <c r="K334" s="645"/>
      <c r="L334" s="645"/>
      <c r="M334" s="645"/>
      <c r="N334" s="645"/>
      <c r="O334" s="645"/>
      <c r="P334" s="645"/>
      <c r="Q334" s="645"/>
      <c r="R334" s="645"/>
      <c r="S334" s="645"/>
      <c r="T334" s="645"/>
      <c r="U334" s="645"/>
      <c r="V334" s="645"/>
      <c r="W334" s="645"/>
      <c r="X334" s="645"/>
      <c r="Y334" s="645"/>
      <c r="Z334" s="645"/>
      <c r="AA334" s="645"/>
      <c r="AB334" s="645"/>
      <c r="AC334" s="645"/>
      <c r="AD334" s="645"/>
      <c r="AE334" s="645"/>
      <c r="AF334" s="645"/>
      <c r="AG334" s="645"/>
      <c r="AH334" s="645"/>
      <c r="AI334" s="645"/>
      <c r="AJ334" s="645"/>
      <c r="AK334" s="125"/>
      <c r="AL334" s="645"/>
      <c r="AM334" s="117"/>
      <c r="AN334" s="645"/>
      <c r="AO334" s="645"/>
      <c r="AP334" s="645"/>
      <c r="AQ334" s="645"/>
      <c r="AR334" s="645"/>
      <c r="AS334" s="645"/>
      <c r="AT334" s="645"/>
      <c r="AU334" s="645"/>
      <c r="AV334" s="645"/>
      <c r="AW334" s="645"/>
      <c r="AX334" s="645"/>
      <c r="AY334" s="645"/>
      <c r="AZ334" s="645"/>
      <c r="BA334" s="645"/>
      <c r="BB334" s="645"/>
      <c r="BC334" s="645"/>
      <c r="BD334" s="645"/>
      <c r="BE334" s="645"/>
      <c r="BF334" s="645"/>
      <c r="BG334" s="645"/>
      <c r="BH334" s="645"/>
      <c r="BI334" s="645"/>
      <c r="BJ334" s="645"/>
      <c r="BK334" s="645"/>
      <c r="BL334" s="645"/>
    </row>
    <row r="335" spans="1:64">
      <c r="A335" s="645"/>
      <c r="B335" s="645"/>
      <c r="C335" s="645"/>
      <c r="D335" s="645"/>
      <c r="E335" s="645"/>
      <c r="F335" s="645"/>
      <c r="G335" s="645"/>
      <c r="H335" s="645"/>
      <c r="I335" s="645"/>
      <c r="J335" s="645"/>
      <c r="K335" s="645"/>
      <c r="L335" s="645"/>
      <c r="M335" s="645"/>
      <c r="N335" s="645"/>
      <c r="O335" s="645"/>
      <c r="P335" s="645"/>
      <c r="Q335" s="645"/>
      <c r="R335" s="645"/>
      <c r="S335" s="645"/>
      <c r="T335" s="645"/>
      <c r="U335" s="645"/>
      <c r="V335" s="645"/>
      <c r="W335" s="645"/>
      <c r="X335" s="645"/>
      <c r="Y335" s="645"/>
      <c r="Z335" s="645"/>
      <c r="AA335" s="645"/>
      <c r="AB335" s="645"/>
      <c r="AC335" s="645"/>
      <c r="AD335" s="645"/>
      <c r="AE335" s="645"/>
      <c r="AF335" s="645"/>
      <c r="AG335" s="645"/>
      <c r="AH335" s="645"/>
      <c r="AI335" s="645"/>
      <c r="AJ335" s="645"/>
      <c r="AK335" s="125"/>
      <c r="AL335" s="645"/>
      <c r="AM335" s="117"/>
      <c r="AN335" s="645"/>
      <c r="AO335" s="645"/>
      <c r="AP335" s="645"/>
      <c r="AQ335" s="645"/>
      <c r="AR335" s="645"/>
      <c r="AS335" s="645"/>
      <c r="AT335" s="645"/>
      <c r="AU335" s="645"/>
      <c r="AV335" s="645"/>
      <c r="AW335" s="645"/>
      <c r="AX335" s="645"/>
      <c r="AY335" s="645"/>
      <c r="AZ335" s="645"/>
      <c r="BA335" s="645"/>
      <c r="BB335" s="645"/>
      <c r="BC335" s="645"/>
      <c r="BD335" s="645"/>
      <c r="BE335" s="645"/>
      <c r="BF335" s="645"/>
      <c r="BG335" s="645"/>
      <c r="BH335" s="645"/>
      <c r="BI335" s="645"/>
      <c r="BJ335" s="645"/>
      <c r="BK335" s="645"/>
      <c r="BL335" s="645"/>
    </row>
    <row r="336" spans="1:64">
      <c r="A336" s="645"/>
      <c r="B336" s="645"/>
      <c r="C336" s="645"/>
      <c r="D336" s="645"/>
      <c r="E336" s="645"/>
      <c r="F336" s="645"/>
      <c r="G336" s="645"/>
      <c r="H336" s="645"/>
      <c r="I336" s="645"/>
      <c r="J336" s="645"/>
      <c r="K336" s="645"/>
      <c r="L336" s="645"/>
      <c r="M336" s="645"/>
      <c r="N336" s="645"/>
      <c r="O336" s="645"/>
      <c r="P336" s="645"/>
      <c r="Q336" s="645"/>
      <c r="R336" s="645"/>
      <c r="S336" s="645"/>
      <c r="T336" s="645"/>
      <c r="U336" s="645"/>
      <c r="V336" s="645"/>
      <c r="W336" s="645"/>
      <c r="X336" s="645"/>
      <c r="Y336" s="645"/>
      <c r="Z336" s="645"/>
      <c r="AA336" s="645"/>
      <c r="AB336" s="645"/>
      <c r="AC336" s="645"/>
      <c r="AD336" s="645"/>
      <c r="AE336" s="645"/>
      <c r="AF336" s="645"/>
      <c r="AG336" s="645"/>
      <c r="AH336" s="645"/>
      <c r="AI336" s="645"/>
      <c r="AJ336" s="645"/>
      <c r="AK336" s="125"/>
      <c r="AL336" s="645"/>
      <c r="AM336" s="117"/>
      <c r="AN336" s="645"/>
      <c r="AO336" s="645"/>
      <c r="AP336" s="645"/>
      <c r="AQ336" s="645"/>
      <c r="AR336" s="645"/>
      <c r="AS336" s="645"/>
      <c r="AT336" s="645"/>
      <c r="AU336" s="645"/>
      <c r="AV336" s="645"/>
      <c r="AW336" s="645"/>
      <c r="AX336" s="645"/>
      <c r="AY336" s="645"/>
      <c r="AZ336" s="645"/>
      <c r="BA336" s="645"/>
      <c r="BB336" s="645"/>
      <c r="BC336" s="645"/>
      <c r="BD336" s="645"/>
      <c r="BE336" s="645"/>
      <c r="BF336" s="645"/>
      <c r="BG336" s="645"/>
      <c r="BH336" s="645"/>
      <c r="BI336" s="645"/>
      <c r="BJ336" s="645"/>
      <c r="BK336" s="645"/>
      <c r="BL336" s="645"/>
    </row>
    <row r="337" spans="37:39">
      <c r="AK337" s="125"/>
      <c r="AL337" s="645"/>
      <c r="AM337" s="117"/>
    </row>
    <row r="338" spans="37:39">
      <c r="AK338" s="645"/>
      <c r="AL338" s="645"/>
      <c r="AM338" s="117"/>
    </row>
    <row r="339" spans="37:39">
      <c r="AK339" s="645"/>
      <c r="AL339" s="645"/>
      <c r="AM339" s="117"/>
    </row>
    <row r="340" spans="37:39">
      <c r="AK340" s="645"/>
      <c r="AL340" s="645"/>
      <c r="AM340" s="117"/>
    </row>
    <row r="341" spans="37:39">
      <c r="AK341" s="645"/>
      <c r="AL341" s="645"/>
      <c r="AM341" s="117"/>
    </row>
    <row r="342" spans="37:39">
      <c r="AK342" s="645"/>
      <c r="AL342" s="645"/>
      <c r="AM342" s="117"/>
    </row>
    <row r="343" spans="37:39">
      <c r="AK343" s="645"/>
      <c r="AL343" s="645"/>
      <c r="AM343" s="117"/>
    </row>
    <row r="344" spans="37:39">
      <c r="AK344" s="645"/>
      <c r="AL344" s="645"/>
      <c r="AM344" s="117"/>
    </row>
    <row r="345" spans="37:39">
      <c r="AK345" s="645"/>
      <c r="AL345" s="645"/>
      <c r="AM345" s="117"/>
    </row>
    <row r="346" spans="37:39">
      <c r="AK346" s="645"/>
      <c r="AL346" s="645"/>
      <c r="AM346" s="117"/>
    </row>
    <row r="347" spans="37:39">
      <c r="AK347" s="645"/>
      <c r="AL347" s="645"/>
      <c r="AM347" s="117"/>
    </row>
    <row r="348" spans="37:39">
      <c r="AK348" s="645"/>
      <c r="AL348" s="645"/>
      <c r="AM348" s="117"/>
    </row>
    <row r="349" spans="37:39">
      <c r="AK349" s="645"/>
      <c r="AL349" s="645"/>
      <c r="AM349" s="117"/>
    </row>
    <row r="350" spans="37:39">
      <c r="AK350" s="645"/>
      <c r="AL350" s="645"/>
      <c r="AM350" s="117"/>
    </row>
    <row r="351" spans="37:39">
      <c r="AK351" s="645"/>
      <c r="AL351" s="645"/>
      <c r="AM351" s="117"/>
    </row>
    <row r="352" spans="37:39">
      <c r="AK352" s="645"/>
      <c r="AL352" s="645"/>
      <c r="AM352" s="117"/>
    </row>
    <row r="353" spans="39:39">
      <c r="AM353" s="117"/>
    </row>
    <row r="354" spans="39:39">
      <c r="AM354" s="117"/>
    </row>
    <row r="355" spans="39:39">
      <c r="AM355" s="117"/>
    </row>
    <row r="356" spans="39:39">
      <c r="AM356" s="117"/>
    </row>
    <row r="357" spans="39:39">
      <c r="AM357" s="117"/>
    </row>
    <row r="358" spans="39:39">
      <c r="AM358" s="117"/>
    </row>
    <row r="359" spans="39:39">
      <c r="AM359" s="117"/>
    </row>
    <row r="360" spans="39:39">
      <c r="AM360" s="117"/>
    </row>
    <row r="361" spans="39:39">
      <c r="AM361" s="117"/>
    </row>
    <row r="362" spans="39:39">
      <c r="AM362" s="117"/>
    </row>
    <row r="363" spans="39:39">
      <c r="AM363" s="117"/>
    </row>
    <row r="364" spans="39:39">
      <c r="AM364" s="117"/>
    </row>
    <row r="365" spans="39:39">
      <c r="AM365" s="117"/>
    </row>
    <row r="366" spans="39:39">
      <c r="AM366" s="117"/>
    </row>
    <row r="367" spans="39:39">
      <c r="AM367" s="117"/>
    </row>
    <row r="368" spans="39:39">
      <c r="AM368" s="117"/>
    </row>
    <row r="369" spans="39:39">
      <c r="AM369" s="117"/>
    </row>
    <row r="370" spans="39:39">
      <c r="AM370" s="117"/>
    </row>
    <row r="371" spans="39:39">
      <c r="AM371" s="117"/>
    </row>
    <row r="372" spans="39:39">
      <c r="AM372" s="117"/>
    </row>
    <row r="373" spans="39:39">
      <c r="AM373" s="117"/>
    </row>
    <row r="374" spans="39:39">
      <c r="AM374" s="117"/>
    </row>
    <row r="375" spans="39:39">
      <c r="AM375" s="117"/>
    </row>
    <row r="376" spans="39:39">
      <c r="AM376" s="117"/>
    </row>
    <row r="377" spans="39:39">
      <c r="AM377" s="117"/>
    </row>
    <row r="378" spans="39:39">
      <c r="AM378" s="117"/>
    </row>
    <row r="379" spans="39:39">
      <c r="AM379" s="117"/>
    </row>
    <row r="380" spans="39:39">
      <c r="AM380" s="117"/>
    </row>
    <row r="381" spans="39:39">
      <c r="AM381" s="117"/>
    </row>
    <row r="382" spans="39:39">
      <c r="AM382" s="117"/>
    </row>
    <row r="383" spans="39:39">
      <c r="AM383" s="117"/>
    </row>
    <row r="384" spans="39:39">
      <c r="AM384" s="117"/>
    </row>
    <row r="385" spans="39:39">
      <c r="AM385" s="117"/>
    </row>
    <row r="386" spans="39:39">
      <c r="AM386" s="117"/>
    </row>
    <row r="387" spans="39:39">
      <c r="AM387" s="117"/>
    </row>
  </sheetData>
  <mergeCells count="12">
    <mergeCell ref="C211:AK211"/>
    <mergeCell ref="N1:P1"/>
    <mergeCell ref="D1:J1"/>
    <mergeCell ref="R1:U1"/>
    <mergeCell ref="V1:W1"/>
    <mergeCell ref="Z1:AB1"/>
    <mergeCell ref="AK3:AL7"/>
    <mergeCell ref="AM9:AM19"/>
    <mergeCell ref="AN9:AN19"/>
    <mergeCell ref="A1:A2"/>
    <mergeCell ref="AD1:AJ1"/>
    <mergeCell ref="C19:AJ19"/>
  </mergeCells>
  <conditionalFormatting sqref="AN20:AN322">
    <cfRule type="cellIs" dxfId="3" priority="1" operator="greaterThan">
      <formula>79</formula>
    </cfRule>
  </conditionalFormatting>
  <conditionalFormatting sqref="AM20:AM322">
    <cfRule type="cellIs" dxfId="2" priority="2" operator="lessThan">
      <formula>0</formula>
    </cfRule>
  </conditionalFormatting>
  <conditionalFormatting sqref="AM20:AM322">
    <cfRule type="cellIs" dxfId="1" priority="3" operator="greaterThan">
      <formula>79</formula>
    </cfRule>
  </conditionalFormatting>
  <conditionalFormatting sqref="AN20:AN322">
    <cfRule type="cellIs" dxfId="0" priority="4" operator="lessThan">
      <formula>51</formula>
    </cfRule>
  </conditionalFormatting>
  <hyperlinks>
    <hyperlink ref="AK3" r:id="rId1" display="http://www.twitter.com/NotMrTibbs" xr:uid="{00000000-0004-0000-0400-000000000000}"/>
    <hyperlink ref="AL20" r:id="rId2" xr:uid="{00000000-0004-0000-0400-000001000000}"/>
    <hyperlink ref="AL21" r:id="rId3" xr:uid="{00000000-0004-0000-0400-000002000000}"/>
    <hyperlink ref="AL22" r:id="rId4" xr:uid="{00000000-0004-0000-0400-000003000000}"/>
    <hyperlink ref="AL23" r:id="rId5" xr:uid="{00000000-0004-0000-0400-000004000000}"/>
    <hyperlink ref="AL24" r:id="rId6" xr:uid="{00000000-0004-0000-0400-000005000000}"/>
    <hyperlink ref="AL25" r:id="rId7" xr:uid="{00000000-0004-0000-0400-000006000000}"/>
    <hyperlink ref="AL26" r:id="rId8" xr:uid="{00000000-0004-0000-0400-000007000000}"/>
    <hyperlink ref="AL27" r:id="rId9" xr:uid="{00000000-0004-0000-0400-000008000000}"/>
    <hyperlink ref="AL28" r:id="rId10" xr:uid="{00000000-0004-0000-0400-000009000000}"/>
    <hyperlink ref="AL30" r:id="rId11" xr:uid="{00000000-0004-0000-0400-00000A000000}"/>
    <hyperlink ref="AL31" r:id="rId12" xr:uid="{00000000-0004-0000-0400-00000B000000}"/>
    <hyperlink ref="AL32" r:id="rId13" xr:uid="{00000000-0004-0000-0400-00000C000000}"/>
    <hyperlink ref="AL33" r:id="rId14" xr:uid="{00000000-0004-0000-0400-00000D000000}"/>
    <hyperlink ref="AL34" r:id="rId15" xr:uid="{00000000-0004-0000-0400-00000E000000}"/>
    <hyperlink ref="AL35" r:id="rId16" xr:uid="{00000000-0004-0000-0400-00000F000000}"/>
    <hyperlink ref="AL36" r:id="rId17" xr:uid="{00000000-0004-0000-0400-000010000000}"/>
    <hyperlink ref="AL37" r:id="rId18" xr:uid="{00000000-0004-0000-0400-000011000000}"/>
    <hyperlink ref="AL38" r:id="rId19" xr:uid="{00000000-0004-0000-0400-000012000000}"/>
    <hyperlink ref="AL39" r:id="rId20" xr:uid="{00000000-0004-0000-0400-000013000000}"/>
    <hyperlink ref="AL40" r:id="rId21" xr:uid="{00000000-0004-0000-0400-000014000000}"/>
    <hyperlink ref="AL41" r:id="rId22" xr:uid="{00000000-0004-0000-0400-000015000000}"/>
    <hyperlink ref="AL42" r:id="rId23" xr:uid="{00000000-0004-0000-0400-000016000000}"/>
    <hyperlink ref="AL43" r:id="rId24" xr:uid="{00000000-0004-0000-0400-000017000000}"/>
    <hyperlink ref="AL44" r:id="rId25" xr:uid="{00000000-0004-0000-0400-000018000000}"/>
    <hyperlink ref="AL45" r:id="rId26" xr:uid="{00000000-0004-0000-0400-000019000000}"/>
    <hyperlink ref="AL46" r:id="rId27" xr:uid="{00000000-0004-0000-0400-00001A000000}"/>
    <hyperlink ref="AL47" r:id="rId28" xr:uid="{00000000-0004-0000-0400-00001B000000}"/>
    <hyperlink ref="AL48" r:id="rId29" xr:uid="{00000000-0004-0000-0400-00001C000000}"/>
    <hyperlink ref="AL49" r:id="rId30" xr:uid="{00000000-0004-0000-0400-00001D000000}"/>
    <hyperlink ref="AL50" r:id="rId31" xr:uid="{00000000-0004-0000-0400-00001E000000}"/>
    <hyperlink ref="AL51" r:id="rId32" xr:uid="{00000000-0004-0000-0400-00001F000000}"/>
    <hyperlink ref="AL53" r:id="rId33" xr:uid="{00000000-0004-0000-0400-000020000000}"/>
    <hyperlink ref="AL54" r:id="rId34" xr:uid="{00000000-0004-0000-0400-000021000000}"/>
    <hyperlink ref="AL55" r:id="rId35" xr:uid="{00000000-0004-0000-0400-000022000000}"/>
    <hyperlink ref="AL56" r:id="rId36" xr:uid="{00000000-0004-0000-0400-000023000000}"/>
    <hyperlink ref="AL57" r:id="rId37" xr:uid="{00000000-0004-0000-0400-000024000000}"/>
    <hyperlink ref="AL58" r:id="rId38" xr:uid="{00000000-0004-0000-0400-000025000000}"/>
    <hyperlink ref="AL59" r:id="rId39" xr:uid="{00000000-0004-0000-0400-000026000000}"/>
    <hyperlink ref="AL60" r:id="rId40" xr:uid="{00000000-0004-0000-0400-000027000000}"/>
    <hyperlink ref="AL61" r:id="rId41" xr:uid="{00000000-0004-0000-0400-000028000000}"/>
    <hyperlink ref="AL62" r:id="rId42" xr:uid="{00000000-0004-0000-0400-000029000000}"/>
    <hyperlink ref="AL63" r:id="rId43" xr:uid="{00000000-0004-0000-0400-00002A000000}"/>
    <hyperlink ref="AL64" r:id="rId44" xr:uid="{00000000-0004-0000-0400-00002B000000}"/>
    <hyperlink ref="AL65" r:id="rId45" xr:uid="{00000000-0004-0000-0400-00002C000000}"/>
    <hyperlink ref="AL67" r:id="rId46" xr:uid="{00000000-0004-0000-0400-00002D000000}"/>
    <hyperlink ref="AL68" r:id="rId47" xr:uid="{00000000-0004-0000-0400-00002E000000}"/>
    <hyperlink ref="AL69" r:id="rId48" xr:uid="{00000000-0004-0000-0400-00002F000000}"/>
    <hyperlink ref="AL70" r:id="rId49" xr:uid="{00000000-0004-0000-0400-000030000000}"/>
    <hyperlink ref="AL71" r:id="rId50" xr:uid="{00000000-0004-0000-0400-000031000000}"/>
    <hyperlink ref="AL72" r:id="rId51" xr:uid="{00000000-0004-0000-0400-000032000000}"/>
    <hyperlink ref="AL73" r:id="rId52" xr:uid="{00000000-0004-0000-0400-000033000000}"/>
    <hyperlink ref="AL74" r:id="rId53" xr:uid="{00000000-0004-0000-0400-000034000000}"/>
    <hyperlink ref="AL75" r:id="rId54" xr:uid="{00000000-0004-0000-0400-000035000000}"/>
    <hyperlink ref="AL76" r:id="rId55" xr:uid="{00000000-0004-0000-0400-000036000000}"/>
    <hyperlink ref="AL77" r:id="rId56" xr:uid="{00000000-0004-0000-0400-000037000000}"/>
    <hyperlink ref="AL78" r:id="rId57" xr:uid="{00000000-0004-0000-0400-000038000000}"/>
    <hyperlink ref="AL79" r:id="rId58" xr:uid="{00000000-0004-0000-0400-000039000000}"/>
    <hyperlink ref="AL80" r:id="rId59" xr:uid="{00000000-0004-0000-0400-00003A000000}"/>
    <hyperlink ref="AL81" r:id="rId60" xr:uid="{00000000-0004-0000-0400-00003B000000}"/>
    <hyperlink ref="AL82" r:id="rId61" xr:uid="{00000000-0004-0000-0400-00003C000000}"/>
    <hyperlink ref="AL83" r:id="rId62" xr:uid="{00000000-0004-0000-0400-00003D000000}"/>
    <hyperlink ref="AL84" r:id="rId63" xr:uid="{00000000-0004-0000-0400-00003E000000}"/>
    <hyperlink ref="AL85" r:id="rId64" xr:uid="{00000000-0004-0000-0400-00003F000000}"/>
    <hyperlink ref="AL86" r:id="rId65" xr:uid="{00000000-0004-0000-0400-000040000000}"/>
    <hyperlink ref="AL87" r:id="rId66" xr:uid="{00000000-0004-0000-0400-000041000000}"/>
    <hyperlink ref="AL88" r:id="rId67" xr:uid="{00000000-0004-0000-0400-000042000000}"/>
    <hyperlink ref="AL89" r:id="rId68" xr:uid="{00000000-0004-0000-0400-000043000000}"/>
    <hyperlink ref="AL90" r:id="rId69" xr:uid="{00000000-0004-0000-0400-000044000000}"/>
    <hyperlink ref="AL91" r:id="rId70" xr:uid="{00000000-0004-0000-0400-000045000000}"/>
    <hyperlink ref="AL92" r:id="rId71" xr:uid="{00000000-0004-0000-0400-000046000000}"/>
    <hyperlink ref="AL93" r:id="rId72" xr:uid="{00000000-0004-0000-0400-000047000000}"/>
    <hyperlink ref="AL95" r:id="rId73" xr:uid="{00000000-0004-0000-0400-000048000000}"/>
    <hyperlink ref="AL96" r:id="rId74" xr:uid="{00000000-0004-0000-0400-000049000000}"/>
    <hyperlink ref="AL97" r:id="rId75" xr:uid="{00000000-0004-0000-0400-00004A000000}"/>
    <hyperlink ref="AL98" r:id="rId76" xr:uid="{00000000-0004-0000-0400-00004B000000}"/>
    <hyperlink ref="AL99" r:id="rId77" xr:uid="{00000000-0004-0000-0400-00004C000000}"/>
    <hyperlink ref="AL100" r:id="rId78" xr:uid="{00000000-0004-0000-0400-00004D000000}"/>
    <hyperlink ref="AL101" r:id="rId79" xr:uid="{00000000-0004-0000-0400-00004E000000}"/>
    <hyperlink ref="AL102" r:id="rId80" xr:uid="{00000000-0004-0000-0400-00004F000000}"/>
    <hyperlink ref="AL103" r:id="rId81" xr:uid="{00000000-0004-0000-0400-000050000000}"/>
    <hyperlink ref="AL104" r:id="rId82" xr:uid="{00000000-0004-0000-0400-000051000000}"/>
    <hyperlink ref="AL105" r:id="rId83" xr:uid="{00000000-0004-0000-0400-000052000000}"/>
    <hyperlink ref="AL106" r:id="rId84" xr:uid="{00000000-0004-0000-0400-000053000000}"/>
    <hyperlink ref="AL107" r:id="rId85" xr:uid="{00000000-0004-0000-0400-000054000000}"/>
    <hyperlink ref="AL108" r:id="rId86" xr:uid="{00000000-0004-0000-0400-000055000000}"/>
    <hyperlink ref="AL109" r:id="rId87" xr:uid="{00000000-0004-0000-0400-000056000000}"/>
    <hyperlink ref="AL110" r:id="rId88" xr:uid="{00000000-0004-0000-0400-000057000000}"/>
    <hyperlink ref="AL111" r:id="rId89" xr:uid="{00000000-0004-0000-0400-000058000000}"/>
    <hyperlink ref="AL112" r:id="rId90" xr:uid="{00000000-0004-0000-0400-000059000000}"/>
    <hyperlink ref="AL113" r:id="rId91" xr:uid="{00000000-0004-0000-0400-00005A000000}"/>
    <hyperlink ref="AL114" r:id="rId92" xr:uid="{00000000-0004-0000-0400-00005B000000}"/>
    <hyperlink ref="AL115" r:id="rId93" xr:uid="{00000000-0004-0000-0400-00005C000000}"/>
    <hyperlink ref="AL116" r:id="rId94" xr:uid="{00000000-0004-0000-0400-00005D000000}"/>
    <hyperlink ref="AL117" r:id="rId95" xr:uid="{00000000-0004-0000-0400-00005E000000}"/>
    <hyperlink ref="AL118" r:id="rId96" xr:uid="{00000000-0004-0000-0400-00005F000000}"/>
    <hyperlink ref="AL119" r:id="rId97" xr:uid="{00000000-0004-0000-0400-000060000000}"/>
    <hyperlink ref="AL120" r:id="rId98" xr:uid="{00000000-0004-0000-0400-000061000000}"/>
    <hyperlink ref="AL121" r:id="rId99" xr:uid="{00000000-0004-0000-0400-000062000000}"/>
    <hyperlink ref="AL122" r:id="rId100" xr:uid="{00000000-0004-0000-0400-000063000000}"/>
    <hyperlink ref="AL123" r:id="rId101" xr:uid="{00000000-0004-0000-0400-000064000000}"/>
    <hyperlink ref="AL124" r:id="rId102" xr:uid="{00000000-0004-0000-0400-000065000000}"/>
    <hyperlink ref="AL125" r:id="rId103" xr:uid="{00000000-0004-0000-0400-000066000000}"/>
    <hyperlink ref="AL126" r:id="rId104" xr:uid="{00000000-0004-0000-0400-000067000000}"/>
    <hyperlink ref="AL127" r:id="rId105" xr:uid="{00000000-0004-0000-0400-000068000000}"/>
    <hyperlink ref="AL128" r:id="rId106" xr:uid="{00000000-0004-0000-0400-000069000000}"/>
    <hyperlink ref="AL129" r:id="rId107" xr:uid="{00000000-0004-0000-0400-00006A000000}"/>
    <hyperlink ref="AL130" r:id="rId108" xr:uid="{00000000-0004-0000-0400-00006B000000}"/>
    <hyperlink ref="AL131" r:id="rId109" xr:uid="{00000000-0004-0000-0400-00006C000000}"/>
    <hyperlink ref="AL132" r:id="rId110" xr:uid="{00000000-0004-0000-0400-00006D000000}"/>
    <hyperlink ref="AL133" r:id="rId111" xr:uid="{00000000-0004-0000-0400-00006E000000}"/>
    <hyperlink ref="AL134" r:id="rId112" xr:uid="{00000000-0004-0000-0400-00006F000000}"/>
    <hyperlink ref="AL135" r:id="rId113" xr:uid="{00000000-0004-0000-0400-000070000000}"/>
    <hyperlink ref="AL136" r:id="rId114" xr:uid="{00000000-0004-0000-0400-000071000000}"/>
    <hyperlink ref="AL137" r:id="rId115" xr:uid="{00000000-0004-0000-0400-000072000000}"/>
    <hyperlink ref="AL138" r:id="rId116" xr:uid="{00000000-0004-0000-0400-000073000000}"/>
    <hyperlink ref="AL139" r:id="rId117" xr:uid="{00000000-0004-0000-0400-000074000000}"/>
    <hyperlink ref="AL140" r:id="rId118" xr:uid="{00000000-0004-0000-0400-000075000000}"/>
    <hyperlink ref="AL141" r:id="rId119" xr:uid="{00000000-0004-0000-0400-000076000000}"/>
    <hyperlink ref="AL142" r:id="rId120" xr:uid="{00000000-0004-0000-0400-000077000000}"/>
    <hyperlink ref="AL143" r:id="rId121" xr:uid="{00000000-0004-0000-0400-000078000000}"/>
    <hyperlink ref="AL144" r:id="rId122" xr:uid="{00000000-0004-0000-0400-000079000000}"/>
    <hyperlink ref="AL145" r:id="rId123" xr:uid="{00000000-0004-0000-0400-00007A000000}"/>
    <hyperlink ref="AL146" r:id="rId124" xr:uid="{00000000-0004-0000-0400-00007B000000}"/>
    <hyperlink ref="AL147" r:id="rId125" xr:uid="{00000000-0004-0000-0400-00007C000000}"/>
    <hyperlink ref="AL148" r:id="rId126" xr:uid="{00000000-0004-0000-0400-00007D000000}"/>
    <hyperlink ref="AL149" r:id="rId127" xr:uid="{00000000-0004-0000-0400-00007E000000}"/>
    <hyperlink ref="AL150" r:id="rId128" xr:uid="{00000000-0004-0000-0400-00007F000000}"/>
    <hyperlink ref="AL151" r:id="rId129" xr:uid="{00000000-0004-0000-0400-000080000000}"/>
    <hyperlink ref="AL152" r:id="rId130" xr:uid="{00000000-0004-0000-0400-000081000000}"/>
    <hyperlink ref="AL153" r:id="rId131" xr:uid="{00000000-0004-0000-0400-000082000000}"/>
    <hyperlink ref="AL154" r:id="rId132" xr:uid="{00000000-0004-0000-0400-000083000000}"/>
    <hyperlink ref="AL155" r:id="rId133" xr:uid="{00000000-0004-0000-0400-000084000000}"/>
    <hyperlink ref="AL156" r:id="rId134" xr:uid="{00000000-0004-0000-0400-000085000000}"/>
    <hyperlink ref="AL158" r:id="rId135" xr:uid="{00000000-0004-0000-0400-000086000000}"/>
    <hyperlink ref="AL159" r:id="rId136" xr:uid="{00000000-0004-0000-0400-000087000000}"/>
    <hyperlink ref="AL160" r:id="rId137" xr:uid="{00000000-0004-0000-0400-000088000000}"/>
    <hyperlink ref="AL161" r:id="rId138" xr:uid="{00000000-0004-0000-0400-000089000000}"/>
    <hyperlink ref="AL162" r:id="rId139" xr:uid="{00000000-0004-0000-0400-00008A000000}"/>
    <hyperlink ref="AL163" r:id="rId140" xr:uid="{00000000-0004-0000-0400-00008B000000}"/>
    <hyperlink ref="AL164" r:id="rId141" xr:uid="{00000000-0004-0000-0400-00008C000000}"/>
    <hyperlink ref="AL165" r:id="rId142" xr:uid="{00000000-0004-0000-0400-00008D000000}"/>
    <hyperlink ref="AL166" r:id="rId143" xr:uid="{00000000-0004-0000-0400-00008E000000}"/>
    <hyperlink ref="AL167" r:id="rId144" xr:uid="{00000000-0004-0000-0400-00008F000000}"/>
    <hyperlink ref="AL168" r:id="rId145" xr:uid="{00000000-0004-0000-0400-000090000000}"/>
    <hyperlink ref="AL169" r:id="rId146" xr:uid="{00000000-0004-0000-0400-000091000000}"/>
    <hyperlink ref="AL170" r:id="rId147" xr:uid="{00000000-0004-0000-0400-000092000000}"/>
    <hyperlink ref="AL171" r:id="rId148" xr:uid="{00000000-0004-0000-0400-000093000000}"/>
    <hyperlink ref="AL172" r:id="rId149" xr:uid="{00000000-0004-0000-0400-000094000000}"/>
    <hyperlink ref="AL173" r:id="rId150" xr:uid="{00000000-0004-0000-0400-000095000000}"/>
    <hyperlink ref="AL174" r:id="rId151" xr:uid="{00000000-0004-0000-0400-000096000000}"/>
    <hyperlink ref="AL175" r:id="rId152" xr:uid="{00000000-0004-0000-0400-000097000000}"/>
    <hyperlink ref="AL176" r:id="rId153" xr:uid="{00000000-0004-0000-0400-000098000000}"/>
    <hyperlink ref="AL177" r:id="rId154" xr:uid="{00000000-0004-0000-0400-000099000000}"/>
    <hyperlink ref="AL178" r:id="rId155" xr:uid="{00000000-0004-0000-0400-00009A000000}"/>
    <hyperlink ref="AL179" r:id="rId156" xr:uid="{00000000-0004-0000-0400-00009B000000}"/>
    <hyperlink ref="AL180" r:id="rId157" xr:uid="{00000000-0004-0000-0400-00009C000000}"/>
    <hyperlink ref="AL181" r:id="rId158" xr:uid="{00000000-0004-0000-0400-00009D000000}"/>
    <hyperlink ref="AL182" r:id="rId159" xr:uid="{00000000-0004-0000-0400-00009E000000}"/>
    <hyperlink ref="AL183" r:id="rId160" xr:uid="{00000000-0004-0000-0400-00009F000000}"/>
    <hyperlink ref="AL184" r:id="rId161" xr:uid="{00000000-0004-0000-0400-0000A0000000}"/>
    <hyperlink ref="AL185" r:id="rId162" xr:uid="{00000000-0004-0000-0400-0000A1000000}"/>
    <hyperlink ref="AL186" r:id="rId163" xr:uid="{00000000-0004-0000-0400-0000A2000000}"/>
    <hyperlink ref="AL187" r:id="rId164" xr:uid="{00000000-0004-0000-0400-0000A3000000}"/>
    <hyperlink ref="AL188" r:id="rId165" xr:uid="{00000000-0004-0000-0400-0000A4000000}"/>
    <hyperlink ref="AL189" r:id="rId166" xr:uid="{00000000-0004-0000-0400-0000A5000000}"/>
    <hyperlink ref="AL190" r:id="rId167" xr:uid="{00000000-0004-0000-0400-0000A6000000}"/>
    <hyperlink ref="AL191" r:id="rId168" xr:uid="{00000000-0004-0000-0400-0000A7000000}"/>
    <hyperlink ref="AL192" r:id="rId169" xr:uid="{00000000-0004-0000-0400-0000A8000000}"/>
    <hyperlink ref="AL193" r:id="rId170" xr:uid="{00000000-0004-0000-0400-0000A9000000}"/>
    <hyperlink ref="AL195" r:id="rId171" xr:uid="{00000000-0004-0000-0400-0000AA000000}"/>
    <hyperlink ref="AL196" r:id="rId172" xr:uid="{00000000-0004-0000-0400-0000AB000000}"/>
    <hyperlink ref="AL197" r:id="rId173" xr:uid="{00000000-0004-0000-0400-0000AC000000}"/>
    <hyperlink ref="AL198" r:id="rId174" xr:uid="{00000000-0004-0000-0400-0000AD000000}"/>
    <hyperlink ref="AL199" r:id="rId175" xr:uid="{00000000-0004-0000-0400-0000AE000000}"/>
    <hyperlink ref="AL200" r:id="rId176" xr:uid="{00000000-0004-0000-0400-0000AF000000}"/>
    <hyperlink ref="AL201" r:id="rId177" xr:uid="{00000000-0004-0000-0400-0000B0000000}"/>
    <hyperlink ref="AL202" r:id="rId178" xr:uid="{00000000-0004-0000-0400-0000B1000000}"/>
    <hyperlink ref="AL203" r:id="rId179" xr:uid="{00000000-0004-0000-0400-0000B2000000}"/>
    <hyperlink ref="AL204" r:id="rId180" xr:uid="{00000000-0004-0000-0400-0000B3000000}"/>
    <hyperlink ref="AL205" r:id="rId181" xr:uid="{00000000-0004-0000-0400-0000B4000000}"/>
    <hyperlink ref="AL206" r:id="rId182" xr:uid="{00000000-0004-0000-0400-0000B5000000}"/>
    <hyperlink ref="AL207" r:id="rId183" xr:uid="{00000000-0004-0000-0400-0000B6000000}"/>
    <hyperlink ref="AL209" r:id="rId184" xr:uid="{00000000-0004-0000-0400-0000B7000000}"/>
    <hyperlink ref="AL210" r:id="rId185" xr:uid="{00000000-0004-0000-0400-0000B8000000}"/>
    <hyperlink ref="AL213" r:id="rId186" xr:uid="{00000000-0004-0000-0400-0000B9000000}"/>
    <hyperlink ref="AL214" r:id="rId187" xr:uid="{00000000-0004-0000-0400-0000BA000000}"/>
    <hyperlink ref="AL215" r:id="rId188" xr:uid="{00000000-0004-0000-0400-0000BB000000}"/>
    <hyperlink ref="AL216" r:id="rId189" xr:uid="{00000000-0004-0000-0400-0000BC000000}"/>
    <hyperlink ref="AL217" r:id="rId190" xr:uid="{00000000-0004-0000-0400-0000BD000000}"/>
    <hyperlink ref="AL218" r:id="rId191" xr:uid="{00000000-0004-0000-0400-0000BE000000}"/>
    <hyperlink ref="AL220" r:id="rId192" xr:uid="{00000000-0004-0000-0400-0000BF000000}"/>
    <hyperlink ref="AL223" r:id="rId193" xr:uid="{00000000-0004-0000-0400-0000C0000000}"/>
    <hyperlink ref="AL224" r:id="rId194" xr:uid="{00000000-0004-0000-0400-0000C1000000}"/>
    <hyperlink ref="AL225" r:id="rId195" xr:uid="{00000000-0004-0000-0400-0000C2000000}"/>
    <hyperlink ref="AL226" r:id="rId196" xr:uid="{00000000-0004-0000-0400-0000C3000000}"/>
    <hyperlink ref="AL227" r:id="rId197" xr:uid="{00000000-0004-0000-0400-0000C4000000}"/>
    <hyperlink ref="AL229" r:id="rId198" xr:uid="{00000000-0004-0000-0400-0000C5000000}"/>
    <hyperlink ref="AL230" r:id="rId199" xr:uid="{00000000-0004-0000-0400-0000C6000000}"/>
    <hyperlink ref="AL231" r:id="rId200" xr:uid="{00000000-0004-0000-0400-0000C7000000}"/>
    <hyperlink ref="AL232" r:id="rId201" xr:uid="{00000000-0004-0000-0400-0000C8000000}"/>
    <hyperlink ref="AL233" r:id="rId202" xr:uid="{00000000-0004-0000-0400-0000C9000000}"/>
    <hyperlink ref="AL234" r:id="rId203" xr:uid="{00000000-0004-0000-0400-0000CA000000}"/>
    <hyperlink ref="AL235" r:id="rId204" xr:uid="{00000000-0004-0000-0400-0000CB000000}"/>
    <hyperlink ref="AL236" r:id="rId205" xr:uid="{00000000-0004-0000-0400-0000CC000000}"/>
    <hyperlink ref="AL237" r:id="rId206" xr:uid="{00000000-0004-0000-0400-0000CD000000}"/>
    <hyperlink ref="AL238" r:id="rId207" xr:uid="{00000000-0004-0000-0400-0000CE000000}"/>
    <hyperlink ref="AL239" r:id="rId208" xr:uid="{00000000-0004-0000-0400-0000CF000000}"/>
    <hyperlink ref="AL240" r:id="rId209" xr:uid="{00000000-0004-0000-0400-0000D0000000}"/>
    <hyperlink ref="AL242" r:id="rId210" xr:uid="{00000000-0004-0000-0400-0000D1000000}"/>
    <hyperlink ref="AL243" r:id="rId211" xr:uid="{00000000-0004-0000-0400-0000D2000000}"/>
    <hyperlink ref="AL244" r:id="rId212" xr:uid="{00000000-0004-0000-0400-0000D3000000}"/>
    <hyperlink ref="AL245" r:id="rId213" xr:uid="{00000000-0004-0000-0400-0000D4000000}"/>
    <hyperlink ref="AL247" r:id="rId214" xr:uid="{00000000-0004-0000-0400-0000D5000000}"/>
    <hyperlink ref="AL249" r:id="rId215" xr:uid="{00000000-0004-0000-0400-0000D6000000}"/>
    <hyperlink ref="AL250" r:id="rId216" xr:uid="{00000000-0004-0000-0400-0000D7000000}"/>
    <hyperlink ref="AL251" r:id="rId217" xr:uid="{00000000-0004-0000-0400-0000D8000000}"/>
    <hyperlink ref="AL252" r:id="rId218" xr:uid="{00000000-0004-0000-0400-0000D9000000}"/>
    <hyperlink ref="AL253" r:id="rId219" xr:uid="{00000000-0004-0000-0400-0000DA000000}"/>
    <hyperlink ref="AL254" r:id="rId220" xr:uid="{00000000-0004-0000-0400-0000DB000000}"/>
    <hyperlink ref="AL255" r:id="rId221" xr:uid="{00000000-0004-0000-0400-0000DC000000}"/>
    <hyperlink ref="AL256" r:id="rId222" xr:uid="{00000000-0004-0000-0400-0000DD000000}"/>
    <hyperlink ref="AL257" r:id="rId223" xr:uid="{00000000-0004-0000-0400-0000DE000000}"/>
    <hyperlink ref="AL258" r:id="rId224" xr:uid="{00000000-0004-0000-0400-0000DF000000}"/>
    <hyperlink ref="AL259" r:id="rId225" xr:uid="{00000000-0004-0000-0400-0000E0000000}"/>
    <hyperlink ref="AL260" r:id="rId226" xr:uid="{00000000-0004-0000-0400-0000E1000000}"/>
    <hyperlink ref="AL261" r:id="rId227" xr:uid="{00000000-0004-0000-0400-0000E2000000}"/>
    <hyperlink ref="AL262" r:id="rId228" xr:uid="{00000000-0004-0000-0400-0000E3000000}"/>
    <hyperlink ref="AL263" r:id="rId229" xr:uid="{00000000-0004-0000-0400-0000E4000000}"/>
    <hyperlink ref="AL266" r:id="rId230" xr:uid="{00000000-0004-0000-0400-0000E5000000}"/>
    <hyperlink ref="AL267" r:id="rId231" xr:uid="{00000000-0004-0000-0400-0000E6000000}"/>
    <hyperlink ref="AL268" r:id="rId232" xr:uid="{00000000-0004-0000-0400-0000E7000000}"/>
    <hyperlink ref="AL269" r:id="rId233" xr:uid="{00000000-0004-0000-0400-0000E8000000}"/>
    <hyperlink ref="AL270" r:id="rId234" xr:uid="{00000000-0004-0000-0400-0000E9000000}"/>
    <hyperlink ref="AL272" r:id="rId235" xr:uid="{00000000-0004-0000-0400-0000EA000000}"/>
    <hyperlink ref="AL273" r:id="rId236" xr:uid="{00000000-0004-0000-0400-0000EB000000}"/>
    <hyperlink ref="AL274" r:id="rId237" xr:uid="{00000000-0004-0000-0400-0000EC000000}"/>
    <hyperlink ref="AL276" r:id="rId238" xr:uid="{00000000-0004-0000-0400-0000ED000000}"/>
    <hyperlink ref="AL277" r:id="rId239" xr:uid="{00000000-0004-0000-0400-0000EE000000}"/>
    <hyperlink ref="AL278" r:id="rId240" xr:uid="{00000000-0004-0000-0400-0000EF000000}"/>
    <hyperlink ref="AL279" r:id="rId241" xr:uid="{00000000-0004-0000-0400-0000F0000000}"/>
    <hyperlink ref="AL280" r:id="rId242" xr:uid="{00000000-0004-0000-0400-0000F1000000}"/>
    <hyperlink ref="AL281" r:id="rId243" xr:uid="{00000000-0004-0000-0400-0000F2000000}"/>
    <hyperlink ref="AL282" r:id="rId244" xr:uid="{00000000-0004-0000-0400-0000F3000000}"/>
    <hyperlink ref="AL284" r:id="rId245" xr:uid="{00000000-0004-0000-0400-0000F4000000}"/>
    <hyperlink ref="AL285" r:id="rId246" xr:uid="{00000000-0004-0000-0400-0000F5000000}"/>
    <hyperlink ref="AL286" r:id="rId247" xr:uid="{00000000-0004-0000-0400-0000F6000000}"/>
    <hyperlink ref="AL287" r:id="rId248" xr:uid="{00000000-0004-0000-0400-0000F7000000}"/>
    <hyperlink ref="AL288" r:id="rId249" xr:uid="{00000000-0004-0000-0400-0000F8000000}"/>
    <hyperlink ref="AL289" r:id="rId250" xr:uid="{00000000-0004-0000-0400-0000F9000000}"/>
    <hyperlink ref="AL290" r:id="rId251" xr:uid="{00000000-0004-0000-0400-0000FA000000}"/>
    <hyperlink ref="AL292" r:id="rId252" xr:uid="{00000000-0004-0000-0400-0000FB000000}"/>
    <hyperlink ref="AL293" r:id="rId253" xr:uid="{00000000-0004-0000-0400-0000FC000000}"/>
    <hyperlink ref="AL294" r:id="rId254" xr:uid="{00000000-0004-0000-0400-0000FD000000}"/>
    <hyperlink ref="AL295" r:id="rId255" xr:uid="{00000000-0004-0000-0400-0000FE000000}"/>
    <hyperlink ref="AL296" r:id="rId256" xr:uid="{00000000-0004-0000-0400-0000FF000000}"/>
    <hyperlink ref="AL297" r:id="rId257" xr:uid="{00000000-0004-0000-0400-000000010000}"/>
    <hyperlink ref="AL298" r:id="rId258" xr:uid="{00000000-0004-0000-0400-000001010000}"/>
    <hyperlink ref="AL299" r:id="rId259" xr:uid="{00000000-0004-0000-0400-000002010000}"/>
    <hyperlink ref="AL300" r:id="rId260" xr:uid="{00000000-0004-0000-0400-000003010000}"/>
    <hyperlink ref="AL301" r:id="rId261" xr:uid="{00000000-0004-0000-0400-000004010000}"/>
    <hyperlink ref="AL302" r:id="rId262" xr:uid="{00000000-0004-0000-0400-000005010000}"/>
    <hyperlink ref="AL303" r:id="rId263" xr:uid="{00000000-0004-0000-0400-000006010000}"/>
    <hyperlink ref="AL304" r:id="rId264" xr:uid="{00000000-0004-0000-0400-000007010000}"/>
    <hyperlink ref="AL305" r:id="rId265" xr:uid="{00000000-0004-0000-0400-000008010000}"/>
    <hyperlink ref="AL306" r:id="rId266" xr:uid="{00000000-0004-0000-0400-000009010000}"/>
    <hyperlink ref="AL307" r:id="rId267" xr:uid="{00000000-0004-0000-0400-00000A010000}"/>
    <hyperlink ref="AL308" r:id="rId268" xr:uid="{00000000-0004-0000-0400-00000B010000}"/>
    <hyperlink ref="AL310" r:id="rId269" xr:uid="{00000000-0004-0000-0400-00000C010000}"/>
    <hyperlink ref="AL312" r:id="rId270" xr:uid="{00000000-0004-0000-0400-00000D010000}"/>
    <hyperlink ref="AL313" r:id="rId271" xr:uid="{00000000-0004-0000-0400-00000E010000}"/>
    <hyperlink ref="AL314" r:id="rId272" xr:uid="{00000000-0004-0000-0400-00000F010000}"/>
    <hyperlink ref="AL315" r:id="rId273" xr:uid="{00000000-0004-0000-0400-000010010000}"/>
    <hyperlink ref="AL316" r:id="rId274" xr:uid="{00000000-0004-0000-0400-000011010000}"/>
    <hyperlink ref="AL317" r:id="rId275" xr:uid="{00000000-0004-0000-0400-000012010000}"/>
    <hyperlink ref="AL318" r:id="rId276" xr:uid="{00000000-0004-0000-0400-000013010000}"/>
    <hyperlink ref="AL320" r:id="rId277" xr:uid="{00000000-0004-0000-0400-000014010000}"/>
    <hyperlink ref="AL322" r:id="rId278" xr:uid="{00000000-0004-0000-0400-00001501000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N175"/>
  <sheetViews>
    <sheetView workbookViewId="0" xr3:uid="{78B4E459-6924-5F8B-B7BA-2DD04133E49E}">
      <pane xSplit="1" ySplit="4" topLeftCell="B5" activePane="bottomRight" state="frozen"/>
      <selection pane="bottomRight" activeCell="A5" sqref="A5:P7"/>
      <selection pane="bottomLeft" activeCell="A5" sqref="A5"/>
      <selection pane="topRight" activeCell="B1" sqref="B1"/>
    </sheetView>
  </sheetViews>
  <sheetFormatPr defaultColWidth="14.42578125" defaultRowHeight="12.75" customHeight="1"/>
  <cols>
    <col min="1" max="1" width="24.7109375" customWidth="1"/>
    <col min="2" max="2" width="9" customWidth="1"/>
    <col min="3" max="3" width="8.42578125" customWidth="1"/>
    <col min="4" max="4" width="7.7109375" customWidth="1"/>
    <col min="5" max="5" width="7.42578125" customWidth="1"/>
    <col min="6" max="6" width="9.140625" hidden="1" customWidth="1"/>
    <col min="7" max="7" width="17.28515625" hidden="1" customWidth="1"/>
    <col min="8" max="8" width="8.42578125" customWidth="1"/>
    <col min="9" max="10" width="17.28515625" hidden="1" customWidth="1"/>
    <col min="11" max="11" width="7.28515625" customWidth="1"/>
    <col min="12" max="12" width="6.7109375" customWidth="1"/>
    <col min="13" max="14" width="17.28515625" hidden="1" customWidth="1"/>
    <col min="15" max="15" width="8" customWidth="1"/>
    <col min="16" max="16" width="9.28515625" customWidth="1"/>
    <col min="17" max="17" width="9.42578125" customWidth="1"/>
    <col min="18" max="18" width="8" customWidth="1"/>
    <col min="19" max="19" width="8.85546875" customWidth="1"/>
    <col min="20" max="20" width="17.28515625" hidden="1" customWidth="1"/>
    <col min="21" max="21" width="7" customWidth="1"/>
    <col min="22" max="22" width="7.42578125" customWidth="1"/>
    <col min="23" max="24" width="8.42578125" customWidth="1"/>
    <col min="25" max="25" width="8.28515625" customWidth="1"/>
    <col min="26" max="26" width="17.28515625" hidden="1" customWidth="1"/>
    <col min="27" max="27" width="8.140625" customWidth="1"/>
    <col min="28" max="28" width="17.28515625" hidden="1" customWidth="1"/>
    <col min="29" max="29" width="8.42578125" customWidth="1"/>
    <col min="30" max="30" width="8.28515625" customWidth="1"/>
    <col min="31" max="31" width="17.28515625" hidden="1" customWidth="1"/>
    <col min="32" max="32" width="8.140625" customWidth="1"/>
    <col min="33" max="33" width="8.85546875" customWidth="1"/>
    <col min="34" max="34" width="17.28515625" hidden="1" customWidth="1"/>
    <col min="35" max="35" width="9.28515625" customWidth="1"/>
    <col min="36" max="36" width="17.28515625" hidden="1" customWidth="1"/>
    <col min="37" max="37" width="9.28515625" customWidth="1"/>
    <col min="38" max="38" width="10.7109375" customWidth="1"/>
    <col min="39" max="39" width="17.28515625" customWidth="1"/>
    <col min="40" max="40" width="17.28515625" hidden="1" customWidth="1"/>
  </cols>
  <sheetData>
    <row r="1" spans="1:40" ht="32.25" customHeight="1">
      <c r="A1" s="8">
        <f>COUNTA(A8:A175)</f>
        <v>168</v>
      </c>
      <c r="B1" s="8" t="s">
        <v>1669</v>
      </c>
      <c r="C1" s="4" t="s">
        <v>1025</v>
      </c>
      <c r="D1" s="4" t="s">
        <v>1026</v>
      </c>
      <c r="E1" s="8" t="s">
        <v>1027</v>
      </c>
      <c r="F1" s="8" t="s">
        <v>1670</v>
      </c>
      <c r="G1" s="8" t="s">
        <v>1671</v>
      </c>
      <c r="H1" s="8" t="s">
        <v>1030</v>
      </c>
      <c r="I1" s="8" t="s">
        <v>1672</v>
      </c>
      <c r="J1" s="8" t="s">
        <v>1673</v>
      </c>
      <c r="K1" s="8" t="s">
        <v>1674</v>
      </c>
      <c r="L1" s="8" t="s">
        <v>1675</v>
      </c>
      <c r="M1" s="8" t="s">
        <v>1676</v>
      </c>
      <c r="N1" s="8" t="s">
        <v>1677</v>
      </c>
      <c r="O1" s="8" t="s">
        <v>1678</v>
      </c>
      <c r="P1" s="8" t="s">
        <v>1041</v>
      </c>
      <c r="Q1" s="8" t="s">
        <v>1043</v>
      </c>
      <c r="R1" s="8" t="s">
        <v>1044</v>
      </c>
      <c r="S1" s="8" t="s">
        <v>1045</v>
      </c>
      <c r="T1" s="8" t="s">
        <v>1679</v>
      </c>
      <c r="U1" s="8" t="s">
        <v>1046</v>
      </c>
      <c r="V1" s="8" t="s">
        <v>1680</v>
      </c>
      <c r="W1" s="8" t="s">
        <v>1390</v>
      </c>
      <c r="X1" s="8" t="s">
        <v>1049</v>
      </c>
      <c r="Y1" s="8" t="s">
        <v>1050</v>
      </c>
      <c r="Z1" s="8" t="s">
        <v>1681</v>
      </c>
      <c r="AA1" s="8" t="s">
        <v>1051</v>
      </c>
      <c r="AB1" s="8" t="s">
        <v>1682</v>
      </c>
      <c r="AC1" s="8" t="s">
        <v>1054</v>
      </c>
      <c r="AD1" s="8" t="s">
        <v>1056</v>
      </c>
      <c r="AE1" s="8" t="s">
        <v>1683</v>
      </c>
      <c r="AF1" s="8" t="s">
        <v>1057</v>
      </c>
      <c r="AG1" s="8" t="s">
        <v>1058</v>
      </c>
      <c r="AH1" s="8" t="s">
        <v>1684</v>
      </c>
      <c r="AI1" s="8" t="s">
        <v>1685</v>
      </c>
      <c r="AJ1" s="8" t="s">
        <v>1686</v>
      </c>
      <c r="AK1" s="8" t="s">
        <v>1687</v>
      </c>
      <c r="AL1" s="8" t="s">
        <v>1688</v>
      </c>
      <c r="AM1" s="8" t="s">
        <v>96</v>
      </c>
      <c r="AN1" s="8" t="s">
        <v>1689</v>
      </c>
    </row>
    <row r="2" spans="1:40" ht="12.75" customHeight="1">
      <c r="A2" s="6" t="s">
        <v>1690</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45"/>
      <c r="AM2" s="645"/>
      <c r="AN2" s="645"/>
    </row>
    <row r="3" spans="1:40" ht="12.75" customHeight="1">
      <c r="A3" s="6" t="s">
        <v>1691</v>
      </c>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45"/>
      <c r="AM3" s="645"/>
      <c r="AN3" s="645"/>
    </row>
    <row r="4" spans="1:40" ht="12.75" customHeight="1" thickBot="1">
      <c r="A4" s="8" t="s">
        <v>1692</v>
      </c>
      <c r="B4" s="8">
        <f>SUM(B26:B208)</f>
        <v>1</v>
      </c>
      <c r="C4" s="8">
        <f t="shared" ref="C4:E4" si="0">SUM(C8:C208)</f>
        <v>104</v>
      </c>
      <c r="D4" s="8">
        <f t="shared" si="0"/>
        <v>114</v>
      </c>
      <c r="E4" s="8">
        <f t="shared" si="0"/>
        <v>80</v>
      </c>
      <c r="F4" s="8">
        <f t="shared" ref="F4:G4" si="1">SUM(F26:F208)</f>
        <v>0</v>
      </c>
      <c r="G4" s="8">
        <f t="shared" si="1"/>
        <v>0</v>
      </c>
      <c r="H4" s="8">
        <f>SUM(H8:H208)</f>
        <v>77</v>
      </c>
      <c r="I4" s="8">
        <f t="shared" ref="I4:N4" si="2">SUM(I26:I208)</f>
        <v>0</v>
      </c>
      <c r="J4" s="8">
        <f t="shared" si="2"/>
        <v>0</v>
      </c>
      <c r="K4" s="8">
        <f t="shared" si="2"/>
        <v>1</v>
      </c>
      <c r="L4" s="8">
        <f t="shared" si="2"/>
        <v>1</v>
      </c>
      <c r="M4" s="8">
        <f t="shared" si="2"/>
        <v>0</v>
      </c>
      <c r="N4" s="8">
        <f t="shared" si="2"/>
        <v>0</v>
      </c>
      <c r="O4" s="8">
        <f t="shared" ref="O4:S4" si="3">SUM(O8:O208)</f>
        <v>6</v>
      </c>
      <c r="P4" s="8">
        <f t="shared" si="3"/>
        <v>56</v>
      </c>
      <c r="Q4" s="8">
        <f t="shared" si="3"/>
        <v>15</v>
      </c>
      <c r="R4" s="8">
        <f t="shared" si="3"/>
        <v>28</v>
      </c>
      <c r="S4" s="8">
        <f t="shared" si="3"/>
        <v>23</v>
      </c>
      <c r="T4" s="8">
        <f>SUM(T26:T208)</f>
        <v>0</v>
      </c>
      <c r="U4" s="8">
        <f t="shared" ref="U4:Y4" si="4">SUM(U8:U208)</f>
        <v>95</v>
      </c>
      <c r="V4" s="8">
        <f t="shared" si="4"/>
        <v>26</v>
      </c>
      <c r="W4" s="8">
        <f t="shared" si="4"/>
        <v>19</v>
      </c>
      <c r="X4" s="8">
        <f t="shared" si="4"/>
        <v>98</v>
      </c>
      <c r="Y4" s="8">
        <f t="shared" si="4"/>
        <v>106</v>
      </c>
      <c r="Z4" s="8">
        <f>SUM(Z26:Z208)</f>
        <v>0</v>
      </c>
      <c r="AA4" s="8">
        <f>SUM(AA8:AA208)</f>
        <v>69</v>
      </c>
      <c r="AB4" s="8">
        <f>SUM(AB26:AB208)</f>
        <v>0</v>
      </c>
      <c r="AC4" s="8">
        <f t="shared" ref="AC4:AD4" si="5">SUM(AC8:AC208)</f>
        <v>55</v>
      </c>
      <c r="AD4" s="8">
        <f t="shared" si="5"/>
        <v>21</v>
      </c>
      <c r="AE4" s="8">
        <f>SUM(AE26:AE208)</f>
        <v>0</v>
      </c>
      <c r="AF4" s="8">
        <f t="shared" ref="AF4:AG4" si="6">SUM(AF8:AF208)</f>
        <v>61</v>
      </c>
      <c r="AG4" s="8">
        <f t="shared" si="6"/>
        <v>28</v>
      </c>
      <c r="AH4" s="8">
        <f>SUM(AH26:AH208)</f>
        <v>0</v>
      </c>
      <c r="AI4" s="8">
        <f>SUM(AI8:AI208)</f>
        <v>1</v>
      </c>
      <c r="AJ4" s="8">
        <f>SUM(AJ26:AJ208)</f>
        <v>0</v>
      </c>
      <c r="AK4" s="8">
        <f>SUM(AK8:AK208)</f>
        <v>3</v>
      </c>
      <c r="AL4" s="645"/>
      <c r="AM4" s="645"/>
      <c r="AN4" s="645"/>
    </row>
    <row r="5" spans="1:40" s="580" customFormat="1" ht="12.75" customHeight="1">
      <c r="A5" s="582" t="s">
        <v>73</v>
      </c>
      <c r="B5" s="584"/>
      <c r="C5" s="584"/>
      <c r="D5" s="585"/>
      <c r="E5" s="584"/>
      <c r="F5" s="584"/>
      <c r="G5" s="584"/>
      <c r="H5" s="584"/>
      <c r="I5" s="584"/>
      <c r="J5" s="584"/>
      <c r="K5" s="584"/>
      <c r="L5" s="584"/>
      <c r="M5" s="584"/>
      <c r="N5" s="586"/>
      <c r="O5" s="584"/>
      <c r="P5" s="584"/>
      <c r="Q5" s="584"/>
      <c r="R5" s="584"/>
      <c r="S5" s="584"/>
      <c r="T5" s="584"/>
      <c r="U5" s="584"/>
      <c r="V5" s="584"/>
      <c r="W5" s="584"/>
      <c r="X5" s="584"/>
      <c r="Y5" s="584"/>
      <c r="Z5" s="584"/>
      <c r="AA5" s="584"/>
      <c r="AB5" s="8"/>
      <c r="AC5" s="584"/>
      <c r="AD5" s="584"/>
      <c r="AE5" s="584"/>
      <c r="AF5" s="584"/>
      <c r="AG5" s="584"/>
      <c r="AH5" s="584"/>
      <c r="AI5" s="584"/>
      <c r="AJ5" s="584"/>
      <c r="AK5" s="584"/>
      <c r="AL5" s="645"/>
      <c r="AM5" s="645"/>
      <c r="AN5" s="645"/>
    </row>
    <row r="6" spans="1:40" s="580" customFormat="1" ht="12.75" customHeight="1">
      <c r="A6" s="587" t="s">
        <v>75</v>
      </c>
      <c r="B6" s="588"/>
      <c r="C6" s="588"/>
      <c r="D6" s="589"/>
      <c r="E6" s="588"/>
      <c r="F6" s="588"/>
      <c r="G6" s="588"/>
      <c r="H6" s="588"/>
      <c r="I6" s="588"/>
      <c r="J6" s="588"/>
      <c r="K6" s="588"/>
      <c r="L6" s="588"/>
      <c r="M6" s="588"/>
      <c r="N6" s="589"/>
      <c r="O6" s="588"/>
      <c r="P6" s="588"/>
      <c r="Q6" s="588"/>
      <c r="R6" s="588"/>
      <c r="S6" s="588"/>
      <c r="T6" s="588"/>
      <c r="U6" s="588"/>
      <c r="V6" s="588"/>
      <c r="W6" s="588"/>
      <c r="X6" s="588"/>
      <c r="Y6" s="588"/>
      <c r="Z6" s="588"/>
      <c r="AA6" s="588"/>
      <c r="AB6" s="8"/>
      <c r="AC6" s="588"/>
      <c r="AD6" s="588"/>
      <c r="AE6" s="588"/>
      <c r="AF6" s="588"/>
      <c r="AG6" s="588"/>
      <c r="AH6" s="588"/>
      <c r="AI6" s="588"/>
      <c r="AJ6" s="588"/>
      <c r="AK6" s="588"/>
      <c r="AL6" s="645"/>
      <c r="AM6" s="645"/>
      <c r="AN6" s="645"/>
    </row>
    <row r="7" spans="1:40" s="580" customFormat="1" ht="12.75" customHeight="1">
      <c r="A7" s="590" t="s">
        <v>77</v>
      </c>
      <c r="B7" s="591"/>
      <c r="C7" s="591"/>
      <c r="D7" s="591"/>
      <c r="E7" s="591"/>
      <c r="F7" s="591"/>
      <c r="G7" s="591"/>
      <c r="H7" s="591"/>
      <c r="I7" s="591"/>
      <c r="J7" s="591"/>
      <c r="K7" s="591"/>
      <c r="L7" s="591"/>
      <c r="M7" s="591"/>
      <c r="N7" s="591"/>
      <c r="O7" s="591"/>
      <c r="P7" s="591"/>
      <c r="Q7" s="591"/>
      <c r="R7" s="591"/>
      <c r="S7" s="591"/>
      <c r="T7" s="591"/>
      <c r="U7" s="591"/>
      <c r="V7" s="591"/>
      <c r="W7" s="591"/>
      <c r="X7" s="591"/>
      <c r="Y7" s="591"/>
      <c r="Z7" s="591"/>
      <c r="AA7" s="591"/>
      <c r="AB7" s="8"/>
      <c r="AC7" s="591"/>
      <c r="AD7" s="591"/>
      <c r="AE7" s="591"/>
      <c r="AF7" s="591"/>
      <c r="AG7" s="591"/>
      <c r="AH7" s="591"/>
      <c r="AI7" s="591"/>
      <c r="AJ7" s="591"/>
      <c r="AK7" s="591"/>
      <c r="AL7" s="645"/>
      <c r="AM7" s="645"/>
      <c r="AN7" s="645"/>
    </row>
    <row r="8" spans="1:40" ht="12.75" customHeight="1">
      <c r="A8" s="8" t="s">
        <v>102</v>
      </c>
      <c r="B8" s="645"/>
      <c r="C8" s="645"/>
      <c r="D8" s="645"/>
      <c r="E8" s="645"/>
      <c r="F8" s="645"/>
      <c r="G8" s="645"/>
      <c r="H8" s="645"/>
      <c r="I8" s="645"/>
      <c r="J8" s="645"/>
      <c r="K8" s="645"/>
      <c r="L8" s="645"/>
      <c r="M8" s="645"/>
      <c r="N8" s="645"/>
      <c r="O8" s="645"/>
      <c r="P8" s="645"/>
      <c r="Q8" s="645"/>
      <c r="R8" s="645"/>
      <c r="S8" s="645"/>
      <c r="T8" s="645"/>
      <c r="U8" s="8">
        <v>1</v>
      </c>
      <c r="V8" s="645"/>
      <c r="W8" s="645"/>
      <c r="X8" s="645"/>
      <c r="Y8" s="8">
        <v>1</v>
      </c>
      <c r="Z8" s="645"/>
      <c r="AA8" s="645"/>
      <c r="AB8" s="645"/>
      <c r="AC8" s="8">
        <v>1</v>
      </c>
      <c r="AD8" s="645"/>
      <c r="AE8" s="645"/>
      <c r="AF8" s="8">
        <v>1</v>
      </c>
      <c r="AG8" s="645"/>
      <c r="AH8" s="645"/>
      <c r="AI8" s="645"/>
      <c r="AJ8" s="645"/>
      <c r="AK8" s="645"/>
      <c r="AL8" s="8">
        <f t="shared" ref="AL8:AL59" si="7">SUM(B8:AK8)</f>
        <v>4</v>
      </c>
      <c r="AM8" s="11" t="s">
        <v>1693</v>
      </c>
      <c r="AN8" s="645"/>
    </row>
    <row r="9" spans="1:40" ht="12.75" customHeight="1">
      <c r="A9" s="8" t="s">
        <v>111</v>
      </c>
      <c r="B9" s="645"/>
      <c r="C9" s="8">
        <v>1</v>
      </c>
      <c r="D9" s="8">
        <v>1</v>
      </c>
      <c r="E9" s="645"/>
      <c r="F9" s="645"/>
      <c r="G9" s="645"/>
      <c r="H9" s="645"/>
      <c r="I9" s="645"/>
      <c r="J9" s="645"/>
      <c r="K9" s="645"/>
      <c r="L9" s="645"/>
      <c r="M9" s="645"/>
      <c r="N9" s="645"/>
      <c r="O9" s="645"/>
      <c r="P9" s="8">
        <v>1</v>
      </c>
      <c r="Q9" s="645"/>
      <c r="R9" s="8">
        <v>1</v>
      </c>
      <c r="S9" s="645"/>
      <c r="T9" s="645"/>
      <c r="U9" s="8">
        <v>1</v>
      </c>
      <c r="V9" s="645"/>
      <c r="W9" s="645"/>
      <c r="X9" s="8">
        <v>1</v>
      </c>
      <c r="Y9" s="8">
        <v>1</v>
      </c>
      <c r="Z9" s="645"/>
      <c r="AA9" s="8">
        <v>1</v>
      </c>
      <c r="AB9" s="645"/>
      <c r="AC9" s="8">
        <v>1</v>
      </c>
      <c r="AD9" s="645"/>
      <c r="AE9" s="645"/>
      <c r="AF9" s="8">
        <v>1</v>
      </c>
      <c r="AG9" s="645"/>
      <c r="AH9" s="645"/>
      <c r="AI9" s="645"/>
      <c r="AJ9" s="645"/>
      <c r="AK9" s="645"/>
      <c r="AL9" s="8">
        <f t="shared" si="7"/>
        <v>10</v>
      </c>
      <c r="AM9" s="11" t="s">
        <v>1694</v>
      </c>
      <c r="AN9" s="645"/>
    </row>
    <row r="10" spans="1:40" ht="12.75" customHeight="1">
      <c r="A10" s="8" t="s">
        <v>124</v>
      </c>
      <c r="B10" s="645"/>
      <c r="C10" s="8">
        <v>1</v>
      </c>
      <c r="D10" s="8">
        <v>1</v>
      </c>
      <c r="E10" s="645"/>
      <c r="F10" s="645"/>
      <c r="G10" s="645"/>
      <c r="H10" s="645"/>
      <c r="I10" s="645"/>
      <c r="J10" s="645"/>
      <c r="K10" s="645"/>
      <c r="L10" s="645"/>
      <c r="M10" s="645"/>
      <c r="N10" s="645"/>
      <c r="O10" s="645"/>
      <c r="P10" s="645"/>
      <c r="Q10" s="645"/>
      <c r="R10" s="645"/>
      <c r="S10" s="645"/>
      <c r="T10" s="645"/>
      <c r="U10" s="8">
        <v>1</v>
      </c>
      <c r="V10" s="645"/>
      <c r="W10" s="645"/>
      <c r="X10" s="645"/>
      <c r="Y10" s="8">
        <v>1</v>
      </c>
      <c r="Z10" s="645"/>
      <c r="AA10" s="8">
        <v>1</v>
      </c>
      <c r="AB10" s="645"/>
      <c r="AC10" s="8">
        <v>1</v>
      </c>
      <c r="AD10" s="645"/>
      <c r="AE10" s="645"/>
      <c r="AF10" s="645"/>
      <c r="AG10" s="645"/>
      <c r="AH10" s="645"/>
      <c r="AI10" s="645"/>
      <c r="AJ10" s="645"/>
      <c r="AK10" s="645"/>
      <c r="AL10" s="8">
        <f t="shared" si="7"/>
        <v>6</v>
      </c>
      <c r="AM10" s="11" t="s">
        <v>1695</v>
      </c>
      <c r="AN10" s="645"/>
    </row>
    <row r="11" spans="1:40" ht="12.75" customHeight="1">
      <c r="A11" s="8" t="s">
        <v>1269</v>
      </c>
      <c r="B11" s="645"/>
      <c r="C11" s="8">
        <v>1</v>
      </c>
      <c r="D11" s="8">
        <v>1</v>
      </c>
      <c r="E11" s="645"/>
      <c r="F11" s="645"/>
      <c r="G11" s="645"/>
      <c r="H11" s="645"/>
      <c r="I11" s="645"/>
      <c r="J11" s="645"/>
      <c r="K11" s="645"/>
      <c r="L11" s="645"/>
      <c r="M11" s="645"/>
      <c r="N11" s="645"/>
      <c r="O11" s="645"/>
      <c r="P11" s="645"/>
      <c r="Q11" s="645"/>
      <c r="R11" s="645"/>
      <c r="S11" s="645"/>
      <c r="T11" s="645"/>
      <c r="U11" s="8">
        <v>1</v>
      </c>
      <c r="V11" s="645"/>
      <c r="W11" s="645"/>
      <c r="X11" s="645"/>
      <c r="Y11" s="8">
        <v>1</v>
      </c>
      <c r="Z11" s="645"/>
      <c r="AA11" s="8">
        <v>1</v>
      </c>
      <c r="AB11" s="645"/>
      <c r="AC11" s="645"/>
      <c r="AD11" s="645"/>
      <c r="AE11" s="645"/>
      <c r="AF11" s="8">
        <v>1</v>
      </c>
      <c r="AG11" s="645"/>
      <c r="AH11" s="645"/>
      <c r="AI11" s="645"/>
      <c r="AJ11" s="645"/>
      <c r="AK11" s="645"/>
      <c r="AL11" s="8">
        <f t="shared" si="7"/>
        <v>6</v>
      </c>
      <c r="AM11" s="11" t="s">
        <v>1696</v>
      </c>
      <c r="AN11" s="645"/>
    </row>
    <row r="12" spans="1:40" ht="12.75" customHeight="1">
      <c r="A12" s="8" t="s">
        <v>120</v>
      </c>
      <c r="B12" s="645"/>
      <c r="C12" s="8">
        <v>1</v>
      </c>
      <c r="D12" s="8">
        <v>1</v>
      </c>
      <c r="E12" s="645"/>
      <c r="F12" s="645"/>
      <c r="G12" s="645"/>
      <c r="H12" s="645"/>
      <c r="I12" s="645"/>
      <c r="J12" s="645"/>
      <c r="K12" s="645"/>
      <c r="L12" s="645"/>
      <c r="M12" s="645"/>
      <c r="N12" s="645"/>
      <c r="O12" s="645"/>
      <c r="P12" s="8">
        <v>1</v>
      </c>
      <c r="Q12" s="645"/>
      <c r="R12" s="645"/>
      <c r="S12" s="645"/>
      <c r="T12" s="645"/>
      <c r="U12" s="8">
        <v>1</v>
      </c>
      <c r="V12" s="645"/>
      <c r="W12" s="645"/>
      <c r="X12" s="8">
        <v>1</v>
      </c>
      <c r="Y12" s="645"/>
      <c r="Z12" s="645"/>
      <c r="AA12" s="8">
        <v>1</v>
      </c>
      <c r="AB12" s="645"/>
      <c r="AC12" s="645"/>
      <c r="AD12" s="645"/>
      <c r="AE12" s="645"/>
      <c r="AF12" s="645"/>
      <c r="AG12" s="645"/>
      <c r="AH12" s="645"/>
      <c r="AI12" s="645"/>
      <c r="AJ12" s="645"/>
      <c r="AK12" s="645"/>
      <c r="AL12" s="8">
        <f t="shared" si="7"/>
        <v>6</v>
      </c>
      <c r="AM12" s="11" t="s">
        <v>1697</v>
      </c>
      <c r="AN12" s="645"/>
    </row>
    <row r="13" spans="1:40" ht="12.75" customHeight="1">
      <c r="A13" s="8" t="s">
        <v>127</v>
      </c>
      <c r="B13" s="645"/>
      <c r="C13" s="645"/>
      <c r="D13" s="8">
        <v>1</v>
      </c>
      <c r="E13" s="8">
        <v>1</v>
      </c>
      <c r="F13" s="645"/>
      <c r="G13" s="645"/>
      <c r="H13" s="8">
        <v>1</v>
      </c>
      <c r="I13" s="645"/>
      <c r="J13" s="645"/>
      <c r="K13" s="645"/>
      <c r="L13" s="645"/>
      <c r="M13" s="645"/>
      <c r="N13" s="645"/>
      <c r="O13" s="645"/>
      <c r="P13" s="645"/>
      <c r="Q13" s="645"/>
      <c r="R13" s="645"/>
      <c r="S13" s="8">
        <v>1</v>
      </c>
      <c r="T13" s="645"/>
      <c r="U13" s="8">
        <v>1</v>
      </c>
      <c r="V13" s="645"/>
      <c r="W13" s="8">
        <v>1</v>
      </c>
      <c r="X13" s="8">
        <v>1</v>
      </c>
      <c r="Y13" s="645"/>
      <c r="Z13" s="645"/>
      <c r="AA13" s="645"/>
      <c r="AB13" s="645"/>
      <c r="AC13" s="8">
        <v>1</v>
      </c>
      <c r="AD13" s="8">
        <v>1</v>
      </c>
      <c r="AE13" s="645"/>
      <c r="AF13" s="8">
        <v>1</v>
      </c>
      <c r="AG13" s="645"/>
      <c r="AH13" s="645"/>
      <c r="AI13" s="645"/>
      <c r="AJ13" s="645"/>
      <c r="AK13" s="645"/>
      <c r="AL13" s="8">
        <f t="shared" si="7"/>
        <v>10</v>
      </c>
      <c r="AM13" s="11" t="s">
        <v>1698</v>
      </c>
      <c r="AN13" s="645"/>
    </row>
    <row r="14" spans="1:40" ht="12.75" customHeight="1">
      <c r="A14" s="8" t="s">
        <v>542</v>
      </c>
      <c r="B14" s="645"/>
      <c r="C14" s="645"/>
      <c r="D14" s="8">
        <v>1</v>
      </c>
      <c r="E14" s="645"/>
      <c r="F14" s="645"/>
      <c r="G14" s="645"/>
      <c r="H14" s="645"/>
      <c r="I14" s="645"/>
      <c r="J14" s="645"/>
      <c r="K14" s="645"/>
      <c r="L14" s="645"/>
      <c r="M14" s="645"/>
      <c r="N14" s="645"/>
      <c r="O14" s="645"/>
      <c r="P14" s="645"/>
      <c r="Q14" s="645"/>
      <c r="R14" s="8">
        <v>1</v>
      </c>
      <c r="S14" s="645"/>
      <c r="T14" s="645"/>
      <c r="U14" s="8">
        <v>1</v>
      </c>
      <c r="V14" s="645"/>
      <c r="W14" s="645"/>
      <c r="X14" s="645"/>
      <c r="Y14" s="645"/>
      <c r="Z14" s="645"/>
      <c r="AA14" s="645"/>
      <c r="AB14" s="645"/>
      <c r="AC14" s="645"/>
      <c r="AD14" s="645"/>
      <c r="AE14" s="645"/>
      <c r="AF14" s="645"/>
      <c r="AG14" s="645"/>
      <c r="AH14" s="645"/>
      <c r="AI14" s="645"/>
      <c r="AJ14" s="645"/>
      <c r="AK14" s="645"/>
      <c r="AL14" s="8">
        <f t="shared" si="7"/>
        <v>3</v>
      </c>
      <c r="AM14" s="11" t="s">
        <v>1698</v>
      </c>
      <c r="AN14" s="645"/>
    </row>
    <row r="15" spans="1:40" ht="12.75" customHeight="1">
      <c r="A15" s="8" t="s">
        <v>133</v>
      </c>
      <c r="B15" s="645"/>
      <c r="C15" s="8">
        <v>1</v>
      </c>
      <c r="D15" s="645"/>
      <c r="E15" s="645"/>
      <c r="F15" s="645"/>
      <c r="G15" s="645"/>
      <c r="H15" s="645"/>
      <c r="I15" s="645"/>
      <c r="J15" s="645"/>
      <c r="K15" s="645"/>
      <c r="L15" s="645"/>
      <c r="M15" s="645"/>
      <c r="N15" s="645"/>
      <c r="O15" s="645"/>
      <c r="P15" s="8">
        <v>1</v>
      </c>
      <c r="Q15" s="645"/>
      <c r="R15" s="8">
        <v>1</v>
      </c>
      <c r="S15" s="645"/>
      <c r="T15" s="645"/>
      <c r="U15" s="8">
        <v>1</v>
      </c>
      <c r="V15" s="645"/>
      <c r="W15" s="645"/>
      <c r="X15" s="8">
        <v>1</v>
      </c>
      <c r="Y15" s="8">
        <v>1</v>
      </c>
      <c r="Z15" s="645"/>
      <c r="AA15" s="8">
        <v>1</v>
      </c>
      <c r="AB15" s="645"/>
      <c r="AC15" s="645"/>
      <c r="AD15" s="645"/>
      <c r="AE15" s="645"/>
      <c r="AF15" s="645"/>
      <c r="AG15" s="645"/>
      <c r="AH15" s="645"/>
      <c r="AI15" s="645"/>
      <c r="AJ15" s="645"/>
      <c r="AK15" s="645"/>
      <c r="AL15" s="8">
        <f t="shared" si="7"/>
        <v>7</v>
      </c>
      <c r="AM15" s="11" t="s">
        <v>1699</v>
      </c>
      <c r="AN15" s="645"/>
    </row>
    <row r="16" spans="1:40" ht="12.75" customHeight="1">
      <c r="A16" s="8" t="s">
        <v>140</v>
      </c>
      <c r="B16" s="645"/>
      <c r="C16" s="8">
        <v>1</v>
      </c>
      <c r="D16" s="8">
        <v>1</v>
      </c>
      <c r="E16" s="645"/>
      <c r="F16" s="645"/>
      <c r="G16" s="645"/>
      <c r="H16" s="645"/>
      <c r="I16" s="645"/>
      <c r="J16" s="645"/>
      <c r="K16" s="645"/>
      <c r="L16" s="645"/>
      <c r="M16" s="645"/>
      <c r="N16" s="645"/>
      <c r="O16" s="645"/>
      <c r="P16" s="8">
        <v>1</v>
      </c>
      <c r="Q16" s="645"/>
      <c r="R16" s="645"/>
      <c r="S16" s="645"/>
      <c r="T16" s="645"/>
      <c r="U16" s="8">
        <v>1</v>
      </c>
      <c r="V16" s="645"/>
      <c r="W16" s="645"/>
      <c r="X16" s="645"/>
      <c r="Y16" s="8">
        <v>1</v>
      </c>
      <c r="Z16" s="645"/>
      <c r="AA16" s="645"/>
      <c r="AB16" s="645"/>
      <c r="AC16" s="645"/>
      <c r="AD16" s="645"/>
      <c r="AE16" s="645"/>
      <c r="AF16" s="645"/>
      <c r="AG16" s="645"/>
      <c r="AH16" s="645"/>
      <c r="AI16" s="645"/>
      <c r="AJ16" s="645"/>
      <c r="AK16" s="645"/>
      <c r="AL16" s="8">
        <f t="shared" si="7"/>
        <v>5</v>
      </c>
      <c r="AM16" s="11" t="s">
        <v>1700</v>
      </c>
      <c r="AN16" s="645"/>
    </row>
    <row r="17" spans="1:40" ht="12.75" customHeight="1">
      <c r="A17" s="8" t="s">
        <v>142</v>
      </c>
      <c r="B17" s="645"/>
      <c r="C17" s="8">
        <v>1</v>
      </c>
      <c r="D17" s="8">
        <v>1</v>
      </c>
      <c r="E17" s="645"/>
      <c r="F17" s="645"/>
      <c r="G17" s="645"/>
      <c r="H17" s="645"/>
      <c r="I17" s="645"/>
      <c r="J17" s="645"/>
      <c r="K17" s="645"/>
      <c r="L17" s="645"/>
      <c r="M17" s="645"/>
      <c r="N17" s="645"/>
      <c r="O17" s="645"/>
      <c r="P17" s="8">
        <v>1</v>
      </c>
      <c r="Q17" s="645"/>
      <c r="R17" s="8">
        <v>1</v>
      </c>
      <c r="S17" s="645"/>
      <c r="T17" s="645"/>
      <c r="U17" s="8">
        <v>1</v>
      </c>
      <c r="V17" s="645"/>
      <c r="W17" s="645"/>
      <c r="X17" s="8">
        <v>1</v>
      </c>
      <c r="Y17" s="8">
        <v>1</v>
      </c>
      <c r="Z17" s="645"/>
      <c r="AA17" s="8">
        <v>1</v>
      </c>
      <c r="AB17" s="645"/>
      <c r="AC17" s="645"/>
      <c r="AD17" s="645"/>
      <c r="AE17" s="645"/>
      <c r="AF17" s="645"/>
      <c r="AG17" s="645"/>
      <c r="AH17" s="645"/>
      <c r="AI17" s="645"/>
      <c r="AJ17" s="645"/>
      <c r="AK17" s="645"/>
      <c r="AL17" s="8">
        <f t="shared" si="7"/>
        <v>8</v>
      </c>
      <c r="AM17" s="11" t="s">
        <v>1701</v>
      </c>
      <c r="AN17" s="645"/>
    </row>
    <row r="18" spans="1:40" ht="12.75" customHeight="1">
      <c r="A18" s="8" t="s">
        <v>144</v>
      </c>
      <c r="B18" s="645"/>
      <c r="C18" s="8">
        <v>1</v>
      </c>
      <c r="D18" s="8">
        <v>1</v>
      </c>
      <c r="E18" s="8">
        <v>1</v>
      </c>
      <c r="F18" s="645"/>
      <c r="G18" s="645"/>
      <c r="H18" s="8">
        <v>1</v>
      </c>
      <c r="I18" s="645"/>
      <c r="J18" s="645"/>
      <c r="K18" s="645"/>
      <c r="L18" s="645"/>
      <c r="M18" s="645"/>
      <c r="N18" s="645"/>
      <c r="O18" s="645"/>
      <c r="P18" s="645"/>
      <c r="Q18" s="645"/>
      <c r="R18" s="645"/>
      <c r="S18" s="645"/>
      <c r="T18" s="645"/>
      <c r="U18" s="8">
        <v>1</v>
      </c>
      <c r="V18" s="645"/>
      <c r="W18" s="645"/>
      <c r="X18" s="8">
        <v>1</v>
      </c>
      <c r="Y18" s="8">
        <v>1</v>
      </c>
      <c r="Z18" s="645"/>
      <c r="AA18" s="645"/>
      <c r="AB18" s="645"/>
      <c r="AC18" s="645"/>
      <c r="AD18" s="8">
        <v>1</v>
      </c>
      <c r="AE18" s="645"/>
      <c r="AF18" s="8">
        <v>1</v>
      </c>
      <c r="AG18" s="645"/>
      <c r="AH18" s="645"/>
      <c r="AI18" s="645"/>
      <c r="AJ18" s="645"/>
      <c r="AK18" s="645"/>
      <c r="AL18" s="8">
        <f t="shared" si="7"/>
        <v>9</v>
      </c>
      <c r="AM18" s="11" t="s">
        <v>1702</v>
      </c>
      <c r="AN18" s="645"/>
    </row>
    <row r="19" spans="1:40" ht="12.75" customHeight="1">
      <c r="A19" s="8" t="s">
        <v>149</v>
      </c>
      <c r="B19" s="645"/>
      <c r="C19" s="8">
        <v>1</v>
      </c>
      <c r="D19" s="8">
        <v>1</v>
      </c>
      <c r="E19" s="8">
        <v>1</v>
      </c>
      <c r="F19" s="645"/>
      <c r="G19" s="645"/>
      <c r="H19" s="8">
        <v>1</v>
      </c>
      <c r="I19" s="645"/>
      <c r="J19" s="645"/>
      <c r="K19" s="645"/>
      <c r="L19" s="645"/>
      <c r="M19" s="645"/>
      <c r="N19" s="645"/>
      <c r="O19" s="645"/>
      <c r="P19" s="8">
        <v>1</v>
      </c>
      <c r="Q19" s="645"/>
      <c r="R19" s="645"/>
      <c r="S19" s="645"/>
      <c r="T19" s="645"/>
      <c r="U19" s="8">
        <v>1</v>
      </c>
      <c r="V19" s="645"/>
      <c r="W19" s="645"/>
      <c r="X19" s="8">
        <v>1</v>
      </c>
      <c r="Y19" s="8">
        <v>1</v>
      </c>
      <c r="Z19" s="645"/>
      <c r="AA19" s="8">
        <v>1</v>
      </c>
      <c r="AB19" s="645"/>
      <c r="AC19" s="645"/>
      <c r="AD19" s="645"/>
      <c r="AE19" s="645"/>
      <c r="AF19" s="8">
        <v>1</v>
      </c>
      <c r="AG19" s="645"/>
      <c r="AH19" s="645"/>
      <c r="AI19" s="645"/>
      <c r="AJ19" s="645"/>
      <c r="AK19" s="645"/>
      <c r="AL19" s="8">
        <f t="shared" si="7"/>
        <v>10</v>
      </c>
      <c r="AM19" s="11" t="s">
        <v>1703</v>
      </c>
      <c r="AN19" s="645"/>
    </row>
    <row r="20" spans="1:40" ht="12.75" customHeight="1">
      <c r="A20" s="8" t="s">
        <v>1704</v>
      </c>
      <c r="B20" s="645"/>
      <c r="C20" s="645"/>
      <c r="D20" s="645"/>
      <c r="E20" s="645"/>
      <c r="F20" s="645"/>
      <c r="G20" s="645"/>
      <c r="H20" s="645"/>
      <c r="I20" s="645"/>
      <c r="J20" s="645"/>
      <c r="K20" s="645"/>
      <c r="L20" s="645"/>
      <c r="M20" s="645"/>
      <c r="N20" s="645"/>
      <c r="O20" s="645"/>
      <c r="P20" s="645"/>
      <c r="Q20" s="645"/>
      <c r="R20" s="645"/>
      <c r="S20" s="645"/>
      <c r="T20" s="645"/>
      <c r="U20" s="8">
        <v>1</v>
      </c>
      <c r="V20" s="645"/>
      <c r="W20" s="645"/>
      <c r="X20" s="645"/>
      <c r="Y20" s="8">
        <v>1</v>
      </c>
      <c r="Z20" s="645"/>
      <c r="AA20" s="645"/>
      <c r="AB20" s="645"/>
      <c r="AC20" s="645"/>
      <c r="AD20" s="645"/>
      <c r="AE20" s="645"/>
      <c r="AF20" s="645"/>
      <c r="AG20" s="645"/>
      <c r="AH20" s="645"/>
      <c r="AI20" s="645"/>
      <c r="AJ20" s="645"/>
      <c r="AK20" s="645"/>
      <c r="AL20" s="8">
        <f t="shared" si="7"/>
        <v>2</v>
      </c>
      <c r="AM20" s="11" t="s">
        <v>1705</v>
      </c>
      <c r="AN20" s="645"/>
    </row>
    <row r="21" spans="1:40" ht="12.75" customHeight="1">
      <c r="A21" s="8" t="s">
        <v>150</v>
      </c>
      <c r="B21" s="645"/>
      <c r="C21" s="645"/>
      <c r="D21" s="645"/>
      <c r="E21" s="645"/>
      <c r="F21" s="645"/>
      <c r="G21" s="645"/>
      <c r="H21" s="645"/>
      <c r="I21" s="645"/>
      <c r="J21" s="645"/>
      <c r="K21" s="645"/>
      <c r="L21" s="645"/>
      <c r="M21" s="645"/>
      <c r="N21" s="645"/>
      <c r="O21" s="645"/>
      <c r="P21" s="645"/>
      <c r="Q21" s="645"/>
      <c r="R21" s="8">
        <v>1</v>
      </c>
      <c r="S21" s="645"/>
      <c r="T21" s="645"/>
      <c r="U21" s="8">
        <v>1</v>
      </c>
      <c r="V21" s="645"/>
      <c r="W21" s="645"/>
      <c r="X21" s="645"/>
      <c r="Y21" s="8">
        <v>1</v>
      </c>
      <c r="Z21" s="645"/>
      <c r="AA21" s="645"/>
      <c r="AB21" s="645"/>
      <c r="AC21" s="8">
        <v>1</v>
      </c>
      <c r="AD21" s="645"/>
      <c r="AE21" s="645"/>
      <c r="AF21" s="8">
        <v>1</v>
      </c>
      <c r="AG21" s="645"/>
      <c r="AH21" s="645"/>
      <c r="AI21" s="645"/>
      <c r="AJ21" s="645"/>
      <c r="AK21" s="645"/>
      <c r="AL21" s="8">
        <f t="shared" si="7"/>
        <v>5</v>
      </c>
      <c r="AM21" s="11" t="s">
        <v>1697</v>
      </c>
      <c r="AN21" s="645"/>
    </row>
    <row r="22" spans="1:40" ht="12.75" customHeight="1">
      <c r="A22" s="8" t="s">
        <v>1706</v>
      </c>
      <c r="B22" s="645"/>
      <c r="C22" s="645"/>
      <c r="D22" s="645"/>
      <c r="E22" s="645"/>
      <c r="F22" s="645"/>
      <c r="G22" s="645"/>
      <c r="H22" s="645"/>
      <c r="I22" s="645"/>
      <c r="J22" s="645"/>
      <c r="K22" s="645"/>
      <c r="L22" s="645"/>
      <c r="M22" s="645"/>
      <c r="N22" s="645"/>
      <c r="O22" s="645"/>
      <c r="P22" s="645"/>
      <c r="Q22" s="645"/>
      <c r="R22" s="645"/>
      <c r="S22" s="645"/>
      <c r="T22" s="645"/>
      <c r="U22" s="8">
        <v>1</v>
      </c>
      <c r="V22" s="645"/>
      <c r="W22" s="645"/>
      <c r="X22" s="645"/>
      <c r="Y22" s="645"/>
      <c r="Z22" s="645"/>
      <c r="AA22" s="645"/>
      <c r="AB22" s="645"/>
      <c r="AC22" s="645"/>
      <c r="AD22" s="645"/>
      <c r="AE22" s="645"/>
      <c r="AF22" s="645"/>
      <c r="AG22" s="645"/>
      <c r="AH22" s="645"/>
      <c r="AI22" s="645"/>
      <c r="AJ22" s="645"/>
      <c r="AK22" s="645"/>
      <c r="AL22" s="8">
        <f t="shared" si="7"/>
        <v>1</v>
      </c>
      <c r="AM22" s="11" t="s">
        <v>1707</v>
      </c>
      <c r="AN22" s="645"/>
    </row>
    <row r="23" spans="1:40" ht="12.75" customHeight="1">
      <c r="A23" s="8" t="s">
        <v>796</v>
      </c>
      <c r="B23" s="645"/>
      <c r="C23" s="8">
        <v>1</v>
      </c>
      <c r="D23" s="8">
        <v>1</v>
      </c>
      <c r="E23" s="645"/>
      <c r="F23" s="645"/>
      <c r="G23" s="645"/>
      <c r="H23" s="645"/>
      <c r="I23" s="645"/>
      <c r="J23" s="645"/>
      <c r="K23" s="645"/>
      <c r="L23" s="645"/>
      <c r="M23" s="645"/>
      <c r="N23" s="645"/>
      <c r="O23" s="645"/>
      <c r="P23" s="645"/>
      <c r="Q23" s="645"/>
      <c r="R23" s="8">
        <v>1</v>
      </c>
      <c r="S23" s="645"/>
      <c r="T23" s="645"/>
      <c r="U23" s="8">
        <v>1</v>
      </c>
      <c r="V23" s="645"/>
      <c r="W23" s="645"/>
      <c r="X23" s="645"/>
      <c r="Y23" s="8">
        <v>1</v>
      </c>
      <c r="Z23" s="645"/>
      <c r="AA23" s="645"/>
      <c r="AB23" s="645"/>
      <c r="AC23" s="645"/>
      <c r="AD23" s="645"/>
      <c r="AE23" s="645"/>
      <c r="AF23" s="645"/>
      <c r="AG23" s="645"/>
      <c r="AH23" s="645"/>
      <c r="AI23" s="645"/>
      <c r="AJ23" s="645"/>
      <c r="AK23" s="645"/>
      <c r="AL23" s="8">
        <f t="shared" si="7"/>
        <v>5</v>
      </c>
      <c r="AM23" s="11" t="s">
        <v>1708</v>
      </c>
      <c r="AN23" s="645"/>
    </row>
    <row r="24" spans="1:40" ht="12.75" customHeight="1">
      <c r="A24" s="8" t="s">
        <v>1596</v>
      </c>
      <c r="B24" s="645"/>
      <c r="C24" s="8">
        <v>1</v>
      </c>
      <c r="D24" s="645"/>
      <c r="E24" s="8">
        <v>1</v>
      </c>
      <c r="F24" s="645"/>
      <c r="G24" s="645"/>
      <c r="H24" s="8">
        <v>1</v>
      </c>
      <c r="I24" s="645"/>
      <c r="J24" s="645"/>
      <c r="K24" s="645"/>
      <c r="L24" s="645"/>
      <c r="M24" s="645"/>
      <c r="N24" s="645"/>
      <c r="O24" s="645"/>
      <c r="P24" s="645"/>
      <c r="Q24" s="645"/>
      <c r="R24" s="645"/>
      <c r="S24" s="8">
        <v>1</v>
      </c>
      <c r="T24" s="645"/>
      <c r="U24" s="8">
        <v>1</v>
      </c>
      <c r="V24" s="645"/>
      <c r="W24" s="8">
        <v>1</v>
      </c>
      <c r="X24" s="8">
        <v>1</v>
      </c>
      <c r="Y24" s="8">
        <v>1</v>
      </c>
      <c r="Z24" s="645"/>
      <c r="AA24" s="8">
        <v>1</v>
      </c>
      <c r="AB24" s="645"/>
      <c r="AC24" s="645"/>
      <c r="AD24" s="645"/>
      <c r="AE24" s="645"/>
      <c r="AF24" s="8">
        <v>1</v>
      </c>
      <c r="AG24" s="645"/>
      <c r="AH24" s="645"/>
      <c r="AI24" s="645"/>
      <c r="AJ24" s="645"/>
      <c r="AK24" s="645"/>
      <c r="AL24" s="8">
        <f t="shared" si="7"/>
        <v>10</v>
      </c>
      <c r="AM24" s="11" t="s">
        <v>1709</v>
      </c>
      <c r="AN24" s="645"/>
    </row>
    <row r="25" spans="1:40" ht="12.75" customHeight="1">
      <c r="A25" s="8" t="s">
        <v>165</v>
      </c>
      <c r="B25" s="645"/>
      <c r="C25" s="8">
        <v>1</v>
      </c>
      <c r="D25" s="8">
        <v>1</v>
      </c>
      <c r="E25" s="8">
        <v>1</v>
      </c>
      <c r="F25" s="645"/>
      <c r="G25" s="645"/>
      <c r="H25" s="8">
        <v>1</v>
      </c>
      <c r="I25" s="645"/>
      <c r="J25" s="645"/>
      <c r="K25" s="645"/>
      <c r="L25" s="645"/>
      <c r="M25" s="645"/>
      <c r="N25" s="645"/>
      <c r="O25" s="645"/>
      <c r="P25" s="8">
        <v>1</v>
      </c>
      <c r="Q25" s="645"/>
      <c r="R25" s="8">
        <v>1</v>
      </c>
      <c r="S25" s="645"/>
      <c r="T25" s="645"/>
      <c r="U25" s="8">
        <v>1</v>
      </c>
      <c r="V25" s="8">
        <v>1</v>
      </c>
      <c r="W25" s="645"/>
      <c r="X25" s="8">
        <v>1</v>
      </c>
      <c r="Y25" s="645"/>
      <c r="Z25" s="645"/>
      <c r="AA25" s="645"/>
      <c r="AB25" s="645"/>
      <c r="AC25" s="645"/>
      <c r="AD25" s="645"/>
      <c r="AE25" s="645"/>
      <c r="AF25" s="645"/>
      <c r="AG25" s="645"/>
      <c r="AH25" s="645"/>
      <c r="AI25" s="645"/>
      <c r="AJ25" s="645"/>
      <c r="AK25" s="645"/>
      <c r="AL25" s="8">
        <f t="shared" si="7"/>
        <v>9</v>
      </c>
      <c r="AM25" s="11" t="s">
        <v>1710</v>
      </c>
      <c r="AN25" s="645"/>
    </row>
    <row r="26" spans="1:40" ht="12.75" customHeight="1">
      <c r="A26" s="8" t="s">
        <v>167</v>
      </c>
      <c r="B26" s="645"/>
      <c r="C26" s="8">
        <v>1</v>
      </c>
      <c r="D26" s="8">
        <v>1</v>
      </c>
      <c r="E26" s="645"/>
      <c r="F26" s="645"/>
      <c r="G26" s="645"/>
      <c r="H26" s="645"/>
      <c r="I26" s="645"/>
      <c r="J26" s="645"/>
      <c r="K26" s="645"/>
      <c r="L26" s="645"/>
      <c r="M26" s="645"/>
      <c r="N26" s="645"/>
      <c r="O26" s="645"/>
      <c r="P26" s="8">
        <v>1</v>
      </c>
      <c r="Q26" s="645"/>
      <c r="R26" s="645"/>
      <c r="S26" s="645"/>
      <c r="T26" s="645"/>
      <c r="U26" s="8">
        <v>1</v>
      </c>
      <c r="V26" s="645"/>
      <c r="W26" s="645"/>
      <c r="X26" s="8">
        <v>1</v>
      </c>
      <c r="Y26" s="8">
        <v>1</v>
      </c>
      <c r="Z26" s="645"/>
      <c r="AA26" s="8">
        <v>1</v>
      </c>
      <c r="AB26" s="645"/>
      <c r="AC26" s="645"/>
      <c r="AD26" s="645"/>
      <c r="AE26" s="645"/>
      <c r="AF26" s="645"/>
      <c r="AG26" s="8">
        <v>1</v>
      </c>
      <c r="AH26" s="645"/>
      <c r="AI26" s="645"/>
      <c r="AJ26" s="645"/>
      <c r="AK26" s="645"/>
      <c r="AL26" s="8">
        <f t="shared" si="7"/>
        <v>8</v>
      </c>
      <c r="AM26" s="11" t="s">
        <v>1711</v>
      </c>
      <c r="AN26" s="645"/>
    </row>
    <row r="27" spans="1:40" ht="12.75" customHeight="1">
      <c r="A27" s="8" t="s">
        <v>169</v>
      </c>
      <c r="B27" s="645"/>
      <c r="C27" s="645"/>
      <c r="D27" s="8">
        <v>1</v>
      </c>
      <c r="E27" s="645"/>
      <c r="F27" s="645"/>
      <c r="G27" s="645"/>
      <c r="H27" s="645"/>
      <c r="I27" s="645"/>
      <c r="J27" s="645"/>
      <c r="K27" s="645"/>
      <c r="L27" s="645"/>
      <c r="M27" s="645"/>
      <c r="N27" s="645"/>
      <c r="O27" s="645"/>
      <c r="P27" s="645"/>
      <c r="Q27" s="645"/>
      <c r="R27" s="8">
        <v>1</v>
      </c>
      <c r="S27" s="645"/>
      <c r="T27" s="645"/>
      <c r="U27" s="8">
        <v>1</v>
      </c>
      <c r="V27" s="645"/>
      <c r="W27" s="645"/>
      <c r="X27" s="645"/>
      <c r="Y27" s="645"/>
      <c r="Z27" s="645"/>
      <c r="AA27" s="645"/>
      <c r="AB27" s="645"/>
      <c r="AC27" s="645"/>
      <c r="AD27" s="645"/>
      <c r="AE27" s="645"/>
      <c r="AF27" s="645"/>
      <c r="AG27" s="645"/>
      <c r="AH27" s="645"/>
      <c r="AI27" s="645"/>
      <c r="AJ27" s="645"/>
      <c r="AK27" s="645"/>
      <c r="AL27" s="8">
        <f t="shared" si="7"/>
        <v>3</v>
      </c>
      <c r="AM27" s="11" t="s">
        <v>1712</v>
      </c>
      <c r="AN27" s="645"/>
    </row>
    <row r="28" spans="1:40" ht="12.75" customHeight="1">
      <c r="A28" s="8" t="s">
        <v>174</v>
      </c>
      <c r="B28" s="645"/>
      <c r="C28" s="8">
        <v>1</v>
      </c>
      <c r="D28" s="645"/>
      <c r="E28" s="8">
        <v>1</v>
      </c>
      <c r="F28" s="645"/>
      <c r="G28" s="645"/>
      <c r="H28" s="8">
        <v>1</v>
      </c>
      <c r="I28" s="645"/>
      <c r="J28" s="645"/>
      <c r="K28" s="645"/>
      <c r="L28" s="645"/>
      <c r="M28" s="645"/>
      <c r="N28" s="645"/>
      <c r="O28" s="645"/>
      <c r="P28" s="645"/>
      <c r="Q28" s="645"/>
      <c r="R28" s="645"/>
      <c r="S28" s="645"/>
      <c r="T28" s="645"/>
      <c r="U28" s="8">
        <v>1</v>
      </c>
      <c r="V28" s="645"/>
      <c r="W28" s="645"/>
      <c r="X28" s="645"/>
      <c r="Y28" s="645"/>
      <c r="Z28" s="645"/>
      <c r="AA28" s="645"/>
      <c r="AB28" s="645"/>
      <c r="AC28" s="645"/>
      <c r="AD28" s="645"/>
      <c r="AE28" s="645"/>
      <c r="AF28" s="645"/>
      <c r="AG28" s="645"/>
      <c r="AH28" s="645"/>
      <c r="AI28" s="645"/>
      <c r="AJ28" s="645"/>
      <c r="AK28" s="645"/>
      <c r="AL28" s="8">
        <f t="shared" si="7"/>
        <v>4</v>
      </c>
      <c r="AM28" s="645"/>
      <c r="AN28" s="645"/>
    </row>
    <row r="29" spans="1:40" ht="12.75" customHeight="1">
      <c r="A29" s="8" t="s">
        <v>312</v>
      </c>
      <c r="B29" s="645"/>
      <c r="C29" s="8">
        <v>1</v>
      </c>
      <c r="D29" s="8">
        <v>1</v>
      </c>
      <c r="E29" s="8">
        <v>1</v>
      </c>
      <c r="F29" s="645"/>
      <c r="G29" s="645"/>
      <c r="H29" s="8">
        <v>1</v>
      </c>
      <c r="I29" s="645"/>
      <c r="J29" s="645"/>
      <c r="K29" s="645"/>
      <c r="L29" s="645"/>
      <c r="M29" s="645"/>
      <c r="N29" s="645"/>
      <c r="O29" s="645"/>
      <c r="P29" s="645"/>
      <c r="Q29" s="645"/>
      <c r="R29" s="645"/>
      <c r="S29" s="645"/>
      <c r="T29" s="645"/>
      <c r="U29" s="8">
        <v>1</v>
      </c>
      <c r="V29" s="8">
        <v>1</v>
      </c>
      <c r="W29" s="645"/>
      <c r="X29" s="8">
        <v>1</v>
      </c>
      <c r="Y29" s="8">
        <v>1</v>
      </c>
      <c r="Z29" s="645"/>
      <c r="AA29" s="645"/>
      <c r="AB29" s="645"/>
      <c r="AC29" s="8">
        <v>1</v>
      </c>
      <c r="AD29" s="8">
        <v>1</v>
      </c>
      <c r="AE29" s="645"/>
      <c r="AF29" s="645"/>
      <c r="AG29" s="645"/>
      <c r="AH29" s="645"/>
      <c r="AI29" s="645"/>
      <c r="AJ29" s="645"/>
      <c r="AK29" s="645"/>
      <c r="AL29" s="8">
        <f t="shared" si="7"/>
        <v>10</v>
      </c>
      <c r="AM29" s="11" t="s">
        <v>1713</v>
      </c>
      <c r="AN29" s="645"/>
    </row>
    <row r="30" spans="1:40" ht="12.75" customHeight="1">
      <c r="A30" s="8" t="s">
        <v>175</v>
      </c>
      <c r="B30" s="645"/>
      <c r="C30" s="8">
        <v>1</v>
      </c>
      <c r="D30" s="8">
        <v>1</v>
      </c>
      <c r="E30" s="645"/>
      <c r="F30" s="645"/>
      <c r="G30" s="645"/>
      <c r="H30" s="645"/>
      <c r="I30" s="645"/>
      <c r="J30" s="645"/>
      <c r="K30" s="645"/>
      <c r="L30" s="645"/>
      <c r="M30" s="645"/>
      <c r="N30" s="645"/>
      <c r="O30" s="645"/>
      <c r="P30" s="8">
        <v>1</v>
      </c>
      <c r="Q30" s="8">
        <v>1</v>
      </c>
      <c r="R30" s="8">
        <v>1</v>
      </c>
      <c r="S30" s="645"/>
      <c r="T30" s="645"/>
      <c r="U30" s="8">
        <v>1</v>
      </c>
      <c r="V30" s="645"/>
      <c r="W30" s="645"/>
      <c r="X30" s="8">
        <v>1</v>
      </c>
      <c r="Y30" s="8">
        <v>1</v>
      </c>
      <c r="Z30" s="645"/>
      <c r="AA30" s="645"/>
      <c r="AB30" s="645"/>
      <c r="AC30" s="645"/>
      <c r="AD30" s="645"/>
      <c r="AE30" s="645"/>
      <c r="AF30" s="645"/>
      <c r="AG30" s="645"/>
      <c r="AH30" s="645"/>
      <c r="AI30" s="645"/>
      <c r="AJ30" s="645"/>
      <c r="AK30" s="645"/>
      <c r="AL30" s="8">
        <f t="shared" si="7"/>
        <v>8</v>
      </c>
      <c r="AM30" s="11" t="s">
        <v>1714</v>
      </c>
      <c r="AN30" s="645"/>
    </row>
    <row r="31" spans="1:40" ht="12.75" customHeight="1">
      <c r="A31" s="8" t="s">
        <v>182</v>
      </c>
      <c r="B31" s="645"/>
      <c r="C31" s="8">
        <v>1</v>
      </c>
      <c r="D31" s="8">
        <v>1</v>
      </c>
      <c r="E31" s="645"/>
      <c r="F31" s="645"/>
      <c r="G31" s="645"/>
      <c r="H31" s="645"/>
      <c r="I31" s="645"/>
      <c r="J31" s="645"/>
      <c r="K31" s="645"/>
      <c r="L31" s="645"/>
      <c r="M31" s="645"/>
      <c r="N31" s="645"/>
      <c r="O31" s="645"/>
      <c r="P31" s="645"/>
      <c r="Q31" s="645"/>
      <c r="R31" s="8">
        <v>1</v>
      </c>
      <c r="S31" s="645"/>
      <c r="T31" s="645"/>
      <c r="U31" s="8">
        <v>1</v>
      </c>
      <c r="V31" s="645"/>
      <c r="W31" s="645"/>
      <c r="X31" s="8">
        <v>1</v>
      </c>
      <c r="Y31" s="8">
        <v>1</v>
      </c>
      <c r="Z31" s="645"/>
      <c r="AA31" s="8">
        <v>1</v>
      </c>
      <c r="AB31" s="645"/>
      <c r="AC31" s="645"/>
      <c r="AD31" s="645"/>
      <c r="AE31" s="645"/>
      <c r="AF31" s="8">
        <v>1</v>
      </c>
      <c r="AG31" s="645"/>
      <c r="AH31" s="645"/>
      <c r="AI31" s="645"/>
      <c r="AJ31" s="645"/>
      <c r="AK31" s="8">
        <v>1</v>
      </c>
      <c r="AL31" s="8">
        <f t="shared" si="7"/>
        <v>9</v>
      </c>
      <c r="AM31" s="11" t="s">
        <v>1715</v>
      </c>
      <c r="AN31" s="645"/>
    </row>
    <row r="32" spans="1:40" ht="12.75" customHeight="1">
      <c r="A32" s="8" t="s">
        <v>1297</v>
      </c>
      <c r="B32" s="645"/>
      <c r="C32" s="645"/>
      <c r="D32" s="8">
        <v>1</v>
      </c>
      <c r="E32" s="8">
        <v>1</v>
      </c>
      <c r="F32" s="645"/>
      <c r="G32" s="645"/>
      <c r="H32" s="8">
        <v>1</v>
      </c>
      <c r="I32" s="645"/>
      <c r="J32" s="645"/>
      <c r="K32" s="645"/>
      <c r="L32" s="645"/>
      <c r="M32" s="645"/>
      <c r="N32" s="645"/>
      <c r="O32" s="645"/>
      <c r="P32" s="645"/>
      <c r="Q32" s="645"/>
      <c r="R32" s="8">
        <v>1</v>
      </c>
      <c r="S32" s="645"/>
      <c r="T32" s="645"/>
      <c r="U32" s="8">
        <v>1</v>
      </c>
      <c r="V32" s="8">
        <v>1</v>
      </c>
      <c r="W32" s="645"/>
      <c r="X32" s="8">
        <v>1</v>
      </c>
      <c r="Y32" s="8">
        <v>1</v>
      </c>
      <c r="Z32" s="645"/>
      <c r="AA32" s="645"/>
      <c r="AB32" s="645"/>
      <c r="AC32" s="645"/>
      <c r="AD32" s="645"/>
      <c r="AE32" s="645"/>
      <c r="AF32" s="8">
        <v>1</v>
      </c>
      <c r="AG32" s="8">
        <v>1</v>
      </c>
      <c r="AH32" s="645"/>
      <c r="AI32" s="645"/>
      <c r="AJ32" s="645"/>
      <c r="AK32" s="645"/>
      <c r="AL32" s="8">
        <f t="shared" si="7"/>
        <v>10</v>
      </c>
      <c r="AM32" s="11" t="s">
        <v>1716</v>
      </c>
      <c r="AN32" s="645"/>
    </row>
    <row r="33" spans="1:39" ht="12.75" customHeight="1">
      <c r="A33" s="8" t="s">
        <v>191</v>
      </c>
      <c r="B33" s="645"/>
      <c r="C33" s="645"/>
      <c r="D33" s="645"/>
      <c r="E33" s="8">
        <v>1</v>
      </c>
      <c r="F33" s="645"/>
      <c r="G33" s="645"/>
      <c r="H33" s="8">
        <v>1</v>
      </c>
      <c r="I33" s="645"/>
      <c r="J33" s="645"/>
      <c r="K33" s="645"/>
      <c r="L33" s="645"/>
      <c r="M33" s="645"/>
      <c r="N33" s="645"/>
      <c r="O33" s="645"/>
      <c r="P33" s="645"/>
      <c r="Q33" s="645"/>
      <c r="R33" s="645"/>
      <c r="S33" s="8">
        <v>1</v>
      </c>
      <c r="T33" s="645"/>
      <c r="U33" s="8">
        <v>1</v>
      </c>
      <c r="V33" s="645"/>
      <c r="W33" s="8">
        <v>1</v>
      </c>
      <c r="X33" s="8">
        <v>1</v>
      </c>
      <c r="Y33" s="8">
        <v>1</v>
      </c>
      <c r="Z33" s="645"/>
      <c r="AA33" s="8">
        <v>1</v>
      </c>
      <c r="AB33" s="645"/>
      <c r="AC33" s="8">
        <v>1</v>
      </c>
      <c r="AD33" s="8">
        <v>1</v>
      </c>
      <c r="AE33" s="645"/>
      <c r="AF33" s="645"/>
      <c r="AG33" s="645"/>
      <c r="AH33" s="645"/>
      <c r="AI33" s="645"/>
      <c r="AJ33" s="645"/>
      <c r="AK33" s="645"/>
      <c r="AL33" s="8">
        <f t="shared" si="7"/>
        <v>10</v>
      </c>
      <c r="AM33" s="11" t="s">
        <v>1717</v>
      </c>
    </row>
    <row r="34" spans="1:39" ht="12.75" customHeight="1">
      <c r="A34" s="8" t="s">
        <v>1461</v>
      </c>
      <c r="B34" s="645"/>
      <c r="C34" s="8">
        <v>1</v>
      </c>
      <c r="D34" s="8">
        <v>1</v>
      </c>
      <c r="E34" s="8">
        <v>1</v>
      </c>
      <c r="F34" s="645"/>
      <c r="G34" s="645"/>
      <c r="H34" s="8">
        <v>1</v>
      </c>
      <c r="I34" s="645"/>
      <c r="J34" s="645"/>
      <c r="K34" s="645"/>
      <c r="L34" s="645"/>
      <c r="M34" s="645"/>
      <c r="N34" s="645"/>
      <c r="O34" s="645"/>
      <c r="P34" s="8">
        <v>1</v>
      </c>
      <c r="Q34" s="645"/>
      <c r="R34" s="645"/>
      <c r="S34" s="645"/>
      <c r="T34" s="645"/>
      <c r="U34" s="8">
        <v>1</v>
      </c>
      <c r="V34" s="645"/>
      <c r="W34" s="645"/>
      <c r="X34" s="8">
        <v>1</v>
      </c>
      <c r="Y34" s="8">
        <v>1</v>
      </c>
      <c r="Z34" s="645"/>
      <c r="AA34" s="645"/>
      <c r="AB34" s="645"/>
      <c r="AC34" s="8">
        <v>1</v>
      </c>
      <c r="AD34" s="645"/>
      <c r="AE34" s="645"/>
      <c r="AF34" s="645"/>
      <c r="AG34" s="8">
        <v>1</v>
      </c>
      <c r="AH34" s="645"/>
      <c r="AI34" s="645"/>
      <c r="AJ34" s="645"/>
      <c r="AK34" s="645"/>
      <c r="AL34" s="8">
        <f t="shared" si="7"/>
        <v>10</v>
      </c>
      <c r="AM34" s="11" t="s">
        <v>1718</v>
      </c>
    </row>
    <row r="35" spans="1:39" ht="12.75" customHeight="1">
      <c r="A35" s="8" t="s">
        <v>196</v>
      </c>
      <c r="B35" s="645"/>
      <c r="C35" s="8">
        <v>1</v>
      </c>
      <c r="D35" s="8">
        <v>1</v>
      </c>
      <c r="E35" s="645"/>
      <c r="F35" s="645"/>
      <c r="G35" s="645"/>
      <c r="H35" s="645"/>
      <c r="I35" s="645"/>
      <c r="J35" s="645"/>
      <c r="K35" s="645"/>
      <c r="L35" s="645"/>
      <c r="M35" s="645"/>
      <c r="N35" s="645"/>
      <c r="O35" s="645"/>
      <c r="P35" s="8">
        <v>1</v>
      </c>
      <c r="Q35" s="645"/>
      <c r="R35" s="645"/>
      <c r="S35" s="645"/>
      <c r="T35" s="645"/>
      <c r="U35" s="8">
        <v>1</v>
      </c>
      <c r="V35" s="645"/>
      <c r="W35" s="645"/>
      <c r="X35" s="8">
        <v>1</v>
      </c>
      <c r="Y35" s="8">
        <v>1</v>
      </c>
      <c r="Z35" s="645"/>
      <c r="AA35" s="8">
        <v>1</v>
      </c>
      <c r="AB35" s="645"/>
      <c r="AC35" s="645"/>
      <c r="AD35" s="645"/>
      <c r="AE35" s="645"/>
      <c r="AF35" s="8">
        <v>1</v>
      </c>
      <c r="AG35" s="8">
        <v>1</v>
      </c>
      <c r="AH35" s="645"/>
      <c r="AI35" s="645"/>
      <c r="AJ35" s="645"/>
      <c r="AK35" s="645"/>
      <c r="AL35" s="8">
        <f t="shared" si="7"/>
        <v>9</v>
      </c>
      <c r="AM35" s="11" t="s">
        <v>1719</v>
      </c>
    </row>
    <row r="36" spans="1:39" ht="12.75" customHeight="1">
      <c r="A36" s="8" t="s">
        <v>1720</v>
      </c>
      <c r="B36" s="645"/>
      <c r="C36" s="645"/>
      <c r="D36" s="645"/>
      <c r="E36" s="8">
        <v>1</v>
      </c>
      <c r="F36" s="645"/>
      <c r="G36" s="645"/>
      <c r="H36" s="645"/>
      <c r="I36" s="645"/>
      <c r="J36" s="645"/>
      <c r="K36" s="645"/>
      <c r="L36" s="645"/>
      <c r="M36" s="645"/>
      <c r="N36" s="645"/>
      <c r="O36" s="645"/>
      <c r="P36" s="645"/>
      <c r="Q36" s="645"/>
      <c r="R36" s="645"/>
      <c r="S36" s="645"/>
      <c r="T36" s="645"/>
      <c r="U36" s="8">
        <v>1</v>
      </c>
      <c r="V36" s="645"/>
      <c r="W36" s="645"/>
      <c r="X36" s="645"/>
      <c r="Y36" s="645"/>
      <c r="Z36" s="645"/>
      <c r="AA36" s="645"/>
      <c r="AB36" s="645"/>
      <c r="AC36" s="645"/>
      <c r="AD36" s="645"/>
      <c r="AE36" s="645"/>
      <c r="AF36" s="645"/>
      <c r="AG36" s="645"/>
      <c r="AH36" s="645"/>
      <c r="AI36" s="645"/>
      <c r="AJ36" s="645"/>
      <c r="AK36" s="645"/>
      <c r="AL36" s="8">
        <f t="shared" si="7"/>
        <v>2</v>
      </c>
      <c r="AM36" s="11" t="s">
        <v>1697</v>
      </c>
    </row>
    <row r="37" spans="1:39" ht="12.75" customHeight="1">
      <c r="A37" s="8" t="s">
        <v>203</v>
      </c>
      <c r="B37" s="645"/>
      <c r="C37" s="645"/>
      <c r="D37" s="645"/>
      <c r="E37" s="645"/>
      <c r="F37" s="645"/>
      <c r="G37" s="645"/>
      <c r="H37" s="645"/>
      <c r="I37" s="645"/>
      <c r="J37" s="645"/>
      <c r="K37" s="645"/>
      <c r="L37" s="645"/>
      <c r="M37" s="645"/>
      <c r="N37" s="645"/>
      <c r="O37" s="645"/>
      <c r="P37" s="645"/>
      <c r="Q37" s="645"/>
      <c r="R37" s="645"/>
      <c r="S37" s="645"/>
      <c r="T37" s="645"/>
      <c r="U37" s="8">
        <v>1</v>
      </c>
      <c r="V37" s="645"/>
      <c r="W37" s="645"/>
      <c r="X37" s="645"/>
      <c r="Y37" s="645"/>
      <c r="Z37" s="645"/>
      <c r="AA37" s="645"/>
      <c r="AB37" s="645"/>
      <c r="AC37" s="645"/>
      <c r="AD37" s="645"/>
      <c r="AE37" s="645"/>
      <c r="AF37" s="645"/>
      <c r="AG37" s="645"/>
      <c r="AH37" s="645"/>
      <c r="AI37" s="645"/>
      <c r="AJ37" s="645"/>
      <c r="AK37" s="645"/>
      <c r="AL37" s="8">
        <f t="shared" si="7"/>
        <v>1</v>
      </c>
      <c r="AM37" s="11" t="s">
        <v>1710</v>
      </c>
    </row>
    <row r="38" spans="1:39" ht="12.75" customHeight="1">
      <c r="A38" s="8" t="s">
        <v>209</v>
      </c>
      <c r="B38" s="645"/>
      <c r="C38" s="8">
        <v>1</v>
      </c>
      <c r="D38" s="8">
        <v>1</v>
      </c>
      <c r="E38" s="8">
        <v>1</v>
      </c>
      <c r="F38" s="645"/>
      <c r="G38" s="645"/>
      <c r="H38" s="8">
        <v>1</v>
      </c>
      <c r="I38" s="645"/>
      <c r="J38" s="645"/>
      <c r="K38" s="645"/>
      <c r="L38" s="645"/>
      <c r="M38" s="645"/>
      <c r="N38" s="645"/>
      <c r="O38" s="645"/>
      <c r="P38" s="8">
        <v>1</v>
      </c>
      <c r="Q38" s="645"/>
      <c r="R38" s="645"/>
      <c r="S38" s="645"/>
      <c r="T38" s="645"/>
      <c r="U38" s="8">
        <v>1</v>
      </c>
      <c r="V38" s="8">
        <v>1</v>
      </c>
      <c r="W38" s="645"/>
      <c r="X38" s="645"/>
      <c r="Y38" s="8">
        <v>1</v>
      </c>
      <c r="Z38" s="645"/>
      <c r="AA38" s="645"/>
      <c r="AB38" s="645"/>
      <c r="AC38" s="8">
        <v>1</v>
      </c>
      <c r="AD38" s="645"/>
      <c r="AE38" s="645"/>
      <c r="AF38" s="645"/>
      <c r="AG38" s="8">
        <v>1</v>
      </c>
      <c r="AH38" s="645"/>
      <c r="AI38" s="645"/>
      <c r="AJ38" s="645"/>
      <c r="AK38" s="645"/>
      <c r="AL38" s="8">
        <f t="shared" si="7"/>
        <v>10</v>
      </c>
      <c r="AM38" s="11" t="s">
        <v>1718</v>
      </c>
    </row>
    <row r="39" spans="1:39" ht="12.75" customHeight="1">
      <c r="A39" s="8" t="s">
        <v>211</v>
      </c>
      <c r="B39" s="645"/>
      <c r="C39" s="645"/>
      <c r="D39" s="645"/>
      <c r="E39" s="645"/>
      <c r="F39" s="645"/>
      <c r="G39" s="645"/>
      <c r="H39" s="645"/>
      <c r="I39" s="645"/>
      <c r="J39" s="645"/>
      <c r="K39" s="645"/>
      <c r="L39" s="645"/>
      <c r="M39" s="645"/>
      <c r="N39" s="645"/>
      <c r="O39" s="645"/>
      <c r="P39" s="645"/>
      <c r="Q39" s="645"/>
      <c r="R39" s="8">
        <v>1</v>
      </c>
      <c r="S39" s="645"/>
      <c r="T39" s="645"/>
      <c r="U39" s="8">
        <v>1</v>
      </c>
      <c r="V39" s="645"/>
      <c r="W39" s="645"/>
      <c r="X39" s="645"/>
      <c r="Y39" s="8">
        <v>1</v>
      </c>
      <c r="Z39" s="645"/>
      <c r="AA39" s="645"/>
      <c r="AB39" s="645"/>
      <c r="AC39" s="645"/>
      <c r="AD39" s="645"/>
      <c r="AE39" s="645"/>
      <c r="AF39" s="8">
        <v>1</v>
      </c>
      <c r="AG39" s="645"/>
      <c r="AH39" s="645"/>
      <c r="AI39" s="645"/>
      <c r="AJ39" s="645"/>
      <c r="AK39" s="645"/>
      <c r="AL39" s="8">
        <f t="shared" si="7"/>
        <v>4</v>
      </c>
      <c r="AM39" s="11" t="s">
        <v>1710</v>
      </c>
    </row>
    <row r="40" spans="1:39" ht="12.75" customHeight="1">
      <c r="A40" s="8" t="s">
        <v>1721</v>
      </c>
      <c r="B40" s="645"/>
      <c r="C40" s="645"/>
      <c r="D40" s="645"/>
      <c r="E40" s="8">
        <v>1</v>
      </c>
      <c r="F40" s="645"/>
      <c r="G40" s="645"/>
      <c r="H40" s="8">
        <v>1</v>
      </c>
      <c r="I40" s="645"/>
      <c r="J40" s="645"/>
      <c r="K40" s="645"/>
      <c r="L40" s="645"/>
      <c r="M40" s="645"/>
      <c r="N40" s="645"/>
      <c r="O40" s="645"/>
      <c r="P40" s="645"/>
      <c r="Q40" s="645"/>
      <c r="R40" s="645"/>
      <c r="S40" s="645"/>
      <c r="T40" s="645"/>
      <c r="U40" s="8">
        <v>1</v>
      </c>
      <c r="V40" s="645"/>
      <c r="W40" s="645"/>
      <c r="X40" s="645"/>
      <c r="Y40" s="645"/>
      <c r="Z40" s="645"/>
      <c r="AA40" s="645"/>
      <c r="AB40" s="645"/>
      <c r="AC40" s="645"/>
      <c r="AD40" s="645"/>
      <c r="AE40" s="645"/>
      <c r="AF40" s="8">
        <v>1</v>
      </c>
      <c r="AG40" s="645"/>
      <c r="AH40" s="645"/>
      <c r="AI40" s="645"/>
      <c r="AJ40" s="645"/>
      <c r="AK40" s="645"/>
      <c r="AL40" s="8">
        <f t="shared" si="7"/>
        <v>4</v>
      </c>
      <c r="AM40" s="11" t="s">
        <v>1722</v>
      </c>
    </row>
    <row r="41" spans="1:39" ht="12.75" customHeight="1">
      <c r="A41" s="8" t="s">
        <v>1471</v>
      </c>
      <c r="B41" s="645"/>
      <c r="C41" s="645"/>
      <c r="D41" s="645"/>
      <c r="E41" s="645"/>
      <c r="F41" s="645"/>
      <c r="G41" s="645"/>
      <c r="H41" s="645"/>
      <c r="I41" s="645"/>
      <c r="J41" s="645"/>
      <c r="K41" s="645"/>
      <c r="L41" s="645"/>
      <c r="M41" s="645"/>
      <c r="N41" s="645"/>
      <c r="O41" s="645"/>
      <c r="P41" s="645"/>
      <c r="Q41" s="645"/>
      <c r="R41" s="645"/>
      <c r="S41" s="645"/>
      <c r="T41" s="645"/>
      <c r="U41" s="8">
        <v>1</v>
      </c>
      <c r="V41" s="645"/>
      <c r="W41" s="645"/>
      <c r="X41" s="645"/>
      <c r="Y41" s="645"/>
      <c r="Z41" s="645"/>
      <c r="AA41" s="645"/>
      <c r="AB41" s="645"/>
      <c r="AC41" s="645"/>
      <c r="AD41" s="645"/>
      <c r="AE41" s="645"/>
      <c r="AF41" s="645"/>
      <c r="AG41" s="645"/>
      <c r="AH41" s="645"/>
      <c r="AI41" s="645"/>
      <c r="AJ41" s="645"/>
      <c r="AK41" s="645"/>
      <c r="AL41" s="8">
        <f t="shared" si="7"/>
        <v>1</v>
      </c>
      <c r="AM41" s="11" t="s">
        <v>1698</v>
      </c>
    </row>
    <row r="42" spans="1:39" ht="12.75" customHeight="1">
      <c r="A42" s="8" t="s">
        <v>1723</v>
      </c>
      <c r="B42" s="645"/>
      <c r="C42" s="8">
        <v>1</v>
      </c>
      <c r="D42" s="8">
        <v>1</v>
      </c>
      <c r="E42" s="645"/>
      <c r="F42" s="645"/>
      <c r="G42" s="645"/>
      <c r="H42" s="645"/>
      <c r="I42" s="645"/>
      <c r="J42" s="645"/>
      <c r="K42" s="645"/>
      <c r="L42" s="645"/>
      <c r="M42" s="645"/>
      <c r="N42" s="645"/>
      <c r="O42" s="8">
        <v>1</v>
      </c>
      <c r="P42" s="645"/>
      <c r="Q42" s="8">
        <v>1</v>
      </c>
      <c r="R42" s="645"/>
      <c r="S42" s="645"/>
      <c r="T42" s="645"/>
      <c r="U42" s="8">
        <v>1</v>
      </c>
      <c r="V42" s="8">
        <v>1</v>
      </c>
      <c r="W42" s="645"/>
      <c r="X42" s="8">
        <v>1</v>
      </c>
      <c r="Y42" s="645"/>
      <c r="Z42" s="645"/>
      <c r="AA42" s="8">
        <v>1</v>
      </c>
      <c r="AB42" s="645"/>
      <c r="AC42" s="8">
        <v>1</v>
      </c>
      <c r="AD42" s="645"/>
      <c r="AE42" s="645"/>
      <c r="AF42" s="8">
        <v>1</v>
      </c>
      <c r="AG42" s="645"/>
      <c r="AH42" s="645"/>
      <c r="AI42" s="645"/>
      <c r="AJ42" s="645"/>
      <c r="AK42" s="645"/>
      <c r="AL42" s="8">
        <f t="shared" si="7"/>
        <v>10</v>
      </c>
      <c r="AM42" s="11" t="s">
        <v>1697</v>
      </c>
    </row>
    <row r="43" spans="1:39" ht="12.75" customHeight="1">
      <c r="A43" s="8" t="s">
        <v>219</v>
      </c>
      <c r="B43" s="645"/>
      <c r="C43" s="8">
        <v>1</v>
      </c>
      <c r="D43" s="8">
        <v>1</v>
      </c>
      <c r="E43" s="645"/>
      <c r="F43" s="645"/>
      <c r="G43" s="645"/>
      <c r="H43" s="645"/>
      <c r="I43" s="645"/>
      <c r="J43" s="645"/>
      <c r="K43" s="645"/>
      <c r="L43" s="645"/>
      <c r="M43" s="645"/>
      <c r="N43" s="645"/>
      <c r="O43" s="645"/>
      <c r="P43" s="8">
        <v>1</v>
      </c>
      <c r="Q43" s="645"/>
      <c r="R43" s="645"/>
      <c r="S43" s="645"/>
      <c r="T43" s="645"/>
      <c r="U43" s="8">
        <v>1</v>
      </c>
      <c r="V43" s="8">
        <v>1</v>
      </c>
      <c r="W43" s="645"/>
      <c r="X43" s="645"/>
      <c r="Y43" s="645"/>
      <c r="Z43" s="645"/>
      <c r="AA43" s="645"/>
      <c r="AB43" s="645"/>
      <c r="AC43" s="8">
        <v>1</v>
      </c>
      <c r="AD43" s="645"/>
      <c r="AE43" s="645"/>
      <c r="AF43" s="645"/>
      <c r="AG43" s="645"/>
      <c r="AH43" s="645"/>
      <c r="AI43" s="645"/>
      <c r="AJ43" s="645"/>
      <c r="AK43" s="645"/>
      <c r="AL43" s="8">
        <f t="shared" si="7"/>
        <v>6</v>
      </c>
      <c r="AM43" s="11" t="s">
        <v>1698</v>
      </c>
    </row>
    <row r="44" spans="1:39" ht="12.75" customHeight="1">
      <c r="A44" s="8" t="s">
        <v>220</v>
      </c>
      <c r="B44" s="645"/>
      <c r="C44" s="8">
        <v>1</v>
      </c>
      <c r="D44" s="8">
        <v>1</v>
      </c>
      <c r="E44" s="8">
        <v>1</v>
      </c>
      <c r="F44" s="645"/>
      <c r="G44" s="645"/>
      <c r="H44" s="8">
        <v>1</v>
      </c>
      <c r="I44" s="645"/>
      <c r="J44" s="645"/>
      <c r="K44" s="645"/>
      <c r="L44" s="645"/>
      <c r="M44" s="645"/>
      <c r="N44" s="645"/>
      <c r="O44" s="645"/>
      <c r="P44" s="645"/>
      <c r="Q44" s="645"/>
      <c r="R44" s="645"/>
      <c r="S44" s="645"/>
      <c r="T44" s="645"/>
      <c r="U44" s="8">
        <v>1</v>
      </c>
      <c r="V44" s="8">
        <v>1</v>
      </c>
      <c r="W44" s="645"/>
      <c r="X44" s="8">
        <v>1</v>
      </c>
      <c r="Y44" s="645"/>
      <c r="Z44" s="645"/>
      <c r="AA44" s="645"/>
      <c r="AB44" s="645"/>
      <c r="AC44" s="8">
        <v>1</v>
      </c>
      <c r="AD44" s="645"/>
      <c r="AE44" s="645"/>
      <c r="AF44" s="645"/>
      <c r="AG44" s="645"/>
      <c r="AH44" s="645"/>
      <c r="AI44" s="645"/>
      <c r="AJ44" s="645"/>
      <c r="AK44" s="645"/>
      <c r="AL44" s="8">
        <f t="shared" si="7"/>
        <v>8</v>
      </c>
      <c r="AM44" s="11" t="s">
        <v>1698</v>
      </c>
    </row>
    <row r="45" spans="1:39" ht="12.75" customHeight="1">
      <c r="A45" s="8" t="s">
        <v>228</v>
      </c>
      <c r="B45" s="645"/>
      <c r="C45" s="8">
        <v>1</v>
      </c>
      <c r="D45" s="8">
        <v>1</v>
      </c>
      <c r="E45" s="8">
        <v>1</v>
      </c>
      <c r="F45" s="645"/>
      <c r="G45" s="645"/>
      <c r="H45" s="8">
        <v>1</v>
      </c>
      <c r="I45" s="645"/>
      <c r="J45" s="645"/>
      <c r="K45" s="645"/>
      <c r="L45" s="645"/>
      <c r="M45" s="645"/>
      <c r="N45" s="645"/>
      <c r="O45" s="645"/>
      <c r="P45" s="8">
        <v>1</v>
      </c>
      <c r="Q45" s="645"/>
      <c r="R45" s="645"/>
      <c r="S45" s="645"/>
      <c r="T45" s="645"/>
      <c r="U45" s="8">
        <v>1</v>
      </c>
      <c r="V45" s="645"/>
      <c r="W45" s="645"/>
      <c r="X45" s="8">
        <v>1</v>
      </c>
      <c r="Y45" s="8">
        <v>1</v>
      </c>
      <c r="Z45" s="645"/>
      <c r="AA45" s="645"/>
      <c r="AB45" s="645"/>
      <c r="AC45" s="8">
        <v>1</v>
      </c>
      <c r="AD45" s="8">
        <v>1</v>
      </c>
      <c r="AE45" s="645"/>
      <c r="AF45" s="645"/>
      <c r="AG45" s="645"/>
      <c r="AH45" s="645"/>
      <c r="AI45" s="645"/>
      <c r="AJ45" s="645"/>
      <c r="AK45" s="645"/>
      <c r="AL45" s="8">
        <f t="shared" si="7"/>
        <v>10</v>
      </c>
      <c r="AM45" s="11" t="s">
        <v>1724</v>
      </c>
    </row>
    <row r="46" spans="1:39" ht="12.75" customHeight="1">
      <c r="A46" s="8" t="s">
        <v>1725</v>
      </c>
      <c r="B46" s="645"/>
      <c r="C46" s="645"/>
      <c r="D46" s="8">
        <v>1</v>
      </c>
      <c r="E46" s="645"/>
      <c r="F46" s="645"/>
      <c r="G46" s="645"/>
      <c r="H46" s="645"/>
      <c r="I46" s="645"/>
      <c r="J46" s="645"/>
      <c r="K46" s="8">
        <v>1</v>
      </c>
      <c r="L46" s="645"/>
      <c r="M46" s="645"/>
      <c r="N46" s="645"/>
      <c r="O46" s="645"/>
      <c r="P46" s="8">
        <v>1</v>
      </c>
      <c r="Q46" s="8">
        <v>1</v>
      </c>
      <c r="R46" s="645"/>
      <c r="S46" s="645"/>
      <c r="T46" s="645"/>
      <c r="U46" s="8">
        <v>1</v>
      </c>
      <c r="V46" s="645"/>
      <c r="W46" s="645"/>
      <c r="X46" s="645"/>
      <c r="Y46" s="8">
        <v>1</v>
      </c>
      <c r="Z46" s="645"/>
      <c r="AA46" s="8">
        <v>1</v>
      </c>
      <c r="AB46" s="645"/>
      <c r="AC46" s="8">
        <v>1</v>
      </c>
      <c r="AD46" s="645"/>
      <c r="AE46" s="645"/>
      <c r="AF46" s="8">
        <v>1</v>
      </c>
      <c r="AG46" s="8">
        <v>1</v>
      </c>
      <c r="AH46" s="645"/>
      <c r="AI46" s="645"/>
      <c r="AJ46" s="645"/>
      <c r="AK46" s="645"/>
      <c r="AL46" s="8">
        <f t="shared" si="7"/>
        <v>10</v>
      </c>
      <c r="AM46" s="11" t="s">
        <v>1726</v>
      </c>
    </row>
    <row r="47" spans="1:39" ht="12.75" customHeight="1">
      <c r="A47" s="8" t="s">
        <v>237</v>
      </c>
      <c r="B47" s="645"/>
      <c r="C47" s="645"/>
      <c r="D47" s="645"/>
      <c r="E47" s="645"/>
      <c r="F47" s="645"/>
      <c r="G47" s="645"/>
      <c r="H47" s="645"/>
      <c r="I47" s="645"/>
      <c r="J47" s="645"/>
      <c r="K47" s="645"/>
      <c r="L47" s="645"/>
      <c r="M47" s="645"/>
      <c r="N47" s="645"/>
      <c r="O47" s="645"/>
      <c r="P47" s="645"/>
      <c r="Q47" s="8">
        <v>1</v>
      </c>
      <c r="R47" s="8">
        <v>1</v>
      </c>
      <c r="S47" s="645"/>
      <c r="T47" s="645"/>
      <c r="U47" s="8">
        <v>1</v>
      </c>
      <c r="V47" s="8">
        <v>1</v>
      </c>
      <c r="W47" s="645"/>
      <c r="X47" s="645"/>
      <c r="Y47" s="8">
        <v>1</v>
      </c>
      <c r="Z47" s="645"/>
      <c r="AA47" s="8">
        <v>1</v>
      </c>
      <c r="AB47" s="645"/>
      <c r="AC47" s="645"/>
      <c r="AD47" s="645"/>
      <c r="AE47" s="645"/>
      <c r="AF47" s="645"/>
      <c r="AG47" s="645"/>
      <c r="AH47" s="645"/>
      <c r="AI47" s="645"/>
      <c r="AJ47" s="645"/>
      <c r="AK47" s="645"/>
      <c r="AL47" s="8">
        <f t="shared" si="7"/>
        <v>6</v>
      </c>
      <c r="AM47" s="11" t="s">
        <v>1727</v>
      </c>
    </row>
    <row r="48" spans="1:39" ht="12.75" customHeight="1">
      <c r="A48" s="8" t="s">
        <v>1728</v>
      </c>
      <c r="B48" s="645"/>
      <c r="C48" s="645"/>
      <c r="D48" s="8">
        <v>1</v>
      </c>
      <c r="E48" s="645"/>
      <c r="F48" s="645"/>
      <c r="G48" s="645"/>
      <c r="H48" s="645"/>
      <c r="I48" s="645"/>
      <c r="J48" s="645"/>
      <c r="K48" s="645"/>
      <c r="L48" s="645"/>
      <c r="M48" s="645"/>
      <c r="N48" s="645"/>
      <c r="O48" s="645"/>
      <c r="P48" s="645"/>
      <c r="Q48" s="645"/>
      <c r="R48" s="645"/>
      <c r="S48" s="645"/>
      <c r="T48" s="645"/>
      <c r="U48" s="8">
        <v>1</v>
      </c>
      <c r="V48" s="645"/>
      <c r="W48" s="645"/>
      <c r="X48" s="8">
        <v>1</v>
      </c>
      <c r="Y48" s="8">
        <v>1</v>
      </c>
      <c r="Z48" s="645"/>
      <c r="AA48" s="8">
        <v>1</v>
      </c>
      <c r="AB48" s="645"/>
      <c r="AC48" s="8">
        <v>1</v>
      </c>
      <c r="AD48" s="645"/>
      <c r="AE48" s="645"/>
      <c r="AF48" s="8">
        <v>1</v>
      </c>
      <c r="AG48" s="645"/>
      <c r="AH48" s="645"/>
      <c r="AI48" s="8">
        <v>1</v>
      </c>
      <c r="AJ48" s="645"/>
      <c r="AK48" s="645"/>
      <c r="AL48" s="8">
        <f t="shared" si="7"/>
        <v>8</v>
      </c>
      <c r="AM48" s="11" t="s">
        <v>1729</v>
      </c>
    </row>
    <row r="49" spans="1:39" ht="12.75" customHeight="1">
      <c r="A49" s="8" t="s">
        <v>1730</v>
      </c>
      <c r="B49" s="645"/>
      <c r="C49" s="8">
        <v>1</v>
      </c>
      <c r="D49" s="8">
        <v>1</v>
      </c>
      <c r="E49" s="8">
        <v>1</v>
      </c>
      <c r="F49" s="645"/>
      <c r="G49" s="645"/>
      <c r="H49" s="8">
        <v>1</v>
      </c>
      <c r="I49" s="645"/>
      <c r="J49" s="645"/>
      <c r="K49" s="645"/>
      <c r="L49" s="645"/>
      <c r="M49" s="645"/>
      <c r="N49" s="645"/>
      <c r="O49" s="645"/>
      <c r="P49" s="645"/>
      <c r="Q49" s="645"/>
      <c r="R49" s="645"/>
      <c r="S49" s="8">
        <v>1</v>
      </c>
      <c r="T49" s="645"/>
      <c r="U49" s="8">
        <v>1</v>
      </c>
      <c r="V49" s="645"/>
      <c r="W49" s="8">
        <v>1</v>
      </c>
      <c r="X49" s="8">
        <v>1</v>
      </c>
      <c r="Y49" s="645"/>
      <c r="Z49" s="645"/>
      <c r="AA49" s="645"/>
      <c r="AB49" s="645"/>
      <c r="AC49" s="645"/>
      <c r="AD49" s="8">
        <v>1</v>
      </c>
      <c r="AE49" s="645"/>
      <c r="AF49" s="8">
        <v>1</v>
      </c>
      <c r="AG49" s="645"/>
      <c r="AH49" s="645"/>
      <c r="AI49" s="645"/>
      <c r="AJ49" s="645"/>
      <c r="AK49" s="645"/>
      <c r="AL49" s="8">
        <f t="shared" si="7"/>
        <v>10</v>
      </c>
      <c r="AM49" s="11" t="s">
        <v>1731</v>
      </c>
    </row>
    <row r="50" spans="1:39" ht="12.75" customHeight="1">
      <c r="A50" s="8" t="s">
        <v>1732</v>
      </c>
      <c r="B50" s="645"/>
      <c r="C50" s="645"/>
      <c r="D50" s="645"/>
      <c r="E50" s="645"/>
      <c r="F50" s="645"/>
      <c r="G50" s="645"/>
      <c r="H50" s="645"/>
      <c r="I50" s="645"/>
      <c r="J50" s="645"/>
      <c r="K50" s="645"/>
      <c r="L50" s="645"/>
      <c r="M50" s="645"/>
      <c r="N50" s="645"/>
      <c r="O50" s="645"/>
      <c r="P50" s="645"/>
      <c r="Q50" s="8">
        <v>1</v>
      </c>
      <c r="R50" s="645"/>
      <c r="S50" s="645"/>
      <c r="T50" s="645"/>
      <c r="U50" s="8">
        <v>1</v>
      </c>
      <c r="V50" s="645"/>
      <c r="W50" s="645"/>
      <c r="X50" s="645"/>
      <c r="Y50" s="645"/>
      <c r="Z50" s="645"/>
      <c r="AA50" s="8">
        <v>1</v>
      </c>
      <c r="AB50" s="645"/>
      <c r="AC50" s="8">
        <v>1</v>
      </c>
      <c r="AD50" s="645"/>
      <c r="AE50" s="645"/>
      <c r="AF50" s="645"/>
      <c r="AG50" s="645"/>
      <c r="AH50" s="645"/>
      <c r="AI50" s="645"/>
      <c r="AJ50" s="645"/>
      <c r="AK50" s="645"/>
      <c r="AL50" s="8">
        <f t="shared" si="7"/>
        <v>4</v>
      </c>
      <c r="AM50" s="11" t="s">
        <v>1731</v>
      </c>
    </row>
    <row r="51" spans="1:39" ht="12.75" customHeight="1">
      <c r="A51" s="8" t="s">
        <v>1174</v>
      </c>
      <c r="B51" s="645"/>
      <c r="C51" s="645"/>
      <c r="D51" s="645"/>
      <c r="E51" s="645"/>
      <c r="F51" s="645"/>
      <c r="G51" s="645"/>
      <c r="H51" s="645"/>
      <c r="I51" s="645"/>
      <c r="J51" s="645"/>
      <c r="K51" s="645"/>
      <c r="L51" s="645"/>
      <c r="M51" s="645"/>
      <c r="N51" s="645"/>
      <c r="O51" s="645"/>
      <c r="P51" s="8">
        <v>1</v>
      </c>
      <c r="Q51" s="645"/>
      <c r="R51" s="645"/>
      <c r="S51" s="645"/>
      <c r="T51" s="645"/>
      <c r="U51" s="8">
        <v>1</v>
      </c>
      <c r="V51" s="645"/>
      <c r="W51" s="645"/>
      <c r="X51" s="645"/>
      <c r="Y51" s="8">
        <v>1</v>
      </c>
      <c r="Z51" s="645"/>
      <c r="AA51" s="645"/>
      <c r="AB51" s="645"/>
      <c r="AC51" s="8">
        <v>1</v>
      </c>
      <c r="AD51" s="645"/>
      <c r="AE51" s="645"/>
      <c r="AF51" s="645"/>
      <c r="AG51" s="645"/>
      <c r="AH51" s="645"/>
      <c r="AI51" s="645"/>
      <c r="AJ51" s="645"/>
      <c r="AK51" s="645"/>
      <c r="AL51" s="8">
        <f t="shared" si="7"/>
        <v>4</v>
      </c>
      <c r="AM51" s="11" t="s">
        <v>1733</v>
      </c>
    </row>
    <row r="52" spans="1:39" ht="12.75" customHeight="1">
      <c r="A52" s="8" t="s">
        <v>241</v>
      </c>
      <c r="B52" s="645"/>
      <c r="C52" s="8">
        <v>1</v>
      </c>
      <c r="D52" s="645"/>
      <c r="E52" s="8">
        <v>1</v>
      </c>
      <c r="F52" s="645"/>
      <c r="G52" s="645"/>
      <c r="H52" s="8">
        <v>1</v>
      </c>
      <c r="I52" s="645"/>
      <c r="J52" s="645"/>
      <c r="K52" s="645"/>
      <c r="L52" s="645"/>
      <c r="M52" s="645"/>
      <c r="N52" s="645"/>
      <c r="O52" s="8">
        <v>1</v>
      </c>
      <c r="P52" s="645"/>
      <c r="Q52" s="645"/>
      <c r="R52" s="645"/>
      <c r="S52" s="8">
        <v>1</v>
      </c>
      <c r="T52" s="645"/>
      <c r="U52" s="8">
        <v>1</v>
      </c>
      <c r="V52" s="645"/>
      <c r="W52" s="645"/>
      <c r="X52" s="8">
        <v>1</v>
      </c>
      <c r="Y52" s="645"/>
      <c r="Z52" s="645"/>
      <c r="AA52" s="8">
        <v>1</v>
      </c>
      <c r="AB52" s="645"/>
      <c r="AC52" s="8">
        <v>1</v>
      </c>
      <c r="AD52" s="8">
        <v>1</v>
      </c>
      <c r="AE52" s="645"/>
      <c r="AF52" s="645"/>
      <c r="AG52" s="645"/>
      <c r="AH52" s="645"/>
      <c r="AI52" s="645"/>
      <c r="AJ52" s="645"/>
      <c r="AK52" s="645"/>
      <c r="AL52" s="8">
        <f t="shared" si="7"/>
        <v>10</v>
      </c>
      <c r="AM52" s="11" t="s">
        <v>1734</v>
      </c>
    </row>
    <row r="53" spans="1:39" ht="12.75" customHeight="1">
      <c r="A53" s="8" t="s">
        <v>1176</v>
      </c>
      <c r="B53" s="645"/>
      <c r="C53" s="645"/>
      <c r="D53" s="8">
        <v>1</v>
      </c>
      <c r="E53" s="645"/>
      <c r="F53" s="645"/>
      <c r="G53" s="645"/>
      <c r="H53" s="645"/>
      <c r="I53" s="645"/>
      <c r="J53" s="645"/>
      <c r="K53" s="645"/>
      <c r="L53" s="645"/>
      <c r="M53" s="645"/>
      <c r="N53" s="645"/>
      <c r="O53" s="8">
        <v>1</v>
      </c>
      <c r="P53" s="8">
        <v>1</v>
      </c>
      <c r="Q53" s="645"/>
      <c r="R53" s="8">
        <v>1</v>
      </c>
      <c r="S53" s="645"/>
      <c r="T53" s="645"/>
      <c r="U53" s="8">
        <v>1</v>
      </c>
      <c r="V53" s="645"/>
      <c r="W53" s="645"/>
      <c r="X53" s="645"/>
      <c r="Y53" s="8">
        <v>1</v>
      </c>
      <c r="Z53" s="645"/>
      <c r="AA53" s="645"/>
      <c r="AB53" s="645"/>
      <c r="AC53" s="645"/>
      <c r="AD53" s="645"/>
      <c r="AE53" s="645"/>
      <c r="AF53" s="645"/>
      <c r="AG53" s="645"/>
      <c r="AH53" s="645"/>
      <c r="AI53" s="645"/>
      <c r="AJ53" s="645"/>
      <c r="AK53" s="645"/>
      <c r="AL53" s="8">
        <f t="shared" si="7"/>
        <v>6</v>
      </c>
      <c r="AM53" s="11" t="s">
        <v>1735</v>
      </c>
    </row>
    <row r="54" spans="1:39" ht="12.75" customHeight="1">
      <c r="A54" s="8" t="s">
        <v>242</v>
      </c>
      <c r="B54" s="645"/>
      <c r="C54" s="8">
        <v>1</v>
      </c>
      <c r="D54" s="8">
        <v>1</v>
      </c>
      <c r="E54" s="645"/>
      <c r="F54" s="645"/>
      <c r="G54" s="645"/>
      <c r="H54" s="645"/>
      <c r="I54" s="645"/>
      <c r="J54" s="645"/>
      <c r="K54" s="645"/>
      <c r="L54" s="645"/>
      <c r="M54" s="645"/>
      <c r="N54" s="645"/>
      <c r="O54" s="645"/>
      <c r="P54" s="645"/>
      <c r="Q54" s="645"/>
      <c r="R54" s="645"/>
      <c r="S54" s="645"/>
      <c r="T54" s="645"/>
      <c r="U54" s="8">
        <v>1</v>
      </c>
      <c r="V54" s="645"/>
      <c r="W54" s="645"/>
      <c r="X54" s="8">
        <v>1</v>
      </c>
      <c r="Y54" s="645"/>
      <c r="Z54" s="645"/>
      <c r="AA54" s="8">
        <v>1</v>
      </c>
      <c r="AB54" s="645"/>
      <c r="AC54" s="645"/>
      <c r="AD54" s="645"/>
      <c r="AE54" s="645"/>
      <c r="AF54" s="645"/>
      <c r="AG54" s="645"/>
      <c r="AH54" s="645"/>
      <c r="AI54" s="645"/>
      <c r="AJ54" s="645"/>
      <c r="AK54" s="645"/>
      <c r="AL54" s="8">
        <f t="shared" si="7"/>
        <v>5</v>
      </c>
      <c r="AM54" s="11" t="s">
        <v>1736</v>
      </c>
    </row>
    <row r="55" spans="1:39" ht="25.5">
      <c r="A55" s="8" t="s">
        <v>245</v>
      </c>
      <c r="B55" s="645"/>
      <c r="C55" s="8">
        <v>1</v>
      </c>
      <c r="D55" s="8">
        <v>1</v>
      </c>
      <c r="E55" s="8">
        <v>1</v>
      </c>
      <c r="F55" s="645"/>
      <c r="G55" s="645"/>
      <c r="H55" s="8">
        <v>1</v>
      </c>
      <c r="I55" s="645"/>
      <c r="J55" s="645"/>
      <c r="K55" s="645"/>
      <c r="L55" s="645"/>
      <c r="M55" s="645"/>
      <c r="N55" s="645"/>
      <c r="O55" s="645"/>
      <c r="P55" s="645"/>
      <c r="Q55" s="645"/>
      <c r="R55" s="8">
        <v>1</v>
      </c>
      <c r="S55" s="645"/>
      <c r="T55" s="645"/>
      <c r="U55" s="8">
        <v>1</v>
      </c>
      <c r="V55" s="645"/>
      <c r="W55" s="645"/>
      <c r="X55" s="8">
        <v>1</v>
      </c>
      <c r="Y55" s="8">
        <v>1</v>
      </c>
      <c r="Z55" s="645"/>
      <c r="AA55" s="8">
        <v>1</v>
      </c>
      <c r="AB55" s="645"/>
      <c r="AC55" s="645"/>
      <c r="AD55" s="645"/>
      <c r="AE55" s="645"/>
      <c r="AF55" s="645"/>
      <c r="AG55" s="645"/>
      <c r="AH55" s="645"/>
      <c r="AI55" s="645"/>
      <c r="AJ55" s="645"/>
      <c r="AK55" s="645"/>
      <c r="AL55" s="8">
        <f t="shared" si="7"/>
        <v>9</v>
      </c>
      <c r="AM55" s="11" t="s">
        <v>1737</v>
      </c>
    </row>
    <row r="56" spans="1:39" ht="25.5">
      <c r="A56" s="8" t="s">
        <v>247</v>
      </c>
      <c r="B56" s="645"/>
      <c r="C56" s="8">
        <v>1</v>
      </c>
      <c r="D56" s="8">
        <v>1</v>
      </c>
      <c r="E56" s="8">
        <v>1</v>
      </c>
      <c r="F56" s="645"/>
      <c r="G56" s="645"/>
      <c r="H56" s="8">
        <v>1</v>
      </c>
      <c r="I56" s="645"/>
      <c r="J56" s="645"/>
      <c r="K56" s="645"/>
      <c r="L56" s="645"/>
      <c r="M56" s="645"/>
      <c r="N56" s="645"/>
      <c r="O56" s="645"/>
      <c r="P56" s="8">
        <v>1</v>
      </c>
      <c r="Q56" s="645"/>
      <c r="R56" s="645"/>
      <c r="S56" s="645"/>
      <c r="T56" s="645"/>
      <c r="U56" s="8">
        <v>1</v>
      </c>
      <c r="V56" s="8">
        <v>1</v>
      </c>
      <c r="W56" s="645"/>
      <c r="X56" s="645"/>
      <c r="Y56" s="8">
        <v>1</v>
      </c>
      <c r="Z56" s="645"/>
      <c r="AA56" s="8">
        <v>1</v>
      </c>
      <c r="AB56" s="645"/>
      <c r="AC56" s="645"/>
      <c r="AD56" s="645"/>
      <c r="AE56" s="645"/>
      <c r="AF56" s="8">
        <v>1</v>
      </c>
      <c r="AG56" s="645"/>
      <c r="AH56" s="645"/>
      <c r="AI56" s="645"/>
      <c r="AJ56" s="645"/>
      <c r="AK56" s="645"/>
      <c r="AL56" s="8">
        <f t="shared" si="7"/>
        <v>10</v>
      </c>
      <c r="AM56" s="11" t="s">
        <v>1738</v>
      </c>
    </row>
    <row r="57" spans="1:39" ht="25.5">
      <c r="A57" s="8" t="s">
        <v>250</v>
      </c>
      <c r="B57" s="645"/>
      <c r="C57" s="8">
        <v>1</v>
      </c>
      <c r="D57" s="8">
        <v>1</v>
      </c>
      <c r="E57" s="8">
        <v>1</v>
      </c>
      <c r="F57" s="645"/>
      <c r="G57" s="645"/>
      <c r="H57" s="8">
        <v>1</v>
      </c>
      <c r="I57" s="645"/>
      <c r="J57" s="645"/>
      <c r="K57" s="645"/>
      <c r="L57" s="645"/>
      <c r="M57" s="645"/>
      <c r="N57" s="645"/>
      <c r="O57" s="645"/>
      <c r="P57" s="645"/>
      <c r="Q57" s="645"/>
      <c r="R57" s="645"/>
      <c r="S57" s="645"/>
      <c r="T57" s="645"/>
      <c r="U57" s="8">
        <v>1</v>
      </c>
      <c r="V57" s="8">
        <v>1</v>
      </c>
      <c r="W57" s="645"/>
      <c r="X57" s="645"/>
      <c r="Y57" s="8">
        <v>1</v>
      </c>
      <c r="Z57" s="645"/>
      <c r="AA57" s="8">
        <v>1</v>
      </c>
      <c r="AB57" s="645"/>
      <c r="AC57" s="645"/>
      <c r="AD57" s="645"/>
      <c r="AE57" s="645"/>
      <c r="AF57" s="645"/>
      <c r="AG57" s="645"/>
      <c r="AH57" s="645"/>
      <c r="AI57" s="645"/>
      <c r="AJ57" s="645"/>
      <c r="AK57" s="645"/>
      <c r="AL57" s="8">
        <f t="shared" si="7"/>
        <v>8</v>
      </c>
      <c r="AM57" s="11" t="s">
        <v>1739</v>
      </c>
    </row>
    <row r="58" spans="1:39" ht="25.5">
      <c r="A58" s="8" t="s">
        <v>443</v>
      </c>
      <c r="B58" s="645"/>
      <c r="C58" s="645"/>
      <c r="D58" s="645"/>
      <c r="E58" s="645"/>
      <c r="F58" s="645"/>
      <c r="G58" s="645"/>
      <c r="H58" s="645"/>
      <c r="I58" s="645"/>
      <c r="J58" s="645"/>
      <c r="K58" s="645"/>
      <c r="L58" s="645"/>
      <c r="M58" s="645"/>
      <c r="N58" s="645"/>
      <c r="O58" s="645"/>
      <c r="P58" s="645"/>
      <c r="Q58" s="645"/>
      <c r="R58" s="645"/>
      <c r="S58" s="645"/>
      <c r="T58" s="645"/>
      <c r="U58" s="8">
        <v>1</v>
      </c>
      <c r="V58" s="645"/>
      <c r="W58" s="645"/>
      <c r="X58" s="645"/>
      <c r="Y58" s="8">
        <v>1</v>
      </c>
      <c r="Z58" s="645"/>
      <c r="AA58" s="645"/>
      <c r="AB58" s="645"/>
      <c r="AC58" s="645"/>
      <c r="AD58" s="645"/>
      <c r="AE58" s="645"/>
      <c r="AF58" s="8">
        <v>1</v>
      </c>
      <c r="AG58" s="645"/>
      <c r="AH58" s="645"/>
      <c r="AI58" s="645"/>
      <c r="AJ58" s="645"/>
      <c r="AK58" s="645"/>
      <c r="AL58" s="8">
        <f t="shared" si="7"/>
        <v>3</v>
      </c>
      <c r="AM58" s="11" t="s">
        <v>1740</v>
      </c>
    </row>
    <row r="59" spans="1:39">
      <c r="A59" s="8" t="s">
        <v>267</v>
      </c>
      <c r="B59" s="645"/>
      <c r="C59" s="8">
        <v>1</v>
      </c>
      <c r="D59" s="8">
        <v>1</v>
      </c>
      <c r="E59" s="8">
        <v>1</v>
      </c>
      <c r="F59" s="645"/>
      <c r="G59" s="645"/>
      <c r="H59" s="8">
        <v>1</v>
      </c>
      <c r="I59" s="645"/>
      <c r="J59" s="645"/>
      <c r="K59" s="645"/>
      <c r="L59" s="645"/>
      <c r="M59" s="645"/>
      <c r="N59" s="645"/>
      <c r="O59" s="645"/>
      <c r="P59" s="645"/>
      <c r="Q59" s="645"/>
      <c r="R59" s="645"/>
      <c r="S59" s="645"/>
      <c r="T59" s="645"/>
      <c r="U59" s="8">
        <v>1</v>
      </c>
      <c r="V59" s="645"/>
      <c r="W59" s="645"/>
      <c r="X59" s="8">
        <v>1</v>
      </c>
      <c r="Y59" s="8">
        <v>1</v>
      </c>
      <c r="Z59" s="645"/>
      <c r="AA59" s="8">
        <v>1</v>
      </c>
      <c r="AB59" s="645"/>
      <c r="AC59" s="645"/>
      <c r="AD59" s="645"/>
      <c r="AE59" s="645"/>
      <c r="AF59" s="645"/>
      <c r="AG59" s="645"/>
      <c r="AH59" s="645"/>
      <c r="AI59" s="645"/>
      <c r="AJ59" s="645"/>
      <c r="AK59" s="645"/>
      <c r="AL59" s="8">
        <f t="shared" si="7"/>
        <v>8</v>
      </c>
      <c r="AM59" s="11" t="s">
        <v>1741</v>
      </c>
    </row>
    <row r="60" spans="1:39" ht="25.5">
      <c r="A60" s="8" t="s">
        <v>1493</v>
      </c>
      <c r="B60" s="645"/>
      <c r="C60" s="8">
        <v>1</v>
      </c>
      <c r="D60" s="8">
        <v>1</v>
      </c>
      <c r="E60" s="645"/>
      <c r="F60" s="645"/>
      <c r="G60" s="645"/>
      <c r="H60" s="645"/>
      <c r="I60" s="645"/>
      <c r="J60" s="645"/>
      <c r="K60" s="645"/>
      <c r="L60" s="645"/>
      <c r="M60" s="645"/>
      <c r="N60" s="645"/>
      <c r="O60" s="645"/>
      <c r="P60" s="645"/>
      <c r="Q60" s="645"/>
      <c r="R60" s="645"/>
      <c r="S60" s="645"/>
      <c r="T60" s="645"/>
      <c r="U60" s="8">
        <v>1</v>
      </c>
      <c r="V60" s="645"/>
      <c r="W60" s="645"/>
      <c r="X60" s="645"/>
      <c r="Y60" s="645"/>
      <c r="Z60" s="645"/>
      <c r="AA60" s="645"/>
      <c r="AB60" s="645"/>
      <c r="AC60" s="8">
        <v>1</v>
      </c>
      <c r="AD60" s="645"/>
      <c r="AE60" s="645"/>
      <c r="AF60" s="8">
        <v>1</v>
      </c>
      <c r="AG60" s="645"/>
      <c r="AH60" s="645"/>
      <c r="AI60" s="645"/>
      <c r="AJ60" s="645"/>
      <c r="AK60" s="645"/>
      <c r="AL60" s="645"/>
      <c r="AM60" s="11" t="s">
        <v>1698</v>
      </c>
    </row>
    <row r="61" spans="1:39">
      <c r="A61" s="8" t="s">
        <v>258</v>
      </c>
      <c r="B61" s="645"/>
      <c r="C61" s="645"/>
      <c r="D61" s="8">
        <v>1</v>
      </c>
      <c r="E61" s="645"/>
      <c r="F61" s="645"/>
      <c r="G61" s="645"/>
      <c r="H61" s="645"/>
      <c r="I61" s="645"/>
      <c r="J61" s="645"/>
      <c r="K61" s="645"/>
      <c r="L61" s="645"/>
      <c r="M61" s="645"/>
      <c r="N61" s="645"/>
      <c r="O61" s="645"/>
      <c r="P61" s="8">
        <v>1</v>
      </c>
      <c r="Q61" s="645"/>
      <c r="R61" s="8">
        <v>1</v>
      </c>
      <c r="S61" s="645"/>
      <c r="T61" s="645"/>
      <c r="U61" s="8">
        <v>1</v>
      </c>
      <c r="V61" s="8">
        <v>1</v>
      </c>
      <c r="W61" s="645"/>
      <c r="X61" s="8">
        <v>1</v>
      </c>
      <c r="Y61" s="8">
        <v>1</v>
      </c>
      <c r="Z61" s="645"/>
      <c r="AA61" s="645"/>
      <c r="AB61" s="645"/>
      <c r="AC61" s="8">
        <v>1</v>
      </c>
      <c r="AD61" s="645"/>
      <c r="AE61" s="645"/>
      <c r="AF61" s="8">
        <v>1</v>
      </c>
      <c r="AG61" s="645"/>
      <c r="AH61" s="645"/>
      <c r="AI61" s="645"/>
      <c r="AJ61" s="645"/>
      <c r="AK61" s="645"/>
      <c r="AL61" s="8">
        <f t="shared" ref="AL61:AL110" si="8">SUM(B61:AK61)</f>
        <v>9</v>
      </c>
      <c r="AM61" s="11" t="s">
        <v>1742</v>
      </c>
    </row>
    <row r="62" spans="1:39">
      <c r="A62" s="8" t="s">
        <v>1743</v>
      </c>
      <c r="B62" s="645"/>
      <c r="C62" s="8">
        <v>1</v>
      </c>
      <c r="D62" s="8">
        <v>1</v>
      </c>
      <c r="E62" s="8">
        <v>1</v>
      </c>
      <c r="F62" s="645"/>
      <c r="G62" s="645"/>
      <c r="H62" s="8">
        <v>1</v>
      </c>
      <c r="I62" s="645"/>
      <c r="J62" s="645"/>
      <c r="K62" s="645"/>
      <c r="L62" s="645"/>
      <c r="M62" s="645"/>
      <c r="N62" s="645"/>
      <c r="O62" s="645"/>
      <c r="P62" s="8">
        <v>1</v>
      </c>
      <c r="Q62" s="645"/>
      <c r="R62" s="645"/>
      <c r="S62" s="645"/>
      <c r="T62" s="645"/>
      <c r="U62" s="8">
        <v>1</v>
      </c>
      <c r="V62" s="645"/>
      <c r="W62" s="645"/>
      <c r="X62" s="8">
        <v>1</v>
      </c>
      <c r="Y62" s="8">
        <v>1</v>
      </c>
      <c r="Z62" s="645"/>
      <c r="AA62" s="8">
        <v>1</v>
      </c>
      <c r="AB62" s="645"/>
      <c r="AC62" s="645"/>
      <c r="AD62" s="645"/>
      <c r="AE62" s="645"/>
      <c r="AF62" s="645"/>
      <c r="AG62" s="645"/>
      <c r="AH62" s="645"/>
      <c r="AI62" s="645"/>
      <c r="AJ62" s="645"/>
      <c r="AK62" s="645"/>
      <c r="AL62" s="8">
        <f t="shared" si="8"/>
        <v>9</v>
      </c>
      <c r="AM62" s="11" t="s">
        <v>1710</v>
      </c>
    </row>
    <row r="63" spans="1:39" ht="25.5">
      <c r="A63" s="8" t="s">
        <v>281</v>
      </c>
      <c r="B63" s="645"/>
      <c r="C63" s="8">
        <v>1</v>
      </c>
      <c r="D63" s="8">
        <v>1</v>
      </c>
      <c r="E63" s="8">
        <v>1</v>
      </c>
      <c r="F63" s="645"/>
      <c r="G63" s="645"/>
      <c r="H63" s="8">
        <v>1</v>
      </c>
      <c r="I63" s="645"/>
      <c r="J63" s="645"/>
      <c r="K63" s="645"/>
      <c r="L63" s="645"/>
      <c r="M63" s="645"/>
      <c r="N63" s="645"/>
      <c r="O63" s="645"/>
      <c r="P63" s="645"/>
      <c r="Q63" s="645"/>
      <c r="R63" s="645"/>
      <c r="S63" s="8">
        <v>1</v>
      </c>
      <c r="T63" s="645"/>
      <c r="U63" s="8">
        <v>1</v>
      </c>
      <c r="V63" s="645"/>
      <c r="W63" s="645"/>
      <c r="X63" s="8">
        <v>1</v>
      </c>
      <c r="Y63" s="645"/>
      <c r="Z63" s="645"/>
      <c r="AA63" s="8">
        <v>1</v>
      </c>
      <c r="AB63" s="645"/>
      <c r="AC63" s="645"/>
      <c r="AD63" s="645"/>
      <c r="AE63" s="645"/>
      <c r="AF63" s="8">
        <v>1</v>
      </c>
      <c r="AG63" s="645"/>
      <c r="AH63" s="645"/>
      <c r="AI63" s="645"/>
      <c r="AJ63" s="645"/>
      <c r="AK63" s="645"/>
      <c r="AL63" s="8">
        <f t="shared" si="8"/>
        <v>9</v>
      </c>
      <c r="AM63" s="11" t="s">
        <v>1744</v>
      </c>
    </row>
    <row r="64" spans="1:39">
      <c r="A64" s="8" t="s">
        <v>450</v>
      </c>
      <c r="B64" s="645"/>
      <c r="C64" s="645"/>
      <c r="D64" s="8">
        <v>1</v>
      </c>
      <c r="E64" s="645"/>
      <c r="F64" s="645"/>
      <c r="G64" s="645"/>
      <c r="H64" s="645"/>
      <c r="I64" s="645"/>
      <c r="J64" s="645"/>
      <c r="K64" s="645"/>
      <c r="L64" s="645"/>
      <c r="M64" s="645"/>
      <c r="N64" s="645"/>
      <c r="O64" s="645"/>
      <c r="P64" s="645"/>
      <c r="Q64" s="645"/>
      <c r="R64" s="8">
        <v>1</v>
      </c>
      <c r="S64" s="645"/>
      <c r="T64" s="645"/>
      <c r="U64" s="8">
        <v>1</v>
      </c>
      <c r="V64" s="645"/>
      <c r="W64" s="645"/>
      <c r="X64" s="645"/>
      <c r="Y64" s="645"/>
      <c r="Z64" s="645"/>
      <c r="AA64" s="8">
        <v>1</v>
      </c>
      <c r="AB64" s="645"/>
      <c r="AC64" s="645"/>
      <c r="AD64" s="645"/>
      <c r="AE64" s="645"/>
      <c r="AF64" s="645"/>
      <c r="AG64" s="645"/>
      <c r="AH64" s="645"/>
      <c r="AI64" s="645"/>
      <c r="AJ64" s="645"/>
      <c r="AK64" s="645"/>
      <c r="AL64" s="8">
        <f t="shared" si="8"/>
        <v>4</v>
      </c>
      <c r="AM64" s="8" t="s">
        <v>1745</v>
      </c>
    </row>
    <row r="65" spans="1:39">
      <c r="A65" s="8" t="s">
        <v>276</v>
      </c>
      <c r="B65" s="645"/>
      <c r="C65" s="645"/>
      <c r="D65" s="8">
        <v>1</v>
      </c>
      <c r="E65" s="8">
        <v>1</v>
      </c>
      <c r="F65" s="645"/>
      <c r="G65" s="645"/>
      <c r="H65" s="8">
        <v>1</v>
      </c>
      <c r="I65" s="645"/>
      <c r="J65" s="645"/>
      <c r="K65" s="645"/>
      <c r="L65" s="645"/>
      <c r="M65" s="645"/>
      <c r="N65" s="645"/>
      <c r="O65" s="645"/>
      <c r="P65" s="645"/>
      <c r="Q65" s="645"/>
      <c r="R65" s="645"/>
      <c r="S65" s="645"/>
      <c r="T65" s="645"/>
      <c r="U65" s="8">
        <v>1</v>
      </c>
      <c r="V65" s="645"/>
      <c r="W65" s="645"/>
      <c r="X65" s="8">
        <v>1</v>
      </c>
      <c r="Y65" s="645"/>
      <c r="Z65" s="645"/>
      <c r="AA65" s="645"/>
      <c r="AB65" s="645"/>
      <c r="AC65" s="645"/>
      <c r="AD65" s="645"/>
      <c r="AE65" s="645"/>
      <c r="AF65" s="645"/>
      <c r="AG65" s="645"/>
      <c r="AH65" s="645"/>
      <c r="AI65" s="645"/>
      <c r="AJ65" s="645"/>
      <c r="AK65" s="645"/>
      <c r="AL65" s="8">
        <f t="shared" si="8"/>
        <v>5</v>
      </c>
      <c r="AM65" s="11" t="s">
        <v>1741</v>
      </c>
    </row>
    <row r="66" spans="1:39">
      <c r="A66" s="8" t="s">
        <v>1516</v>
      </c>
      <c r="B66" s="645"/>
      <c r="C66" s="645"/>
      <c r="D66" s="8">
        <v>1</v>
      </c>
      <c r="E66" s="8">
        <v>1</v>
      </c>
      <c r="F66" s="645"/>
      <c r="G66" s="645"/>
      <c r="H66" s="8">
        <v>1</v>
      </c>
      <c r="I66" s="645"/>
      <c r="J66" s="645"/>
      <c r="K66" s="645"/>
      <c r="L66" s="645"/>
      <c r="M66" s="645"/>
      <c r="N66" s="645"/>
      <c r="O66" s="645"/>
      <c r="P66" s="645"/>
      <c r="Q66" s="645"/>
      <c r="R66" s="645"/>
      <c r="S66" s="645"/>
      <c r="T66" s="645"/>
      <c r="U66" s="8">
        <v>1</v>
      </c>
      <c r="V66" s="8">
        <v>1</v>
      </c>
      <c r="W66" s="8">
        <v>1</v>
      </c>
      <c r="X66" s="645"/>
      <c r="Y66" s="8">
        <v>1</v>
      </c>
      <c r="Z66" s="645"/>
      <c r="AA66" s="645"/>
      <c r="AB66" s="645"/>
      <c r="AC66" s="645"/>
      <c r="AD66" s="645"/>
      <c r="AE66" s="645"/>
      <c r="AF66" s="645"/>
      <c r="AG66" s="645"/>
      <c r="AH66" s="645"/>
      <c r="AI66" s="645"/>
      <c r="AJ66" s="645"/>
      <c r="AK66" s="645"/>
      <c r="AL66" s="8">
        <f t="shared" si="8"/>
        <v>7</v>
      </c>
      <c r="AM66" s="11" t="s">
        <v>1746</v>
      </c>
    </row>
    <row r="67" spans="1:39" ht="25.5">
      <c r="A67" s="8" t="s">
        <v>1747</v>
      </c>
      <c r="B67" s="645"/>
      <c r="C67" s="645"/>
      <c r="D67" s="645"/>
      <c r="E67" s="8">
        <v>1</v>
      </c>
      <c r="F67" s="645"/>
      <c r="G67" s="645"/>
      <c r="H67" s="8">
        <v>1</v>
      </c>
      <c r="I67" s="645"/>
      <c r="J67" s="645"/>
      <c r="K67" s="645"/>
      <c r="L67" s="645"/>
      <c r="M67" s="645"/>
      <c r="N67" s="645"/>
      <c r="O67" s="645"/>
      <c r="P67" s="645"/>
      <c r="Q67" s="645"/>
      <c r="R67" s="645"/>
      <c r="S67" s="645"/>
      <c r="T67" s="645"/>
      <c r="U67" s="8">
        <v>1</v>
      </c>
      <c r="V67" s="645"/>
      <c r="W67" s="645"/>
      <c r="X67" s="645"/>
      <c r="Y67" s="645"/>
      <c r="Z67" s="645"/>
      <c r="AA67" s="645"/>
      <c r="AB67" s="645"/>
      <c r="AC67" s="645"/>
      <c r="AD67" s="645"/>
      <c r="AE67" s="645"/>
      <c r="AF67" s="645"/>
      <c r="AG67" s="645"/>
      <c r="AH67" s="645"/>
      <c r="AI67" s="645"/>
      <c r="AJ67" s="645"/>
      <c r="AK67" s="645"/>
      <c r="AL67" s="8">
        <f t="shared" si="8"/>
        <v>3</v>
      </c>
      <c r="AM67" s="11" t="s">
        <v>1748</v>
      </c>
    </row>
    <row r="68" spans="1:39">
      <c r="A68" s="8" t="s">
        <v>289</v>
      </c>
      <c r="B68" s="645"/>
      <c r="C68" s="8">
        <v>1</v>
      </c>
      <c r="D68" s="8">
        <v>1</v>
      </c>
      <c r="E68" s="645"/>
      <c r="F68" s="645"/>
      <c r="G68" s="645"/>
      <c r="H68" s="645"/>
      <c r="I68" s="645"/>
      <c r="J68" s="645"/>
      <c r="K68" s="645"/>
      <c r="L68" s="645"/>
      <c r="M68" s="645"/>
      <c r="N68" s="645"/>
      <c r="O68" s="645"/>
      <c r="P68" s="8">
        <v>1</v>
      </c>
      <c r="Q68" s="645"/>
      <c r="R68" s="645"/>
      <c r="S68" s="645"/>
      <c r="T68" s="645"/>
      <c r="U68" s="8">
        <v>1</v>
      </c>
      <c r="V68" s="645"/>
      <c r="W68" s="645"/>
      <c r="X68" s="8">
        <v>1</v>
      </c>
      <c r="Y68" s="8">
        <v>1</v>
      </c>
      <c r="Z68" s="645"/>
      <c r="AA68" s="8">
        <v>1</v>
      </c>
      <c r="AB68" s="645"/>
      <c r="AC68" s="8">
        <v>1</v>
      </c>
      <c r="AD68" s="645"/>
      <c r="AE68" s="645"/>
      <c r="AF68" s="8">
        <v>1</v>
      </c>
      <c r="AG68" s="645"/>
      <c r="AH68" s="645"/>
      <c r="AI68" s="645"/>
      <c r="AJ68" s="645"/>
      <c r="AK68" s="645"/>
      <c r="AL68" s="8">
        <f t="shared" si="8"/>
        <v>9</v>
      </c>
      <c r="AM68" s="11" t="s">
        <v>1734</v>
      </c>
    </row>
    <row r="69" spans="1:39" ht="25.5">
      <c r="A69" s="8" t="s">
        <v>293</v>
      </c>
      <c r="B69" s="645"/>
      <c r="C69" s="645"/>
      <c r="D69" s="8">
        <v>1</v>
      </c>
      <c r="E69" s="645"/>
      <c r="F69" s="645"/>
      <c r="G69" s="645"/>
      <c r="H69" s="645"/>
      <c r="I69" s="645"/>
      <c r="J69" s="645"/>
      <c r="K69" s="645"/>
      <c r="L69" s="645"/>
      <c r="M69" s="645"/>
      <c r="N69" s="645"/>
      <c r="O69" s="645"/>
      <c r="P69" s="645"/>
      <c r="Q69" s="645"/>
      <c r="R69" s="8">
        <v>1</v>
      </c>
      <c r="S69" s="645"/>
      <c r="T69" s="645"/>
      <c r="U69" s="8">
        <v>1</v>
      </c>
      <c r="V69" s="8">
        <v>1</v>
      </c>
      <c r="W69" s="645"/>
      <c r="X69" s="645"/>
      <c r="Y69" s="8">
        <v>1</v>
      </c>
      <c r="Z69" s="645"/>
      <c r="AA69" s="645"/>
      <c r="AB69" s="645"/>
      <c r="AC69" s="645"/>
      <c r="AD69" s="645"/>
      <c r="AE69" s="645"/>
      <c r="AF69" s="8">
        <v>1</v>
      </c>
      <c r="AG69" s="645"/>
      <c r="AH69" s="645"/>
      <c r="AI69" s="645"/>
      <c r="AJ69" s="645"/>
      <c r="AK69" s="645"/>
      <c r="AL69" s="8">
        <f t="shared" si="8"/>
        <v>6</v>
      </c>
      <c r="AM69" s="11" t="s">
        <v>1749</v>
      </c>
    </row>
    <row r="70" spans="1:39" ht="25.5">
      <c r="A70" s="8" t="s">
        <v>456</v>
      </c>
      <c r="B70" s="645"/>
      <c r="C70" s="645"/>
      <c r="D70" s="645"/>
      <c r="E70" s="645"/>
      <c r="F70" s="645"/>
      <c r="G70" s="645"/>
      <c r="H70" s="645"/>
      <c r="I70" s="645"/>
      <c r="J70" s="645"/>
      <c r="K70" s="645"/>
      <c r="L70" s="645"/>
      <c r="M70" s="645"/>
      <c r="N70" s="645"/>
      <c r="O70" s="645"/>
      <c r="P70" s="645"/>
      <c r="Q70" s="645"/>
      <c r="R70" s="645"/>
      <c r="S70" s="645"/>
      <c r="T70" s="645"/>
      <c r="U70" s="8">
        <v>1</v>
      </c>
      <c r="V70" s="645"/>
      <c r="W70" s="645"/>
      <c r="X70" s="645"/>
      <c r="Y70" s="8">
        <v>1</v>
      </c>
      <c r="Z70" s="645"/>
      <c r="AA70" s="645"/>
      <c r="AB70" s="645"/>
      <c r="AC70" s="8">
        <v>1</v>
      </c>
      <c r="AD70" s="645"/>
      <c r="AE70" s="645"/>
      <c r="AF70" s="645"/>
      <c r="AG70" s="645"/>
      <c r="AH70" s="645"/>
      <c r="AI70" s="645"/>
      <c r="AJ70" s="645"/>
      <c r="AK70" s="645"/>
      <c r="AL70" s="8">
        <f t="shared" si="8"/>
        <v>3</v>
      </c>
      <c r="AM70" s="11" t="s">
        <v>1726</v>
      </c>
    </row>
    <row r="71" spans="1:39" ht="25.5">
      <c r="A71" s="8" t="s">
        <v>295</v>
      </c>
      <c r="B71" s="645"/>
      <c r="C71" s="8">
        <v>1</v>
      </c>
      <c r="D71" s="8">
        <v>1</v>
      </c>
      <c r="E71" s="645"/>
      <c r="F71" s="645"/>
      <c r="G71" s="645"/>
      <c r="H71" s="645"/>
      <c r="I71" s="645"/>
      <c r="J71" s="645"/>
      <c r="K71" s="645"/>
      <c r="L71" s="645"/>
      <c r="M71" s="645"/>
      <c r="N71" s="645"/>
      <c r="O71" s="645"/>
      <c r="P71" s="8">
        <v>1</v>
      </c>
      <c r="Q71" s="645"/>
      <c r="R71" s="8">
        <v>1</v>
      </c>
      <c r="S71" s="645"/>
      <c r="T71" s="645"/>
      <c r="U71" s="8">
        <v>1</v>
      </c>
      <c r="V71" s="645"/>
      <c r="W71" s="645"/>
      <c r="X71" s="645"/>
      <c r="Y71" s="8">
        <v>1</v>
      </c>
      <c r="Z71" s="645"/>
      <c r="AA71" s="8">
        <v>1</v>
      </c>
      <c r="AB71" s="645"/>
      <c r="AC71" s="8">
        <v>1</v>
      </c>
      <c r="AD71" s="645"/>
      <c r="AE71" s="645"/>
      <c r="AF71" s="8">
        <v>1</v>
      </c>
      <c r="AG71" s="8">
        <v>1</v>
      </c>
      <c r="AH71" s="645"/>
      <c r="AI71" s="645"/>
      <c r="AJ71" s="645"/>
      <c r="AK71" s="645"/>
      <c r="AL71" s="8">
        <f t="shared" si="8"/>
        <v>10</v>
      </c>
      <c r="AM71" s="11" t="s">
        <v>1737</v>
      </c>
    </row>
    <row r="72" spans="1:39" ht="25.5">
      <c r="A72" s="8" t="s">
        <v>302</v>
      </c>
      <c r="B72" s="645"/>
      <c r="C72" s="8">
        <v>1</v>
      </c>
      <c r="D72" s="8">
        <v>1</v>
      </c>
      <c r="E72" s="645"/>
      <c r="F72" s="645"/>
      <c r="G72" s="645"/>
      <c r="H72" s="645"/>
      <c r="I72" s="645"/>
      <c r="J72" s="645"/>
      <c r="K72" s="645"/>
      <c r="L72" s="645"/>
      <c r="M72" s="645"/>
      <c r="N72" s="645"/>
      <c r="O72" s="645"/>
      <c r="P72" s="8">
        <v>1</v>
      </c>
      <c r="Q72" s="645"/>
      <c r="R72" s="645"/>
      <c r="S72" s="645"/>
      <c r="T72" s="645"/>
      <c r="U72" s="8">
        <v>1</v>
      </c>
      <c r="V72" s="8">
        <v>1</v>
      </c>
      <c r="W72" s="645"/>
      <c r="X72" s="8">
        <v>1</v>
      </c>
      <c r="Y72" s="8">
        <v>1</v>
      </c>
      <c r="Z72" s="645"/>
      <c r="AA72" s="8">
        <v>1</v>
      </c>
      <c r="AB72" s="645"/>
      <c r="AC72" s="8">
        <v>1</v>
      </c>
      <c r="AD72" s="645"/>
      <c r="AE72" s="645"/>
      <c r="AF72" s="8">
        <v>1</v>
      </c>
      <c r="AG72" s="645"/>
      <c r="AH72" s="645"/>
      <c r="AI72" s="645"/>
      <c r="AJ72" s="645"/>
      <c r="AK72" s="645"/>
      <c r="AL72" s="8">
        <f t="shared" si="8"/>
        <v>10</v>
      </c>
      <c r="AM72" s="11" t="s">
        <v>1750</v>
      </c>
    </row>
    <row r="73" spans="1:39" ht="25.5">
      <c r="A73" s="8" t="s">
        <v>303</v>
      </c>
      <c r="B73" s="645"/>
      <c r="C73" s="645"/>
      <c r="D73" s="8">
        <v>1</v>
      </c>
      <c r="E73" s="645"/>
      <c r="F73" s="645"/>
      <c r="G73" s="645"/>
      <c r="H73" s="645"/>
      <c r="I73" s="645"/>
      <c r="J73" s="645"/>
      <c r="K73" s="645"/>
      <c r="L73" s="645"/>
      <c r="M73" s="645"/>
      <c r="N73" s="645"/>
      <c r="O73" s="645"/>
      <c r="P73" s="645"/>
      <c r="Q73" s="645"/>
      <c r="R73" s="645"/>
      <c r="S73" s="645"/>
      <c r="T73" s="645"/>
      <c r="U73" s="8">
        <v>1</v>
      </c>
      <c r="V73" s="645"/>
      <c r="W73" s="645"/>
      <c r="X73" s="645"/>
      <c r="Y73" s="8">
        <v>1</v>
      </c>
      <c r="Z73" s="645"/>
      <c r="AA73" s="8">
        <v>1</v>
      </c>
      <c r="AB73" s="645"/>
      <c r="AC73" s="645"/>
      <c r="AD73" s="645"/>
      <c r="AE73" s="645"/>
      <c r="AF73" s="645"/>
      <c r="AG73" s="645"/>
      <c r="AH73" s="645"/>
      <c r="AI73" s="645"/>
      <c r="AJ73" s="645"/>
      <c r="AK73" s="645"/>
      <c r="AL73" s="8">
        <f t="shared" si="8"/>
        <v>4</v>
      </c>
      <c r="AM73" s="11" t="s">
        <v>1751</v>
      </c>
    </row>
    <row r="74" spans="1:39" ht="25.5">
      <c r="A74" s="8" t="s">
        <v>308</v>
      </c>
      <c r="B74" s="645"/>
      <c r="C74" s="645"/>
      <c r="D74" s="8">
        <v>1</v>
      </c>
      <c r="E74" s="8">
        <v>1</v>
      </c>
      <c r="F74" s="645"/>
      <c r="G74" s="645"/>
      <c r="H74" s="8">
        <v>1</v>
      </c>
      <c r="I74" s="645"/>
      <c r="J74" s="645"/>
      <c r="K74" s="645"/>
      <c r="L74" s="645"/>
      <c r="M74" s="645"/>
      <c r="N74" s="645"/>
      <c r="O74" s="645"/>
      <c r="P74" s="645"/>
      <c r="Q74" s="645"/>
      <c r="R74" s="8">
        <v>1</v>
      </c>
      <c r="S74" s="645"/>
      <c r="T74" s="645"/>
      <c r="U74" s="8">
        <v>1</v>
      </c>
      <c r="V74" s="645"/>
      <c r="W74" s="8">
        <v>1</v>
      </c>
      <c r="X74" s="8">
        <v>1</v>
      </c>
      <c r="Y74" s="645"/>
      <c r="Z74" s="645"/>
      <c r="AA74" s="645"/>
      <c r="AB74" s="645"/>
      <c r="AC74" s="8">
        <v>1</v>
      </c>
      <c r="AD74" s="8">
        <v>1</v>
      </c>
      <c r="AE74" s="645"/>
      <c r="AF74" s="8">
        <v>1</v>
      </c>
      <c r="AG74" s="645"/>
      <c r="AH74" s="645"/>
      <c r="AI74" s="645"/>
      <c r="AJ74" s="645"/>
      <c r="AK74" s="645"/>
      <c r="AL74" s="8">
        <f t="shared" si="8"/>
        <v>10</v>
      </c>
      <c r="AM74" s="11" t="s">
        <v>1752</v>
      </c>
    </row>
    <row r="75" spans="1:39" ht="25.5">
      <c r="A75" s="8" t="s">
        <v>903</v>
      </c>
      <c r="B75" s="645"/>
      <c r="C75" s="645"/>
      <c r="D75" s="645"/>
      <c r="E75" s="645"/>
      <c r="F75" s="645"/>
      <c r="G75" s="645"/>
      <c r="H75" s="645"/>
      <c r="I75" s="645"/>
      <c r="J75" s="645"/>
      <c r="K75" s="645"/>
      <c r="L75" s="645"/>
      <c r="M75" s="645"/>
      <c r="N75" s="645"/>
      <c r="O75" s="645"/>
      <c r="P75" s="645"/>
      <c r="Q75" s="645"/>
      <c r="R75" s="645"/>
      <c r="S75" s="645"/>
      <c r="T75" s="645"/>
      <c r="U75" s="8">
        <v>1</v>
      </c>
      <c r="V75" s="645"/>
      <c r="W75" s="645"/>
      <c r="X75" s="645"/>
      <c r="Y75" s="645"/>
      <c r="Z75" s="645"/>
      <c r="AA75" s="645"/>
      <c r="AB75" s="645"/>
      <c r="AC75" s="645"/>
      <c r="AD75" s="645"/>
      <c r="AE75" s="645"/>
      <c r="AF75" s="645"/>
      <c r="AG75" s="645"/>
      <c r="AH75" s="645"/>
      <c r="AI75" s="645"/>
      <c r="AJ75" s="645"/>
      <c r="AK75" s="645"/>
      <c r="AL75" s="8">
        <f t="shared" si="8"/>
        <v>1</v>
      </c>
      <c r="AM75" s="11" t="s">
        <v>1698</v>
      </c>
    </row>
    <row r="76" spans="1:39">
      <c r="A76" s="8" t="s">
        <v>310</v>
      </c>
      <c r="B76" s="645"/>
      <c r="C76" s="8">
        <v>1</v>
      </c>
      <c r="D76" s="8">
        <v>1</v>
      </c>
      <c r="E76" s="8">
        <v>1</v>
      </c>
      <c r="F76" s="645"/>
      <c r="G76" s="645"/>
      <c r="H76" s="8">
        <v>1</v>
      </c>
      <c r="I76" s="645"/>
      <c r="J76" s="645"/>
      <c r="K76" s="645"/>
      <c r="L76" s="645"/>
      <c r="M76" s="645"/>
      <c r="N76" s="645"/>
      <c r="O76" s="645"/>
      <c r="P76" s="645"/>
      <c r="Q76" s="645"/>
      <c r="R76" s="645"/>
      <c r="S76" s="645"/>
      <c r="T76" s="645"/>
      <c r="U76" s="8">
        <v>1</v>
      </c>
      <c r="V76" s="645"/>
      <c r="W76" s="645"/>
      <c r="X76" s="8">
        <v>1</v>
      </c>
      <c r="Y76" s="8">
        <v>1</v>
      </c>
      <c r="Z76" s="645"/>
      <c r="AA76" s="8">
        <v>1</v>
      </c>
      <c r="AB76" s="645"/>
      <c r="AC76" s="8">
        <v>1</v>
      </c>
      <c r="AD76" s="645"/>
      <c r="AE76" s="645"/>
      <c r="AF76" s="645"/>
      <c r="AG76" s="645"/>
      <c r="AH76" s="645"/>
      <c r="AI76" s="645"/>
      <c r="AJ76" s="645"/>
      <c r="AK76" s="645"/>
      <c r="AL76" s="8">
        <f t="shared" si="8"/>
        <v>9</v>
      </c>
      <c r="AM76" s="11" t="s">
        <v>1710</v>
      </c>
    </row>
    <row r="77" spans="1:39" ht="25.5">
      <c r="A77" s="8" t="s">
        <v>1531</v>
      </c>
      <c r="B77" s="645"/>
      <c r="C77" s="8">
        <v>1</v>
      </c>
      <c r="D77" s="8">
        <v>1</v>
      </c>
      <c r="E77" s="8">
        <v>1</v>
      </c>
      <c r="F77" s="645"/>
      <c r="G77" s="645"/>
      <c r="H77" s="8">
        <v>1</v>
      </c>
      <c r="I77" s="645"/>
      <c r="J77" s="645"/>
      <c r="K77" s="645"/>
      <c r="L77" s="645"/>
      <c r="M77" s="645"/>
      <c r="N77" s="645"/>
      <c r="O77" s="645"/>
      <c r="P77" s="645"/>
      <c r="Q77" s="645"/>
      <c r="R77" s="645"/>
      <c r="S77" s="8">
        <v>1</v>
      </c>
      <c r="T77" s="645"/>
      <c r="U77" s="8">
        <v>1</v>
      </c>
      <c r="V77" s="8">
        <v>1</v>
      </c>
      <c r="W77" s="8">
        <v>1</v>
      </c>
      <c r="X77" s="8">
        <v>1</v>
      </c>
      <c r="Y77" s="645"/>
      <c r="Z77" s="645"/>
      <c r="AA77" s="645"/>
      <c r="AB77" s="645"/>
      <c r="AC77" s="645"/>
      <c r="AD77" s="8">
        <v>1</v>
      </c>
      <c r="AE77" s="645"/>
      <c r="AF77" s="645"/>
      <c r="AG77" s="645"/>
      <c r="AH77" s="645"/>
      <c r="AI77" s="645"/>
      <c r="AJ77" s="645"/>
      <c r="AK77" s="645"/>
      <c r="AL77" s="8">
        <f t="shared" si="8"/>
        <v>10</v>
      </c>
      <c r="AM77" s="11" t="s">
        <v>1753</v>
      </c>
    </row>
    <row r="78" spans="1:39" ht="25.5">
      <c r="A78" s="8" t="s">
        <v>315</v>
      </c>
      <c r="B78" s="645"/>
      <c r="C78" s="8">
        <v>1</v>
      </c>
      <c r="D78" s="8">
        <v>1</v>
      </c>
      <c r="E78" s="8">
        <v>1</v>
      </c>
      <c r="F78" s="645"/>
      <c r="G78" s="645"/>
      <c r="H78" s="8">
        <v>1</v>
      </c>
      <c r="I78" s="645"/>
      <c r="J78" s="645"/>
      <c r="K78" s="645"/>
      <c r="L78" s="645"/>
      <c r="M78" s="645"/>
      <c r="N78" s="645"/>
      <c r="O78" s="645"/>
      <c r="P78" s="645"/>
      <c r="Q78" s="645"/>
      <c r="R78" s="645"/>
      <c r="S78" s="645"/>
      <c r="T78" s="645"/>
      <c r="U78" s="8">
        <v>1</v>
      </c>
      <c r="V78" s="645"/>
      <c r="W78" s="8">
        <v>1</v>
      </c>
      <c r="X78" s="8">
        <v>1</v>
      </c>
      <c r="Y78" s="8">
        <v>1</v>
      </c>
      <c r="Z78" s="645"/>
      <c r="AA78" s="645"/>
      <c r="AB78" s="645"/>
      <c r="AC78" s="645"/>
      <c r="AD78" s="645"/>
      <c r="AE78" s="645"/>
      <c r="AF78" s="8">
        <v>1</v>
      </c>
      <c r="AG78" s="8">
        <v>1</v>
      </c>
      <c r="AH78" s="645"/>
      <c r="AI78" s="645"/>
      <c r="AJ78" s="645"/>
      <c r="AK78" s="645"/>
      <c r="AL78" s="8">
        <f t="shared" si="8"/>
        <v>10</v>
      </c>
      <c r="AM78" s="11" t="s">
        <v>1754</v>
      </c>
    </row>
    <row r="79" spans="1:39" ht="25.5">
      <c r="A79" s="8" t="s">
        <v>1538</v>
      </c>
      <c r="B79" s="645"/>
      <c r="C79" s="645"/>
      <c r="D79" s="645"/>
      <c r="E79" s="8">
        <v>1</v>
      </c>
      <c r="F79" s="645"/>
      <c r="G79" s="645"/>
      <c r="H79" s="8">
        <v>1</v>
      </c>
      <c r="I79" s="645"/>
      <c r="J79" s="645"/>
      <c r="K79" s="645"/>
      <c r="L79" s="645"/>
      <c r="M79" s="645"/>
      <c r="N79" s="645"/>
      <c r="O79" s="645"/>
      <c r="P79" s="8">
        <v>1</v>
      </c>
      <c r="Q79" s="645"/>
      <c r="R79" s="645"/>
      <c r="S79" s="645"/>
      <c r="T79" s="645"/>
      <c r="U79" s="8">
        <v>1</v>
      </c>
      <c r="V79" s="645"/>
      <c r="W79" s="645"/>
      <c r="X79" s="8">
        <v>1</v>
      </c>
      <c r="Y79" s="8">
        <v>1</v>
      </c>
      <c r="Z79" s="645"/>
      <c r="AA79" s="645"/>
      <c r="AB79" s="645"/>
      <c r="AC79" s="8">
        <v>1</v>
      </c>
      <c r="AD79" s="645"/>
      <c r="AE79" s="645"/>
      <c r="AF79" s="645"/>
      <c r="AG79" s="645"/>
      <c r="AH79" s="645"/>
      <c r="AI79" s="645"/>
      <c r="AJ79" s="645"/>
      <c r="AK79" s="645"/>
      <c r="AL79" s="8">
        <f t="shared" si="8"/>
        <v>7</v>
      </c>
      <c r="AM79" s="11" t="s">
        <v>1697</v>
      </c>
    </row>
    <row r="80" spans="1:39" ht="51">
      <c r="A80" s="8" t="s">
        <v>1755</v>
      </c>
      <c r="B80" s="645"/>
      <c r="C80" s="8">
        <v>1</v>
      </c>
      <c r="D80" s="8">
        <v>1</v>
      </c>
      <c r="E80" s="8">
        <v>1</v>
      </c>
      <c r="F80" s="645"/>
      <c r="G80" s="645"/>
      <c r="H80" s="8">
        <v>1</v>
      </c>
      <c r="I80" s="645"/>
      <c r="J80" s="645"/>
      <c r="K80" s="645"/>
      <c r="L80" s="645"/>
      <c r="M80" s="645"/>
      <c r="N80" s="645"/>
      <c r="O80" s="645"/>
      <c r="P80" s="645"/>
      <c r="Q80" s="645"/>
      <c r="R80" s="645"/>
      <c r="S80" s="645"/>
      <c r="T80" s="645"/>
      <c r="U80" s="8">
        <v>1</v>
      </c>
      <c r="V80" s="645"/>
      <c r="W80" s="645"/>
      <c r="X80" s="8">
        <v>1</v>
      </c>
      <c r="Y80" s="645"/>
      <c r="Z80" s="645"/>
      <c r="AA80" s="645"/>
      <c r="AB80" s="645"/>
      <c r="AC80" s="645"/>
      <c r="AD80" s="645"/>
      <c r="AE80" s="645"/>
      <c r="AF80" s="645"/>
      <c r="AG80" s="645"/>
      <c r="AH80" s="645"/>
      <c r="AI80" s="645"/>
      <c r="AJ80" s="645"/>
      <c r="AK80" s="645"/>
      <c r="AL80" s="8">
        <f t="shared" si="8"/>
        <v>6</v>
      </c>
      <c r="AM80" s="8" t="s">
        <v>1756</v>
      </c>
    </row>
    <row r="81" spans="1:39" ht="25.5">
      <c r="A81" s="8" t="s">
        <v>684</v>
      </c>
      <c r="B81" s="645"/>
      <c r="C81" s="8">
        <v>1</v>
      </c>
      <c r="D81" s="645"/>
      <c r="E81" s="645"/>
      <c r="F81" s="645"/>
      <c r="G81" s="645"/>
      <c r="H81" s="645"/>
      <c r="I81" s="645"/>
      <c r="J81" s="645"/>
      <c r="K81" s="645"/>
      <c r="L81" s="645"/>
      <c r="M81" s="645"/>
      <c r="N81" s="645"/>
      <c r="O81" s="645"/>
      <c r="P81" s="645"/>
      <c r="Q81" s="645"/>
      <c r="R81" s="645"/>
      <c r="S81" s="645"/>
      <c r="T81" s="645"/>
      <c r="U81" s="8">
        <v>1</v>
      </c>
      <c r="V81" s="645"/>
      <c r="W81" s="645"/>
      <c r="X81" s="645"/>
      <c r="Y81" s="645"/>
      <c r="Z81" s="645"/>
      <c r="AA81" s="645"/>
      <c r="AB81" s="645"/>
      <c r="AC81" s="8">
        <v>1</v>
      </c>
      <c r="AD81" s="645"/>
      <c r="AE81" s="645"/>
      <c r="AF81" s="645"/>
      <c r="AG81" s="645"/>
      <c r="AH81" s="645"/>
      <c r="AI81" s="645"/>
      <c r="AJ81" s="645"/>
      <c r="AK81" s="645"/>
      <c r="AL81" s="8">
        <f t="shared" si="8"/>
        <v>3</v>
      </c>
      <c r="AM81" s="11" t="s">
        <v>1697</v>
      </c>
    </row>
    <row r="82" spans="1:39" ht="25.5">
      <c r="A82" s="8" t="s">
        <v>332</v>
      </c>
      <c r="B82" s="645"/>
      <c r="C82" s="645"/>
      <c r="D82" s="8">
        <v>1</v>
      </c>
      <c r="E82" s="645"/>
      <c r="F82" s="645"/>
      <c r="G82" s="645"/>
      <c r="H82" s="645"/>
      <c r="I82" s="645"/>
      <c r="J82" s="645"/>
      <c r="K82" s="645"/>
      <c r="L82" s="645"/>
      <c r="M82" s="645"/>
      <c r="N82" s="645"/>
      <c r="O82" s="645"/>
      <c r="P82" s="645"/>
      <c r="Q82" s="645"/>
      <c r="R82" s="645"/>
      <c r="S82" s="645"/>
      <c r="T82" s="645"/>
      <c r="U82" s="8">
        <v>1</v>
      </c>
      <c r="V82" s="645"/>
      <c r="W82" s="645"/>
      <c r="X82" s="8">
        <v>1</v>
      </c>
      <c r="Y82" s="8">
        <v>1</v>
      </c>
      <c r="Z82" s="645"/>
      <c r="AA82" s="645"/>
      <c r="AB82" s="645"/>
      <c r="AC82" s="645"/>
      <c r="AD82" s="645"/>
      <c r="AE82" s="645"/>
      <c r="AF82" s="645"/>
      <c r="AG82" s="645"/>
      <c r="AH82" s="645"/>
      <c r="AI82" s="645"/>
      <c r="AJ82" s="645"/>
      <c r="AK82" s="645"/>
      <c r="AL82" s="8">
        <f t="shared" si="8"/>
        <v>4</v>
      </c>
      <c r="AM82" s="11" t="s">
        <v>1697</v>
      </c>
    </row>
    <row r="83" spans="1:39" ht="25.5">
      <c r="A83" s="35" t="s">
        <v>336</v>
      </c>
      <c r="B83" s="645"/>
      <c r="C83" s="8">
        <v>1</v>
      </c>
      <c r="D83" s="8">
        <v>1</v>
      </c>
      <c r="E83" s="645"/>
      <c r="F83" s="645"/>
      <c r="G83" s="645"/>
      <c r="H83" s="645"/>
      <c r="I83" s="645"/>
      <c r="J83" s="645"/>
      <c r="K83" s="645"/>
      <c r="L83" s="645"/>
      <c r="M83" s="645"/>
      <c r="N83" s="645"/>
      <c r="O83" s="645"/>
      <c r="P83" s="8">
        <v>1</v>
      </c>
      <c r="Q83" s="645"/>
      <c r="R83" s="645"/>
      <c r="S83" s="645"/>
      <c r="T83" s="645"/>
      <c r="U83" s="8">
        <v>1</v>
      </c>
      <c r="V83" s="645"/>
      <c r="W83" s="645"/>
      <c r="X83" s="8">
        <v>1</v>
      </c>
      <c r="Y83" s="8">
        <v>1</v>
      </c>
      <c r="Z83" s="645"/>
      <c r="AA83" s="8">
        <v>1</v>
      </c>
      <c r="AB83" s="645"/>
      <c r="AC83" s="645"/>
      <c r="AD83" s="645"/>
      <c r="AE83" s="645"/>
      <c r="AF83" s="8">
        <v>1</v>
      </c>
      <c r="AG83" s="645"/>
      <c r="AH83" s="645"/>
      <c r="AI83" s="645"/>
      <c r="AJ83" s="645"/>
      <c r="AK83" s="645"/>
      <c r="AL83" s="8">
        <f t="shared" si="8"/>
        <v>8</v>
      </c>
      <c r="AM83" s="11" t="s">
        <v>1757</v>
      </c>
    </row>
    <row r="84" spans="1:39">
      <c r="A84" s="8" t="s">
        <v>341</v>
      </c>
      <c r="B84" s="645"/>
      <c r="C84" s="8">
        <v>1</v>
      </c>
      <c r="D84" s="8">
        <v>1</v>
      </c>
      <c r="E84" s="8">
        <v>1</v>
      </c>
      <c r="F84" s="645"/>
      <c r="G84" s="645"/>
      <c r="H84" s="8">
        <v>1</v>
      </c>
      <c r="I84" s="645"/>
      <c r="J84" s="645"/>
      <c r="K84" s="645"/>
      <c r="L84" s="645"/>
      <c r="M84" s="645"/>
      <c r="N84" s="645"/>
      <c r="O84" s="645"/>
      <c r="P84" s="645"/>
      <c r="Q84" s="645"/>
      <c r="R84" s="645"/>
      <c r="S84" s="645"/>
      <c r="T84" s="645"/>
      <c r="U84" s="8">
        <v>1</v>
      </c>
      <c r="V84" s="8">
        <v>1</v>
      </c>
      <c r="W84" s="645"/>
      <c r="X84" s="8">
        <v>1</v>
      </c>
      <c r="Y84" s="8">
        <v>1</v>
      </c>
      <c r="Z84" s="645"/>
      <c r="AA84" s="645"/>
      <c r="AB84" s="645"/>
      <c r="AC84" s="645"/>
      <c r="AD84" s="645"/>
      <c r="AE84" s="645"/>
      <c r="AF84" s="8">
        <v>1</v>
      </c>
      <c r="AG84" s="8">
        <v>1</v>
      </c>
      <c r="AH84" s="645"/>
      <c r="AI84" s="645"/>
      <c r="AJ84" s="645"/>
      <c r="AK84" s="645"/>
      <c r="AL84" s="8">
        <f t="shared" si="8"/>
        <v>10</v>
      </c>
      <c r="AM84" s="11" t="s">
        <v>1758</v>
      </c>
    </row>
    <row r="85" spans="1:39" ht="25.5">
      <c r="A85" s="8" t="s">
        <v>639</v>
      </c>
      <c r="B85" s="645"/>
      <c r="C85" s="8">
        <v>1</v>
      </c>
      <c r="D85" s="8">
        <v>1</v>
      </c>
      <c r="E85" s="645"/>
      <c r="F85" s="645"/>
      <c r="G85" s="645"/>
      <c r="H85" s="645"/>
      <c r="I85" s="645"/>
      <c r="J85" s="645"/>
      <c r="K85" s="645"/>
      <c r="L85" s="645"/>
      <c r="M85" s="645"/>
      <c r="N85" s="645"/>
      <c r="O85" s="645"/>
      <c r="P85" s="645"/>
      <c r="Q85" s="645"/>
      <c r="R85" s="645"/>
      <c r="S85" s="645"/>
      <c r="T85" s="645"/>
      <c r="U85" s="8">
        <v>1</v>
      </c>
      <c r="V85" s="8">
        <v>1</v>
      </c>
      <c r="W85" s="645"/>
      <c r="X85" s="645"/>
      <c r="Y85" s="8">
        <v>1</v>
      </c>
      <c r="Z85" s="645"/>
      <c r="AA85" s="8">
        <v>1</v>
      </c>
      <c r="AB85" s="645"/>
      <c r="AC85" s="8">
        <v>1</v>
      </c>
      <c r="AD85" s="645"/>
      <c r="AE85" s="645"/>
      <c r="AF85" s="645"/>
      <c r="AG85" s="645"/>
      <c r="AH85" s="645"/>
      <c r="AI85" s="645"/>
      <c r="AJ85" s="645"/>
      <c r="AK85" s="645"/>
      <c r="AL85" s="8">
        <f t="shared" si="8"/>
        <v>7</v>
      </c>
      <c r="AM85" s="11" t="s">
        <v>1759</v>
      </c>
    </row>
    <row r="86" spans="1:39" ht="25.5">
      <c r="A86" s="8" t="s">
        <v>352</v>
      </c>
      <c r="B86" s="645"/>
      <c r="C86" s="8">
        <v>1</v>
      </c>
      <c r="D86" s="8">
        <v>1</v>
      </c>
      <c r="E86" s="645"/>
      <c r="F86" s="645"/>
      <c r="G86" s="645"/>
      <c r="H86" s="645"/>
      <c r="I86" s="645"/>
      <c r="J86" s="645"/>
      <c r="K86" s="645"/>
      <c r="L86" s="645"/>
      <c r="M86" s="645"/>
      <c r="N86" s="645"/>
      <c r="O86" s="645"/>
      <c r="P86" s="8">
        <v>1</v>
      </c>
      <c r="Q86" s="645"/>
      <c r="R86" s="645"/>
      <c r="S86" s="645"/>
      <c r="T86" s="645"/>
      <c r="U86" s="8">
        <v>1</v>
      </c>
      <c r="V86" s="645"/>
      <c r="W86" s="645"/>
      <c r="X86" s="8">
        <v>1</v>
      </c>
      <c r="Y86" s="8">
        <v>1</v>
      </c>
      <c r="Z86" s="645"/>
      <c r="AA86" s="8">
        <v>1</v>
      </c>
      <c r="AB86" s="645"/>
      <c r="AC86" s="645"/>
      <c r="AD86" s="645"/>
      <c r="AE86" s="645"/>
      <c r="AF86" s="645"/>
      <c r="AG86" s="645"/>
      <c r="AH86" s="645"/>
      <c r="AI86" s="645"/>
      <c r="AJ86" s="645"/>
      <c r="AK86" s="645"/>
      <c r="AL86" s="8">
        <f t="shared" si="8"/>
        <v>7</v>
      </c>
      <c r="AM86" s="11" t="s">
        <v>1760</v>
      </c>
    </row>
    <row r="87" spans="1:39">
      <c r="A87" s="8" t="s">
        <v>353</v>
      </c>
      <c r="B87" s="645"/>
      <c r="C87" s="8">
        <v>1</v>
      </c>
      <c r="D87" s="8">
        <v>1</v>
      </c>
      <c r="E87" s="8">
        <v>1</v>
      </c>
      <c r="F87" s="645"/>
      <c r="G87" s="645"/>
      <c r="H87" s="8">
        <v>1</v>
      </c>
      <c r="I87" s="645"/>
      <c r="J87" s="645"/>
      <c r="K87" s="645"/>
      <c r="L87" s="645"/>
      <c r="M87" s="645"/>
      <c r="N87" s="645"/>
      <c r="O87" s="645"/>
      <c r="P87" s="645"/>
      <c r="Q87" s="645"/>
      <c r="R87" s="645"/>
      <c r="S87" s="8">
        <v>1</v>
      </c>
      <c r="T87" s="645"/>
      <c r="U87" s="8">
        <v>1</v>
      </c>
      <c r="V87" s="645"/>
      <c r="W87" s="8">
        <v>1</v>
      </c>
      <c r="X87" s="645"/>
      <c r="Y87" s="8">
        <v>1</v>
      </c>
      <c r="Z87" s="645"/>
      <c r="AA87" s="8">
        <v>1</v>
      </c>
      <c r="AB87" s="645"/>
      <c r="AC87" s="645"/>
      <c r="AD87" s="8">
        <v>1</v>
      </c>
      <c r="AE87" s="645"/>
      <c r="AF87" s="645"/>
      <c r="AG87" s="645"/>
      <c r="AH87" s="645"/>
      <c r="AI87" s="645"/>
      <c r="AJ87" s="645"/>
      <c r="AK87" s="645"/>
      <c r="AL87" s="8">
        <f t="shared" si="8"/>
        <v>10</v>
      </c>
      <c r="AM87" s="11" t="s">
        <v>1761</v>
      </c>
    </row>
    <row r="88" spans="1:39">
      <c r="A88" s="8" t="s">
        <v>355</v>
      </c>
      <c r="B88" s="645"/>
      <c r="C88" s="8">
        <v>1</v>
      </c>
      <c r="D88" s="8">
        <v>1</v>
      </c>
      <c r="E88" s="8">
        <v>1</v>
      </c>
      <c r="F88" s="645"/>
      <c r="G88" s="645"/>
      <c r="H88" s="8">
        <v>1</v>
      </c>
      <c r="I88" s="645"/>
      <c r="J88" s="645"/>
      <c r="K88" s="645"/>
      <c r="L88" s="645"/>
      <c r="M88" s="645"/>
      <c r="N88" s="645"/>
      <c r="O88" s="645"/>
      <c r="P88" s="645"/>
      <c r="Q88" s="645"/>
      <c r="R88" s="645"/>
      <c r="S88" s="645"/>
      <c r="T88" s="645"/>
      <c r="U88" s="8">
        <v>1</v>
      </c>
      <c r="V88" s="8">
        <v>1</v>
      </c>
      <c r="W88" s="645"/>
      <c r="X88" s="8">
        <v>1</v>
      </c>
      <c r="Y88" s="8">
        <v>1</v>
      </c>
      <c r="Z88" s="645"/>
      <c r="AA88" s="8">
        <v>1</v>
      </c>
      <c r="AB88" s="645"/>
      <c r="AC88" s="8">
        <v>1</v>
      </c>
      <c r="AD88" s="645"/>
      <c r="AE88" s="645"/>
      <c r="AF88" s="645"/>
      <c r="AG88" s="645"/>
      <c r="AH88" s="645"/>
      <c r="AI88" s="645"/>
      <c r="AJ88" s="645"/>
      <c r="AK88" s="645"/>
      <c r="AL88" s="8">
        <f t="shared" si="8"/>
        <v>10</v>
      </c>
      <c r="AM88" s="11" t="s">
        <v>1762</v>
      </c>
    </row>
    <row r="89" spans="1:39">
      <c r="A89" s="8" t="s">
        <v>357</v>
      </c>
      <c r="B89" s="645"/>
      <c r="C89" s="8">
        <v>1</v>
      </c>
      <c r="D89" s="645"/>
      <c r="E89" s="8">
        <v>1</v>
      </c>
      <c r="F89" s="645"/>
      <c r="G89" s="645"/>
      <c r="H89" s="8">
        <v>1</v>
      </c>
      <c r="I89" s="645"/>
      <c r="J89" s="645"/>
      <c r="K89" s="645"/>
      <c r="L89" s="645"/>
      <c r="M89" s="645"/>
      <c r="N89" s="645"/>
      <c r="O89" s="645"/>
      <c r="P89" s="8">
        <v>1</v>
      </c>
      <c r="Q89" s="8">
        <v>1</v>
      </c>
      <c r="R89" s="645"/>
      <c r="S89" s="645"/>
      <c r="T89" s="645"/>
      <c r="U89" s="8">
        <v>1</v>
      </c>
      <c r="V89" s="645"/>
      <c r="W89" s="645"/>
      <c r="X89" s="8">
        <v>1</v>
      </c>
      <c r="Y89" s="8">
        <v>1</v>
      </c>
      <c r="Z89" s="645"/>
      <c r="AA89" s="8">
        <v>1</v>
      </c>
      <c r="AB89" s="645"/>
      <c r="AC89" s="645"/>
      <c r="AD89" s="8">
        <v>1</v>
      </c>
      <c r="AE89" s="645"/>
      <c r="AF89" s="645"/>
      <c r="AG89" s="645"/>
      <c r="AH89" s="645"/>
      <c r="AI89" s="645"/>
      <c r="AJ89" s="645"/>
      <c r="AK89" s="645"/>
      <c r="AL89" s="8">
        <f t="shared" si="8"/>
        <v>10</v>
      </c>
      <c r="AM89" s="11" t="s">
        <v>1763</v>
      </c>
    </row>
    <row r="90" spans="1:39" ht="25.5">
      <c r="A90" s="8" t="s">
        <v>358</v>
      </c>
      <c r="B90" s="645"/>
      <c r="C90" s="645"/>
      <c r="D90" s="645"/>
      <c r="E90" s="645"/>
      <c r="F90" s="645"/>
      <c r="G90" s="645"/>
      <c r="H90" s="645"/>
      <c r="I90" s="645"/>
      <c r="J90" s="645"/>
      <c r="K90" s="645"/>
      <c r="L90" s="645"/>
      <c r="M90" s="645"/>
      <c r="N90" s="645"/>
      <c r="O90" s="645"/>
      <c r="P90" s="645"/>
      <c r="Q90" s="645"/>
      <c r="R90" s="645"/>
      <c r="S90" s="645"/>
      <c r="T90" s="645"/>
      <c r="U90" s="8">
        <v>1</v>
      </c>
      <c r="V90" s="645"/>
      <c r="W90" s="645"/>
      <c r="X90" s="645"/>
      <c r="Y90" s="8">
        <v>1</v>
      </c>
      <c r="Z90" s="645"/>
      <c r="AA90" s="8">
        <v>1</v>
      </c>
      <c r="AB90" s="645"/>
      <c r="AC90" s="645"/>
      <c r="AD90" s="645"/>
      <c r="AE90" s="645"/>
      <c r="AF90" s="8">
        <v>1</v>
      </c>
      <c r="AG90" s="645"/>
      <c r="AH90" s="645"/>
      <c r="AI90" s="645"/>
      <c r="AJ90" s="645"/>
      <c r="AK90" s="645"/>
      <c r="AL90" s="8">
        <f t="shared" si="8"/>
        <v>4</v>
      </c>
      <c r="AM90" s="11" t="s">
        <v>1764</v>
      </c>
    </row>
    <row r="91" spans="1:39" ht="25.5">
      <c r="A91" s="8" t="s">
        <v>361</v>
      </c>
      <c r="B91" s="645"/>
      <c r="C91" s="8">
        <v>1</v>
      </c>
      <c r="D91" s="8">
        <v>1</v>
      </c>
      <c r="E91" s="645"/>
      <c r="F91" s="645"/>
      <c r="G91" s="645"/>
      <c r="H91" s="645"/>
      <c r="I91" s="645"/>
      <c r="J91" s="645"/>
      <c r="K91" s="645"/>
      <c r="L91" s="645"/>
      <c r="M91" s="645"/>
      <c r="N91" s="645"/>
      <c r="O91" s="645"/>
      <c r="P91" s="8">
        <v>1</v>
      </c>
      <c r="Q91" s="645"/>
      <c r="R91" s="645"/>
      <c r="S91" s="645"/>
      <c r="T91" s="645"/>
      <c r="U91" s="8">
        <v>1</v>
      </c>
      <c r="V91" s="645"/>
      <c r="W91" s="645"/>
      <c r="X91" s="8">
        <v>1</v>
      </c>
      <c r="Y91" s="645"/>
      <c r="Z91" s="645"/>
      <c r="AA91" s="645"/>
      <c r="AB91" s="645"/>
      <c r="AC91" s="645"/>
      <c r="AD91" s="645"/>
      <c r="AE91" s="645"/>
      <c r="AF91" s="645"/>
      <c r="AG91" s="645"/>
      <c r="AH91" s="645"/>
      <c r="AI91" s="645"/>
      <c r="AJ91" s="645"/>
      <c r="AK91" s="645"/>
      <c r="AL91" s="8">
        <f t="shared" si="8"/>
        <v>5</v>
      </c>
      <c r="AM91" s="11" t="s">
        <v>1765</v>
      </c>
    </row>
    <row r="92" spans="1:39">
      <c r="A92" s="8" t="s">
        <v>366</v>
      </c>
      <c r="B92" s="645"/>
      <c r="C92" s="645"/>
      <c r="D92" s="645"/>
      <c r="E92" s="8">
        <v>1</v>
      </c>
      <c r="F92" s="645"/>
      <c r="G92" s="645"/>
      <c r="H92" s="8">
        <v>1</v>
      </c>
      <c r="I92" s="645"/>
      <c r="J92" s="645"/>
      <c r="K92" s="645"/>
      <c r="L92" s="645"/>
      <c r="M92" s="645"/>
      <c r="N92" s="645"/>
      <c r="O92" s="645"/>
      <c r="P92" s="645"/>
      <c r="Q92" s="645"/>
      <c r="R92" s="645"/>
      <c r="S92" s="645"/>
      <c r="T92" s="645"/>
      <c r="U92" s="8">
        <v>1</v>
      </c>
      <c r="V92" s="645"/>
      <c r="W92" s="645"/>
      <c r="X92" s="645"/>
      <c r="Y92" s="645"/>
      <c r="Z92" s="645"/>
      <c r="AA92" s="645"/>
      <c r="AB92" s="645"/>
      <c r="AC92" s="8">
        <v>1</v>
      </c>
      <c r="AD92" s="645"/>
      <c r="AE92" s="645"/>
      <c r="AF92" s="645"/>
      <c r="AG92" s="645"/>
      <c r="AH92" s="645"/>
      <c r="AI92" s="645"/>
      <c r="AJ92" s="645"/>
      <c r="AK92" s="645"/>
      <c r="AL92" s="8">
        <f t="shared" si="8"/>
        <v>4</v>
      </c>
      <c r="AM92" s="11" t="s">
        <v>1710</v>
      </c>
    </row>
    <row r="93" spans="1:39" ht="25.5">
      <c r="A93" s="8" t="s">
        <v>941</v>
      </c>
      <c r="B93" s="645"/>
      <c r="C93" s="645"/>
      <c r="D93" s="8">
        <v>1</v>
      </c>
      <c r="E93" s="645"/>
      <c r="F93" s="645"/>
      <c r="G93" s="645"/>
      <c r="H93" s="645"/>
      <c r="I93" s="645"/>
      <c r="J93" s="645"/>
      <c r="K93" s="645"/>
      <c r="L93" s="645"/>
      <c r="M93" s="645"/>
      <c r="N93" s="645"/>
      <c r="O93" s="645"/>
      <c r="P93" s="645"/>
      <c r="Q93" s="8">
        <v>1</v>
      </c>
      <c r="R93" s="8">
        <v>1</v>
      </c>
      <c r="S93" s="645"/>
      <c r="T93" s="645"/>
      <c r="U93" s="8">
        <v>1</v>
      </c>
      <c r="V93" s="8">
        <v>1</v>
      </c>
      <c r="W93" s="645"/>
      <c r="X93" s="645"/>
      <c r="Y93" s="8">
        <v>1</v>
      </c>
      <c r="Z93" s="645"/>
      <c r="AA93" s="645"/>
      <c r="AB93" s="645"/>
      <c r="AC93" s="645"/>
      <c r="AD93" s="645"/>
      <c r="AE93" s="645"/>
      <c r="AF93" s="8">
        <v>1</v>
      </c>
      <c r="AG93" s="645"/>
      <c r="AH93" s="645"/>
      <c r="AI93" s="645"/>
      <c r="AJ93" s="645"/>
      <c r="AK93" s="645"/>
      <c r="AL93" s="8">
        <f t="shared" si="8"/>
        <v>7</v>
      </c>
      <c r="AM93" s="11" t="s">
        <v>1698</v>
      </c>
    </row>
    <row r="94" spans="1:39">
      <c r="A94" s="8" t="s">
        <v>371</v>
      </c>
      <c r="B94" s="645"/>
      <c r="C94" s="8">
        <v>1</v>
      </c>
      <c r="D94" s="8">
        <v>1</v>
      </c>
      <c r="E94" s="645"/>
      <c r="F94" s="645"/>
      <c r="G94" s="645"/>
      <c r="H94" s="645"/>
      <c r="I94" s="645"/>
      <c r="J94" s="645"/>
      <c r="K94" s="645"/>
      <c r="L94" s="645"/>
      <c r="M94" s="645"/>
      <c r="N94" s="645"/>
      <c r="O94" s="645"/>
      <c r="P94" s="8">
        <v>1</v>
      </c>
      <c r="Q94" s="8">
        <v>1</v>
      </c>
      <c r="R94" s="8">
        <v>1</v>
      </c>
      <c r="S94" s="645"/>
      <c r="T94" s="645"/>
      <c r="U94" s="8">
        <v>1</v>
      </c>
      <c r="V94" s="645"/>
      <c r="W94" s="645"/>
      <c r="X94" s="8">
        <v>1</v>
      </c>
      <c r="Y94" s="645"/>
      <c r="Z94" s="645"/>
      <c r="AA94" s="8">
        <v>1</v>
      </c>
      <c r="AB94" s="645"/>
      <c r="AC94" s="645"/>
      <c r="AD94" s="645"/>
      <c r="AE94" s="645"/>
      <c r="AF94" s="8">
        <v>1</v>
      </c>
      <c r="AG94" s="645"/>
      <c r="AH94" s="645"/>
      <c r="AI94" s="645"/>
      <c r="AJ94" s="645"/>
      <c r="AK94" s="8">
        <v>1</v>
      </c>
      <c r="AL94" s="8">
        <f t="shared" si="8"/>
        <v>10</v>
      </c>
      <c r="AM94" s="11" t="s">
        <v>1710</v>
      </c>
    </row>
    <row r="95" spans="1:39">
      <c r="A95" s="8" t="s">
        <v>373</v>
      </c>
      <c r="B95" s="645"/>
      <c r="C95" s="8">
        <v>1</v>
      </c>
      <c r="D95" s="8">
        <v>1</v>
      </c>
      <c r="E95" s="8">
        <v>1</v>
      </c>
      <c r="F95" s="645"/>
      <c r="G95" s="645"/>
      <c r="H95" s="8">
        <v>1</v>
      </c>
      <c r="I95" s="645"/>
      <c r="J95" s="645"/>
      <c r="K95" s="645"/>
      <c r="L95" s="645"/>
      <c r="M95" s="645"/>
      <c r="N95" s="645"/>
      <c r="O95" s="645"/>
      <c r="P95" s="645"/>
      <c r="Q95" s="645"/>
      <c r="R95" s="645"/>
      <c r="S95" s="645"/>
      <c r="T95" s="645"/>
      <c r="U95" s="8">
        <v>1</v>
      </c>
      <c r="V95" s="8">
        <v>1</v>
      </c>
      <c r="W95" s="645"/>
      <c r="X95" s="8">
        <v>1</v>
      </c>
      <c r="Y95" s="8">
        <v>1</v>
      </c>
      <c r="Z95" s="645"/>
      <c r="AA95" s="8">
        <v>1</v>
      </c>
      <c r="AB95" s="645"/>
      <c r="AC95" s="645"/>
      <c r="AD95" s="8">
        <v>1</v>
      </c>
      <c r="AE95" s="645"/>
      <c r="AF95" s="645"/>
      <c r="AG95" s="645"/>
      <c r="AH95" s="645"/>
      <c r="AI95" s="645"/>
      <c r="AJ95" s="645"/>
      <c r="AK95" s="645"/>
      <c r="AL95" s="8">
        <f t="shared" si="8"/>
        <v>10</v>
      </c>
      <c r="AM95" s="11" t="s">
        <v>1766</v>
      </c>
    </row>
    <row r="96" spans="1:39" ht="25.5">
      <c r="A96" s="8" t="s">
        <v>376</v>
      </c>
      <c r="B96" s="645"/>
      <c r="C96" s="8">
        <v>1</v>
      </c>
      <c r="D96" s="8">
        <v>1</v>
      </c>
      <c r="E96" s="8">
        <v>1</v>
      </c>
      <c r="F96" s="645"/>
      <c r="G96" s="645"/>
      <c r="H96" s="8">
        <v>1</v>
      </c>
      <c r="I96" s="645"/>
      <c r="J96" s="645"/>
      <c r="K96" s="645"/>
      <c r="L96" s="645"/>
      <c r="M96" s="645"/>
      <c r="N96" s="645"/>
      <c r="O96" s="645"/>
      <c r="P96" s="645"/>
      <c r="Q96" s="645"/>
      <c r="R96" s="645"/>
      <c r="S96" s="8">
        <v>1</v>
      </c>
      <c r="T96" s="645"/>
      <c r="U96" s="8">
        <v>1</v>
      </c>
      <c r="V96" s="645"/>
      <c r="W96" s="645"/>
      <c r="X96" s="8">
        <v>1</v>
      </c>
      <c r="Y96" s="8">
        <v>1</v>
      </c>
      <c r="Z96" s="645"/>
      <c r="AA96" s="645"/>
      <c r="AB96" s="645"/>
      <c r="AC96" s="8">
        <v>1</v>
      </c>
      <c r="AD96" s="645"/>
      <c r="AE96" s="645"/>
      <c r="AF96" s="8">
        <v>1</v>
      </c>
      <c r="AG96" s="645"/>
      <c r="AH96" s="645"/>
      <c r="AI96" s="645"/>
      <c r="AJ96" s="645"/>
      <c r="AK96" s="645"/>
      <c r="AL96" s="8">
        <f t="shared" si="8"/>
        <v>10</v>
      </c>
      <c r="AM96" s="11" t="s">
        <v>1697</v>
      </c>
    </row>
    <row r="97" spans="1:39">
      <c r="A97" s="8" t="s">
        <v>380</v>
      </c>
      <c r="B97" s="645"/>
      <c r="C97" s="645"/>
      <c r="D97" s="8">
        <v>1</v>
      </c>
      <c r="E97" s="645"/>
      <c r="F97" s="645"/>
      <c r="G97" s="645"/>
      <c r="H97" s="645"/>
      <c r="I97" s="645"/>
      <c r="J97" s="645"/>
      <c r="K97" s="645"/>
      <c r="L97" s="645"/>
      <c r="M97" s="645"/>
      <c r="N97" s="645"/>
      <c r="O97" s="645"/>
      <c r="P97" s="8">
        <v>1</v>
      </c>
      <c r="Q97" s="645"/>
      <c r="R97" s="645"/>
      <c r="S97" s="645"/>
      <c r="T97" s="645"/>
      <c r="U97" s="8">
        <v>1</v>
      </c>
      <c r="V97" s="645"/>
      <c r="W97" s="645"/>
      <c r="X97" s="645"/>
      <c r="Y97" s="8">
        <v>1</v>
      </c>
      <c r="Z97" s="645"/>
      <c r="AA97" s="8">
        <v>1</v>
      </c>
      <c r="AB97" s="645"/>
      <c r="AC97" s="8">
        <v>1</v>
      </c>
      <c r="AD97" s="645"/>
      <c r="AE97" s="645"/>
      <c r="AF97" s="645"/>
      <c r="AG97" s="645"/>
      <c r="AH97" s="645"/>
      <c r="AI97" s="645"/>
      <c r="AJ97" s="645"/>
      <c r="AK97" s="645"/>
      <c r="AL97" s="8">
        <f t="shared" si="8"/>
        <v>6</v>
      </c>
      <c r="AM97" s="11" t="s">
        <v>1767</v>
      </c>
    </row>
    <row r="98" spans="1:39">
      <c r="A98" s="8" t="s">
        <v>382</v>
      </c>
      <c r="B98" s="645"/>
      <c r="C98" s="8">
        <v>1</v>
      </c>
      <c r="D98" s="8">
        <v>1</v>
      </c>
      <c r="E98" s="8">
        <v>1</v>
      </c>
      <c r="F98" s="645"/>
      <c r="G98" s="645"/>
      <c r="H98" s="8">
        <v>1</v>
      </c>
      <c r="I98" s="645"/>
      <c r="J98" s="645"/>
      <c r="K98" s="645"/>
      <c r="L98" s="645"/>
      <c r="M98" s="645"/>
      <c r="N98" s="645"/>
      <c r="O98" s="645"/>
      <c r="P98" s="645"/>
      <c r="Q98" s="645"/>
      <c r="R98" s="645"/>
      <c r="S98" s="645"/>
      <c r="T98" s="645"/>
      <c r="U98" s="8">
        <v>1</v>
      </c>
      <c r="V98" s="645"/>
      <c r="W98" s="8">
        <v>1</v>
      </c>
      <c r="X98" s="8">
        <v>1</v>
      </c>
      <c r="Y98" s="8">
        <v>1</v>
      </c>
      <c r="Z98" s="645"/>
      <c r="AA98" s="645"/>
      <c r="AB98" s="645"/>
      <c r="AC98" s="645"/>
      <c r="AD98" s="8">
        <v>1</v>
      </c>
      <c r="AE98" s="645"/>
      <c r="AF98" s="8">
        <v>1</v>
      </c>
      <c r="AG98" s="645"/>
      <c r="AH98" s="645"/>
      <c r="AI98" s="645"/>
      <c r="AJ98" s="645"/>
      <c r="AK98" s="645"/>
      <c r="AL98" s="8">
        <f t="shared" si="8"/>
        <v>10</v>
      </c>
      <c r="AM98" s="11" t="s">
        <v>1768</v>
      </c>
    </row>
    <row r="99" spans="1:39">
      <c r="A99" s="8" t="s">
        <v>385</v>
      </c>
      <c r="B99" s="645"/>
      <c r="C99" s="645"/>
      <c r="D99" s="645"/>
      <c r="E99" s="645"/>
      <c r="F99" s="645"/>
      <c r="G99" s="645"/>
      <c r="H99" s="645"/>
      <c r="I99" s="645"/>
      <c r="J99" s="645"/>
      <c r="K99" s="645"/>
      <c r="L99" s="645"/>
      <c r="M99" s="645"/>
      <c r="N99" s="645"/>
      <c r="O99" s="645"/>
      <c r="P99" s="645"/>
      <c r="Q99" s="8">
        <v>1</v>
      </c>
      <c r="R99" s="645"/>
      <c r="S99" s="645"/>
      <c r="T99" s="645"/>
      <c r="U99" s="8">
        <v>1</v>
      </c>
      <c r="V99" s="645"/>
      <c r="W99" s="645"/>
      <c r="X99" s="645"/>
      <c r="Y99" s="8">
        <v>1</v>
      </c>
      <c r="Z99" s="645"/>
      <c r="AA99" s="8">
        <v>1</v>
      </c>
      <c r="AB99" s="645"/>
      <c r="AC99" s="8">
        <v>1</v>
      </c>
      <c r="AD99" s="645"/>
      <c r="AE99" s="645"/>
      <c r="AF99" s="8">
        <v>1</v>
      </c>
      <c r="AG99" s="645"/>
      <c r="AH99" s="645"/>
      <c r="AI99" s="645"/>
      <c r="AJ99" s="645"/>
      <c r="AK99" s="645"/>
      <c r="AL99" s="8">
        <f t="shared" si="8"/>
        <v>6</v>
      </c>
      <c r="AM99" s="11" t="s">
        <v>1769</v>
      </c>
    </row>
    <row r="100" spans="1:39" ht="25.5">
      <c r="A100" s="8" t="s">
        <v>386</v>
      </c>
      <c r="B100" s="645"/>
      <c r="C100" s="8">
        <v>1</v>
      </c>
      <c r="D100" s="645"/>
      <c r="E100" s="645"/>
      <c r="F100" s="645"/>
      <c r="G100" s="645"/>
      <c r="H100" s="645"/>
      <c r="I100" s="645"/>
      <c r="J100" s="645"/>
      <c r="K100" s="645"/>
      <c r="L100" s="645"/>
      <c r="M100" s="645"/>
      <c r="N100" s="645"/>
      <c r="O100" s="645"/>
      <c r="P100" s="8">
        <v>1</v>
      </c>
      <c r="Q100" s="645"/>
      <c r="R100" s="645"/>
      <c r="S100" s="645"/>
      <c r="T100" s="645"/>
      <c r="U100" s="8">
        <v>1</v>
      </c>
      <c r="V100" s="8">
        <v>1</v>
      </c>
      <c r="W100" s="645"/>
      <c r="X100" s="8">
        <v>1</v>
      </c>
      <c r="Y100" s="645"/>
      <c r="Z100" s="645"/>
      <c r="AA100" s="8">
        <v>1</v>
      </c>
      <c r="AB100" s="645"/>
      <c r="AC100" s="645"/>
      <c r="AD100" s="645"/>
      <c r="AE100" s="645"/>
      <c r="AF100" s="8">
        <v>1</v>
      </c>
      <c r="AG100" s="645"/>
      <c r="AH100" s="645"/>
      <c r="AI100" s="645"/>
      <c r="AJ100" s="645"/>
      <c r="AK100" s="645"/>
      <c r="AL100" s="8">
        <f t="shared" si="8"/>
        <v>7</v>
      </c>
      <c r="AM100" s="11" t="s">
        <v>1770</v>
      </c>
    </row>
    <row r="101" spans="1:39">
      <c r="A101" s="8" t="s">
        <v>1771</v>
      </c>
      <c r="B101" s="645"/>
      <c r="C101" s="8">
        <v>1</v>
      </c>
      <c r="D101" s="8">
        <v>1</v>
      </c>
      <c r="E101" s="645"/>
      <c r="F101" s="645"/>
      <c r="G101" s="645"/>
      <c r="H101" s="645"/>
      <c r="I101" s="645"/>
      <c r="J101" s="645"/>
      <c r="K101" s="645"/>
      <c r="L101" s="645"/>
      <c r="M101" s="645"/>
      <c r="N101" s="645"/>
      <c r="O101" s="645"/>
      <c r="P101" s="645"/>
      <c r="Q101" s="645"/>
      <c r="R101" s="8">
        <v>1</v>
      </c>
      <c r="S101" s="645"/>
      <c r="T101" s="645"/>
      <c r="U101" s="8">
        <v>1</v>
      </c>
      <c r="V101" s="645"/>
      <c r="W101" s="645"/>
      <c r="X101" s="645"/>
      <c r="Y101" s="8">
        <v>1</v>
      </c>
      <c r="Z101" s="645"/>
      <c r="AA101" s="8">
        <v>1</v>
      </c>
      <c r="AB101" s="645"/>
      <c r="AC101" s="645"/>
      <c r="AD101" s="645"/>
      <c r="AE101" s="645"/>
      <c r="AF101" s="645"/>
      <c r="AG101" s="645"/>
      <c r="AH101" s="645"/>
      <c r="AI101" s="645"/>
      <c r="AJ101" s="645"/>
      <c r="AK101" s="645"/>
      <c r="AL101" s="8">
        <f t="shared" si="8"/>
        <v>6</v>
      </c>
      <c r="AM101" s="8" t="s">
        <v>1772</v>
      </c>
    </row>
    <row r="102" spans="1:39">
      <c r="A102" s="8" t="s">
        <v>1773</v>
      </c>
      <c r="B102" s="645"/>
      <c r="C102" s="8">
        <v>1</v>
      </c>
      <c r="D102" s="8">
        <v>1</v>
      </c>
      <c r="E102" s="645"/>
      <c r="F102" s="645"/>
      <c r="G102" s="645"/>
      <c r="H102" s="645"/>
      <c r="I102" s="645"/>
      <c r="J102" s="645"/>
      <c r="K102" s="645"/>
      <c r="L102" s="645"/>
      <c r="M102" s="645"/>
      <c r="N102" s="645"/>
      <c r="O102" s="645"/>
      <c r="P102" s="645"/>
      <c r="Q102" s="645"/>
      <c r="R102" s="645"/>
      <c r="S102" s="645"/>
      <c r="T102" s="645"/>
      <c r="U102" s="8">
        <v>1</v>
      </c>
      <c r="V102" s="645"/>
      <c r="W102" s="645"/>
      <c r="X102" s="8">
        <v>1</v>
      </c>
      <c r="Y102" s="8">
        <v>1</v>
      </c>
      <c r="Z102" s="645"/>
      <c r="AA102" s="645"/>
      <c r="AB102" s="645"/>
      <c r="AC102" s="645"/>
      <c r="AD102" s="645"/>
      <c r="AE102" s="645"/>
      <c r="AF102" s="645"/>
      <c r="AG102" s="645"/>
      <c r="AH102" s="645"/>
      <c r="AI102" s="645"/>
      <c r="AJ102" s="645"/>
      <c r="AK102" s="645"/>
      <c r="AL102" s="8">
        <f t="shared" si="8"/>
        <v>5</v>
      </c>
      <c r="AM102" s="11" t="s">
        <v>1774</v>
      </c>
    </row>
    <row r="103" spans="1:39" ht="25.5">
      <c r="A103" s="8" t="s">
        <v>1404</v>
      </c>
      <c r="B103" s="645"/>
      <c r="C103" s="8">
        <v>1</v>
      </c>
      <c r="D103" s="8">
        <v>1</v>
      </c>
      <c r="E103" s="8">
        <v>1</v>
      </c>
      <c r="F103" s="645"/>
      <c r="G103" s="645"/>
      <c r="H103" s="8">
        <v>1</v>
      </c>
      <c r="I103" s="645"/>
      <c r="J103" s="645"/>
      <c r="K103" s="645"/>
      <c r="L103" s="645"/>
      <c r="M103" s="645"/>
      <c r="N103" s="645"/>
      <c r="O103" s="645"/>
      <c r="P103" s="645"/>
      <c r="Q103" s="645"/>
      <c r="R103" s="645"/>
      <c r="S103" s="645"/>
      <c r="T103" s="645"/>
      <c r="U103" s="645"/>
      <c r="V103" s="645"/>
      <c r="W103" s="645"/>
      <c r="X103" s="8">
        <v>1</v>
      </c>
      <c r="Y103" s="8">
        <v>1</v>
      </c>
      <c r="Z103" s="645"/>
      <c r="AA103" s="8">
        <v>1</v>
      </c>
      <c r="AB103" s="645"/>
      <c r="AC103" s="645"/>
      <c r="AD103" s="645"/>
      <c r="AE103" s="645"/>
      <c r="AF103" s="8">
        <v>1</v>
      </c>
      <c r="AG103" s="645"/>
      <c r="AH103" s="645"/>
      <c r="AI103" s="645"/>
      <c r="AJ103" s="645"/>
      <c r="AK103" s="645"/>
      <c r="AL103" s="8">
        <f t="shared" si="8"/>
        <v>8</v>
      </c>
      <c r="AM103" s="11" t="s">
        <v>1775</v>
      </c>
    </row>
    <row r="104" spans="1:39">
      <c r="A104" s="8" t="s">
        <v>101</v>
      </c>
      <c r="B104" s="645"/>
      <c r="C104" s="8">
        <v>1</v>
      </c>
      <c r="D104" s="8">
        <v>1</v>
      </c>
      <c r="E104" s="645"/>
      <c r="F104" s="645"/>
      <c r="G104" s="645"/>
      <c r="H104" s="645"/>
      <c r="I104" s="645"/>
      <c r="J104" s="645"/>
      <c r="K104" s="645"/>
      <c r="L104" s="645"/>
      <c r="M104" s="645"/>
      <c r="N104" s="645"/>
      <c r="O104" s="645"/>
      <c r="P104" s="645"/>
      <c r="Q104" s="645"/>
      <c r="R104" s="645"/>
      <c r="S104" s="645"/>
      <c r="T104" s="645"/>
      <c r="U104" s="645"/>
      <c r="V104" s="645"/>
      <c r="W104" s="645"/>
      <c r="X104" s="8">
        <v>1</v>
      </c>
      <c r="Y104" s="645"/>
      <c r="Z104" s="645"/>
      <c r="AA104" s="645"/>
      <c r="AB104" s="645"/>
      <c r="AC104" s="645"/>
      <c r="AD104" s="645"/>
      <c r="AE104" s="645"/>
      <c r="AF104" s="645"/>
      <c r="AG104" s="645"/>
      <c r="AH104" s="645"/>
      <c r="AI104" s="645"/>
      <c r="AJ104" s="645"/>
      <c r="AK104" s="645"/>
      <c r="AL104" s="8">
        <f t="shared" si="8"/>
        <v>3</v>
      </c>
      <c r="AM104" s="11" t="s">
        <v>1776</v>
      </c>
    </row>
    <row r="105" spans="1:39">
      <c r="A105" s="8" t="s">
        <v>116</v>
      </c>
      <c r="B105" s="645"/>
      <c r="C105" s="8">
        <v>1</v>
      </c>
      <c r="D105" s="8">
        <v>1</v>
      </c>
      <c r="E105" s="8">
        <v>1</v>
      </c>
      <c r="F105" s="645"/>
      <c r="G105" s="645"/>
      <c r="H105" s="8">
        <v>1</v>
      </c>
      <c r="I105" s="645"/>
      <c r="J105" s="645"/>
      <c r="K105" s="645"/>
      <c r="L105" s="645"/>
      <c r="M105" s="645"/>
      <c r="N105" s="645"/>
      <c r="O105" s="645"/>
      <c r="P105" s="8">
        <v>1</v>
      </c>
      <c r="Q105" s="645"/>
      <c r="R105" s="645"/>
      <c r="S105" s="645"/>
      <c r="T105" s="645"/>
      <c r="U105" s="645"/>
      <c r="V105" s="645"/>
      <c r="W105" s="645"/>
      <c r="X105" s="8">
        <v>1</v>
      </c>
      <c r="Y105" s="8">
        <v>1</v>
      </c>
      <c r="Z105" s="645"/>
      <c r="AA105" s="645"/>
      <c r="AB105" s="645"/>
      <c r="AC105" s="645"/>
      <c r="AD105" s="645"/>
      <c r="AE105" s="645"/>
      <c r="AF105" s="645"/>
      <c r="AG105" s="8">
        <v>1</v>
      </c>
      <c r="AH105" s="645"/>
      <c r="AI105" s="645"/>
      <c r="AJ105" s="645"/>
      <c r="AK105" s="645"/>
      <c r="AL105" s="8">
        <f t="shared" si="8"/>
        <v>8</v>
      </c>
      <c r="AM105" s="11" t="s">
        <v>1777</v>
      </c>
    </row>
    <row r="106" spans="1:39">
      <c r="A106" s="8" t="s">
        <v>118</v>
      </c>
      <c r="B106" s="645"/>
      <c r="C106" s="8">
        <v>1</v>
      </c>
      <c r="D106" s="645"/>
      <c r="E106" s="8">
        <v>1</v>
      </c>
      <c r="F106" s="645"/>
      <c r="G106" s="645"/>
      <c r="H106" s="8">
        <v>1</v>
      </c>
      <c r="I106" s="645"/>
      <c r="J106" s="645"/>
      <c r="K106" s="645"/>
      <c r="L106" s="645"/>
      <c r="M106" s="645"/>
      <c r="N106" s="645"/>
      <c r="O106" s="645"/>
      <c r="P106" s="645"/>
      <c r="Q106" s="645"/>
      <c r="R106" s="645"/>
      <c r="S106" s="8">
        <v>1</v>
      </c>
      <c r="T106" s="645"/>
      <c r="U106" s="645"/>
      <c r="V106" s="645"/>
      <c r="W106" s="645"/>
      <c r="X106" s="8">
        <v>1</v>
      </c>
      <c r="Y106" s="645"/>
      <c r="Z106" s="645"/>
      <c r="AA106" s="645"/>
      <c r="AB106" s="645"/>
      <c r="AC106" s="645"/>
      <c r="AD106" s="645"/>
      <c r="AE106" s="645"/>
      <c r="AF106" s="645"/>
      <c r="AG106" s="645"/>
      <c r="AH106" s="645"/>
      <c r="AI106" s="645"/>
      <c r="AJ106" s="645"/>
      <c r="AK106" s="645"/>
      <c r="AL106" s="8">
        <f t="shared" si="8"/>
        <v>5</v>
      </c>
      <c r="AM106" s="645"/>
    </row>
    <row r="107" spans="1:39" ht="25.5">
      <c r="A107" s="8" t="s">
        <v>759</v>
      </c>
      <c r="B107" s="645"/>
      <c r="C107" s="8">
        <v>1</v>
      </c>
      <c r="D107" s="8">
        <v>1</v>
      </c>
      <c r="E107" s="645"/>
      <c r="F107" s="645"/>
      <c r="G107" s="645"/>
      <c r="H107" s="645"/>
      <c r="I107" s="645"/>
      <c r="J107" s="645"/>
      <c r="K107" s="645"/>
      <c r="L107" s="645"/>
      <c r="M107" s="645"/>
      <c r="N107" s="645"/>
      <c r="O107" s="645"/>
      <c r="P107" s="645"/>
      <c r="Q107" s="645"/>
      <c r="R107" s="645"/>
      <c r="S107" s="645"/>
      <c r="T107" s="645"/>
      <c r="U107" s="645"/>
      <c r="V107" s="645"/>
      <c r="W107" s="645"/>
      <c r="X107" s="8">
        <v>1</v>
      </c>
      <c r="Y107" s="645"/>
      <c r="Z107" s="645"/>
      <c r="AA107" s="645"/>
      <c r="AB107" s="645"/>
      <c r="AC107" s="8">
        <v>1</v>
      </c>
      <c r="AD107" s="645"/>
      <c r="AE107" s="645"/>
      <c r="AF107" s="645"/>
      <c r="AG107" s="645"/>
      <c r="AH107" s="645"/>
      <c r="AI107" s="645"/>
      <c r="AJ107" s="645"/>
      <c r="AK107" s="645"/>
      <c r="AL107" s="8">
        <f t="shared" si="8"/>
        <v>4</v>
      </c>
      <c r="AM107" s="11" t="s">
        <v>1698</v>
      </c>
    </row>
    <row r="108" spans="1:39" ht="25.5">
      <c r="A108" s="8" t="s">
        <v>1420</v>
      </c>
      <c r="B108" s="645"/>
      <c r="C108" s="8">
        <v>1</v>
      </c>
      <c r="D108" s="8">
        <v>1</v>
      </c>
      <c r="E108" s="8">
        <v>1</v>
      </c>
      <c r="F108" s="645"/>
      <c r="G108" s="645"/>
      <c r="H108" s="8">
        <v>1</v>
      </c>
      <c r="I108" s="645"/>
      <c r="J108" s="645"/>
      <c r="K108" s="645"/>
      <c r="L108" s="645"/>
      <c r="M108" s="645"/>
      <c r="N108" s="645"/>
      <c r="O108" s="645"/>
      <c r="P108" s="8">
        <v>1</v>
      </c>
      <c r="Q108" s="645"/>
      <c r="R108" s="645"/>
      <c r="S108" s="645"/>
      <c r="T108" s="645"/>
      <c r="U108" s="645"/>
      <c r="V108" s="645"/>
      <c r="W108" s="645"/>
      <c r="X108" s="8">
        <v>1</v>
      </c>
      <c r="Y108" s="8">
        <v>1</v>
      </c>
      <c r="Z108" s="645"/>
      <c r="AA108" s="645"/>
      <c r="AB108" s="645"/>
      <c r="AC108" s="645"/>
      <c r="AD108" s="8">
        <v>1</v>
      </c>
      <c r="AE108" s="645"/>
      <c r="AF108" s="8">
        <v>1</v>
      </c>
      <c r="AG108" s="8">
        <v>1</v>
      </c>
      <c r="AH108" s="645"/>
      <c r="AI108" s="645"/>
      <c r="AJ108" s="645"/>
      <c r="AK108" s="645"/>
      <c r="AL108" s="8">
        <f t="shared" si="8"/>
        <v>10</v>
      </c>
      <c r="AM108" s="11" t="s">
        <v>1697</v>
      </c>
    </row>
    <row r="109" spans="1:39">
      <c r="A109" s="8" t="s">
        <v>125</v>
      </c>
      <c r="B109" s="645"/>
      <c r="C109" s="645"/>
      <c r="D109" s="645"/>
      <c r="E109" s="8">
        <v>1</v>
      </c>
      <c r="F109" s="645"/>
      <c r="G109" s="645"/>
      <c r="H109" s="8">
        <v>1</v>
      </c>
      <c r="I109" s="645"/>
      <c r="J109" s="645"/>
      <c r="K109" s="645"/>
      <c r="L109" s="645"/>
      <c r="M109" s="645"/>
      <c r="N109" s="645"/>
      <c r="O109" s="645"/>
      <c r="P109" s="645"/>
      <c r="Q109" s="645"/>
      <c r="R109" s="645"/>
      <c r="S109" s="645"/>
      <c r="T109" s="645"/>
      <c r="U109" s="645"/>
      <c r="V109" s="645"/>
      <c r="W109" s="645"/>
      <c r="X109" s="8">
        <v>1</v>
      </c>
      <c r="Y109" s="8">
        <v>1</v>
      </c>
      <c r="Z109" s="645"/>
      <c r="AA109" s="645"/>
      <c r="AB109" s="645"/>
      <c r="AC109" s="645"/>
      <c r="AD109" s="645"/>
      <c r="AE109" s="645"/>
      <c r="AF109" s="645"/>
      <c r="AG109" s="8">
        <v>1</v>
      </c>
      <c r="AH109" s="645"/>
      <c r="AI109" s="645"/>
      <c r="AJ109" s="645"/>
      <c r="AK109" s="645"/>
      <c r="AL109" s="8">
        <f t="shared" si="8"/>
        <v>5</v>
      </c>
      <c r="AM109" s="11" t="s">
        <v>1778</v>
      </c>
    </row>
    <row r="110" spans="1:39">
      <c r="A110" s="8" t="s">
        <v>1779</v>
      </c>
      <c r="B110" s="645"/>
      <c r="C110" s="645"/>
      <c r="D110" s="645"/>
      <c r="E110" s="645"/>
      <c r="F110" s="645"/>
      <c r="G110" s="645"/>
      <c r="H110" s="645"/>
      <c r="I110" s="645"/>
      <c r="J110" s="645"/>
      <c r="K110" s="645"/>
      <c r="L110" s="645"/>
      <c r="M110" s="645"/>
      <c r="N110" s="645"/>
      <c r="O110" s="645"/>
      <c r="P110" s="645"/>
      <c r="Q110" s="645"/>
      <c r="R110" s="645"/>
      <c r="S110" s="645"/>
      <c r="T110" s="645"/>
      <c r="U110" s="645"/>
      <c r="V110" s="8">
        <v>1</v>
      </c>
      <c r="W110" s="645"/>
      <c r="X110" s="645"/>
      <c r="Y110" s="645"/>
      <c r="Z110" s="645"/>
      <c r="AA110" s="645"/>
      <c r="AB110" s="645"/>
      <c r="AC110" s="645"/>
      <c r="AD110" s="645"/>
      <c r="AE110" s="645"/>
      <c r="AF110" s="645"/>
      <c r="AG110" s="645"/>
      <c r="AH110" s="645"/>
      <c r="AI110" s="645"/>
      <c r="AJ110" s="645"/>
      <c r="AK110" s="645"/>
      <c r="AL110" s="8">
        <f t="shared" si="8"/>
        <v>1</v>
      </c>
      <c r="AM110" s="11" t="s">
        <v>1780</v>
      </c>
    </row>
    <row r="111" spans="1:39" ht="25.5">
      <c r="A111" s="8" t="s">
        <v>778</v>
      </c>
      <c r="B111" s="8" t="s">
        <v>1781</v>
      </c>
      <c r="C111" s="8" t="s">
        <v>1782</v>
      </c>
      <c r="D111" s="645"/>
      <c r="E111" s="645"/>
      <c r="F111" s="645"/>
      <c r="G111" s="645"/>
      <c r="H111" s="645"/>
      <c r="I111" s="645"/>
      <c r="J111" s="645"/>
      <c r="K111" s="645"/>
      <c r="L111" s="645"/>
      <c r="M111" s="645"/>
      <c r="N111" s="645"/>
      <c r="O111" s="645"/>
      <c r="P111" s="645"/>
      <c r="Q111" s="645"/>
      <c r="R111" s="645"/>
      <c r="S111" s="645"/>
      <c r="T111" s="645"/>
      <c r="U111" s="645"/>
      <c r="V111" s="645"/>
      <c r="W111" s="645"/>
      <c r="X111" s="645"/>
      <c r="Y111" s="645"/>
      <c r="Z111" s="645"/>
      <c r="AA111" s="645"/>
      <c r="AB111" s="645"/>
      <c r="AC111" s="645"/>
      <c r="AD111" s="645"/>
      <c r="AE111" s="645"/>
      <c r="AF111" s="645"/>
      <c r="AG111" s="645"/>
      <c r="AH111" s="645"/>
      <c r="AI111" s="645"/>
      <c r="AJ111" s="645"/>
      <c r="AK111" s="645"/>
      <c r="AL111" s="8">
        <v>0</v>
      </c>
      <c r="AM111" s="11" t="s">
        <v>1783</v>
      </c>
    </row>
    <row r="112" spans="1:39" ht="25.5">
      <c r="A112" s="8" t="s">
        <v>137</v>
      </c>
      <c r="B112" s="645"/>
      <c r="C112" s="8">
        <v>1</v>
      </c>
      <c r="D112" s="645"/>
      <c r="E112" s="8">
        <v>1</v>
      </c>
      <c r="F112" s="645"/>
      <c r="G112" s="645"/>
      <c r="H112" s="8">
        <v>1</v>
      </c>
      <c r="I112" s="645"/>
      <c r="J112" s="645"/>
      <c r="K112" s="645"/>
      <c r="L112" s="645"/>
      <c r="M112" s="645"/>
      <c r="N112" s="645"/>
      <c r="O112" s="645"/>
      <c r="P112" s="645"/>
      <c r="Q112" s="645"/>
      <c r="R112" s="645"/>
      <c r="S112" s="645"/>
      <c r="T112" s="645"/>
      <c r="U112" s="645"/>
      <c r="V112" s="645"/>
      <c r="W112" s="645"/>
      <c r="X112" s="8">
        <v>1</v>
      </c>
      <c r="Y112" s="645"/>
      <c r="Z112" s="645"/>
      <c r="AA112" s="645"/>
      <c r="AB112" s="645"/>
      <c r="AC112" s="645"/>
      <c r="AD112" s="645"/>
      <c r="AE112" s="645"/>
      <c r="AF112" s="645"/>
      <c r="AG112" s="645"/>
      <c r="AH112" s="645"/>
      <c r="AI112" s="645"/>
      <c r="AJ112" s="645"/>
      <c r="AK112" s="645"/>
      <c r="AL112" s="8">
        <f t="shared" ref="AL112:AL118" si="9">SUM(B112:AK112)</f>
        <v>4</v>
      </c>
      <c r="AM112" s="11" t="s">
        <v>1784</v>
      </c>
    </row>
    <row r="113" spans="1:39" ht="25.5">
      <c r="A113" s="8" t="s">
        <v>1432</v>
      </c>
      <c r="B113" s="645"/>
      <c r="C113" s="8">
        <v>1</v>
      </c>
      <c r="D113" s="8">
        <v>1</v>
      </c>
      <c r="E113" s="645"/>
      <c r="F113" s="645"/>
      <c r="G113" s="645"/>
      <c r="H113" s="645"/>
      <c r="I113" s="645"/>
      <c r="J113" s="645"/>
      <c r="K113" s="645"/>
      <c r="L113" s="645"/>
      <c r="M113" s="645"/>
      <c r="N113" s="645"/>
      <c r="O113" s="645"/>
      <c r="P113" s="8">
        <v>1</v>
      </c>
      <c r="Q113" s="645"/>
      <c r="R113" s="645"/>
      <c r="S113" s="645"/>
      <c r="T113" s="645"/>
      <c r="U113" s="645"/>
      <c r="V113" s="645"/>
      <c r="W113" s="645"/>
      <c r="X113" s="8">
        <v>1</v>
      </c>
      <c r="Y113" s="8">
        <v>1</v>
      </c>
      <c r="Z113" s="645"/>
      <c r="AA113" s="8">
        <v>1</v>
      </c>
      <c r="AB113" s="645"/>
      <c r="AC113" s="645"/>
      <c r="AD113" s="645"/>
      <c r="AE113" s="645"/>
      <c r="AF113" s="8">
        <v>1</v>
      </c>
      <c r="AG113" s="645"/>
      <c r="AH113" s="645"/>
      <c r="AI113" s="645"/>
      <c r="AJ113" s="645"/>
      <c r="AK113" s="645"/>
      <c r="AL113" s="8">
        <f t="shared" si="9"/>
        <v>7</v>
      </c>
      <c r="AM113" s="11" t="s">
        <v>1785</v>
      </c>
    </row>
    <row r="114" spans="1:39">
      <c r="A114" s="8" t="s">
        <v>1786</v>
      </c>
      <c r="B114" s="645"/>
      <c r="C114" s="8">
        <v>1</v>
      </c>
      <c r="D114" s="645"/>
      <c r="E114" s="645"/>
      <c r="F114" s="645"/>
      <c r="G114" s="645"/>
      <c r="H114" s="645"/>
      <c r="I114" s="645"/>
      <c r="J114" s="645"/>
      <c r="K114" s="645"/>
      <c r="L114" s="645"/>
      <c r="M114" s="645"/>
      <c r="N114" s="645"/>
      <c r="O114" s="645"/>
      <c r="P114" s="8">
        <v>1</v>
      </c>
      <c r="Q114" s="8">
        <v>1</v>
      </c>
      <c r="R114" s="645"/>
      <c r="S114" s="645"/>
      <c r="T114" s="645"/>
      <c r="U114" s="645"/>
      <c r="V114" s="645"/>
      <c r="W114" s="645"/>
      <c r="X114" s="8">
        <v>1</v>
      </c>
      <c r="Y114" s="645"/>
      <c r="Z114" s="645"/>
      <c r="AA114" s="645"/>
      <c r="AB114" s="645"/>
      <c r="AC114" s="645"/>
      <c r="AD114" s="645"/>
      <c r="AE114" s="645"/>
      <c r="AF114" s="645"/>
      <c r="AG114" s="645"/>
      <c r="AH114" s="645"/>
      <c r="AI114" s="645"/>
      <c r="AJ114" s="645"/>
      <c r="AK114" s="645"/>
      <c r="AL114" s="8">
        <f t="shared" si="9"/>
        <v>4</v>
      </c>
      <c r="AM114" s="645"/>
    </row>
    <row r="115" spans="1:39" ht="25.5">
      <c r="A115" s="8" t="s">
        <v>163</v>
      </c>
      <c r="B115" s="645"/>
      <c r="C115" s="8">
        <v>1</v>
      </c>
      <c r="D115" s="645"/>
      <c r="E115" s="8">
        <v>1</v>
      </c>
      <c r="F115" s="645"/>
      <c r="G115" s="645"/>
      <c r="H115" s="8">
        <v>1</v>
      </c>
      <c r="I115" s="645"/>
      <c r="J115" s="645"/>
      <c r="K115" s="645"/>
      <c r="L115" s="645"/>
      <c r="M115" s="645"/>
      <c r="N115" s="645"/>
      <c r="O115" s="645"/>
      <c r="P115" s="8">
        <v>1</v>
      </c>
      <c r="Q115" s="645"/>
      <c r="R115" s="645"/>
      <c r="S115" s="8">
        <v>1</v>
      </c>
      <c r="T115" s="645"/>
      <c r="U115" s="645"/>
      <c r="V115" s="645"/>
      <c r="W115" s="645"/>
      <c r="X115" s="645"/>
      <c r="Y115" s="8">
        <v>1</v>
      </c>
      <c r="Z115" s="645"/>
      <c r="AA115" s="645"/>
      <c r="AB115" s="645"/>
      <c r="AC115" s="645"/>
      <c r="AD115" s="645"/>
      <c r="AE115" s="645"/>
      <c r="AF115" s="645"/>
      <c r="AG115" s="8">
        <v>1</v>
      </c>
      <c r="AH115" s="645"/>
      <c r="AI115" s="645"/>
      <c r="AJ115" s="645"/>
      <c r="AK115" s="645"/>
      <c r="AL115" s="8">
        <f t="shared" si="9"/>
        <v>7</v>
      </c>
      <c r="AM115" s="11" t="s">
        <v>1787</v>
      </c>
    </row>
    <row r="116" spans="1:39" ht="25.5">
      <c r="A116" s="8" t="s">
        <v>172</v>
      </c>
      <c r="B116" s="645"/>
      <c r="C116" s="8">
        <v>1</v>
      </c>
      <c r="D116" s="8">
        <v>1</v>
      </c>
      <c r="E116" s="8">
        <v>1</v>
      </c>
      <c r="F116" s="645"/>
      <c r="G116" s="645"/>
      <c r="H116" s="8">
        <v>1</v>
      </c>
      <c r="I116" s="645"/>
      <c r="J116" s="645"/>
      <c r="K116" s="645"/>
      <c r="L116" s="645"/>
      <c r="M116" s="645"/>
      <c r="N116" s="645"/>
      <c r="O116" s="8">
        <v>1</v>
      </c>
      <c r="P116" s="8">
        <v>1</v>
      </c>
      <c r="Q116" s="645"/>
      <c r="R116" s="645"/>
      <c r="S116" s="645"/>
      <c r="T116" s="645"/>
      <c r="U116" s="645"/>
      <c r="V116" s="645"/>
      <c r="W116" s="645"/>
      <c r="X116" s="645"/>
      <c r="Y116" s="8">
        <v>1</v>
      </c>
      <c r="Z116" s="645"/>
      <c r="AA116" s="8">
        <v>1</v>
      </c>
      <c r="AB116" s="645"/>
      <c r="AC116" s="645"/>
      <c r="AD116" s="645"/>
      <c r="AE116" s="645"/>
      <c r="AF116" s="8">
        <v>1</v>
      </c>
      <c r="AG116" s="8">
        <v>1</v>
      </c>
      <c r="AH116" s="645"/>
      <c r="AI116" s="645"/>
      <c r="AJ116" s="645"/>
      <c r="AK116" s="645"/>
      <c r="AL116" s="8">
        <f t="shared" si="9"/>
        <v>10</v>
      </c>
      <c r="AM116" s="11" t="s">
        <v>1788</v>
      </c>
    </row>
    <row r="117" spans="1:39" ht="25.5">
      <c r="A117" s="8" t="s">
        <v>183</v>
      </c>
      <c r="B117" s="645"/>
      <c r="C117" s="8" t="s">
        <v>1781</v>
      </c>
      <c r="D117" s="8" t="s">
        <v>1782</v>
      </c>
      <c r="E117" s="645"/>
      <c r="F117" s="645"/>
      <c r="G117" s="645"/>
      <c r="H117" s="645"/>
      <c r="I117" s="645"/>
      <c r="J117" s="645"/>
      <c r="K117" s="645"/>
      <c r="L117" s="645"/>
      <c r="M117" s="645"/>
      <c r="N117" s="645"/>
      <c r="O117" s="645"/>
      <c r="P117" s="645"/>
      <c r="Q117" s="645"/>
      <c r="R117" s="645"/>
      <c r="S117" s="645"/>
      <c r="T117" s="645"/>
      <c r="U117" s="645"/>
      <c r="V117" s="645"/>
      <c r="W117" s="645"/>
      <c r="X117" s="645"/>
      <c r="Y117" s="645"/>
      <c r="Z117" s="645"/>
      <c r="AA117" s="645"/>
      <c r="AB117" s="645"/>
      <c r="AC117" s="645"/>
      <c r="AD117" s="645"/>
      <c r="AE117" s="645"/>
      <c r="AF117" s="645"/>
      <c r="AG117" s="645"/>
      <c r="AH117" s="645"/>
      <c r="AI117" s="645"/>
      <c r="AJ117" s="645"/>
      <c r="AK117" s="645"/>
      <c r="AL117" s="8">
        <f t="shared" si="9"/>
        <v>0</v>
      </c>
      <c r="AM117" s="11" t="s">
        <v>1789</v>
      </c>
    </row>
    <row r="118" spans="1:39">
      <c r="A118" s="8" t="s">
        <v>1138</v>
      </c>
      <c r="B118" s="645"/>
      <c r="C118" s="8">
        <v>1</v>
      </c>
      <c r="D118" s="8">
        <v>1</v>
      </c>
      <c r="E118" s="8">
        <v>1</v>
      </c>
      <c r="F118" s="645"/>
      <c r="G118" s="645"/>
      <c r="H118" s="8">
        <v>1</v>
      </c>
      <c r="I118" s="645"/>
      <c r="J118" s="645"/>
      <c r="K118" s="645"/>
      <c r="L118" s="645"/>
      <c r="M118" s="645"/>
      <c r="N118" s="645"/>
      <c r="O118" s="645"/>
      <c r="P118" s="8">
        <v>1</v>
      </c>
      <c r="Q118" s="645"/>
      <c r="R118" s="645"/>
      <c r="S118" s="645"/>
      <c r="T118" s="645"/>
      <c r="U118" s="645"/>
      <c r="V118" s="645"/>
      <c r="W118" s="645"/>
      <c r="X118" s="8">
        <v>1</v>
      </c>
      <c r="Y118" s="8">
        <v>1</v>
      </c>
      <c r="Z118" s="645"/>
      <c r="AA118" s="8">
        <v>1</v>
      </c>
      <c r="AB118" s="645"/>
      <c r="AC118" s="645"/>
      <c r="AD118" s="645"/>
      <c r="AE118" s="645"/>
      <c r="AF118" s="8">
        <v>1</v>
      </c>
      <c r="AG118" s="8">
        <v>1</v>
      </c>
      <c r="AH118" s="645"/>
      <c r="AI118" s="645"/>
      <c r="AJ118" s="645"/>
      <c r="AK118" s="645"/>
      <c r="AL118" s="8">
        <f t="shared" si="9"/>
        <v>10</v>
      </c>
      <c r="AM118" s="11" t="s">
        <v>1710</v>
      </c>
    </row>
    <row r="119" spans="1:39">
      <c r="A119" s="8" t="s">
        <v>187</v>
      </c>
      <c r="B119" s="645"/>
      <c r="C119" s="8" t="s">
        <v>1781</v>
      </c>
      <c r="D119" s="8" t="s">
        <v>1782</v>
      </c>
      <c r="E119" s="645"/>
      <c r="F119" s="645"/>
      <c r="G119" s="645"/>
      <c r="H119" s="645"/>
      <c r="I119" s="645"/>
      <c r="J119" s="645"/>
      <c r="K119" s="645"/>
      <c r="L119" s="645"/>
      <c r="M119" s="645"/>
      <c r="N119" s="645"/>
      <c r="O119" s="645"/>
      <c r="P119" s="645"/>
      <c r="Q119" s="645"/>
      <c r="R119" s="645"/>
      <c r="S119" s="645"/>
      <c r="T119" s="645"/>
      <c r="U119" s="645"/>
      <c r="V119" s="645"/>
      <c r="W119" s="645"/>
      <c r="X119" s="645"/>
      <c r="Y119" s="645"/>
      <c r="Z119" s="645"/>
      <c r="AA119" s="645"/>
      <c r="AB119" s="645"/>
      <c r="AC119" s="645"/>
      <c r="AD119" s="645"/>
      <c r="AE119" s="645"/>
      <c r="AF119" s="645"/>
      <c r="AG119" s="645"/>
      <c r="AH119" s="645"/>
      <c r="AI119" s="645"/>
      <c r="AJ119" s="645"/>
      <c r="AK119" s="645"/>
      <c r="AL119" s="8">
        <v>0</v>
      </c>
      <c r="AM119" s="11" t="s">
        <v>1790</v>
      </c>
    </row>
    <row r="120" spans="1:39" ht="25.5">
      <c r="A120" s="8" t="s">
        <v>190</v>
      </c>
      <c r="B120" s="645"/>
      <c r="C120" s="645"/>
      <c r="D120" s="8">
        <v>1</v>
      </c>
      <c r="E120" s="645"/>
      <c r="F120" s="645"/>
      <c r="G120" s="645"/>
      <c r="H120" s="645"/>
      <c r="I120" s="645"/>
      <c r="J120" s="645"/>
      <c r="K120" s="645"/>
      <c r="L120" s="645"/>
      <c r="M120" s="645"/>
      <c r="N120" s="645"/>
      <c r="O120" s="645"/>
      <c r="P120" s="645"/>
      <c r="Q120" s="645"/>
      <c r="R120" s="645"/>
      <c r="S120" s="645"/>
      <c r="T120" s="645"/>
      <c r="U120" s="645"/>
      <c r="V120" s="645"/>
      <c r="W120" s="645"/>
      <c r="X120" s="645"/>
      <c r="Y120" s="8">
        <v>1</v>
      </c>
      <c r="Z120" s="645"/>
      <c r="AA120" s="645"/>
      <c r="AB120" s="645"/>
      <c r="AC120" s="8">
        <v>1</v>
      </c>
      <c r="AD120" s="645"/>
      <c r="AE120" s="645"/>
      <c r="AF120" s="8">
        <v>1</v>
      </c>
      <c r="AG120" s="8">
        <v>1</v>
      </c>
      <c r="AH120" s="645"/>
      <c r="AI120" s="645"/>
      <c r="AJ120" s="645"/>
      <c r="AK120" s="645"/>
      <c r="AL120" s="8">
        <f t="shared" ref="AL120:AL134" si="10">SUM(B120:AK120)</f>
        <v>5</v>
      </c>
      <c r="AM120" s="11" t="s">
        <v>1791</v>
      </c>
    </row>
    <row r="121" spans="1:39" ht="25.5">
      <c r="A121" s="8" t="s">
        <v>1303</v>
      </c>
      <c r="B121" s="645"/>
      <c r="C121" s="8">
        <v>1</v>
      </c>
      <c r="D121" s="645"/>
      <c r="E121" s="8">
        <v>1</v>
      </c>
      <c r="F121" s="645"/>
      <c r="G121" s="645"/>
      <c r="H121" s="8">
        <v>1</v>
      </c>
      <c r="I121" s="645"/>
      <c r="J121" s="645"/>
      <c r="K121" s="645"/>
      <c r="L121" s="645"/>
      <c r="M121" s="645"/>
      <c r="N121" s="645"/>
      <c r="O121" s="645"/>
      <c r="P121" s="8">
        <v>1</v>
      </c>
      <c r="Q121" s="645"/>
      <c r="R121" s="645"/>
      <c r="S121" s="645"/>
      <c r="T121" s="645"/>
      <c r="U121" s="645"/>
      <c r="V121" s="8">
        <v>1</v>
      </c>
      <c r="W121" s="8">
        <v>1</v>
      </c>
      <c r="X121" s="645"/>
      <c r="Y121" s="8">
        <v>1</v>
      </c>
      <c r="Z121" s="645"/>
      <c r="AA121" s="645"/>
      <c r="AB121" s="645"/>
      <c r="AC121" s="8">
        <v>1</v>
      </c>
      <c r="AD121" s="645"/>
      <c r="AE121" s="645"/>
      <c r="AF121" s="645"/>
      <c r="AG121" s="8">
        <v>1</v>
      </c>
      <c r="AH121" s="645"/>
      <c r="AI121" s="645"/>
      <c r="AJ121" s="645"/>
      <c r="AK121" s="645"/>
      <c r="AL121" s="8">
        <f t="shared" si="10"/>
        <v>9</v>
      </c>
      <c r="AM121" s="11" t="s">
        <v>1792</v>
      </c>
    </row>
    <row r="122" spans="1:39">
      <c r="A122" s="8" t="s">
        <v>192</v>
      </c>
      <c r="B122" s="645"/>
      <c r="C122" s="8">
        <v>1</v>
      </c>
      <c r="D122" s="645"/>
      <c r="E122" s="8">
        <v>1</v>
      </c>
      <c r="F122" s="645"/>
      <c r="G122" s="645"/>
      <c r="H122" s="8">
        <v>1</v>
      </c>
      <c r="I122" s="645"/>
      <c r="J122" s="645"/>
      <c r="K122" s="645"/>
      <c r="L122" s="645"/>
      <c r="M122" s="645"/>
      <c r="N122" s="645"/>
      <c r="O122" s="645"/>
      <c r="P122" s="645"/>
      <c r="Q122" s="645"/>
      <c r="R122" s="645"/>
      <c r="S122" s="8">
        <v>1</v>
      </c>
      <c r="T122" s="645"/>
      <c r="U122" s="645"/>
      <c r="V122" s="645"/>
      <c r="W122" s="645"/>
      <c r="X122" s="645"/>
      <c r="Y122" s="8">
        <v>1</v>
      </c>
      <c r="Z122" s="645"/>
      <c r="AA122" s="8">
        <v>1</v>
      </c>
      <c r="AB122" s="645"/>
      <c r="AC122" s="645"/>
      <c r="AD122" s="8">
        <v>1</v>
      </c>
      <c r="AE122" s="645"/>
      <c r="AF122" s="645"/>
      <c r="AG122" s="645"/>
      <c r="AH122" s="645"/>
      <c r="AI122" s="645"/>
      <c r="AJ122" s="645"/>
      <c r="AK122" s="645"/>
      <c r="AL122" s="8">
        <f t="shared" si="10"/>
        <v>7</v>
      </c>
      <c r="AM122" s="11" t="s">
        <v>1793</v>
      </c>
    </row>
    <row r="123" spans="1:39">
      <c r="A123" s="8" t="s">
        <v>1794</v>
      </c>
      <c r="B123" s="645"/>
      <c r="C123" s="8">
        <v>1</v>
      </c>
      <c r="D123" s="8">
        <v>1</v>
      </c>
      <c r="E123" s="645"/>
      <c r="F123" s="645"/>
      <c r="G123" s="645"/>
      <c r="H123" s="645"/>
      <c r="I123" s="645"/>
      <c r="J123" s="645"/>
      <c r="K123" s="645"/>
      <c r="L123" s="645"/>
      <c r="M123" s="645"/>
      <c r="N123" s="645"/>
      <c r="O123" s="645"/>
      <c r="P123" s="645"/>
      <c r="Q123" s="645"/>
      <c r="R123" s="8">
        <v>1</v>
      </c>
      <c r="S123" s="645"/>
      <c r="T123" s="645"/>
      <c r="U123" s="645"/>
      <c r="V123" s="645"/>
      <c r="W123" s="645"/>
      <c r="X123" s="8">
        <v>1</v>
      </c>
      <c r="Y123" s="8">
        <v>1</v>
      </c>
      <c r="Z123" s="645"/>
      <c r="AA123" s="8">
        <v>1</v>
      </c>
      <c r="AB123" s="645"/>
      <c r="AC123" s="8">
        <v>1</v>
      </c>
      <c r="AD123" s="645"/>
      <c r="AE123" s="645"/>
      <c r="AF123" s="8">
        <v>1</v>
      </c>
      <c r="AG123" s="645"/>
      <c r="AH123" s="645"/>
      <c r="AI123" s="645"/>
      <c r="AJ123" s="645"/>
      <c r="AK123" s="645"/>
      <c r="AL123" s="8">
        <f t="shared" si="10"/>
        <v>8</v>
      </c>
      <c r="AM123" s="11" t="s">
        <v>1795</v>
      </c>
    </row>
    <row r="124" spans="1:39" ht="25.5">
      <c r="A124" s="8" t="s">
        <v>204</v>
      </c>
      <c r="B124" s="645"/>
      <c r="C124" s="645"/>
      <c r="D124" s="645"/>
      <c r="E124" s="645"/>
      <c r="F124" s="645"/>
      <c r="G124" s="645"/>
      <c r="H124" s="645"/>
      <c r="I124" s="645"/>
      <c r="J124" s="645"/>
      <c r="K124" s="645"/>
      <c r="L124" s="645"/>
      <c r="M124" s="645"/>
      <c r="N124" s="645"/>
      <c r="O124" s="645"/>
      <c r="P124" s="8">
        <v>1</v>
      </c>
      <c r="Q124" s="645"/>
      <c r="R124" s="645"/>
      <c r="S124" s="645"/>
      <c r="T124" s="645"/>
      <c r="U124" s="645"/>
      <c r="V124" s="645"/>
      <c r="W124" s="645"/>
      <c r="X124" s="8">
        <v>1</v>
      </c>
      <c r="Y124" s="8">
        <v>1</v>
      </c>
      <c r="Z124" s="645"/>
      <c r="AA124" s="645"/>
      <c r="AB124" s="645"/>
      <c r="AC124" s="645"/>
      <c r="AD124" s="645"/>
      <c r="AE124" s="645"/>
      <c r="AF124" s="645"/>
      <c r="AG124" s="645"/>
      <c r="AH124" s="645"/>
      <c r="AI124" s="645"/>
      <c r="AJ124" s="645"/>
      <c r="AK124" s="645"/>
      <c r="AL124" s="8">
        <f t="shared" si="10"/>
        <v>3</v>
      </c>
      <c r="AM124" s="11" t="s">
        <v>1726</v>
      </c>
    </row>
    <row r="125" spans="1:39" ht="25.5">
      <c r="A125" s="8" t="s">
        <v>1153</v>
      </c>
      <c r="B125" s="645"/>
      <c r="C125" s="8">
        <v>1</v>
      </c>
      <c r="D125" s="8">
        <v>1</v>
      </c>
      <c r="E125" s="645"/>
      <c r="F125" s="645"/>
      <c r="G125" s="645"/>
      <c r="H125" s="645"/>
      <c r="I125" s="645"/>
      <c r="J125" s="645"/>
      <c r="K125" s="645"/>
      <c r="L125" s="645"/>
      <c r="M125" s="645"/>
      <c r="N125" s="645"/>
      <c r="O125" s="645"/>
      <c r="P125" s="645"/>
      <c r="Q125" s="8">
        <v>1</v>
      </c>
      <c r="R125" s="645"/>
      <c r="S125" s="645"/>
      <c r="T125" s="645"/>
      <c r="U125" s="645"/>
      <c r="V125" s="645"/>
      <c r="W125" s="645"/>
      <c r="X125" s="645"/>
      <c r="Y125" s="8">
        <v>1</v>
      </c>
      <c r="Z125" s="645"/>
      <c r="AA125" s="8">
        <v>1</v>
      </c>
      <c r="AB125" s="645"/>
      <c r="AC125" s="8">
        <v>1</v>
      </c>
      <c r="AD125" s="645"/>
      <c r="AE125" s="645"/>
      <c r="AF125" s="645"/>
      <c r="AG125" s="645"/>
      <c r="AH125" s="645"/>
      <c r="AI125" s="645"/>
      <c r="AJ125" s="645"/>
      <c r="AK125" s="645"/>
      <c r="AL125" s="8">
        <f t="shared" si="10"/>
        <v>6</v>
      </c>
      <c r="AM125" s="11" t="s">
        <v>1726</v>
      </c>
    </row>
    <row r="126" spans="1:39">
      <c r="A126" s="8" t="s">
        <v>214</v>
      </c>
      <c r="B126" s="645"/>
      <c r="C126" s="8">
        <v>1</v>
      </c>
      <c r="D126" s="8">
        <v>1</v>
      </c>
      <c r="E126" s="645"/>
      <c r="F126" s="645"/>
      <c r="G126" s="645"/>
      <c r="H126" s="645"/>
      <c r="I126" s="645"/>
      <c r="J126" s="645"/>
      <c r="K126" s="645"/>
      <c r="L126" s="645"/>
      <c r="M126" s="645"/>
      <c r="N126" s="645"/>
      <c r="O126" s="645"/>
      <c r="P126" s="645"/>
      <c r="Q126" s="645"/>
      <c r="R126" s="645"/>
      <c r="S126" s="645"/>
      <c r="T126" s="645"/>
      <c r="U126" s="645"/>
      <c r="V126" s="645"/>
      <c r="W126" s="645"/>
      <c r="X126" s="8">
        <v>1</v>
      </c>
      <c r="Y126" s="8">
        <v>1</v>
      </c>
      <c r="Z126" s="645"/>
      <c r="AA126" s="8">
        <v>1</v>
      </c>
      <c r="AB126" s="645"/>
      <c r="AC126" s="645"/>
      <c r="AD126" s="645"/>
      <c r="AE126" s="645"/>
      <c r="AF126" s="645"/>
      <c r="AG126" s="645"/>
      <c r="AH126" s="645"/>
      <c r="AI126" s="645"/>
      <c r="AJ126" s="645"/>
      <c r="AK126" s="645"/>
      <c r="AL126" s="8">
        <f t="shared" si="10"/>
        <v>5</v>
      </c>
      <c r="AM126" s="11" t="s">
        <v>1734</v>
      </c>
    </row>
    <row r="127" spans="1:39" ht="51">
      <c r="A127" s="8" t="s">
        <v>221</v>
      </c>
      <c r="B127" s="645"/>
      <c r="C127" s="8">
        <v>1</v>
      </c>
      <c r="D127" s="8">
        <v>1</v>
      </c>
      <c r="E127" s="8">
        <v>1</v>
      </c>
      <c r="F127" s="645"/>
      <c r="G127" s="645"/>
      <c r="H127" s="8">
        <v>1</v>
      </c>
      <c r="I127" s="645"/>
      <c r="J127" s="645"/>
      <c r="K127" s="645"/>
      <c r="L127" s="645"/>
      <c r="M127" s="645"/>
      <c r="N127" s="645"/>
      <c r="O127" s="8">
        <v>1</v>
      </c>
      <c r="P127" s="8">
        <v>1</v>
      </c>
      <c r="Q127" s="645"/>
      <c r="R127" s="645"/>
      <c r="S127" s="8">
        <v>1</v>
      </c>
      <c r="T127" s="645"/>
      <c r="U127" s="645"/>
      <c r="V127" s="645"/>
      <c r="W127" s="645"/>
      <c r="X127" s="8">
        <v>1</v>
      </c>
      <c r="Y127" s="645"/>
      <c r="Z127" s="645"/>
      <c r="AA127" s="8">
        <v>1</v>
      </c>
      <c r="AB127" s="645"/>
      <c r="AC127" s="645"/>
      <c r="AD127" s="645"/>
      <c r="AE127" s="645"/>
      <c r="AF127" s="645"/>
      <c r="AG127" s="8">
        <v>1</v>
      </c>
      <c r="AH127" s="645"/>
      <c r="AI127" s="645"/>
      <c r="AJ127" s="645"/>
      <c r="AK127" s="645"/>
      <c r="AL127" s="8">
        <f t="shared" si="10"/>
        <v>10</v>
      </c>
      <c r="AM127" s="11" t="s">
        <v>1796</v>
      </c>
    </row>
    <row r="128" spans="1:39">
      <c r="A128" s="8" t="s">
        <v>1474</v>
      </c>
      <c r="B128" s="645"/>
      <c r="C128" s="8">
        <v>1</v>
      </c>
      <c r="D128" s="8">
        <v>1</v>
      </c>
      <c r="E128" s="8">
        <v>1</v>
      </c>
      <c r="F128" s="645"/>
      <c r="G128" s="645"/>
      <c r="H128" s="8">
        <v>1</v>
      </c>
      <c r="I128" s="645"/>
      <c r="J128" s="645"/>
      <c r="K128" s="645"/>
      <c r="L128" s="645"/>
      <c r="M128" s="645"/>
      <c r="N128" s="645"/>
      <c r="O128" s="645"/>
      <c r="P128" s="645"/>
      <c r="Q128" s="645"/>
      <c r="R128" s="645"/>
      <c r="S128" s="645"/>
      <c r="T128" s="645"/>
      <c r="U128" s="645"/>
      <c r="V128" s="645"/>
      <c r="W128" s="645"/>
      <c r="X128" s="8">
        <v>1</v>
      </c>
      <c r="Y128" s="8">
        <v>1</v>
      </c>
      <c r="Z128" s="645"/>
      <c r="AA128" s="8">
        <v>1</v>
      </c>
      <c r="AB128" s="645"/>
      <c r="AC128" s="645"/>
      <c r="AD128" s="645"/>
      <c r="AE128" s="645"/>
      <c r="AF128" s="8">
        <v>1</v>
      </c>
      <c r="AG128" s="645"/>
      <c r="AH128" s="645"/>
      <c r="AI128" s="645"/>
      <c r="AJ128" s="645"/>
      <c r="AK128" s="645"/>
      <c r="AL128" s="8">
        <f t="shared" si="10"/>
        <v>8</v>
      </c>
      <c r="AM128" s="11" t="s">
        <v>1797</v>
      </c>
    </row>
    <row r="129" spans="1:39" ht="25.5">
      <c r="A129" s="8" t="s">
        <v>231</v>
      </c>
      <c r="B129" s="645"/>
      <c r="C129" s="8">
        <v>1</v>
      </c>
      <c r="D129" s="8">
        <v>1</v>
      </c>
      <c r="E129" s="8">
        <v>1</v>
      </c>
      <c r="F129" s="645"/>
      <c r="G129" s="645"/>
      <c r="H129" s="8">
        <v>1</v>
      </c>
      <c r="I129" s="645"/>
      <c r="J129" s="645"/>
      <c r="K129" s="645"/>
      <c r="L129" s="645"/>
      <c r="M129" s="645"/>
      <c r="N129" s="645"/>
      <c r="O129" s="645"/>
      <c r="P129" s="8">
        <v>1</v>
      </c>
      <c r="Q129" s="645"/>
      <c r="R129" s="8">
        <v>1</v>
      </c>
      <c r="S129" s="645"/>
      <c r="T129" s="645"/>
      <c r="U129" s="645"/>
      <c r="V129" s="645"/>
      <c r="W129" s="645"/>
      <c r="X129" s="8">
        <v>1</v>
      </c>
      <c r="Y129" s="645"/>
      <c r="Z129" s="645"/>
      <c r="AA129" s="645"/>
      <c r="AB129" s="645"/>
      <c r="AC129" s="645"/>
      <c r="AD129" s="645"/>
      <c r="AE129" s="645"/>
      <c r="AF129" s="645"/>
      <c r="AG129" s="645"/>
      <c r="AH129" s="645"/>
      <c r="AI129" s="645"/>
      <c r="AJ129" s="645"/>
      <c r="AK129" s="645"/>
      <c r="AL129" s="8">
        <f t="shared" si="10"/>
        <v>7</v>
      </c>
      <c r="AM129" s="11" t="s">
        <v>1798</v>
      </c>
    </row>
    <row r="130" spans="1:39" ht="25.5">
      <c r="A130" s="8" t="s">
        <v>232</v>
      </c>
      <c r="B130" s="645"/>
      <c r="C130" s="8">
        <v>1</v>
      </c>
      <c r="D130" s="8">
        <v>1</v>
      </c>
      <c r="E130" s="8">
        <v>1</v>
      </c>
      <c r="F130" s="645"/>
      <c r="G130" s="645"/>
      <c r="H130" s="8">
        <v>1</v>
      </c>
      <c r="I130" s="645"/>
      <c r="J130" s="645"/>
      <c r="K130" s="645"/>
      <c r="L130" s="645"/>
      <c r="M130" s="645"/>
      <c r="N130" s="645"/>
      <c r="O130" s="645"/>
      <c r="P130" s="8">
        <v>1</v>
      </c>
      <c r="Q130" s="645"/>
      <c r="R130" s="645"/>
      <c r="S130" s="645"/>
      <c r="T130" s="645"/>
      <c r="U130" s="645"/>
      <c r="V130" s="645"/>
      <c r="W130" s="645"/>
      <c r="X130" s="8">
        <v>1</v>
      </c>
      <c r="Y130" s="8">
        <v>1</v>
      </c>
      <c r="Z130" s="645"/>
      <c r="AA130" s="645"/>
      <c r="AB130" s="645"/>
      <c r="AC130" s="645"/>
      <c r="AD130" s="645"/>
      <c r="AE130" s="645"/>
      <c r="AF130" s="8">
        <v>1</v>
      </c>
      <c r="AG130" s="645"/>
      <c r="AH130" s="645"/>
      <c r="AI130" s="645"/>
      <c r="AJ130" s="645"/>
      <c r="AK130" s="645"/>
      <c r="AL130" s="8">
        <f t="shared" si="10"/>
        <v>8</v>
      </c>
      <c r="AM130" s="11" t="s">
        <v>1799</v>
      </c>
    </row>
    <row r="131" spans="1:39">
      <c r="A131" s="8" t="s">
        <v>235</v>
      </c>
      <c r="B131" s="645"/>
      <c r="C131" s="645"/>
      <c r="D131" s="8">
        <v>1</v>
      </c>
      <c r="E131" s="645"/>
      <c r="F131" s="645"/>
      <c r="G131" s="645"/>
      <c r="H131" s="645"/>
      <c r="I131" s="645"/>
      <c r="J131" s="645"/>
      <c r="K131" s="645"/>
      <c r="L131" s="645"/>
      <c r="M131" s="645"/>
      <c r="N131" s="645"/>
      <c r="O131" s="645"/>
      <c r="P131" s="645"/>
      <c r="Q131" s="645"/>
      <c r="R131" s="645"/>
      <c r="S131" s="645"/>
      <c r="T131" s="645"/>
      <c r="U131" s="645"/>
      <c r="V131" s="645"/>
      <c r="W131" s="645"/>
      <c r="X131" s="8">
        <v>1</v>
      </c>
      <c r="Y131" s="645"/>
      <c r="Z131" s="645"/>
      <c r="AA131" s="645"/>
      <c r="AB131" s="645"/>
      <c r="AC131" s="645"/>
      <c r="AD131" s="645"/>
      <c r="AE131" s="645"/>
      <c r="AF131" s="645"/>
      <c r="AG131" s="645"/>
      <c r="AH131" s="645"/>
      <c r="AI131" s="645"/>
      <c r="AJ131" s="645"/>
      <c r="AK131" s="645"/>
      <c r="AL131" s="8">
        <f t="shared" si="10"/>
        <v>2</v>
      </c>
      <c r="AM131" s="11" t="s">
        <v>1741</v>
      </c>
    </row>
    <row r="132" spans="1:39">
      <c r="A132" s="8" t="s">
        <v>236</v>
      </c>
      <c r="B132" s="645"/>
      <c r="C132" s="645"/>
      <c r="D132" s="8">
        <v>1</v>
      </c>
      <c r="E132" s="8">
        <v>1</v>
      </c>
      <c r="F132" s="645"/>
      <c r="G132" s="645"/>
      <c r="H132" s="8">
        <v>1</v>
      </c>
      <c r="I132" s="645"/>
      <c r="J132" s="645"/>
      <c r="K132" s="645"/>
      <c r="L132" s="645"/>
      <c r="M132" s="645"/>
      <c r="N132" s="645"/>
      <c r="O132" s="645"/>
      <c r="P132" s="8">
        <v>1</v>
      </c>
      <c r="Q132" s="645"/>
      <c r="R132" s="8">
        <v>1</v>
      </c>
      <c r="S132" s="8">
        <v>1</v>
      </c>
      <c r="T132" s="645"/>
      <c r="U132" s="645"/>
      <c r="V132" s="645"/>
      <c r="W132" s="8">
        <v>1</v>
      </c>
      <c r="X132" s="8">
        <v>1</v>
      </c>
      <c r="Y132" s="8">
        <v>1</v>
      </c>
      <c r="Z132" s="645"/>
      <c r="AA132" s="645"/>
      <c r="AB132" s="645"/>
      <c r="AC132" s="645"/>
      <c r="AD132" s="8">
        <v>1</v>
      </c>
      <c r="AE132" s="645"/>
      <c r="AF132" s="645"/>
      <c r="AG132" s="645"/>
      <c r="AH132" s="645"/>
      <c r="AI132" s="645"/>
      <c r="AJ132" s="645"/>
      <c r="AK132" s="645"/>
      <c r="AL132" s="8">
        <f t="shared" si="10"/>
        <v>10</v>
      </c>
      <c r="AM132" s="11" t="s">
        <v>1741</v>
      </c>
    </row>
    <row r="133" spans="1:39">
      <c r="A133" s="8" t="s">
        <v>239</v>
      </c>
      <c r="B133" s="645"/>
      <c r="C133" s="8">
        <v>1</v>
      </c>
      <c r="D133" s="8">
        <v>1</v>
      </c>
      <c r="E133" s="645"/>
      <c r="F133" s="645"/>
      <c r="G133" s="645"/>
      <c r="H133" s="645"/>
      <c r="I133" s="645"/>
      <c r="J133" s="645"/>
      <c r="K133" s="645"/>
      <c r="L133" s="645"/>
      <c r="M133" s="645"/>
      <c r="N133" s="645"/>
      <c r="O133" s="645"/>
      <c r="P133" s="645"/>
      <c r="Q133" s="645"/>
      <c r="R133" s="645"/>
      <c r="S133" s="645"/>
      <c r="T133" s="645"/>
      <c r="U133" s="645"/>
      <c r="V133" s="645"/>
      <c r="W133" s="645"/>
      <c r="X133" s="645"/>
      <c r="Y133" s="8">
        <v>1</v>
      </c>
      <c r="Z133" s="645"/>
      <c r="AA133" s="8">
        <v>1</v>
      </c>
      <c r="AB133" s="645"/>
      <c r="AC133" s="645"/>
      <c r="AD133" s="645"/>
      <c r="AE133" s="645"/>
      <c r="AF133" s="645"/>
      <c r="AG133" s="645"/>
      <c r="AH133" s="645"/>
      <c r="AI133" s="645"/>
      <c r="AJ133" s="645"/>
      <c r="AK133" s="645"/>
      <c r="AL133" s="8">
        <f t="shared" si="10"/>
        <v>4</v>
      </c>
      <c r="AM133" s="645"/>
    </row>
    <row r="134" spans="1:39">
      <c r="A134" s="8" t="s">
        <v>1800</v>
      </c>
      <c r="B134" s="645"/>
      <c r="C134" s="645"/>
      <c r="D134" s="8">
        <v>1</v>
      </c>
      <c r="E134" s="8">
        <v>1</v>
      </c>
      <c r="F134" s="645"/>
      <c r="G134" s="645"/>
      <c r="H134" s="645"/>
      <c r="I134" s="645"/>
      <c r="J134" s="645"/>
      <c r="K134" s="645"/>
      <c r="L134" s="645"/>
      <c r="M134" s="645"/>
      <c r="N134" s="645"/>
      <c r="O134" s="645"/>
      <c r="P134" s="645"/>
      <c r="Q134" s="645"/>
      <c r="R134" s="645"/>
      <c r="S134" s="645"/>
      <c r="T134" s="645"/>
      <c r="U134" s="645"/>
      <c r="V134" s="645"/>
      <c r="W134" s="645"/>
      <c r="X134" s="645"/>
      <c r="Y134" s="645"/>
      <c r="Z134" s="645"/>
      <c r="AA134" s="645"/>
      <c r="AB134" s="645"/>
      <c r="AC134" s="645"/>
      <c r="AD134" s="645"/>
      <c r="AE134" s="645"/>
      <c r="AF134" s="645"/>
      <c r="AG134" s="645"/>
      <c r="AH134" s="645"/>
      <c r="AI134" s="645"/>
      <c r="AJ134" s="645"/>
      <c r="AK134" s="645"/>
      <c r="AL134" s="8">
        <f t="shared" si="10"/>
        <v>2</v>
      </c>
      <c r="AM134" s="11" t="s">
        <v>1797</v>
      </c>
    </row>
    <row r="135" spans="1:39">
      <c r="A135" s="8" t="s">
        <v>1801</v>
      </c>
      <c r="B135" s="645"/>
      <c r="C135" s="8" t="s">
        <v>1781</v>
      </c>
      <c r="D135" s="8" t="s">
        <v>1782</v>
      </c>
      <c r="E135" s="645"/>
      <c r="F135" s="645"/>
      <c r="G135" s="645"/>
      <c r="H135" s="645"/>
      <c r="I135" s="645"/>
      <c r="J135" s="645"/>
      <c r="K135" s="645"/>
      <c r="L135" s="645"/>
      <c r="M135" s="645"/>
      <c r="N135" s="645"/>
      <c r="O135" s="645"/>
      <c r="P135" s="645"/>
      <c r="Q135" s="645"/>
      <c r="R135" s="645"/>
      <c r="S135" s="645"/>
      <c r="T135" s="645"/>
      <c r="U135" s="645"/>
      <c r="V135" s="645"/>
      <c r="W135" s="645"/>
      <c r="X135" s="645"/>
      <c r="Y135" s="645"/>
      <c r="Z135" s="645"/>
      <c r="AA135" s="645"/>
      <c r="AB135" s="645"/>
      <c r="AC135" s="645"/>
      <c r="AD135" s="645"/>
      <c r="AE135" s="645"/>
      <c r="AF135" s="645"/>
      <c r="AG135" s="645"/>
      <c r="AH135" s="645"/>
      <c r="AI135" s="645"/>
      <c r="AJ135" s="645"/>
      <c r="AK135" s="645"/>
      <c r="AL135" s="8">
        <v>0</v>
      </c>
      <c r="AM135" s="11" t="s">
        <v>1802</v>
      </c>
    </row>
    <row r="136" spans="1:39" ht="25.5">
      <c r="A136" s="8" t="s">
        <v>591</v>
      </c>
      <c r="B136" s="645"/>
      <c r="C136" s="645"/>
      <c r="D136" s="645"/>
      <c r="E136" s="645"/>
      <c r="F136" s="645"/>
      <c r="G136" s="645"/>
      <c r="H136" s="645"/>
      <c r="I136" s="645"/>
      <c r="J136" s="645"/>
      <c r="K136" s="645"/>
      <c r="L136" s="645"/>
      <c r="M136" s="645"/>
      <c r="N136" s="645"/>
      <c r="O136" s="645"/>
      <c r="P136" s="645"/>
      <c r="Q136" s="8">
        <v>1</v>
      </c>
      <c r="R136" s="645"/>
      <c r="S136" s="645"/>
      <c r="T136" s="645"/>
      <c r="U136" s="645"/>
      <c r="V136" s="645"/>
      <c r="W136" s="645"/>
      <c r="X136" s="645"/>
      <c r="Y136" s="8">
        <v>1</v>
      </c>
      <c r="Z136" s="645"/>
      <c r="AA136" s="645"/>
      <c r="AB136" s="645"/>
      <c r="AC136" s="645"/>
      <c r="AD136" s="645"/>
      <c r="AE136" s="645"/>
      <c r="AF136" s="8">
        <v>1</v>
      </c>
      <c r="AG136" s="645"/>
      <c r="AH136" s="645"/>
      <c r="AI136" s="645"/>
      <c r="AJ136" s="645"/>
      <c r="AK136" s="645"/>
      <c r="AL136" s="8">
        <f t="shared" ref="AL136:AL175" si="11">SUM(B136:AK136)</f>
        <v>3</v>
      </c>
      <c r="AM136" s="11" t="s">
        <v>1803</v>
      </c>
    </row>
    <row r="137" spans="1:39">
      <c r="A137" s="8" t="s">
        <v>252</v>
      </c>
      <c r="B137" s="645"/>
      <c r="C137" s="645"/>
      <c r="D137" s="645"/>
      <c r="E137" s="645"/>
      <c r="F137" s="645"/>
      <c r="G137" s="645"/>
      <c r="H137" s="645"/>
      <c r="I137" s="645"/>
      <c r="J137" s="645"/>
      <c r="K137" s="645"/>
      <c r="L137" s="645"/>
      <c r="M137" s="645"/>
      <c r="N137" s="645"/>
      <c r="O137" s="645"/>
      <c r="P137" s="645"/>
      <c r="Q137" s="645"/>
      <c r="R137" s="645"/>
      <c r="S137" s="645"/>
      <c r="T137" s="645"/>
      <c r="U137" s="645"/>
      <c r="V137" s="645"/>
      <c r="W137" s="645"/>
      <c r="X137" s="645"/>
      <c r="Y137" s="8">
        <v>1</v>
      </c>
      <c r="Z137" s="645"/>
      <c r="AA137" s="645"/>
      <c r="AB137" s="645"/>
      <c r="AC137" s="8">
        <v>1</v>
      </c>
      <c r="AD137" s="645"/>
      <c r="AE137" s="645"/>
      <c r="AF137" s="645"/>
      <c r="AG137" s="645"/>
      <c r="AH137" s="645"/>
      <c r="AI137" s="645"/>
      <c r="AJ137" s="645"/>
      <c r="AK137" s="645"/>
      <c r="AL137" s="8">
        <f t="shared" si="11"/>
        <v>2</v>
      </c>
      <c r="AM137" s="645"/>
    </row>
    <row r="138" spans="1:39">
      <c r="A138" s="8" t="s">
        <v>254</v>
      </c>
      <c r="B138" s="645"/>
      <c r="C138" s="8">
        <v>1</v>
      </c>
      <c r="D138" s="645"/>
      <c r="E138" s="8">
        <v>1</v>
      </c>
      <c r="F138" s="645"/>
      <c r="G138" s="645"/>
      <c r="H138" s="8">
        <v>1</v>
      </c>
      <c r="I138" s="645"/>
      <c r="J138" s="645"/>
      <c r="K138" s="645"/>
      <c r="L138" s="645"/>
      <c r="M138" s="645"/>
      <c r="N138" s="645"/>
      <c r="O138" s="645"/>
      <c r="P138" s="8">
        <v>1</v>
      </c>
      <c r="Q138" s="645"/>
      <c r="R138" s="645"/>
      <c r="S138" s="645"/>
      <c r="T138" s="645"/>
      <c r="U138" s="645"/>
      <c r="V138" s="645"/>
      <c r="W138" s="645"/>
      <c r="X138" s="8">
        <v>1</v>
      </c>
      <c r="Y138" s="8">
        <v>1</v>
      </c>
      <c r="Z138" s="645"/>
      <c r="AA138" s="645"/>
      <c r="AB138" s="645"/>
      <c r="AC138" s="645"/>
      <c r="AD138" s="645"/>
      <c r="AE138" s="645"/>
      <c r="AF138" s="8">
        <v>1</v>
      </c>
      <c r="AG138" s="645"/>
      <c r="AH138" s="645"/>
      <c r="AI138" s="645"/>
      <c r="AJ138" s="645"/>
      <c r="AK138" s="645"/>
      <c r="AL138" s="8">
        <f t="shared" si="11"/>
        <v>7</v>
      </c>
      <c r="AM138" s="11" t="s">
        <v>1804</v>
      </c>
    </row>
    <row r="139" spans="1:39">
      <c r="A139" s="8" t="s">
        <v>1498</v>
      </c>
      <c r="B139" s="645"/>
      <c r="C139" s="645"/>
      <c r="D139" s="8">
        <v>1</v>
      </c>
      <c r="E139" s="8">
        <v>1</v>
      </c>
      <c r="F139" s="645"/>
      <c r="G139" s="645"/>
      <c r="H139" s="8">
        <v>1</v>
      </c>
      <c r="I139" s="645"/>
      <c r="J139" s="645"/>
      <c r="K139" s="645"/>
      <c r="L139" s="645"/>
      <c r="M139" s="645"/>
      <c r="N139" s="645"/>
      <c r="O139" s="645"/>
      <c r="P139" s="645"/>
      <c r="Q139" s="645"/>
      <c r="R139" s="645"/>
      <c r="S139" s="645"/>
      <c r="T139" s="645"/>
      <c r="U139" s="645"/>
      <c r="V139" s="645"/>
      <c r="W139" s="645"/>
      <c r="X139" s="8">
        <v>1</v>
      </c>
      <c r="Y139" s="645"/>
      <c r="Z139" s="645"/>
      <c r="AA139" s="645"/>
      <c r="AB139" s="645"/>
      <c r="AC139" s="645"/>
      <c r="AD139" s="645"/>
      <c r="AE139" s="645"/>
      <c r="AF139" s="645"/>
      <c r="AG139" s="645"/>
      <c r="AH139" s="645"/>
      <c r="AI139" s="645"/>
      <c r="AJ139" s="645"/>
      <c r="AK139" s="645"/>
      <c r="AL139" s="8">
        <f t="shared" si="11"/>
        <v>4</v>
      </c>
      <c r="AM139" s="11" t="s">
        <v>1805</v>
      </c>
    </row>
    <row r="140" spans="1:39">
      <c r="A140" s="8" t="s">
        <v>255</v>
      </c>
      <c r="B140" s="645"/>
      <c r="C140" s="645"/>
      <c r="D140" s="8">
        <v>1</v>
      </c>
      <c r="E140" s="645"/>
      <c r="F140" s="645"/>
      <c r="G140" s="645"/>
      <c r="H140" s="645"/>
      <c r="I140" s="645"/>
      <c r="J140" s="645"/>
      <c r="K140" s="645"/>
      <c r="L140" s="645"/>
      <c r="M140" s="645"/>
      <c r="N140" s="645"/>
      <c r="O140" s="645"/>
      <c r="P140" s="8">
        <v>1</v>
      </c>
      <c r="Q140" s="645"/>
      <c r="R140" s="645"/>
      <c r="S140" s="645"/>
      <c r="T140" s="645"/>
      <c r="U140" s="645"/>
      <c r="V140" s="645"/>
      <c r="W140" s="645"/>
      <c r="X140" s="8">
        <v>1</v>
      </c>
      <c r="Y140" s="645"/>
      <c r="Z140" s="645"/>
      <c r="AA140" s="645"/>
      <c r="AB140" s="645"/>
      <c r="AC140" s="8">
        <v>1</v>
      </c>
      <c r="AD140" s="645"/>
      <c r="AE140" s="645"/>
      <c r="AF140" s="645"/>
      <c r="AG140" s="645"/>
      <c r="AH140" s="645"/>
      <c r="AI140" s="645"/>
      <c r="AJ140" s="645"/>
      <c r="AK140" s="645"/>
      <c r="AL140" s="8">
        <f t="shared" si="11"/>
        <v>4</v>
      </c>
      <c r="AM140" s="11" t="s">
        <v>1710</v>
      </c>
    </row>
    <row r="141" spans="1:39" ht="25.5">
      <c r="A141" s="8" t="s">
        <v>257</v>
      </c>
      <c r="B141" s="645"/>
      <c r="C141" s="8">
        <v>1</v>
      </c>
      <c r="D141" s="8">
        <v>1</v>
      </c>
      <c r="E141" s="645"/>
      <c r="F141" s="645"/>
      <c r="G141" s="645"/>
      <c r="H141" s="645"/>
      <c r="I141" s="645"/>
      <c r="J141" s="645"/>
      <c r="K141" s="645"/>
      <c r="L141" s="645"/>
      <c r="M141" s="645"/>
      <c r="N141" s="645"/>
      <c r="O141" s="645"/>
      <c r="P141" s="645"/>
      <c r="Q141" s="645"/>
      <c r="R141" s="645"/>
      <c r="S141" s="645"/>
      <c r="T141" s="645"/>
      <c r="U141" s="645"/>
      <c r="V141" s="645"/>
      <c r="W141" s="645"/>
      <c r="X141" s="645"/>
      <c r="Y141" s="645"/>
      <c r="Z141" s="645"/>
      <c r="AA141" s="645"/>
      <c r="AB141" s="645"/>
      <c r="AC141" s="645"/>
      <c r="AD141" s="645"/>
      <c r="AE141" s="645"/>
      <c r="AF141" s="645"/>
      <c r="AG141" s="645"/>
      <c r="AH141" s="645"/>
      <c r="AI141" s="645"/>
      <c r="AJ141" s="645"/>
      <c r="AK141" s="645"/>
      <c r="AL141" s="8">
        <f t="shared" si="11"/>
        <v>2</v>
      </c>
      <c r="AM141" s="11" t="s">
        <v>1806</v>
      </c>
    </row>
    <row r="142" spans="1:39" ht="25.5">
      <c r="A142" s="8" t="s">
        <v>261</v>
      </c>
      <c r="B142" s="645"/>
      <c r="C142" s="8">
        <v>1</v>
      </c>
      <c r="D142" s="8">
        <v>1</v>
      </c>
      <c r="E142" s="8">
        <v>1</v>
      </c>
      <c r="F142" s="645"/>
      <c r="G142" s="645"/>
      <c r="H142" s="8">
        <v>1</v>
      </c>
      <c r="I142" s="645"/>
      <c r="J142" s="645"/>
      <c r="K142" s="645"/>
      <c r="L142" s="645"/>
      <c r="M142" s="645"/>
      <c r="N142" s="645"/>
      <c r="O142" s="645"/>
      <c r="P142" s="645"/>
      <c r="Q142" s="645"/>
      <c r="R142" s="645"/>
      <c r="S142" s="645"/>
      <c r="T142" s="645"/>
      <c r="U142" s="645"/>
      <c r="V142" s="645"/>
      <c r="W142" s="645"/>
      <c r="X142" s="8">
        <v>1</v>
      </c>
      <c r="Y142" s="8">
        <v>1</v>
      </c>
      <c r="Z142" s="645"/>
      <c r="AA142" s="645"/>
      <c r="AB142" s="645"/>
      <c r="AC142" s="645"/>
      <c r="AD142" s="645"/>
      <c r="AE142" s="645"/>
      <c r="AF142" s="8">
        <v>1</v>
      </c>
      <c r="AG142" s="8">
        <v>1</v>
      </c>
      <c r="AH142" s="645"/>
      <c r="AI142" s="645"/>
      <c r="AJ142" s="645"/>
      <c r="AK142" s="645"/>
      <c r="AL142" s="8">
        <f t="shared" si="11"/>
        <v>8</v>
      </c>
      <c r="AM142" s="11" t="s">
        <v>1807</v>
      </c>
    </row>
    <row r="143" spans="1:39">
      <c r="A143" s="8" t="s">
        <v>1808</v>
      </c>
      <c r="B143" s="8">
        <v>1</v>
      </c>
      <c r="C143" s="8">
        <v>1</v>
      </c>
      <c r="D143" s="645"/>
      <c r="E143" s="645"/>
      <c r="F143" s="645"/>
      <c r="G143" s="645"/>
      <c r="H143" s="645"/>
      <c r="I143" s="645"/>
      <c r="J143" s="645"/>
      <c r="K143" s="645"/>
      <c r="L143" s="645"/>
      <c r="M143" s="645"/>
      <c r="N143" s="645"/>
      <c r="O143" s="645"/>
      <c r="P143" s="645"/>
      <c r="Q143" s="8">
        <v>1</v>
      </c>
      <c r="R143" s="645"/>
      <c r="S143" s="645"/>
      <c r="T143" s="645"/>
      <c r="U143" s="645"/>
      <c r="V143" s="8">
        <v>1</v>
      </c>
      <c r="W143" s="645"/>
      <c r="X143" s="645"/>
      <c r="Y143" s="8">
        <v>1</v>
      </c>
      <c r="Z143" s="645"/>
      <c r="AA143" s="645"/>
      <c r="AB143" s="645"/>
      <c r="AC143" s="645"/>
      <c r="AD143" s="645"/>
      <c r="AE143" s="645"/>
      <c r="AF143" s="8">
        <v>1</v>
      </c>
      <c r="AG143" s="8">
        <v>1</v>
      </c>
      <c r="AH143" s="645"/>
      <c r="AI143" s="645"/>
      <c r="AJ143" s="645"/>
      <c r="AK143" s="645"/>
      <c r="AL143" s="8">
        <f t="shared" si="11"/>
        <v>7</v>
      </c>
      <c r="AM143" s="11" t="s">
        <v>1809</v>
      </c>
    </row>
    <row r="144" spans="1:39">
      <c r="A144" s="8" t="s">
        <v>601</v>
      </c>
      <c r="B144" s="645"/>
      <c r="C144" s="8">
        <v>1</v>
      </c>
      <c r="D144" s="8">
        <v>1</v>
      </c>
      <c r="E144" s="8">
        <v>1</v>
      </c>
      <c r="F144" s="645"/>
      <c r="G144" s="645"/>
      <c r="H144" s="8">
        <v>1</v>
      </c>
      <c r="I144" s="645"/>
      <c r="J144" s="645"/>
      <c r="K144" s="645"/>
      <c r="L144" s="645"/>
      <c r="M144" s="645"/>
      <c r="N144" s="645"/>
      <c r="O144" s="645"/>
      <c r="P144" s="645"/>
      <c r="Q144" s="645"/>
      <c r="R144" s="645"/>
      <c r="S144" s="8">
        <v>1</v>
      </c>
      <c r="T144" s="645"/>
      <c r="U144" s="645"/>
      <c r="V144" s="645"/>
      <c r="W144" s="8">
        <v>1</v>
      </c>
      <c r="X144" s="8">
        <v>1</v>
      </c>
      <c r="Y144" s="645"/>
      <c r="Z144" s="645"/>
      <c r="AA144" s="645"/>
      <c r="AB144" s="645"/>
      <c r="AC144" s="8">
        <v>1</v>
      </c>
      <c r="AD144" s="645"/>
      <c r="AE144" s="645"/>
      <c r="AF144" s="645"/>
      <c r="AG144" s="645"/>
      <c r="AH144" s="645"/>
      <c r="AI144" s="645"/>
      <c r="AJ144" s="645"/>
      <c r="AK144" s="645"/>
      <c r="AL144" s="8">
        <f t="shared" si="11"/>
        <v>8</v>
      </c>
      <c r="AM144" s="11" t="s">
        <v>1810</v>
      </c>
    </row>
    <row r="145" spans="1:39">
      <c r="A145" s="8" t="s">
        <v>280</v>
      </c>
      <c r="B145" s="645"/>
      <c r="C145" s="8">
        <v>1</v>
      </c>
      <c r="D145" s="645"/>
      <c r="E145" s="645"/>
      <c r="F145" s="645"/>
      <c r="G145" s="645"/>
      <c r="H145" s="645"/>
      <c r="I145" s="645"/>
      <c r="J145" s="645"/>
      <c r="K145" s="645"/>
      <c r="L145" s="645"/>
      <c r="M145" s="645"/>
      <c r="N145" s="645"/>
      <c r="O145" s="645"/>
      <c r="P145" s="645"/>
      <c r="Q145" s="645"/>
      <c r="R145" s="645"/>
      <c r="S145" s="645"/>
      <c r="T145" s="645"/>
      <c r="U145" s="645"/>
      <c r="V145" s="645"/>
      <c r="W145" s="645"/>
      <c r="X145" s="645"/>
      <c r="Y145" s="645"/>
      <c r="Z145" s="645"/>
      <c r="AA145" s="8">
        <v>1</v>
      </c>
      <c r="AB145" s="645"/>
      <c r="AC145" s="645"/>
      <c r="AD145" s="645"/>
      <c r="AE145" s="645"/>
      <c r="AF145" s="645"/>
      <c r="AG145" s="645"/>
      <c r="AH145" s="645"/>
      <c r="AI145" s="645"/>
      <c r="AJ145" s="645"/>
      <c r="AK145" s="645"/>
      <c r="AL145" s="8">
        <f t="shared" si="11"/>
        <v>2</v>
      </c>
      <c r="AM145" s="11" t="s">
        <v>1811</v>
      </c>
    </row>
    <row r="146" spans="1:39" ht="25.5">
      <c r="A146" s="8" t="s">
        <v>1812</v>
      </c>
      <c r="B146" s="645"/>
      <c r="C146" s="645"/>
      <c r="D146" s="645"/>
      <c r="E146" s="645"/>
      <c r="F146" s="645"/>
      <c r="G146" s="645"/>
      <c r="H146" s="645"/>
      <c r="I146" s="645"/>
      <c r="J146" s="645"/>
      <c r="K146" s="645"/>
      <c r="L146" s="645"/>
      <c r="M146" s="645"/>
      <c r="N146" s="645"/>
      <c r="O146" s="645"/>
      <c r="P146" s="645"/>
      <c r="Q146" s="8">
        <v>1</v>
      </c>
      <c r="R146" s="645"/>
      <c r="S146" s="645"/>
      <c r="T146" s="645"/>
      <c r="U146" s="645"/>
      <c r="V146" s="8">
        <v>1</v>
      </c>
      <c r="W146" s="645"/>
      <c r="X146" s="645"/>
      <c r="Y146" s="645"/>
      <c r="Z146" s="645"/>
      <c r="AA146" s="645"/>
      <c r="AB146" s="645"/>
      <c r="AC146" s="645"/>
      <c r="AD146" s="645"/>
      <c r="AE146" s="645"/>
      <c r="AF146" s="645"/>
      <c r="AG146" s="645"/>
      <c r="AH146" s="645"/>
      <c r="AI146" s="645"/>
      <c r="AJ146" s="645"/>
      <c r="AK146" s="645"/>
      <c r="AL146" s="8">
        <f t="shared" si="11"/>
        <v>2</v>
      </c>
      <c r="AM146" s="11" t="s">
        <v>1813</v>
      </c>
    </row>
    <row r="147" spans="1:39">
      <c r="A147" s="8" t="s">
        <v>1207</v>
      </c>
      <c r="B147" s="645"/>
      <c r="C147" s="8">
        <v>1</v>
      </c>
      <c r="D147" s="8">
        <v>1</v>
      </c>
      <c r="E147" s="645"/>
      <c r="F147" s="645"/>
      <c r="G147" s="645"/>
      <c r="H147" s="645"/>
      <c r="I147" s="645"/>
      <c r="J147" s="645"/>
      <c r="K147" s="645"/>
      <c r="L147" s="645"/>
      <c r="M147" s="645"/>
      <c r="N147" s="645"/>
      <c r="O147" s="645"/>
      <c r="P147" s="645"/>
      <c r="Q147" s="645"/>
      <c r="R147" s="645"/>
      <c r="S147" s="645"/>
      <c r="T147" s="645"/>
      <c r="U147" s="645"/>
      <c r="V147" s="645"/>
      <c r="W147" s="645"/>
      <c r="X147" s="8">
        <v>1</v>
      </c>
      <c r="Y147" s="8">
        <v>1</v>
      </c>
      <c r="Z147" s="645"/>
      <c r="AA147" s="8">
        <v>1</v>
      </c>
      <c r="AB147" s="645"/>
      <c r="AC147" s="645"/>
      <c r="AD147" s="645"/>
      <c r="AE147" s="645"/>
      <c r="AF147" s="645"/>
      <c r="AG147" s="645"/>
      <c r="AH147" s="645"/>
      <c r="AI147" s="645"/>
      <c r="AJ147" s="645"/>
      <c r="AK147" s="645"/>
      <c r="AL147" s="8">
        <f t="shared" si="11"/>
        <v>5</v>
      </c>
      <c r="AM147" s="11" t="s">
        <v>1731</v>
      </c>
    </row>
    <row r="148" spans="1:39" ht="51">
      <c r="A148" s="8" t="s">
        <v>274</v>
      </c>
      <c r="B148" s="645"/>
      <c r="C148" s="8">
        <v>1</v>
      </c>
      <c r="D148" s="8">
        <v>1</v>
      </c>
      <c r="E148" s="8">
        <v>1</v>
      </c>
      <c r="F148" s="645"/>
      <c r="G148" s="645"/>
      <c r="H148" s="8">
        <v>1</v>
      </c>
      <c r="I148" s="645"/>
      <c r="J148" s="645"/>
      <c r="K148" s="645"/>
      <c r="L148" s="645"/>
      <c r="M148" s="645"/>
      <c r="N148" s="645"/>
      <c r="O148" s="645"/>
      <c r="P148" s="645"/>
      <c r="Q148" s="645"/>
      <c r="R148" s="645"/>
      <c r="S148" s="645"/>
      <c r="T148" s="645"/>
      <c r="U148" s="645"/>
      <c r="V148" s="645"/>
      <c r="W148" s="8">
        <v>1</v>
      </c>
      <c r="X148" s="8">
        <v>1</v>
      </c>
      <c r="Y148" s="8">
        <v>1</v>
      </c>
      <c r="Z148" s="645"/>
      <c r="AA148" s="645"/>
      <c r="AB148" s="645"/>
      <c r="AC148" s="645"/>
      <c r="AD148" s="8">
        <v>1</v>
      </c>
      <c r="AE148" s="645"/>
      <c r="AF148" s="8">
        <v>1</v>
      </c>
      <c r="AG148" s="8">
        <v>1</v>
      </c>
      <c r="AH148" s="645"/>
      <c r="AI148" s="645"/>
      <c r="AJ148" s="645"/>
      <c r="AK148" s="645"/>
      <c r="AL148" s="8">
        <f t="shared" si="11"/>
        <v>10</v>
      </c>
      <c r="AM148" s="11" t="s">
        <v>1814</v>
      </c>
    </row>
    <row r="149" spans="1:39" ht="25.5">
      <c r="A149" s="8" t="s">
        <v>278</v>
      </c>
      <c r="B149" s="645"/>
      <c r="C149" s="645"/>
      <c r="D149" s="645"/>
      <c r="E149" s="8">
        <v>1</v>
      </c>
      <c r="F149" s="645"/>
      <c r="G149" s="645"/>
      <c r="H149" s="8">
        <v>1</v>
      </c>
      <c r="I149" s="645"/>
      <c r="J149" s="645"/>
      <c r="K149" s="645"/>
      <c r="L149" s="645"/>
      <c r="M149" s="645"/>
      <c r="N149" s="645"/>
      <c r="O149" s="645"/>
      <c r="P149" s="8">
        <v>1</v>
      </c>
      <c r="Q149" s="645"/>
      <c r="R149" s="645"/>
      <c r="S149" s="645"/>
      <c r="T149" s="645"/>
      <c r="U149" s="645"/>
      <c r="V149" s="645"/>
      <c r="W149" s="645"/>
      <c r="X149" s="645"/>
      <c r="Y149" s="645"/>
      <c r="Z149" s="645"/>
      <c r="AA149" s="645"/>
      <c r="AB149" s="645"/>
      <c r="AC149" s="645"/>
      <c r="AD149" s="645"/>
      <c r="AE149" s="645"/>
      <c r="AF149" s="645"/>
      <c r="AG149" s="645"/>
      <c r="AH149" s="645"/>
      <c r="AI149" s="645"/>
      <c r="AJ149" s="645"/>
      <c r="AK149" s="645"/>
      <c r="AL149" s="8">
        <f t="shared" si="11"/>
        <v>3</v>
      </c>
      <c r="AM149" s="8" t="s">
        <v>1815</v>
      </c>
    </row>
    <row r="150" spans="1:39">
      <c r="A150" s="8" t="s">
        <v>1514</v>
      </c>
      <c r="B150" s="645"/>
      <c r="C150" s="645"/>
      <c r="D150" s="8">
        <v>1</v>
      </c>
      <c r="E150" s="645"/>
      <c r="F150" s="645"/>
      <c r="G150" s="645"/>
      <c r="H150" s="645"/>
      <c r="I150" s="645"/>
      <c r="J150" s="645"/>
      <c r="K150" s="645"/>
      <c r="L150" s="645"/>
      <c r="M150" s="645"/>
      <c r="N150" s="645"/>
      <c r="O150" s="645"/>
      <c r="P150" s="645"/>
      <c r="Q150" s="645"/>
      <c r="R150" s="645"/>
      <c r="S150" s="645"/>
      <c r="T150" s="645"/>
      <c r="U150" s="645"/>
      <c r="V150" s="645"/>
      <c r="W150" s="645"/>
      <c r="X150" s="8">
        <v>1</v>
      </c>
      <c r="Y150" s="645"/>
      <c r="Z150" s="645"/>
      <c r="AA150" s="8">
        <v>1</v>
      </c>
      <c r="AB150" s="645"/>
      <c r="AC150" s="645"/>
      <c r="AD150" s="645"/>
      <c r="AE150" s="645"/>
      <c r="AF150" s="645"/>
      <c r="AG150" s="645"/>
      <c r="AH150" s="645"/>
      <c r="AI150" s="645"/>
      <c r="AJ150" s="645"/>
      <c r="AK150" s="645"/>
      <c r="AL150" s="8">
        <f t="shared" si="11"/>
        <v>3</v>
      </c>
      <c r="AM150" s="11" t="s">
        <v>1816</v>
      </c>
    </row>
    <row r="151" spans="1:39" ht="25.5">
      <c r="A151" s="8" t="s">
        <v>294</v>
      </c>
      <c r="B151" s="645"/>
      <c r="C151" s="8">
        <v>1</v>
      </c>
      <c r="D151" s="645"/>
      <c r="E151" s="8">
        <v>1</v>
      </c>
      <c r="F151" s="645"/>
      <c r="G151" s="645"/>
      <c r="H151" s="8">
        <v>1</v>
      </c>
      <c r="I151" s="645"/>
      <c r="J151" s="645"/>
      <c r="K151" s="645"/>
      <c r="L151" s="645"/>
      <c r="M151" s="645"/>
      <c r="N151" s="645"/>
      <c r="O151" s="645"/>
      <c r="P151" s="645"/>
      <c r="Q151" s="645"/>
      <c r="R151" s="645"/>
      <c r="S151" s="8">
        <v>1</v>
      </c>
      <c r="T151" s="645"/>
      <c r="U151" s="645"/>
      <c r="V151" s="645"/>
      <c r="W151" s="645"/>
      <c r="X151" s="8">
        <v>1</v>
      </c>
      <c r="Y151" s="8">
        <v>1</v>
      </c>
      <c r="Z151" s="645"/>
      <c r="AA151" s="645"/>
      <c r="AB151" s="645"/>
      <c r="AC151" s="645"/>
      <c r="AD151" s="8">
        <v>1</v>
      </c>
      <c r="AE151" s="645"/>
      <c r="AF151" s="645"/>
      <c r="AG151" s="645"/>
      <c r="AH151" s="645"/>
      <c r="AI151" s="645"/>
      <c r="AJ151" s="645"/>
      <c r="AK151" s="645"/>
      <c r="AL151" s="8">
        <f t="shared" si="11"/>
        <v>7</v>
      </c>
      <c r="AM151" s="11" t="s">
        <v>1697</v>
      </c>
    </row>
    <row r="152" spans="1:39" ht="25.5">
      <c r="A152" s="8" t="s">
        <v>1817</v>
      </c>
      <c r="B152" s="645"/>
      <c r="C152" s="8">
        <v>1</v>
      </c>
      <c r="D152" s="8">
        <v>1</v>
      </c>
      <c r="E152" s="645"/>
      <c r="F152" s="645"/>
      <c r="G152" s="645"/>
      <c r="H152" s="645"/>
      <c r="I152" s="645"/>
      <c r="J152" s="645"/>
      <c r="K152" s="645"/>
      <c r="L152" s="645"/>
      <c r="M152" s="645"/>
      <c r="N152" s="645"/>
      <c r="O152" s="645"/>
      <c r="P152" s="645"/>
      <c r="Q152" s="645"/>
      <c r="R152" s="645"/>
      <c r="S152" s="645"/>
      <c r="T152" s="645"/>
      <c r="U152" s="645"/>
      <c r="V152" s="645"/>
      <c r="W152" s="645"/>
      <c r="X152" s="8">
        <v>1</v>
      </c>
      <c r="Y152" s="8">
        <v>1</v>
      </c>
      <c r="Z152" s="645"/>
      <c r="AA152" s="645"/>
      <c r="AB152" s="645"/>
      <c r="AC152" s="8">
        <v>1</v>
      </c>
      <c r="AD152" s="645"/>
      <c r="AE152" s="645"/>
      <c r="AF152" s="645"/>
      <c r="AG152" s="645"/>
      <c r="AH152" s="645"/>
      <c r="AI152" s="645"/>
      <c r="AJ152" s="645"/>
      <c r="AK152" s="645"/>
      <c r="AL152" s="8">
        <f t="shared" si="11"/>
        <v>5</v>
      </c>
      <c r="AM152" s="11" t="s">
        <v>1698</v>
      </c>
    </row>
    <row r="153" spans="1:39" ht="25.5">
      <c r="A153" s="8" t="s">
        <v>301</v>
      </c>
      <c r="B153" s="645"/>
      <c r="C153" s="645"/>
      <c r="D153" s="8">
        <v>1</v>
      </c>
      <c r="E153" s="8">
        <v>1</v>
      </c>
      <c r="F153" s="645"/>
      <c r="G153" s="645"/>
      <c r="H153" s="8">
        <v>1</v>
      </c>
      <c r="I153" s="645"/>
      <c r="J153" s="645"/>
      <c r="K153" s="645"/>
      <c r="L153" s="645"/>
      <c r="M153" s="645"/>
      <c r="N153" s="645"/>
      <c r="O153" s="645"/>
      <c r="P153" s="645"/>
      <c r="Q153" s="645"/>
      <c r="R153" s="645"/>
      <c r="S153" s="645"/>
      <c r="T153" s="645"/>
      <c r="U153" s="645"/>
      <c r="V153" s="645"/>
      <c r="W153" s="645"/>
      <c r="X153" s="645"/>
      <c r="Y153" s="8">
        <v>1</v>
      </c>
      <c r="Z153" s="645"/>
      <c r="AA153" s="645"/>
      <c r="AB153" s="645"/>
      <c r="AC153" s="645"/>
      <c r="AD153" s="645"/>
      <c r="AE153" s="645"/>
      <c r="AF153" s="8">
        <v>1</v>
      </c>
      <c r="AG153" s="645"/>
      <c r="AH153" s="645"/>
      <c r="AI153" s="645"/>
      <c r="AJ153" s="645"/>
      <c r="AK153" s="645"/>
      <c r="AL153" s="8">
        <f t="shared" si="11"/>
        <v>5</v>
      </c>
      <c r="AM153" s="11" t="s">
        <v>1698</v>
      </c>
    </row>
    <row r="154" spans="1:39" ht="25.5">
      <c r="A154" s="8" t="s">
        <v>306</v>
      </c>
      <c r="B154" s="645"/>
      <c r="C154" s="645"/>
      <c r="D154" s="8">
        <v>1</v>
      </c>
      <c r="E154" s="8">
        <v>1</v>
      </c>
      <c r="F154" s="645"/>
      <c r="G154" s="645"/>
      <c r="H154" s="8">
        <v>1</v>
      </c>
      <c r="I154" s="645"/>
      <c r="J154" s="645"/>
      <c r="K154" s="645"/>
      <c r="L154" s="645"/>
      <c r="M154" s="645"/>
      <c r="N154" s="645"/>
      <c r="O154" s="645"/>
      <c r="P154" s="645"/>
      <c r="Q154" s="645"/>
      <c r="R154" s="645"/>
      <c r="S154" s="645"/>
      <c r="T154" s="645"/>
      <c r="U154" s="645"/>
      <c r="V154" s="645"/>
      <c r="W154" s="645"/>
      <c r="X154" s="8">
        <v>1</v>
      </c>
      <c r="Y154" s="645"/>
      <c r="Z154" s="645"/>
      <c r="AA154" s="645"/>
      <c r="AB154" s="645"/>
      <c r="AC154" s="8">
        <v>1</v>
      </c>
      <c r="AD154" s="645"/>
      <c r="AE154" s="645"/>
      <c r="AF154" s="645"/>
      <c r="AG154" s="645"/>
      <c r="AH154" s="645"/>
      <c r="AI154" s="645"/>
      <c r="AJ154" s="645"/>
      <c r="AK154" s="645"/>
      <c r="AL154" s="8">
        <f t="shared" si="11"/>
        <v>5</v>
      </c>
      <c r="AM154" s="11" t="s">
        <v>1698</v>
      </c>
    </row>
    <row r="155" spans="1:39" ht="25.5">
      <c r="A155" s="8" t="s">
        <v>1818</v>
      </c>
      <c r="B155" s="645"/>
      <c r="C155" s="645"/>
      <c r="D155" s="645"/>
      <c r="E155" s="8">
        <v>1</v>
      </c>
      <c r="F155" s="645"/>
      <c r="G155" s="645"/>
      <c r="H155" s="8">
        <v>1</v>
      </c>
      <c r="I155" s="645"/>
      <c r="J155" s="645"/>
      <c r="K155" s="645"/>
      <c r="L155" s="645"/>
      <c r="M155" s="645"/>
      <c r="N155" s="645"/>
      <c r="O155" s="645"/>
      <c r="P155" s="645"/>
      <c r="Q155" s="645"/>
      <c r="R155" s="645"/>
      <c r="S155" s="8">
        <v>1</v>
      </c>
      <c r="T155" s="645"/>
      <c r="U155" s="645"/>
      <c r="V155" s="645"/>
      <c r="W155" s="8">
        <v>1</v>
      </c>
      <c r="X155" s="645"/>
      <c r="Y155" s="645"/>
      <c r="Z155" s="645"/>
      <c r="AA155" s="645"/>
      <c r="AB155" s="645"/>
      <c r="AC155" s="645"/>
      <c r="AD155" s="8">
        <v>1</v>
      </c>
      <c r="AE155" s="645"/>
      <c r="AF155" s="645"/>
      <c r="AG155" s="645"/>
      <c r="AH155" s="645"/>
      <c r="AI155" s="645"/>
      <c r="AJ155" s="645"/>
      <c r="AK155" s="645"/>
      <c r="AL155" s="8">
        <f t="shared" si="11"/>
        <v>5</v>
      </c>
      <c r="AM155" s="11" t="s">
        <v>1819</v>
      </c>
    </row>
    <row r="156" spans="1:39" ht="25.5">
      <c r="A156" s="8" t="s">
        <v>1820</v>
      </c>
      <c r="B156" s="645"/>
      <c r="C156" s="645"/>
      <c r="D156" s="8">
        <v>1</v>
      </c>
      <c r="E156" s="645"/>
      <c r="F156" s="645"/>
      <c r="G156" s="645"/>
      <c r="H156" s="645"/>
      <c r="I156" s="645"/>
      <c r="J156" s="645"/>
      <c r="K156" s="645"/>
      <c r="L156" s="8">
        <v>1</v>
      </c>
      <c r="M156" s="645"/>
      <c r="N156" s="645"/>
      <c r="O156" s="8">
        <v>1</v>
      </c>
      <c r="P156" s="8">
        <v>1</v>
      </c>
      <c r="Q156" s="8">
        <v>1</v>
      </c>
      <c r="R156" s="645"/>
      <c r="S156" s="645"/>
      <c r="T156" s="645"/>
      <c r="U156" s="645"/>
      <c r="V156" s="645"/>
      <c r="W156" s="645"/>
      <c r="X156" s="645"/>
      <c r="Y156" s="645"/>
      <c r="Z156" s="645"/>
      <c r="AA156" s="645"/>
      <c r="AB156" s="645"/>
      <c r="AC156" s="645"/>
      <c r="AD156" s="645"/>
      <c r="AE156" s="645"/>
      <c r="AF156" s="645"/>
      <c r="AG156" s="645"/>
      <c r="AH156" s="645"/>
      <c r="AI156" s="645"/>
      <c r="AJ156" s="645"/>
      <c r="AK156" s="8">
        <v>1</v>
      </c>
      <c r="AL156" s="8">
        <f t="shared" si="11"/>
        <v>6</v>
      </c>
      <c r="AM156" s="11" t="s">
        <v>1697</v>
      </c>
    </row>
    <row r="157" spans="1:39">
      <c r="A157" s="8" t="s">
        <v>909</v>
      </c>
      <c r="B157" s="645"/>
      <c r="C157" s="8">
        <v>1</v>
      </c>
      <c r="D157" s="8">
        <v>1</v>
      </c>
      <c r="E157" s="8">
        <v>1</v>
      </c>
      <c r="F157" s="645"/>
      <c r="G157" s="645"/>
      <c r="H157" s="8">
        <v>1</v>
      </c>
      <c r="I157" s="645"/>
      <c r="J157" s="645"/>
      <c r="K157" s="645"/>
      <c r="L157" s="645"/>
      <c r="M157" s="645"/>
      <c r="N157" s="645"/>
      <c r="O157" s="645"/>
      <c r="P157" s="645"/>
      <c r="Q157" s="645"/>
      <c r="R157" s="645"/>
      <c r="S157" s="645"/>
      <c r="T157" s="645"/>
      <c r="U157" s="645"/>
      <c r="V157" s="645"/>
      <c r="W157" s="645"/>
      <c r="X157" s="8">
        <v>1</v>
      </c>
      <c r="Y157" s="645"/>
      <c r="Z157" s="645"/>
      <c r="AA157" s="645"/>
      <c r="AB157" s="645"/>
      <c r="AC157" s="645"/>
      <c r="AD157" s="645"/>
      <c r="AE157" s="645"/>
      <c r="AF157" s="8">
        <v>1</v>
      </c>
      <c r="AG157" s="645"/>
      <c r="AH157" s="645"/>
      <c r="AI157" s="645"/>
      <c r="AJ157" s="645"/>
      <c r="AK157" s="645"/>
      <c r="AL157" s="8">
        <f t="shared" si="11"/>
        <v>6</v>
      </c>
      <c r="AM157" s="11" t="s">
        <v>1710</v>
      </c>
    </row>
    <row r="158" spans="1:39">
      <c r="A158" s="8" t="s">
        <v>316</v>
      </c>
      <c r="B158" s="645"/>
      <c r="C158" s="8">
        <v>1</v>
      </c>
      <c r="D158" s="645"/>
      <c r="E158" s="8">
        <v>1</v>
      </c>
      <c r="F158" s="645"/>
      <c r="G158" s="645"/>
      <c r="H158" s="8">
        <v>1</v>
      </c>
      <c r="I158" s="645"/>
      <c r="J158" s="645"/>
      <c r="K158" s="645"/>
      <c r="L158" s="645"/>
      <c r="M158" s="645"/>
      <c r="N158" s="645"/>
      <c r="O158" s="645"/>
      <c r="P158" s="8">
        <v>1</v>
      </c>
      <c r="Q158" s="645"/>
      <c r="R158" s="645"/>
      <c r="S158" s="645"/>
      <c r="T158" s="645"/>
      <c r="U158" s="645"/>
      <c r="V158" s="645"/>
      <c r="W158" s="8">
        <v>1</v>
      </c>
      <c r="X158" s="8">
        <v>1</v>
      </c>
      <c r="Y158" s="645"/>
      <c r="Z158" s="645"/>
      <c r="AA158" s="8">
        <v>1</v>
      </c>
      <c r="AB158" s="645"/>
      <c r="AC158" s="645"/>
      <c r="AD158" s="645"/>
      <c r="AE158" s="645"/>
      <c r="AF158" s="8">
        <v>1</v>
      </c>
      <c r="AG158" s="8">
        <v>1</v>
      </c>
      <c r="AH158" s="645"/>
      <c r="AI158" s="645"/>
      <c r="AJ158" s="645"/>
      <c r="AK158" s="645"/>
      <c r="AL158" s="8">
        <f t="shared" si="11"/>
        <v>9</v>
      </c>
      <c r="AM158" s="11" t="s">
        <v>1821</v>
      </c>
    </row>
    <row r="159" spans="1:39" ht="25.5">
      <c r="A159" s="8" t="s">
        <v>326</v>
      </c>
      <c r="B159" s="645"/>
      <c r="C159" s="8">
        <v>1</v>
      </c>
      <c r="D159" s="8">
        <v>1</v>
      </c>
      <c r="E159" s="8">
        <v>1</v>
      </c>
      <c r="F159" s="645"/>
      <c r="G159" s="645"/>
      <c r="H159" s="8">
        <v>1</v>
      </c>
      <c r="I159" s="645"/>
      <c r="J159" s="645"/>
      <c r="K159" s="645"/>
      <c r="L159" s="645"/>
      <c r="M159" s="645"/>
      <c r="N159" s="645"/>
      <c r="O159" s="645"/>
      <c r="P159" s="8">
        <v>1</v>
      </c>
      <c r="Q159" s="645"/>
      <c r="R159" s="645"/>
      <c r="S159" s="645"/>
      <c r="T159" s="645"/>
      <c r="U159" s="645"/>
      <c r="V159" s="645"/>
      <c r="W159" s="645"/>
      <c r="X159" s="8">
        <v>1</v>
      </c>
      <c r="Y159" s="8">
        <v>1</v>
      </c>
      <c r="Z159" s="645"/>
      <c r="AA159" s="8">
        <v>1</v>
      </c>
      <c r="AB159" s="645"/>
      <c r="AC159" s="645"/>
      <c r="AD159" s="645"/>
      <c r="AE159" s="645"/>
      <c r="AF159" s="8">
        <v>1</v>
      </c>
      <c r="AG159" s="8">
        <v>1</v>
      </c>
      <c r="AH159" s="645"/>
      <c r="AI159" s="645"/>
      <c r="AJ159" s="645"/>
      <c r="AK159" s="645"/>
      <c r="AL159" s="8">
        <f t="shared" si="11"/>
        <v>10</v>
      </c>
      <c r="AM159" s="11" t="s">
        <v>1822</v>
      </c>
    </row>
    <row r="160" spans="1:39" ht="25.5">
      <c r="A160" s="8" t="s">
        <v>1823</v>
      </c>
      <c r="B160" s="645"/>
      <c r="C160" s="645"/>
      <c r="D160" s="645"/>
      <c r="E160" s="8">
        <v>1</v>
      </c>
      <c r="F160" s="645"/>
      <c r="G160" s="645"/>
      <c r="H160" s="8">
        <v>1</v>
      </c>
      <c r="I160" s="645"/>
      <c r="J160" s="645"/>
      <c r="K160" s="645"/>
      <c r="L160" s="645"/>
      <c r="M160" s="645"/>
      <c r="N160" s="645"/>
      <c r="O160" s="645"/>
      <c r="P160" s="8">
        <v>1</v>
      </c>
      <c r="Q160" s="645"/>
      <c r="R160" s="645"/>
      <c r="S160" s="8">
        <v>1</v>
      </c>
      <c r="T160" s="645"/>
      <c r="U160" s="645"/>
      <c r="V160" s="645"/>
      <c r="W160" s="8">
        <v>1</v>
      </c>
      <c r="X160" s="8">
        <v>1</v>
      </c>
      <c r="Y160" s="645"/>
      <c r="Z160" s="645"/>
      <c r="AA160" s="645"/>
      <c r="AB160" s="645"/>
      <c r="AC160" s="8">
        <v>1</v>
      </c>
      <c r="AD160" s="8">
        <v>1</v>
      </c>
      <c r="AE160" s="645"/>
      <c r="AF160" s="8">
        <v>1</v>
      </c>
      <c r="AG160" s="645"/>
      <c r="AH160" s="645"/>
      <c r="AI160" s="645"/>
      <c r="AJ160" s="645"/>
      <c r="AK160" s="645"/>
      <c r="AL160" s="8">
        <f t="shared" si="11"/>
        <v>9</v>
      </c>
      <c r="AM160" s="11" t="s">
        <v>1824</v>
      </c>
    </row>
    <row r="161" spans="1:39" ht="25.5">
      <c r="A161" s="8" t="s">
        <v>346</v>
      </c>
      <c r="B161" s="645"/>
      <c r="C161" s="8">
        <v>1</v>
      </c>
      <c r="D161" s="645"/>
      <c r="E161" s="645"/>
      <c r="F161" s="645"/>
      <c r="G161" s="645"/>
      <c r="H161" s="645"/>
      <c r="I161" s="645"/>
      <c r="J161" s="645"/>
      <c r="K161" s="645"/>
      <c r="L161" s="645"/>
      <c r="M161" s="645"/>
      <c r="N161" s="645"/>
      <c r="O161" s="645"/>
      <c r="P161" s="8">
        <v>1</v>
      </c>
      <c r="Q161" s="645"/>
      <c r="R161" s="8">
        <v>1</v>
      </c>
      <c r="S161" s="645"/>
      <c r="T161" s="645"/>
      <c r="U161" s="645"/>
      <c r="V161" s="645"/>
      <c r="W161" s="645"/>
      <c r="X161" s="645"/>
      <c r="Y161" s="8">
        <v>1</v>
      </c>
      <c r="Z161" s="645"/>
      <c r="AA161" s="645"/>
      <c r="AB161" s="645"/>
      <c r="AC161" s="8">
        <v>1</v>
      </c>
      <c r="AD161" s="645"/>
      <c r="AE161" s="645"/>
      <c r="AF161" s="8">
        <v>1</v>
      </c>
      <c r="AG161" s="645"/>
      <c r="AH161" s="645"/>
      <c r="AI161" s="645"/>
      <c r="AJ161" s="645"/>
      <c r="AK161" s="645"/>
      <c r="AL161" s="8">
        <f t="shared" si="11"/>
        <v>6</v>
      </c>
      <c r="AM161" s="11" t="s">
        <v>1825</v>
      </c>
    </row>
    <row r="162" spans="1:39">
      <c r="A162" s="8" t="s">
        <v>633</v>
      </c>
      <c r="B162" s="645"/>
      <c r="C162" s="8">
        <v>1</v>
      </c>
      <c r="D162" s="8">
        <v>1</v>
      </c>
      <c r="E162" s="8">
        <v>1</v>
      </c>
      <c r="F162" s="645"/>
      <c r="G162" s="645"/>
      <c r="H162" s="8">
        <v>1</v>
      </c>
      <c r="I162" s="645"/>
      <c r="J162" s="645"/>
      <c r="K162" s="645"/>
      <c r="L162" s="645"/>
      <c r="M162" s="645"/>
      <c r="N162" s="645"/>
      <c r="O162" s="645"/>
      <c r="P162" s="645"/>
      <c r="Q162" s="645"/>
      <c r="R162" s="645"/>
      <c r="S162" s="8">
        <v>1</v>
      </c>
      <c r="T162" s="645"/>
      <c r="U162" s="645"/>
      <c r="V162" s="645"/>
      <c r="W162" s="8">
        <v>1</v>
      </c>
      <c r="X162" s="8">
        <v>1</v>
      </c>
      <c r="Y162" s="8">
        <v>1</v>
      </c>
      <c r="Z162" s="645"/>
      <c r="AA162" s="8">
        <v>1</v>
      </c>
      <c r="AB162" s="645"/>
      <c r="AC162" s="8">
        <v>1</v>
      </c>
      <c r="AD162" s="645"/>
      <c r="AE162" s="645"/>
      <c r="AF162" s="645"/>
      <c r="AG162" s="645"/>
      <c r="AH162" s="645"/>
      <c r="AI162" s="645"/>
      <c r="AJ162" s="645"/>
      <c r="AK162" s="645"/>
      <c r="AL162" s="8">
        <f t="shared" si="11"/>
        <v>10</v>
      </c>
      <c r="AM162" s="11" t="s">
        <v>1710</v>
      </c>
    </row>
    <row r="163" spans="1:39" ht="51">
      <c r="A163" s="8" t="s">
        <v>1826</v>
      </c>
      <c r="B163" s="645"/>
      <c r="C163" s="8">
        <v>1</v>
      </c>
      <c r="D163" s="8">
        <v>1</v>
      </c>
      <c r="E163" s="645"/>
      <c r="F163" s="645"/>
      <c r="G163" s="645"/>
      <c r="H163" s="645"/>
      <c r="I163" s="645"/>
      <c r="J163" s="645"/>
      <c r="K163" s="645"/>
      <c r="L163" s="645"/>
      <c r="M163" s="645"/>
      <c r="N163" s="645"/>
      <c r="O163" s="645"/>
      <c r="P163" s="8">
        <v>1</v>
      </c>
      <c r="Q163" s="645"/>
      <c r="R163" s="645"/>
      <c r="S163" s="645"/>
      <c r="T163" s="645"/>
      <c r="U163" s="645"/>
      <c r="V163" s="645"/>
      <c r="W163" s="645"/>
      <c r="X163" s="8">
        <v>1</v>
      </c>
      <c r="Y163" s="8">
        <v>1</v>
      </c>
      <c r="Z163" s="645"/>
      <c r="AA163" s="8">
        <v>1</v>
      </c>
      <c r="AB163" s="645"/>
      <c r="AC163" s="8">
        <v>1</v>
      </c>
      <c r="AD163" s="645"/>
      <c r="AE163" s="645"/>
      <c r="AF163" s="8">
        <v>1</v>
      </c>
      <c r="AG163" s="8">
        <v>1</v>
      </c>
      <c r="AH163" s="645"/>
      <c r="AI163" s="645"/>
      <c r="AJ163" s="645"/>
      <c r="AK163" s="645"/>
      <c r="AL163" s="8">
        <f t="shared" si="11"/>
        <v>9</v>
      </c>
      <c r="AM163" s="11" t="s">
        <v>1827</v>
      </c>
    </row>
    <row r="164" spans="1:39">
      <c r="A164" s="8" t="s">
        <v>349</v>
      </c>
      <c r="B164" s="645"/>
      <c r="C164" s="645"/>
      <c r="D164" s="8">
        <v>1</v>
      </c>
      <c r="E164" s="8">
        <v>1</v>
      </c>
      <c r="F164" s="645"/>
      <c r="G164" s="645"/>
      <c r="H164" s="645"/>
      <c r="I164" s="645"/>
      <c r="J164" s="645"/>
      <c r="K164" s="645"/>
      <c r="L164" s="645"/>
      <c r="M164" s="645"/>
      <c r="N164" s="645"/>
      <c r="O164" s="645"/>
      <c r="P164" s="645"/>
      <c r="Q164" s="645"/>
      <c r="R164" s="645"/>
      <c r="S164" s="645"/>
      <c r="T164" s="645"/>
      <c r="U164" s="645"/>
      <c r="V164" s="645"/>
      <c r="W164" s="645"/>
      <c r="X164" s="8">
        <v>1</v>
      </c>
      <c r="Y164" s="8">
        <v>1</v>
      </c>
      <c r="Z164" s="645"/>
      <c r="AA164" s="8">
        <v>1</v>
      </c>
      <c r="AB164" s="645"/>
      <c r="AC164" s="8">
        <v>1</v>
      </c>
      <c r="AD164" s="645"/>
      <c r="AE164" s="645"/>
      <c r="AF164" s="645"/>
      <c r="AG164" s="645"/>
      <c r="AH164" s="645"/>
      <c r="AI164" s="645"/>
      <c r="AJ164" s="645"/>
      <c r="AK164" s="645"/>
      <c r="AL164" s="8">
        <f t="shared" si="11"/>
        <v>6</v>
      </c>
      <c r="AM164" s="11" t="s">
        <v>1734</v>
      </c>
    </row>
    <row r="165" spans="1:39">
      <c r="A165" s="8" t="s">
        <v>354</v>
      </c>
      <c r="B165" s="645"/>
      <c r="C165" s="8">
        <v>1</v>
      </c>
      <c r="D165" s="8">
        <v>1</v>
      </c>
      <c r="E165" s="8">
        <v>1</v>
      </c>
      <c r="F165" s="645"/>
      <c r="G165" s="645"/>
      <c r="H165" s="8">
        <v>1</v>
      </c>
      <c r="I165" s="645"/>
      <c r="J165" s="645"/>
      <c r="K165" s="645"/>
      <c r="L165" s="645"/>
      <c r="M165" s="645"/>
      <c r="N165" s="645"/>
      <c r="O165" s="645"/>
      <c r="P165" s="645"/>
      <c r="Q165" s="645"/>
      <c r="R165" s="645"/>
      <c r="S165" s="645"/>
      <c r="T165" s="645"/>
      <c r="U165" s="645"/>
      <c r="V165" s="645"/>
      <c r="W165" s="645"/>
      <c r="X165" s="8">
        <v>1</v>
      </c>
      <c r="Y165" s="8">
        <v>1</v>
      </c>
      <c r="Z165" s="645"/>
      <c r="AA165" s="645"/>
      <c r="AB165" s="645"/>
      <c r="AC165" s="8">
        <v>1</v>
      </c>
      <c r="AD165" s="645"/>
      <c r="AE165" s="645"/>
      <c r="AF165" s="645"/>
      <c r="AG165" s="645"/>
      <c r="AH165" s="645"/>
      <c r="AI165" s="645"/>
      <c r="AJ165" s="645"/>
      <c r="AK165" s="645"/>
      <c r="AL165" s="8">
        <f t="shared" si="11"/>
        <v>7</v>
      </c>
      <c r="AM165" s="11" t="s">
        <v>1828</v>
      </c>
    </row>
    <row r="166" spans="1:39">
      <c r="A166" s="8" t="s">
        <v>1556</v>
      </c>
      <c r="B166" s="645"/>
      <c r="C166" s="8">
        <v>1</v>
      </c>
      <c r="D166" s="8">
        <v>1</v>
      </c>
      <c r="E166" s="8">
        <v>1</v>
      </c>
      <c r="F166" s="645"/>
      <c r="G166" s="645"/>
      <c r="H166" s="8">
        <v>1</v>
      </c>
      <c r="I166" s="645"/>
      <c r="J166" s="645"/>
      <c r="K166" s="645"/>
      <c r="L166" s="645"/>
      <c r="M166" s="645"/>
      <c r="N166" s="645"/>
      <c r="O166" s="645"/>
      <c r="P166" s="645"/>
      <c r="Q166" s="645"/>
      <c r="R166" s="645"/>
      <c r="S166" s="8">
        <v>1</v>
      </c>
      <c r="T166" s="645"/>
      <c r="U166" s="645"/>
      <c r="V166" s="8">
        <v>1</v>
      </c>
      <c r="W166" s="645"/>
      <c r="X166" s="8">
        <v>1</v>
      </c>
      <c r="Y166" s="8">
        <v>1</v>
      </c>
      <c r="Z166" s="645"/>
      <c r="AA166" s="8">
        <v>1</v>
      </c>
      <c r="AB166" s="645"/>
      <c r="AC166" s="8">
        <v>1</v>
      </c>
      <c r="AD166" s="645"/>
      <c r="AE166" s="645"/>
      <c r="AF166" s="645"/>
      <c r="AG166" s="645"/>
      <c r="AH166" s="645"/>
      <c r="AI166" s="645"/>
      <c r="AJ166" s="645"/>
      <c r="AK166" s="645"/>
      <c r="AL166" s="8">
        <f t="shared" si="11"/>
        <v>10</v>
      </c>
      <c r="AM166" s="11" t="s">
        <v>1829</v>
      </c>
    </row>
    <row r="167" spans="1:39">
      <c r="A167" s="8" t="s">
        <v>359</v>
      </c>
      <c r="B167" s="645"/>
      <c r="C167" s="8">
        <v>1</v>
      </c>
      <c r="D167" s="8">
        <v>1</v>
      </c>
      <c r="E167" s="645"/>
      <c r="F167" s="645"/>
      <c r="G167" s="645"/>
      <c r="H167" s="645"/>
      <c r="I167" s="645"/>
      <c r="J167" s="645"/>
      <c r="K167" s="645"/>
      <c r="L167" s="645"/>
      <c r="M167" s="645"/>
      <c r="N167" s="645"/>
      <c r="O167" s="645"/>
      <c r="P167" s="645"/>
      <c r="Q167" s="645"/>
      <c r="R167" s="645"/>
      <c r="S167" s="645"/>
      <c r="T167" s="645"/>
      <c r="U167" s="645"/>
      <c r="V167" s="645"/>
      <c r="W167" s="645"/>
      <c r="X167" s="8">
        <v>1</v>
      </c>
      <c r="Y167" s="8">
        <v>1</v>
      </c>
      <c r="Z167" s="645"/>
      <c r="AA167" s="645"/>
      <c r="AB167" s="645"/>
      <c r="AC167" s="8">
        <v>1</v>
      </c>
      <c r="AD167" s="645"/>
      <c r="AE167" s="645"/>
      <c r="AF167" s="8">
        <v>1</v>
      </c>
      <c r="AG167" s="645"/>
      <c r="AH167" s="645"/>
      <c r="AI167" s="645"/>
      <c r="AJ167" s="645"/>
      <c r="AK167" s="645"/>
      <c r="AL167" s="8">
        <f t="shared" si="11"/>
        <v>6</v>
      </c>
      <c r="AM167" s="11" t="s">
        <v>1830</v>
      </c>
    </row>
    <row r="168" spans="1:39">
      <c r="A168" s="8" t="s">
        <v>362</v>
      </c>
      <c r="B168" s="645"/>
      <c r="C168" s="8">
        <v>1</v>
      </c>
      <c r="D168" s="8">
        <v>1</v>
      </c>
      <c r="E168" s="8">
        <v>1</v>
      </c>
      <c r="F168" s="645"/>
      <c r="G168" s="645"/>
      <c r="H168" s="8">
        <v>1</v>
      </c>
      <c r="I168" s="645"/>
      <c r="J168" s="645"/>
      <c r="K168" s="645"/>
      <c r="L168" s="645"/>
      <c r="M168" s="645"/>
      <c r="N168" s="645"/>
      <c r="O168" s="645"/>
      <c r="P168" s="8">
        <v>1</v>
      </c>
      <c r="Q168" s="645"/>
      <c r="R168" s="645"/>
      <c r="S168" s="8">
        <v>1</v>
      </c>
      <c r="T168" s="645"/>
      <c r="U168" s="645"/>
      <c r="V168" s="645"/>
      <c r="W168" s="645"/>
      <c r="X168" s="8">
        <v>1</v>
      </c>
      <c r="Y168" s="8">
        <v>1</v>
      </c>
      <c r="Z168" s="645"/>
      <c r="AA168" s="8">
        <v>1</v>
      </c>
      <c r="AB168" s="645"/>
      <c r="AC168" s="645"/>
      <c r="AD168" s="645"/>
      <c r="AE168" s="645"/>
      <c r="AF168" s="645"/>
      <c r="AG168" s="645"/>
      <c r="AH168" s="645"/>
      <c r="AI168" s="645"/>
      <c r="AJ168" s="645"/>
      <c r="AK168" s="645"/>
      <c r="AL168" s="8">
        <f t="shared" si="11"/>
        <v>9</v>
      </c>
      <c r="AM168" s="11" t="s">
        <v>1831</v>
      </c>
    </row>
    <row r="169" spans="1:39" ht="25.5">
      <c r="A169" s="8" t="s">
        <v>938</v>
      </c>
      <c r="B169" s="645"/>
      <c r="C169" s="645"/>
      <c r="D169" s="8">
        <v>1</v>
      </c>
      <c r="E169" s="8">
        <v>1</v>
      </c>
      <c r="F169" s="645"/>
      <c r="G169" s="645"/>
      <c r="H169" s="8">
        <v>1</v>
      </c>
      <c r="I169" s="645"/>
      <c r="J169" s="645"/>
      <c r="K169" s="645"/>
      <c r="L169" s="645"/>
      <c r="M169" s="645"/>
      <c r="N169" s="645"/>
      <c r="O169" s="645"/>
      <c r="P169" s="8">
        <v>1</v>
      </c>
      <c r="Q169" s="645"/>
      <c r="R169" s="645"/>
      <c r="S169" s="645"/>
      <c r="T169" s="645"/>
      <c r="U169" s="645"/>
      <c r="V169" s="645"/>
      <c r="W169" s="8">
        <v>1</v>
      </c>
      <c r="X169" s="645"/>
      <c r="Y169" s="645"/>
      <c r="Z169" s="645"/>
      <c r="AA169" s="645"/>
      <c r="AB169" s="645"/>
      <c r="AC169" s="8">
        <v>1</v>
      </c>
      <c r="AD169" s="645"/>
      <c r="AE169" s="645"/>
      <c r="AF169" s="645"/>
      <c r="AG169" s="8">
        <v>1</v>
      </c>
      <c r="AH169" s="645"/>
      <c r="AI169" s="645"/>
      <c r="AJ169" s="645"/>
      <c r="AK169" s="645"/>
      <c r="AL169" s="8">
        <f t="shared" si="11"/>
        <v>7</v>
      </c>
      <c r="AM169" s="11" t="s">
        <v>1698</v>
      </c>
    </row>
    <row r="170" spans="1:39" ht="25.5">
      <c r="A170" s="8" t="s">
        <v>370</v>
      </c>
      <c r="B170" s="645"/>
      <c r="C170" s="8">
        <v>1</v>
      </c>
      <c r="D170" s="645"/>
      <c r="E170" s="645"/>
      <c r="F170" s="645"/>
      <c r="G170" s="645"/>
      <c r="H170" s="645"/>
      <c r="I170" s="645"/>
      <c r="J170" s="645"/>
      <c r="K170" s="645"/>
      <c r="L170" s="645"/>
      <c r="M170" s="645"/>
      <c r="N170" s="645"/>
      <c r="O170" s="645"/>
      <c r="P170" s="645"/>
      <c r="Q170" s="645"/>
      <c r="R170" s="645"/>
      <c r="S170" s="645"/>
      <c r="T170" s="645"/>
      <c r="U170" s="645"/>
      <c r="V170" s="645"/>
      <c r="W170" s="645"/>
      <c r="X170" s="8">
        <v>1</v>
      </c>
      <c r="Y170" s="8">
        <v>1</v>
      </c>
      <c r="Z170" s="645"/>
      <c r="AA170" s="8">
        <v>1</v>
      </c>
      <c r="AB170" s="645"/>
      <c r="AC170" s="645"/>
      <c r="AD170" s="645"/>
      <c r="AE170" s="645"/>
      <c r="AF170" s="645"/>
      <c r="AG170" s="8">
        <v>1</v>
      </c>
      <c r="AH170" s="645"/>
      <c r="AI170" s="645"/>
      <c r="AJ170" s="645"/>
      <c r="AK170" s="645"/>
      <c r="AL170" s="8">
        <f t="shared" si="11"/>
        <v>5</v>
      </c>
      <c r="AM170" s="11" t="s">
        <v>1832</v>
      </c>
    </row>
    <row r="171" spans="1:39">
      <c r="A171" s="8" t="s">
        <v>378</v>
      </c>
      <c r="B171" s="645"/>
      <c r="C171" s="8">
        <v>1</v>
      </c>
      <c r="D171" s="8">
        <v>1</v>
      </c>
      <c r="E171" s="8">
        <v>1</v>
      </c>
      <c r="F171" s="645"/>
      <c r="G171" s="645"/>
      <c r="H171" s="8">
        <v>1</v>
      </c>
      <c r="I171" s="645"/>
      <c r="J171" s="645"/>
      <c r="K171" s="645"/>
      <c r="L171" s="645"/>
      <c r="M171" s="645"/>
      <c r="N171" s="645"/>
      <c r="O171" s="645"/>
      <c r="P171" s="8">
        <v>1</v>
      </c>
      <c r="Q171" s="645"/>
      <c r="R171" s="645"/>
      <c r="S171" s="645"/>
      <c r="T171" s="645"/>
      <c r="U171" s="645"/>
      <c r="V171" s="645"/>
      <c r="W171" s="645"/>
      <c r="X171" s="8">
        <v>1</v>
      </c>
      <c r="Y171" s="8">
        <v>1</v>
      </c>
      <c r="Z171" s="645"/>
      <c r="AA171" s="8">
        <v>1</v>
      </c>
      <c r="AB171" s="645"/>
      <c r="AC171" s="645"/>
      <c r="AD171" s="645"/>
      <c r="AE171" s="645"/>
      <c r="AF171" s="8">
        <v>1</v>
      </c>
      <c r="AG171" s="8">
        <v>1</v>
      </c>
      <c r="AH171" s="645"/>
      <c r="AI171" s="645"/>
      <c r="AJ171" s="645"/>
      <c r="AK171" s="645"/>
      <c r="AL171" s="8">
        <f t="shared" si="11"/>
        <v>10</v>
      </c>
      <c r="AM171" s="11" t="s">
        <v>1833</v>
      </c>
    </row>
    <row r="172" spans="1:39" ht="25.5">
      <c r="A172" s="8" t="s">
        <v>381</v>
      </c>
      <c r="B172" s="645"/>
      <c r="C172" s="645"/>
      <c r="D172" s="8">
        <v>1</v>
      </c>
      <c r="E172" s="645"/>
      <c r="F172" s="645"/>
      <c r="G172" s="645"/>
      <c r="H172" s="645"/>
      <c r="I172" s="645"/>
      <c r="J172" s="645"/>
      <c r="K172" s="645"/>
      <c r="L172" s="645"/>
      <c r="M172" s="645"/>
      <c r="N172" s="645"/>
      <c r="O172" s="645"/>
      <c r="P172" s="645"/>
      <c r="Q172" s="645"/>
      <c r="R172" s="645"/>
      <c r="S172" s="645"/>
      <c r="T172" s="645"/>
      <c r="U172" s="645"/>
      <c r="V172" s="645"/>
      <c r="W172" s="645"/>
      <c r="X172" s="645"/>
      <c r="Y172" s="8">
        <v>1</v>
      </c>
      <c r="Z172" s="645"/>
      <c r="AA172" s="645"/>
      <c r="AB172" s="645"/>
      <c r="AC172" s="8">
        <v>1</v>
      </c>
      <c r="AD172" s="645"/>
      <c r="AE172" s="645"/>
      <c r="AF172" s="645"/>
      <c r="AG172" s="645"/>
      <c r="AH172" s="645"/>
      <c r="AI172" s="645"/>
      <c r="AJ172" s="645"/>
      <c r="AK172" s="645"/>
      <c r="AL172" s="8">
        <f t="shared" si="11"/>
        <v>3</v>
      </c>
      <c r="AM172" s="11" t="s">
        <v>1726</v>
      </c>
    </row>
    <row r="173" spans="1:39" ht="25.5">
      <c r="A173" s="8" t="s">
        <v>387</v>
      </c>
      <c r="B173" s="645"/>
      <c r="C173" s="8">
        <v>1</v>
      </c>
      <c r="D173" s="8">
        <v>1</v>
      </c>
      <c r="E173" s="8">
        <v>1</v>
      </c>
      <c r="F173" s="645"/>
      <c r="G173" s="645"/>
      <c r="H173" s="8">
        <v>1</v>
      </c>
      <c r="I173" s="645"/>
      <c r="J173" s="645"/>
      <c r="K173" s="645"/>
      <c r="L173" s="645"/>
      <c r="M173" s="645"/>
      <c r="N173" s="645"/>
      <c r="O173" s="645"/>
      <c r="P173" s="645"/>
      <c r="Q173" s="645"/>
      <c r="R173" s="8">
        <v>1</v>
      </c>
      <c r="S173" s="8">
        <v>1</v>
      </c>
      <c r="T173" s="645"/>
      <c r="U173" s="645"/>
      <c r="V173" s="645"/>
      <c r="W173" s="645"/>
      <c r="X173" s="8">
        <v>1</v>
      </c>
      <c r="Y173" s="645"/>
      <c r="Z173" s="645"/>
      <c r="AA173" s="645"/>
      <c r="AB173" s="645"/>
      <c r="AC173" s="8">
        <v>1</v>
      </c>
      <c r="AD173" s="645"/>
      <c r="AE173" s="645"/>
      <c r="AF173" s="645"/>
      <c r="AG173" s="645"/>
      <c r="AH173" s="645"/>
      <c r="AI173" s="645"/>
      <c r="AJ173" s="645"/>
      <c r="AK173" s="645"/>
      <c r="AL173" s="8">
        <f t="shared" si="11"/>
        <v>8</v>
      </c>
      <c r="AM173" s="11" t="s">
        <v>1834</v>
      </c>
    </row>
    <row r="174" spans="1:39">
      <c r="A174" s="8" t="s">
        <v>1580</v>
      </c>
      <c r="B174" s="645"/>
      <c r="C174" s="8">
        <v>1</v>
      </c>
      <c r="D174" s="8">
        <v>1</v>
      </c>
      <c r="E174" s="8">
        <v>1</v>
      </c>
      <c r="F174" s="645"/>
      <c r="G174" s="645"/>
      <c r="H174" s="8">
        <v>1</v>
      </c>
      <c r="I174" s="645"/>
      <c r="J174" s="645"/>
      <c r="K174" s="645"/>
      <c r="L174" s="645"/>
      <c r="M174" s="645"/>
      <c r="N174" s="645"/>
      <c r="O174" s="645"/>
      <c r="P174" s="645"/>
      <c r="Q174" s="645"/>
      <c r="R174" s="645"/>
      <c r="S174" s="8">
        <v>1</v>
      </c>
      <c r="T174" s="645"/>
      <c r="U174" s="645"/>
      <c r="V174" s="645"/>
      <c r="W174" s="645"/>
      <c r="X174" s="8">
        <v>1</v>
      </c>
      <c r="Y174" s="8">
        <v>1</v>
      </c>
      <c r="Z174" s="645"/>
      <c r="AA174" s="8">
        <v>1</v>
      </c>
      <c r="AB174" s="645"/>
      <c r="AC174" s="645"/>
      <c r="AD174" s="8">
        <v>1</v>
      </c>
      <c r="AE174" s="645"/>
      <c r="AF174" s="8">
        <v>1</v>
      </c>
      <c r="AG174" s="645"/>
      <c r="AH174" s="645"/>
      <c r="AI174" s="645"/>
      <c r="AJ174" s="645"/>
      <c r="AK174" s="645"/>
      <c r="AL174" s="8">
        <f t="shared" si="11"/>
        <v>10</v>
      </c>
      <c r="AM174" s="11" t="s">
        <v>1797</v>
      </c>
    </row>
    <row r="175" spans="1:39" ht="25.5">
      <c r="A175" s="8" t="s">
        <v>475</v>
      </c>
      <c r="B175" s="645"/>
      <c r="C175" s="8">
        <v>1</v>
      </c>
      <c r="D175" s="8">
        <v>1</v>
      </c>
      <c r="E175" s="645"/>
      <c r="F175" s="645"/>
      <c r="G175" s="645"/>
      <c r="H175" s="645"/>
      <c r="I175" s="645"/>
      <c r="J175" s="645"/>
      <c r="K175" s="645"/>
      <c r="L175" s="645"/>
      <c r="M175" s="645"/>
      <c r="N175" s="645"/>
      <c r="O175" s="645"/>
      <c r="P175" s="645"/>
      <c r="Q175" s="645"/>
      <c r="R175" s="645"/>
      <c r="S175" s="645"/>
      <c r="T175" s="645"/>
      <c r="U175" s="645"/>
      <c r="V175" s="645"/>
      <c r="W175" s="645"/>
      <c r="X175" s="8">
        <v>1</v>
      </c>
      <c r="Y175" s="8">
        <v>1</v>
      </c>
      <c r="Z175" s="645"/>
      <c r="AA175" s="8">
        <v>1</v>
      </c>
      <c r="AB175" s="645"/>
      <c r="AC175" s="645"/>
      <c r="AD175" s="645"/>
      <c r="AE175" s="645"/>
      <c r="AF175" s="645"/>
      <c r="AG175" s="8">
        <v>1</v>
      </c>
      <c r="AH175" s="645"/>
      <c r="AI175" s="645"/>
      <c r="AJ175" s="645"/>
      <c r="AK175" s="645"/>
      <c r="AL175" s="8">
        <f t="shared" si="11"/>
        <v>6</v>
      </c>
      <c r="AM175" s="11" t="s">
        <v>1835</v>
      </c>
    </row>
  </sheetData>
  <hyperlinks>
    <hyperlink ref="AM8" r:id="rId1" xr:uid="{00000000-0004-0000-0500-000000000000}"/>
    <hyperlink ref="AM9" r:id="rId2" xr:uid="{00000000-0004-0000-0500-000001000000}"/>
    <hyperlink ref="AM10" r:id="rId3" xr:uid="{00000000-0004-0000-0500-000002000000}"/>
    <hyperlink ref="AM11" r:id="rId4" xr:uid="{00000000-0004-0000-0500-000003000000}"/>
    <hyperlink ref="AM12" r:id="rId5" xr:uid="{00000000-0004-0000-0500-000004000000}"/>
    <hyperlink ref="AM13" r:id="rId6" xr:uid="{00000000-0004-0000-0500-000005000000}"/>
    <hyperlink ref="AM14" r:id="rId7" xr:uid="{00000000-0004-0000-0500-000006000000}"/>
    <hyperlink ref="AM15" r:id="rId8" xr:uid="{00000000-0004-0000-0500-000007000000}"/>
    <hyperlink ref="AM16" r:id="rId9" xr:uid="{00000000-0004-0000-0500-000008000000}"/>
    <hyperlink ref="AM17" r:id="rId10" xr:uid="{00000000-0004-0000-0500-000009000000}"/>
    <hyperlink ref="AM18" r:id="rId11" xr:uid="{00000000-0004-0000-0500-00000A000000}"/>
    <hyperlink ref="AM19" r:id="rId12" xr:uid="{00000000-0004-0000-0500-00000B000000}"/>
    <hyperlink ref="AM20" r:id="rId13" xr:uid="{00000000-0004-0000-0500-00000C000000}"/>
    <hyperlink ref="AM21" r:id="rId14" xr:uid="{00000000-0004-0000-0500-00000D000000}"/>
    <hyperlink ref="AM22" r:id="rId15" xr:uid="{00000000-0004-0000-0500-00000E000000}"/>
    <hyperlink ref="AM23" r:id="rId16" xr:uid="{00000000-0004-0000-0500-00000F000000}"/>
    <hyperlink ref="AM24" r:id="rId17" xr:uid="{00000000-0004-0000-0500-000010000000}"/>
    <hyperlink ref="AM25" r:id="rId18" xr:uid="{00000000-0004-0000-0500-000011000000}"/>
    <hyperlink ref="AM26" r:id="rId19" xr:uid="{00000000-0004-0000-0500-000012000000}"/>
    <hyperlink ref="AM27" r:id="rId20" xr:uid="{00000000-0004-0000-0500-000013000000}"/>
    <hyperlink ref="AM29" r:id="rId21" xr:uid="{00000000-0004-0000-0500-000014000000}"/>
    <hyperlink ref="AM30" r:id="rId22" xr:uid="{00000000-0004-0000-0500-000015000000}"/>
    <hyperlink ref="AM31" r:id="rId23" xr:uid="{00000000-0004-0000-0500-000016000000}"/>
    <hyperlink ref="AM32" r:id="rId24" xr:uid="{00000000-0004-0000-0500-000017000000}"/>
    <hyperlink ref="AM33" r:id="rId25" xr:uid="{00000000-0004-0000-0500-000018000000}"/>
    <hyperlink ref="AM34" r:id="rId26" xr:uid="{00000000-0004-0000-0500-000019000000}"/>
    <hyperlink ref="AM35" r:id="rId27" xr:uid="{00000000-0004-0000-0500-00001A000000}"/>
    <hyperlink ref="AM36" r:id="rId28" xr:uid="{00000000-0004-0000-0500-00001B000000}"/>
    <hyperlink ref="AM37" r:id="rId29" xr:uid="{00000000-0004-0000-0500-00001C000000}"/>
    <hyperlink ref="AM38" r:id="rId30" xr:uid="{00000000-0004-0000-0500-00001D000000}"/>
    <hyperlink ref="AM39" r:id="rId31" xr:uid="{00000000-0004-0000-0500-00001E000000}"/>
    <hyperlink ref="AM40" r:id="rId32" xr:uid="{00000000-0004-0000-0500-00001F000000}"/>
    <hyperlink ref="AM41" r:id="rId33" xr:uid="{00000000-0004-0000-0500-000020000000}"/>
    <hyperlink ref="AM42" r:id="rId34" xr:uid="{00000000-0004-0000-0500-000021000000}"/>
    <hyperlink ref="AM43" r:id="rId35" xr:uid="{00000000-0004-0000-0500-000022000000}"/>
    <hyperlink ref="AM44" r:id="rId36" xr:uid="{00000000-0004-0000-0500-000023000000}"/>
    <hyperlink ref="AM45" r:id="rId37" xr:uid="{00000000-0004-0000-0500-000024000000}"/>
    <hyperlink ref="AM46" r:id="rId38" xr:uid="{00000000-0004-0000-0500-000025000000}"/>
    <hyperlink ref="AM47" r:id="rId39" xr:uid="{00000000-0004-0000-0500-000026000000}"/>
    <hyperlink ref="AM48" r:id="rId40" xr:uid="{00000000-0004-0000-0500-000027000000}"/>
    <hyperlink ref="AM49" r:id="rId41" xr:uid="{00000000-0004-0000-0500-000028000000}"/>
    <hyperlink ref="AM50" r:id="rId42" xr:uid="{00000000-0004-0000-0500-000029000000}"/>
    <hyperlink ref="AM51" r:id="rId43" xr:uid="{00000000-0004-0000-0500-00002A000000}"/>
    <hyperlink ref="AM52" r:id="rId44" xr:uid="{00000000-0004-0000-0500-00002B000000}"/>
    <hyperlink ref="AM53" r:id="rId45" xr:uid="{00000000-0004-0000-0500-00002C000000}"/>
    <hyperlink ref="AM54" r:id="rId46" xr:uid="{00000000-0004-0000-0500-00002D000000}"/>
    <hyperlink ref="AM55" r:id="rId47" xr:uid="{00000000-0004-0000-0500-00002E000000}"/>
    <hyperlink ref="AM56" r:id="rId48" xr:uid="{00000000-0004-0000-0500-00002F000000}"/>
    <hyperlink ref="AM57" r:id="rId49" xr:uid="{00000000-0004-0000-0500-000030000000}"/>
    <hyperlink ref="AM58" r:id="rId50" xr:uid="{00000000-0004-0000-0500-000031000000}"/>
    <hyperlink ref="AM59" r:id="rId51" xr:uid="{00000000-0004-0000-0500-000032000000}"/>
    <hyperlink ref="AM60" r:id="rId52" xr:uid="{00000000-0004-0000-0500-000033000000}"/>
    <hyperlink ref="AM61" r:id="rId53" xr:uid="{00000000-0004-0000-0500-000034000000}"/>
    <hyperlink ref="AM62" r:id="rId54" xr:uid="{00000000-0004-0000-0500-000035000000}"/>
    <hyperlink ref="AM63" r:id="rId55" xr:uid="{00000000-0004-0000-0500-000036000000}"/>
    <hyperlink ref="AM65" r:id="rId56" xr:uid="{00000000-0004-0000-0500-000037000000}"/>
    <hyperlink ref="AM66" r:id="rId57" xr:uid="{00000000-0004-0000-0500-000038000000}"/>
    <hyperlink ref="AM67" r:id="rId58" xr:uid="{00000000-0004-0000-0500-000039000000}"/>
    <hyperlink ref="AM68" r:id="rId59" xr:uid="{00000000-0004-0000-0500-00003A000000}"/>
    <hyperlink ref="AM69" r:id="rId60" xr:uid="{00000000-0004-0000-0500-00003B000000}"/>
    <hyperlink ref="AM70" r:id="rId61" xr:uid="{00000000-0004-0000-0500-00003C000000}"/>
    <hyperlink ref="AM71" r:id="rId62" xr:uid="{00000000-0004-0000-0500-00003D000000}"/>
    <hyperlink ref="AM72" r:id="rId63" xr:uid="{00000000-0004-0000-0500-00003E000000}"/>
    <hyperlink ref="AM73" r:id="rId64" xr:uid="{00000000-0004-0000-0500-00003F000000}"/>
    <hyperlink ref="AM74" r:id="rId65" xr:uid="{00000000-0004-0000-0500-000040000000}"/>
    <hyperlink ref="AM75" r:id="rId66" xr:uid="{00000000-0004-0000-0500-000041000000}"/>
    <hyperlink ref="AM76" r:id="rId67" xr:uid="{00000000-0004-0000-0500-000042000000}"/>
    <hyperlink ref="AM77" r:id="rId68" xr:uid="{00000000-0004-0000-0500-000043000000}"/>
    <hyperlink ref="AM78" r:id="rId69" xr:uid="{00000000-0004-0000-0500-000044000000}"/>
    <hyperlink ref="AM79" r:id="rId70" xr:uid="{00000000-0004-0000-0500-000045000000}"/>
    <hyperlink ref="AM81" r:id="rId71" xr:uid="{00000000-0004-0000-0500-000046000000}"/>
    <hyperlink ref="AM82" r:id="rId72" xr:uid="{00000000-0004-0000-0500-000047000000}"/>
    <hyperlink ref="AM83" r:id="rId73" xr:uid="{00000000-0004-0000-0500-000048000000}"/>
    <hyperlink ref="AM84" r:id="rId74" xr:uid="{00000000-0004-0000-0500-000049000000}"/>
    <hyperlink ref="AM85" r:id="rId75" xr:uid="{00000000-0004-0000-0500-00004A000000}"/>
    <hyperlink ref="AM86" r:id="rId76" xr:uid="{00000000-0004-0000-0500-00004B000000}"/>
    <hyperlink ref="AM87" r:id="rId77" xr:uid="{00000000-0004-0000-0500-00004C000000}"/>
    <hyperlink ref="AM88" r:id="rId78" xr:uid="{00000000-0004-0000-0500-00004D000000}"/>
    <hyperlink ref="AM89" r:id="rId79" xr:uid="{00000000-0004-0000-0500-00004E000000}"/>
    <hyperlink ref="AM90" r:id="rId80" xr:uid="{00000000-0004-0000-0500-00004F000000}"/>
    <hyperlink ref="AM91" r:id="rId81" xr:uid="{00000000-0004-0000-0500-000050000000}"/>
    <hyperlink ref="AM92" r:id="rId82" xr:uid="{00000000-0004-0000-0500-000051000000}"/>
    <hyperlink ref="AM93" r:id="rId83" xr:uid="{00000000-0004-0000-0500-000052000000}"/>
    <hyperlink ref="AM94" r:id="rId84" xr:uid="{00000000-0004-0000-0500-000053000000}"/>
    <hyperlink ref="AM95" r:id="rId85" xr:uid="{00000000-0004-0000-0500-000054000000}"/>
    <hyperlink ref="AM96" r:id="rId86" xr:uid="{00000000-0004-0000-0500-000055000000}"/>
    <hyperlink ref="AM97" r:id="rId87" xr:uid="{00000000-0004-0000-0500-000056000000}"/>
    <hyperlink ref="AM98" r:id="rId88" xr:uid="{00000000-0004-0000-0500-000057000000}"/>
    <hyperlink ref="AM99" r:id="rId89" xr:uid="{00000000-0004-0000-0500-000058000000}"/>
    <hyperlink ref="AM100" r:id="rId90" xr:uid="{00000000-0004-0000-0500-000059000000}"/>
    <hyperlink ref="AM102" r:id="rId91" xr:uid="{00000000-0004-0000-0500-00005A000000}"/>
    <hyperlink ref="AM103" r:id="rId92" xr:uid="{00000000-0004-0000-0500-00005B000000}"/>
    <hyperlink ref="AM104" r:id="rId93" xr:uid="{00000000-0004-0000-0500-00005C000000}"/>
    <hyperlink ref="AM105" r:id="rId94" xr:uid="{00000000-0004-0000-0500-00005D000000}"/>
    <hyperlink ref="AM107" r:id="rId95" xr:uid="{00000000-0004-0000-0500-00005E000000}"/>
    <hyperlink ref="AM108" r:id="rId96" xr:uid="{00000000-0004-0000-0500-00005F000000}"/>
    <hyperlink ref="AM109" r:id="rId97" xr:uid="{00000000-0004-0000-0500-000060000000}"/>
    <hyperlink ref="AM110" r:id="rId98" xr:uid="{00000000-0004-0000-0500-000061000000}"/>
    <hyperlink ref="AM111" r:id="rId99" xr:uid="{00000000-0004-0000-0500-000062000000}"/>
    <hyperlink ref="AM112" r:id="rId100" xr:uid="{00000000-0004-0000-0500-000063000000}"/>
    <hyperlink ref="AM113" r:id="rId101" xr:uid="{00000000-0004-0000-0500-000064000000}"/>
    <hyperlink ref="AM115" r:id="rId102" xr:uid="{00000000-0004-0000-0500-000065000000}"/>
    <hyperlink ref="AM116" r:id="rId103" xr:uid="{00000000-0004-0000-0500-000066000000}"/>
    <hyperlink ref="AM117" r:id="rId104" xr:uid="{00000000-0004-0000-0500-000067000000}"/>
    <hyperlink ref="AM118" r:id="rId105" xr:uid="{00000000-0004-0000-0500-000068000000}"/>
    <hyperlink ref="AM119" r:id="rId106" xr:uid="{00000000-0004-0000-0500-000069000000}"/>
    <hyperlink ref="AM120" r:id="rId107" xr:uid="{00000000-0004-0000-0500-00006A000000}"/>
    <hyperlink ref="AM121" r:id="rId108" xr:uid="{00000000-0004-0000-0500-00006B000000}"/>
    <hyperlink ref="AM122" r:id="rId109" xr:uid="{00000000-0004-0000-0500-00006C000000}"/>
    <hyperlink ref="AM123" r:id="rId110" xr:uid="{00000000-0004-0000-0500-00006D000000}"/>
    <hyperlink ref="AM124" r:id="rId111" xr:uid="{00000000-0004-0000-0500-00006E000000}"/>
    <hyperlink ref="AM125" r:id="rId112" xr:uid="{00000000-0004-0000-0500-00006F000000}"/>
    <hyperlink ref="AM126" r:id="rId113" xr:uid="{00000000-0004-0000-0500-000070000000}"/>
    <hyperlink ref="AM127" r:id="rId114" xr:uid="{00000000-0004-0000-0500-000071000000}"/>
    <hyperlink ref="AM128" r:id="rId115" xr:uid="{00000000-0004-0000-0500-000072000000}"/>
    <hyperlink ref="AM129" r:id="rId116" xr:uid="{00000000-0004-0000-0500-000073000000}"/>
    <hyperlink ref="AM130" r:id="rId117" xr:uid="{00000000-0004-0000-0500-000074000000}"/>
    <hyperlink ref="AM131" r:id="rId118" xr:uid="{00000000-0004-0000-0500-000075000000}"/>
    <hyperlink ref="AM132" r:id="rId119" xr:uid="{00000000-0004-0000-0500-000076000000}"/>
    <hyperlink ref="AM134" r:id="rId120" xr:uid="{00000000-0004-0000-0500-000077000000}"/>
    <hyperlink ref="AM135" r:id="rId121" xr:uid="{00000000-0004-0000-0500-000078000000}"/>
    <hyperlink ref="AM136" r:id="rId122" xr:uid="{00000000-0004-0000-0500-000079000000}"/>
    <hyperlink ref="AM138" r:id="rId123" xr:uid="{00000000-0004-0000-0500-00007A000000}"/>
    <hyperlink ref="AM139" r:id="rId124" xr:uid="{00000000-0004-0000-0500-00007B000000}"/>
    <hyperlink ref="AM140" r:id="rId125" xr:uid="{00000000-0004-0000-0500-00007C000000}"/>
    <hyperlink ref="AM141" r:id="rId126" xr:uid="{00000000-0004-0000-0500-00007D000000}"/>
    <hyperlink ref="AM142" r:id="rId127" xr:uid="{00000000-0004-0000-0500-00007E000000}"/>
    <hyperlink ref="AM143" r:id="rId128" xr:uid="{00000000-0004-0000-0500-00007F000000}"/>
    <hyperlink ref="AM144" r:id="rId129" xr:uid="{00000000-0004-0000-0500-000080000000}"/>
    <hyperlink ref="AM145" r:id="rId130" xr:uid="{00000000-0004-0000-0500-000081000000}"/>
    <hyperlink ref="AM146" r:id="rId131" xr:uid="{00000000-0004-0000-0500-000082000000}"/>
    <hyperlink ref="AM147" r:id="rId132" xr:uid="{00000000-0004-0000-0500-000083000000}"/>
    <hyperlink ref="AM148" r:id="rId133" xr:uid="{00000000-0004-0000-0500-000084000000}"/>
    <hyperlink ref="AM150" r:id="rId134" xr:uid="{00000000-0004-0000-0500-000085000000}"/>
    <hyperlink ref="AM151" r:id="rId135" xr:uid="{00000000-0004-0000-0500-000086000000}"/>
    <hyperlink ref="AM152" r:id="rId136" xr:uid="{00000000-0004-0000-0500-000087000000}"/>
    <hyperlink ref="AM153" r:id="rId137" xr:uid="{00000000-0004-0000-0500-000088000000}"/>
    <hyperlink ref="AM154" r:id="rId138" xr:uid="{00000000-0004-0000-0500-000089000000}"/>
    <hyperlink ref="AM155" r:id="rId139" xr:uid="{00000000-0004-0000-0500-00008A000000}"/>
    <hyperlink ref="AM156" r:id="rId140" xr:uid="{00000000-0004-0000-0500-00008B000000}"/>
    <hyperlink ref="AM157" r:id="rId141" xr:uid="{00000000-0004-0000-0500-00008C000000}"/>
    <hyperlink ref="AM158" r:id="rId142" xr:uid="{00000000-0004-0000-0500-00008D000000}"/>
    <hyperlink ref="AM159" r:id="rId143" xr:uid="{00000000-0004-0000-0500-00008E000000}"/>
    <hyperlink ref="AM160" r:id="rId144" xr:uid="{00000000-0004-0000-0500-00008F000000}"/>
    <hyperlink ref="AM161" r:id="rId145" xr:uid="{00000000-0004-0000-0500-000090000000}"/>
    <hyperlink ref="AM162" r:id="rId146" xr:uid="{00000000-0004-0000-0500-000091000000}"/>
    <hyperlink ref="AM163" r:id="rId147" xr:uid="{00000000-0004-0000-0500-000092000000}"/>
    <hyperlink ref="AM164" r:id="rId148" xr:uid="{00000000-0004-0000-0500-000093000000}"/>
    <hyperlink ref="AM165" r:id="rId149" xr:uid="{00000000-0004-0000-0500-000094000000}"/>
    <hyperlink ref="AM166" r:id="rId150" xr:uid="{00000000-0004-0000-0500-000095000000}"/>
    <hyperlink ref="AM167" r:id="rId151" xr:uid="{00000000-0004-0000-0500-000096000000}"/>
    <hyperlink ref="AM168" r:id="rId152" xr:uid="{00000000-0004-0000-0500-000097000000}"/>
    <hyperlink ref="AM169" r:id="rId153" xr:uid="{00000000-0004-0000-0500-000098000000}"/>
    <hyperlink ref="AM170" r:id="rId154" xr:uid="{00000000-0004-0000-0500-000099000000}"/>
    <hyperlink ref="AM171" r:id="rId155" xr:uid="{00000000-0004-0000-0500-00009A000000}"/>
    <hyperlink ref="AM172" r:id="rId156" xr:uid="{00000000-0004-0000-0500-00009B000000}"/>
    <hyperlink ref="AM173" r:id="rId157" xr:uid="{00000000-0004-0000-0500-00009C000000}"/>
    <hyperlink ref="AM174" r:id="rId158" xr:uid="{00000000-0004-0000-0500-00009D000000}"/>
    <hyperlink ref="AM175" r:id="rId159" xr:uid="{00000000-0004-0000-0500-00009E000000}"/>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T205"/>
  <sheetViews>
    <sheetView workbookViewId="0" xr3:uid="{9B253EF2-77E0-53E3-AE26-4D66ECD923F3}">
      <pane xSplit="1" ySplit="4" topLeftCell="B5" activePane="bottomRight" state="frozen"/>
      <selection pane="bottomRight" activeCell="J14" sqref="J14"/>
      <selection pane="bottomLeft" activeCell="A5" sqref="A5"/>
      <selection pane="topRight" activeCell="B1" sqref="B1"/>
    </sheetView>
  </sheetViews>
  <sheetFormatPr defaultColWidth="14.42578125" defaultRowHeight="12.75" customHeight="1"/>
  <cols>
    <col min="1" max="1" width="21.85546875" customWidth="1"/>
    <col min="2" max="2" width="8.85546875" customWidth="1"/>
    <col min="3" max="3" width="8" customWidth="1"/>
    <col min="4" max="4" width="9" customWidth="1"/>
    <col min="5" max="6" width="8.7109375" customWidth="1"/>
    <col min="7" max="7" width="9.42578125" customWidth="1"/>
    <col min="8" max="8" width="9" customWidth="1"/>
    <col min="9" max="9" width="8.42578125" customWidth="1"/>
    <col min="10" max="10" width="8" customWidth="1"/>
    <col min="11" max="11" width="9.42578125" customWidth="1"/>
    <col min="12" max="12" width="8.42578125" customWidth="1"/>
    <col min="13" max="13" width="9.140625" customWidth="1"/>
    <col min="14" max="14" width="8" customWidth="1"/>
    <col min="15" max="15" width="8.28515625" customWidth="1"/>
    <col min="16" max="16" width="9" customWidth="1"/>
    <col min="17" max="17" width="7.42578125" customWidth="1"/>
    <col min="18" max="18" width="9.85546875" customWidth="1"/>
    <col min="19" max="19" width="11.140625" customWidth="1"/>
    <col min="20" max="20" width="22.85546875" customWidth="1"/>
  </cols>
  <sheetData>
    <row r="1" spans="1:20" ht="48.75" customHeight="1">
      <c r="A1" s="645"/>
      <c r="B1" s="4" t="s">
        <v>1836</v>
      </c>
      <c r="C1" s="4" t="s">
        <v>1837</v>
      </c>
      <c r="D1" s="4" t="s">
        <v>1838</v>
      </c>
      <c r="E1" s="4" t="s">
        <v>1839</v>
      </c>
      <c r="F1" s="4" t="s">
        <v>1840</v>
      </c>
      <c r="G1" s="4" t="s">
        <v>1841</v>
      </c>
      <c r="H1" s="4" t="s">
        <v>1842</v>
      </c>
      <c r="I1" s="4" t="s">
        <v>1843</v>
      </c>
      <c r="J1" s="4" t="s">
        <v>1844</v>
      </c>
      <c r="K1" s="4" t="s">
        <v>1845</v>
      </c>
      <c r="L1" s="4" t="s">
        <v>1846</v>
      </c>
      <c r="M1" s="4" t="s">
        <v>1847</v>
      </c>
      <c r="N1" s="4" t="s">
        <v>1848</v>
      </c>
      <c r="O1" s="4" t="s">
        <v>1849</v>
      </c>
      <c r="P1" s="4" t="s">
        <v>1850</v>
      </c>
      <c r="Q1" s="4" t="s">
        <v>1851</v>
      </c>
      <c r="R1" s="4" t="s">
        <v>1852</v>
      </c>
      <c r="S1" s="4" t="s">
        <v>1688</v>
      </c>
      <c r="T1" s="4" t="s">
        <v>1853</v>
      </c>
    </row>
    <row r="2" spans="1:20" ht="12.75" customHeight="1">
      <c r="A2" s="5" t="s">
        <v>1854</v>
      </c>
      <c r="B2" s="28"/>
      <c r="C2" s="28"/>
      <c r="D2" s="28"/>
      <c r="E2" s="28"/>
      <c r="F2" s="28"/>
      <c r="G2" s="28"/>
      <c r="H2" s="28"/>
      <c r="I2" s="28"/>
      <c r="J2" s="28"/>
      <c r="K2" s="28"/>
      <c r="L2" s="28"/>
      <c r="M2" s="28"/>
      <c r="N2" s="28"/>
      <c r="O2" s="28"/>
      <c r="P2" s="28"/>
      <c r="Q2" s="28"/>
      <c r="R2" s="28"/>
      <c r="S2" s="33"/>
      <c r="T2" s="645"/>
    </row>
    <row r="3" spans="1:20" ht="12.75" customHeight="1">
      <c r="A3" s="36" t="s">
        <v>1855</v>
      </c>
      <c r="B3" s="9">
        <v>0.56000000000000005</v>
      </c>
      <c r="C3" s="9">
        <v>0.01</v>
      </c>
      <c r="D3" s="9">
        <v>0.04</v>
      </c>
      <c r="E3" s="9">
        <v>0.86399999999999999</v>
      </c>
      <c r="F3" s="9">
        <v>0.36499999999999999</v>
      </c>
      <c r="G3" s="9">
        <v>0.17799999999999999</v>
      </c>
      <c r="H3" s="9">
        <v>0.23899999999999999</v>
      </c>
      <c r="I3" s="9">
        <v>0.19500000000000001</v>
      </c>
      <c r="J3" s="9">
        <v>0.66700000000000004</v>
      </c>
      <c r="K3" s="9">
        <v>7.0000000000000001E-3</v>
      </c>
      <c r="L3" s="9">
        <v>0.14499999999999999</v>
      </c>
      <c r="M3" s="9">
        <v>0.126</v>
      </c>
      <c r="N3" s="9">
        <v>0.48699999999999999</v>
      </c>
      <c r="O3" s="9">
        <v>0.50600000000000001</v>
      </c>
      <c r="P3" s="9">
        <v>0.36799999999999999</v>
      </c>
      <c r="Q3" s="9">
        <v>0.22900000000000001</v>
      </c>
      <c r="R3" s="9">
        <v>9.6000000000000002E-2</v>
      </c>
      <c r="S3" s="33"/>
      <c r="T3" s="645"/>
    </row>
    <row r="4" spans="1:20" ht="12.75" customHeight="1" thickBot="1">
      <c r="A4" s="36" t="s">
        <v>1855</v>
      </c>
      <c r="B4" s="28">
        <f t="shared" ref="B4:R4" si="0">SUM(B8:B214)</f>
        <v>66</v>
      </c>
      <c r="C4" s="28">
        <f t="shared" si="0"/>
        <v>1</v>
      </c>
      <c r="D4" s="28">
        <f t="shared" si="0"/>
        <v>2</v>
      </c>
      <c r="E4" s="28">
        <f t="shared" si="0"/>
        <v>102</v>
      </c>
      <c r="F4" s="28">
        <f t="shared" si="0"/>
        <v>38</v>
      </c>
      <c r="G4" s="28">
        <f t="shared" si="0"/>
        <v>11</v>
      </c>
      <c r="H4" s="28">
        <f t="shared" si="0"/>
        <v>29</v>
      </c>
      <c r="I4" s="28">
        <f t="shared" si="0"/>
        <v>21</v>
      </c>
      <c r="J4" s="28">
        <f t="shared" si="0"/>
        <v>67</v>
      </c>
      <c r="K4" s="28">
        <f t="shared" si="0"/>
        <v>1</v>
      </c>
      <c r="L4" s="28">
        <f t="shared" si="0"/>
        <v>14</v>
      </c>
      <c r="M4" s="28">
        <f t="shared" si="0"/>
        <v>15</v>
      </c>
      <c r="N4" s="28">
        <f t="shared" si="0"/>
        <v>65</v>
      </c>
      <c r="O4" s="28">
        <f t="shared" si="0"/>
        <v>51</v>
      </c>
      <c r="P4" s="28">
        <f t="shared" si="0"/>
        <v>41</v>
      </c>
      <c r="Q4" s="28">
        <f t="shared" si="0"/>
        <v>22</v>
      </c>
      <c r="R4" s="28">
        <f t="shared" si="0"/>
        <v>3</v>
      </c>
      <c r="S4" s="33"/>
      <c r="T4" s="645"/>
    </row>
    <row r="5" spans="1:20" s="580" customFormat="1" ht="12.75" customHeight="1">
      <c r="A5" s="582" t="s">
        <v>73</v>
      </c>
      <c r="B5" s="584"/>
      <c r="C5" s="584"/>
      <c r="D5" s="585"/>
      <c r="E5" s="584"/>
      <c r="F5" s="584"/>
      <c r="G5" s="584"/>
      <c r="H5" s="584"/>
      <c r="I5" s="584"/>
      <c r="J5" s="584"/>
      <c r="K5" s="584"/>
      <c r="L5" s="584"/>
      <c r="M5" s="584"/>
      <c r="N5" s="586"/>
      <c r="O5" s="584"/>
      <c r="P5" s="584"/>
      <c r="Q5" s="584"/>
      <c r="R5" s="584"/>
      <c r="S5" s="592"/>
      <c r="T5" s="645"/>
    </row>
    <row r="6" spans="1:20" s="580" customFormat="1" ht="12.75" customHeight="1">
      <c r="A6" s="587" t="s">
        <v>75</v>
      </c>
      <c r="B6" s="588"/>
      <c r="C6" s="588"/>
      <c r="D6" s="589"/>
      <c r="E6" s="588"/>
      <c r="F6" s="588"/>
      <c r="G6" s="588"/>
      <c r="H6" s="588"/>
      <c r="I6" s="588"/>
      <c r="J6" s="588"/>
      <c r="K6" s="588"/>
      <c r="L6" s="588"/>
      <c r="M6" s="588"/>
      <c r="N6" s="589"/>
      <c r="O6" s="588"/>
      <c r="P6" s="588"/>
      <c r="Q6" s="588"/>
      <c r="R6" s="588"/>
      <c r="S6" s="592"/>
      <c r="T6" s="645"/>
    </row>
    <row r="7" spans="1:20" s="580" customFormat="1" ht="12.75" customHeight="1">
      <c r="A7" s="590" t="s">
        <v>77</v>
      </c>
      <c r="B7" s="591"/>
      <c r="C7" s="591"/>
      <c r="D7" s="591"/>
      <c r="E7" s="591"/>
      <c r="F7" s="591"/>
      <c r="G7" s="591"/>
      <c r="H7" s="591"/>
      <c r="I7" s="591"/>
      <c r="J7" s="591"/>
      <c r="K7" s="591"/>
      <c r="L7" s="591"/>
      <c r="M7" s="591"/>
      <c r="N7" s="591"/>
      <c r="O7" s="591"/>
      <c r="P7" s="591"/>
      <c r="Q7" s="591"/>
      <c r="R7" s="591"/>
      <c r="S7" s="593"/>
      <c r="T7" s="645"/>
    </row>
    <row r="8" spans="1:20" ht="12.75" customHeight="1">
      <c r="A8" s="8" t="s">
        <v>1404</v>
      </c>
      <c r="B8" s="33">
        <v>1</v>
      </c>
      <c r="C8" s="33"/>
      <c r="D8" s="33"/>
      <c r="E8" s="33">
        <v>1</v>
      </c>
      <c r="F8" s="33"/>
      <c r="G8" s="33"/>
      <c r="H8" s="33"/>
      <c r="I8" s="33"/>
      <c r="J8" s="33"/>
      <c r="K8" s="33"/>
      <c r="L8" s="33"/>
      <c r="M8" s="33"/>
      <c r="N8" s="33">
        <v>1</v>
      </c>
      <c r="O8" s="33"/>
      <c r="P8" s="33">
        <v>1</v>
      </c>
      <c r="Q8" s="33"/>
      <c r="R8" s="33"/>
      <c r="S8" s="33">
        <f t="shared" ref="S8:S121" si="1">SUM(B8:R8)</f>
        <v>4</v>
      </c>
      <c r="T8" s="11" t="s">
        <v>1856</v>
      </c>
    </row>
    <row r="9" spans="1:20" ht="12.75" customHeight="1">
      <c r="A9" s="8" t="s">
        <v>110</v>
      </c>
      <c r="B9" s="33"/>
      <c r="C9" s="33"/>
      <c r="D9" s="33"/>
      <c r="E9" s="33">
        <v>1</v>
      </c>
      <c r="F9" s="33">
        <v>1</v>
      </c>
      <c r="G9" s="33"/>
      <c r="H9" s="33"/>
      <c r="I9" s="33"/>
      <c r="J9" s="33">
        <v>1</v>
      </c>
      <c r="K9" s="33"/>
      <c r="L9" s="33"/>
      <c r="M9" s="33"/>
      <c r="N9" s="33">
        <v>1</v>
      </c>
      <c r="O9" s="33"/>
      <c r="P9" s="33">
        <v>1</v>
      </c>
      <c r="Q9" s="33"/>
      <c r="R9" s="33"/>
      <c r="S9" s="33">
        <f t="shared" si="1"/>
        <v>5</v>
      </c>
      <c r="T9" s="11" t="s">
        <v>1857</v>
      </c>
    </row>
    <row r="10" spans="1:20" ht="12.75" customHeight="1">
      <c r="A10" s="8" t="s">
        <v>1407</v>
      </c>
      <c r="B10" s="33">
        <v>1</v>
      </c>
      <c r="C10" s="33"/>
      <c r="D10" s="33"/>
      <c r="E10" s="33">
        <v>1</v>
      </c>
      <c r="F10" s="33">
        <v>1</v>
      </c>
      <c r="G10" s="33"/>
      <c r="H10" s="33"/>
      <c r="I10" s="33"/>
      <c r="J10" s="33">
        <v>1</v>
      </c>
      <c r="K10" s="33"/>
      <c r="L10" s="33"/>
      <c r="M10" s="33"/>
      <c r="N10" s="33">
        <v>1</v>
      </c>
      <c r="O10" s="33">
        <v>1</v>
      </c>
      <c r="P10" s="33">
        <v>1</v>
      </c>
      <c r="Q10" s="33"/>
      <c r="R10" s="33"/>
      <c r="S10" s="33">
        <f t="shared" si="1"/>
        <v>7</v>
      </c>
      <c r="T10" s="11" t="s">
        <v>1858</v>
      </c>
    </row>
    <row r="11" spans="1:20" ht="12.75" customHeight="1">
      <c r="A11" s="8" t="s">
        <v>1269</v>
      </c>
      <c r="B11" s="33">
        <v>1</v>
      </c>
      <c r="C11" s="33"/>
      <c r="D11" s="33"/>
      <c r="E11" s="33">
        <v>1</v>
      </c>
      <c r="F11" s="33"/>
      <c r="G11" s="33"/>
      <c r="H11" s="33"/>
      <c r="I11" s="33"/>
      <c r="J11" s="33"/>
      <c r="K11" s="33"/>
      <c r="L11" s="33"/>
      <c r="M11" s="33"/>
      <c r="N11" s="33">
        <v>1</v>
      </c>
      <c r="O11" s="33"/>
      <c r="P11" s="33"/>
      <c r="Q11" s="33"/>
      <c r="R11" s="33"/>
      <c r="S11" s="33">
        <f t="shared" si="1"/>
        <v>3</v>
      </c>
      <c r="T11" s="11" t="s">
        <v>1859</v>
      </c>
    </row>
    <row r="12" spans="1:20" ht="12.75" customHeight="1">
      <c r="A12" s="8" t="s">
        <v>1860</v>
      </c>
      <c r="B12" s="33">
        <v>1</v>
      </c>
      <c r="C12" s="33"/>
      <c r="D12" s="33"/>
      <c r="E12" s="33">
        <v>1</v>
      </c>
      <c r="F12" s="33">
        <v>1</v>
      </c>
      <c r="G12" s="33"/>
      <c r="H12" s="33"/>
      <c r="I12" s="33"/>
      <c r="J12" s="33"/>
      <c r="K12" s="33"/>
      <c r="L12" s="33"/>
      <c r="M12" s="33"/>
      <c r="N12" s="33">
        <v>1</v>
      </c>
      <c r="O12" s="33"/>
      <c r="P12" s="33"/>
      <c r="Q12" s="33">
        <v>1</v>
      </c>
      <c r="R12" s="33"/>
      <c r="S12" s="33">
        <f t="shared" si="1"/>
        <v>5</v>
      </c>
      <c r="T12" s="11" t="s">
        <v>1861</v>
      </c>
    </row>
    <row r="13" spans="1:20" ht="12.75" customHeight="1">
      <c r="A13" s="8" t="s">
        <v>120</v>
      </c>
      <c r="B13" s="33">
        <v>1</v>
      </c>
      <c r="C13" s="33"/>
      <c r="D13" s="33"/>
      <c r="E13" s="33">
        <v>1</v>
      </c>
      <c r="F13" s="33">
        <v>1</v>
      </c>
      <c r="G13" s="33"/>
      <c r="H13" s="33"/>
      <c r="I13" s="33"/>
      <c r="J13" s="33">
        <v>1</v>
      </c>
      <c r="K13" s="33"/>
      <c r="L13" s="33"/>
      <c r="M13" s="33"/>
      <c r="N13" s="33"/>
      <c r="O13" s="33"/>
      <c r="P13" s="33"/>
      <c r="Q13" s="33"/>
      <c r="R13" s="33"/>
      <c r="S13" s="33">
        <f t="shared" si="1"/>
        <v>4</v>
      </c>
      <c r="T13" s="11" t="s">
        <v>1862</v>
      </c>
    </row>
    <row r="14" spans="1:20" ht="12.75" customHeight="1">
      <c r="A14" s="8" t="s">
        <v>538</v>
      </c>
      <c r="B14" s="33">
        <v>1</v>
      </c>
      <c r="C14" s="33"/>
      <c r="D14" s="33"/>
      <c r="E14" s="33">
        <v>1</v>
      </c>
      <c r="F14" s="33"/>
      <c r="G14" s="33"/>
      <c r="H14" s="33"/>
      <c r="I14" s="33"/>
      <c r="J14" s="33"/>
      <c r="K14" s="33"/>
      <c r="L14" s="33"/>
      <c r="M14" s="33"/>
      <c r="N14" s="33"/>
      <c r="O14" s="33"/>
      <c r="P14" s="33"/>
      <c r="Q14" s="33"/>
      <c r="R14" s="33"/>
      <c r="S14" s="33">
        <f t="shared" si="1"/>
        <v>2</v>
      </c>
      <c r="T14" s="11" t="s">
        <v>1863</v>
      </c>
    </row>
    <row r="15" spans="1:20" ht="12.75" customHeight="1">
      <c r="A15" s="8" t="s">
        <v>1420</v>
      </c>
      <c r="B15" s="33">
        <v>1</v>
      </c>
      <c r="C15" s="33"/>
      <c r="D15" s="33"/>
      <c r="E15" s="33">
        <v>1</v>
      </c>
      <c r="F15" s="33">
        <v>1</v>
      </c>
      <c r="G15" s="33"/>
      <c r="H15" s="33"/>
      <c r="I15" s="33"/>
      <c r="J15" s="33"/>
      <c r="K15" s="33"/>
      <c r="L15" s="33"/>
      <c r="M15" s="33"/>
      <c r="N15" s="33">
        <v>1</v>
      </c>
      <c r="O15" s="33"/>
      <c r="P15" s="33">
        <v>1</v>
      </c>
      <c r="Q15" s="33">
        <v>1</v>
      </c>
      <c r="R15" s="33"/>
      <c r="S15" s="33">
        <f t="shared" si="1"/>
        <v>6</v>
      </c>
      <c r="T15" s="11" t="s">
        <v>1864</v>
      </c>
    </row>
    <row r="16" spans="1:20" ht="12.75" customHeight="1">
      <c r="A16" s="8" t="s">
        <v>123</v>
      </c>
      <c r="B16" s="33">
        <v>1</v>
      </c>
      <c r="C16" s="33"/>
      <c r="D16" s="33"/>
      <c r="E16" s="33">
        <v>1</v>
      </c>
      <c r="F16" s="33">
        <v>1</v>
      </c>
      <c r="G16" s="33"/>
      <c r="H16" s="33">
        <v>1</v>
      </c>
      <c r="I16" s="33"/>
      <c r="J16" s="33"/>
      <c r="K16" s="33"/>
      <c r="L16" s="33"/>
      <c r="M16" s="33"/>
      <c r="N16" s="33">
        <v>1</v>
      </c>
      <c r="O16" s="33"/>
      <c r="P16" s="33">
        <v>1</v>
      </c>
      <c r="Q16" s="33">
        <v>1</v>
      </c>
      <c r="R16" s="33"/>
      <c r="S16" s="33">
        <f t="shared" si="1"/>
        <v>7</v>
      </c>
      <c r="T16" s="11" t="s">
        <v>1865</v>
      </c>
    </row>
    <row r="17" spans="1:20" ht="12.75" customHeight="1">
      <c r="A17" s="8" t="s">
        <v>1424</v>
      </c>
      <c r="B17" s="33"/>
      <c r="C17" s="33"/>
      <c r="D17" s="33"/>
      <c r="E17" s="33">
        <v>1</v>
      </c>
      <c r="F17" s="33">
        <v>1</v>
      </c>
      <c r="G17" s="33"/>
      <c r="H17" s="33">
        <v>1</v>
      </c>
      <c r="I17" s="33">
        <v>1</v>
      </c>
      <c r="J17" s="33">
        <v>1</v>
      </c>
      <c r="K17" s="33"/>
      <c r="L17" s="33"/>
      <c r="M17" s="33">
        <v>1</v>
      </c>
      <c r="N17" s="33">
        <v>1</v>
      </c>
      <c r="O17" s="33">
        <v>1</v>
      </c>
      <c r="P17" s="33">
        <v>1</v>
      </c>
      <c r="Q17" s="33"/>
      <c r="R17" s="33"/>
      <c r="S17" s="33">
        <f t="shared" si="1"/>
        <v>9</v>
      </c>
      <c r="T17" s="11" t="s">
        <v>1866</v>
      </c>
    </row>
    <row r="18" spans="1:20" ht="12.75" customHeight="1">
      <c r="A18" s="8" t="s">
        <v>542</v>
      </c>
      <c r="B18" s="33"/>
      <c r="C18" s="33"/>
      <c r="D18" s="33"/>
      <c r="E18" s="33">
        <v>1</v>
      </c>
      <c r="F18" s="33"/>
      <c r="G18" s="33"/>
      <c r="H18" s="33"/>
      <c r="I18" s="33"/>
      <c r="J18" s="33">
        <v>1</v>
      </c>
      <c r="K18" s="33"/>
      <c r="L18" s="33"/>
      <c r="M18" s="33"/>
      <c r="N18" s="33"/>
      <c r="O18" s="33"/>
      <c r="P18" s="33"/>
      <c r="Q18" s="33"/>
      <c r="R18" s="33"/>
      <c r="S18" s="33">
        <f t="shared" si="1"/>
        <v>2</v>
      </c>
      <c r="T18" s="11" t="s">
        <v>1863</v>
      </c>
    </row>
    <row r="19" spans="1:20" ht="12.75" customHeight="1">
      <c r="A19" s="8" t="s">
        <v>133</v>
      </c>
      <c r="B19" s="33">
        <v>1</v>
      </c>
      <c r="C19" s="33"/>
      <c r="D19" s="33"/>
      <c r="E19" s="33">
        <v>1</v>
      </c>
      <c r="F19" s="33"/>
      <c r="G19" s="33"/>
      <c r="H19" s="33"/>
      <c r="I19" s="33"/>
      <c r="J19" s="33">
        <v>1</v>
      </c>
      <c r="K19" s="33"/>
      <c r="L19" s="33"/>
      <c r="M19" s="33"/>
      <c r="N19" s="33">
        <v>1</v>
      </c>
      <c r="O19" s="33"/>
      <c r="P19" s="33"/>
      <c r="Q19" s="33"/>
      <c r="R19" s="33"/>
      <c r="S19" s="33">
        <f t="shared" si="1"/>
        <v>4</v>
      </c>
      <c r="T19" s="11" t="s">
        <v>1867</v>
      </c>
    </row>
    <row r="20" spans="1:20" ht="12.75" customHeight="1">
      <c r="A20" s="8" t="s">
        <v>1868</v>
      </c>
      <c r="B20" s="33"/>
      <c r="C20" s="33"/>
      <c r="D20" s="33"/>
      <c r="E20" s="33">
        <v>1</v>
      </c>
      <c r="F20" s="33"/>
      <c r="G20" s="33"/>
      <c r="H20" s="33"/>
      <c r="I20" s="33"/>
      <c r="J20" s="33"/>
      <c r="K20" s="33"/>
      <c r="L20" s="33"/>
      <c r="M20" s="33"/>
      <c r="N20" s="33"/>
      <c r="O20" s="33"/>
      <c r="P20" s="33"/>
      <c r="Q20" s="33"/>
      <c r="R20" s="33"/>
      <c r="S20" s="33">
        <f t="shared" si="1"/>
        <v>1</v>
      </c>
      <c r="T20" s="11" t="s">
        <v>1869</v>
      </c>
    </row>
    <row r="21" spans="1:20" ht="12.75" customHeight="1">
      <c r="A21" s="8" t="s">
        <v>1779</v>
      </c>
      <c r="B21" s="33"/>
      <c r="C21" s="33"/>
      <c r="D21" s="33"/>
      <c r="E21" s="33">
        <v>1</v>
      </c>
      <c r="F21" s="33"/>
      <c r="G21" s="33"/>
      <c r="H21" s="33">
        <v>1</v>
      </c>
      <c r="I21" s="33"/>
      <c r="J21" s="33"/>
      <c r="K21" s="33"/>
      <c r="L21" s="33"/>
      <c r="M21" s="33"/>
      <c r="N21" s="33"/>
      <c r="O21" s="33">
        <v>1</v>
      </c>
      <c r="P21" s="33">
        <v>1</v>
      </c>
      <c r="Q21" s="33"/>
      <c r="R21" s="33"/>
      <c r="S21" s="33">
        <f t="shared" si="1"/>
        <v>4</v>
      </c>
      <c r="T21" s="11" t="s">
        <v>1870</v>
      </c>
    </row>
    <row r="22" spans="1:20" ht="12.75" customHeight="1">
      <c r="A22" s="8" t="s">
        <v>140</v>
      </c>
      <c r="B22" s="33"/>
      <c r="C22" s="33"/>
      <c r="D22" s="33"/>
      <c r="E22" s="33">
        <v>1</v>
      </c>
      <c r="F22" s="33"/>
      <c r="G22" s="33"/>
      <c r="H22" s="33"/>
      <c r="I22" s="33"/>
      <c r="J22" s="33">
        <v>1</v>
      </c>
      <c r="K22" s="33"/>
      <c r="L22" s="33"/>
      <c r="M22" s="33"/>
      <c r="N22" s="33">
        <v>1</v>
      </c>
      <c r="O22" s="33"/>
      <c r="P22" s="33"/>
      <c r="Q22" s="33"/>
      <c r="R22" s="33"/>
      <c r="S22" s="33">
        <f t="shared" si="1"/>
        <v>3</v>
      </c>
      <c r="T22" s="11" t="s">
        <v>1871</v>
      </c>
    </row>
    <row r="23" spans="1:20" ht="12.75" customHeight="1">
      <c r="A23" s="8" t="s">
        <v>142</v>
      </c>
      <c r="B23" s="33">
        <v>1</v>
      </c>
      <c r="C23" s="33"/>
      <c r="D23" s="33"/>
      <c r="E23" s="33">
        <v>1</v>
      </c>
      <c r="F23" s="33">
        <v>1</v>
      </c>
      <c r="G23" s="33"/>
      <c r="H23" s="33">
        <v>1</v>
      </c>
      <c r="I23" s="33"/>
      <c r="J23" s="33">
        <v>1</v>
      </c>
      <c r="K23" s="33"/>
      <c r="L23" s="33"/>
      <c r="M23" s="33"/>
      <c r="N23" s="33"/>
      <c r="O23" s="33"/>
      <c r="P23" s="33"/>
      <c r="Q23" s="33"/>
      <c r="R23" s="33"/>
      <c r="S23" s="33">
        <f t="shared" si="1"/>
        <v>5</v>
      </c>
      <c r="T23" s="11" t="s">
        <v>1872</v>
      </c>
    </row>
    <row r="24" spans="1:20" ht="12.75" customHeight="1">
      <c r="A24" s="8" t="s">
        <v>146</v>
      </c>
      <c r="B24" s="33">
        <v>1</v>
      </c>
      <c r="C24" s="33"/>
      <c r="D24" s="33"/>
      <c r="E24" s="33">
        <v>1</v>
      </c>
      <c r="F24" s="33"/>
      <c r="G24" s="33"/>
      <c r="H24" s="33"/>
      <c r="I24" s="33"/>
      <c r="J24" s="33">
        <v>1</v>
      </c>
      <c r="K24" s="33"/>
      <c r="L24" s="33"/>
      <c r="M24" s="33">
        <v>1</v>
      </c>
      <c r="N24" s="33"/>
      <c r="O24" s="33"/>
      <c r="P24" s="33"/>
      <c r="Q24" s="33"/>
      <c r="R24" s="33"/>
      <c r="S24" s="33">
        <f t="shared" si="1"/>
        <v>4</v>
      </c>
      <c r="T24" s="11" t="s">
        <v>1873</v>
      </c>
    </row>
    <row r="25" spans="1:20" ht="12.75" customHeight="1">
      <c r="A25" s="8" t="s">
        <v>149</v>
      </c>
      <c r="B25" s="33">
        <v>1</v>
      </c>
      <c r="C25" s="33"/>
      <c r="D25" s="33"/>
      <c r="E25" s="33">
        <v>1</v>
      </c>
      <c r="F25" s="33">
        <v>1</v>
      </c>
      <c r="G25" s="33"/>
      <c r="H25" s="33">
        <v>1</v>
      </c>
      <c r="I25" s="33">
        <v>1</v>
      </c>
      <c r="J25" s="33">
        <v>1</v>
      </c>
      <c r="K25" s="33"/>
      <c r="L25" s="33"/>
      <c r="M25" s="33"/>
      <c r="N25" s="33">
        <v>1</v>
      </c>
      <c r="O25" s="33"/>
      <c r="P25" s="33">
        <v>1</v>
      </c>
      <c r="Q25" s="33">
        <v>1</v>
      </c>
      <c r="R25" s="33">
        <v>1</v>
      </c>
      <c r="S25" s="33">
        <f t="shared" si="1"/>
        <v>10</v>
      </c>
      <c r="T25" s="11" t="s">
        <v>1869</v>
      </c>
    </row>
    <row r="26" spans="1:20" ht="12.75" customHeight="1">
      <c r="A26" s="8" t="s">
        <v>1874</v>
      </c>
      <c r="B26" s="33"/>
      <c r="C26" s="33"/>
      <c r="D26" s="33"/>
      <c r="E26" s="33"/>
      <c r="F26" s="33"/>
      <c r="G26" s="33">
        <v>1</v>
      </c>
      <c r="H26" s="33"/>
      <c r="I26" s="33"/>
      <c r="J26" s="33"/>
      <c r="K26" s="33"/>
      <c r="L26" s="33"/>
      <c r="M26" s="33"/>
      <c r="N26" s="33"/>
      <c r="O26" s="33"/>
      <c r="P26" s="33"/>
      <c r="Q26" s="33"/>
      <c r="R26" s="33"/>
      <c r="S26" s="33">
        <f t="shared" si="1"/>
        <v>1</v>
      </c>
      <c r="T26" s="11" t="s">
        <v>1875</v>
      </c>
    </row>
    <row r="27" spans="1:20" ht="12.75" customHeight="1">
      <c r="A27" s="8" t="s">
        <v>796</v>
      </c>
      <c r="B27" s="33">
        <v>1</v>
      </c>
      <c r="C27" s="33"/>
      <c r="D27" s="33"/>
      <c r="E27" s="33">
        <v>1</v>
      </c>
      <c r="F27" s="33"/>
      <c r="G27" s="33"/>
      <c r="H27" s="33">
        <v>1</v>
      </c>
      <c r="I27" s="33"/>
      <c r="J27" s="33">
        <v>1</v>
      </c>
      <c r="K27" s="33"/>
      <c r="L27" s="33"/>
      <c r="M27" s="33"/>
      <c r="N27" s="33"/>
      <c r="O27" s="33"/>
      <c r="P27" s="33"/>
      <c r="Q27" s="33"/>
      <c r="R27" s="33"/>
      <c r="S27" s="33">
        <f t="shared" si="1"/>
        <v>4</v>
      </c>
      <c r="T27" s="11" t="s">
        <v>1876</v>
      </c>
    </row>
    <row r="28" spans="1:20" ht="12.75" customHeight="1">
      <c r="A28" s="8" t="s">
        <v>163</v>
      </c>
      <c r="B28" s="33">
        <v>1</v>
      </c>
      <c r="C28" s="33"/>
      <c r="D28" s="33"/>
      <c r="E28" s="33">
        <v>1</v>
      </c>
      <c r="F28" s="33">
        <v>1</v>
      </c>
      <c r="G28" s="33"/>
      <c r="H28" s="33"/>
      <c r="I28" s="33"/>
      <c r="J28" s="33"/>
      <c r="K28" s="33"/>
      <c r="L28" s="33"/>
      <c r="M28" s="33"/>
      <c r="N28" s="33">
        <v>1</v>
      </c>
      <c r="O28" s="33"/>
      <c r="P28" s="33"/>
      <c r="Q28" s="33">
        <v>1</v>
      </c>
      <c r="R28" s="33"/>
      <c r="S28" s="33">
        <f t="shared" si="1"/>
        <v>5</v>
      </c>
      <c r="T28" s="11" t="s">
        <v>1877</v>
      </c>
    </row>
    <row r="29" spans="1:20" ht="12.75" customHeight="1">
      <c r="A29" s="8" t="s">
        <v>165</v>
      </c>
      <c r="B29" s="33">
        <v>1</v>
      </c>
      <c r="C29" s="33"/>
      <c r="D29" s="33"/>
      <c r="E29" s="33">
        <v>1</v>
      </c>
      <c r="F29" s="33">
        <v>1</v>
      </c>
      <c r="G29" s="33"/>
      <c r="H29" s="33">
        <v>1</v>
      </c>
      <c r="I29" s="33"/>
      <c r="J29" s="33">
        <v>1</v>
      </c>
      <c r="K29" s="33"/>
      <c r="L29" s="33"/>
      <c r="M29" s="33"/>
      <c r="N29" s="33">
        <v>1</v>
      </c>
      <c r="O29" s="33">
        <v>1</v>
      </c>
      <c r="P29" s="33"/>
      <c r="Q29" s="33"/>
      <c r="R29" s="33"/>
      <c r="S29" s="33">
        <f t="shared" si="1"/>
        <v>7</v>
      </c>
      <c r="T29" s="11" t="s">
        <v>1878</v>
      </c>
    </row>
    <row r="30" spans="1:20" ht="12.75" customHeight="1">
      <c r="A30" s="8" t="s">
        <v>167</v>
      </c>
      <c r="B30" s="33">
        <v>1</v>
      </c>
      <c r="C30" s="33"/>
      <c r="D30" s="33"/>
      <c r="E30" s="33">
        <v>1</v>
      </c>
      <c r="F30" s="33">
        <v>1</v>
      </c>
      <c r="G30" s="33"/>
      <c r="H30" s="33"/>
      <c r="I30" s="33"/>
      <c r="J30" s="33">
        <v>1</v>
      </c>
      <c r="K30" s="33"/>
      <c r="L30" s="33"/>
      <c r="M30" s="33"/>
      <c r="N30" s="33">
        <v>1</v>
      </c>
      <c r="O30" s="33"/>
      <c r="P30" s="33"/>
      <c r="Q30" s="33"/>
      <c r="R30" s="33"/>
      <c r="S30" s="33">
        <f t="shared" si="1"/>
        <v>5</v>
      </c>
      <c r="T30" s="11" t="s">
        <v>1879</v>
      </c>
    </row>
    <row r="31" spans="1:20" ht="12.75" customHeight="1">
      <c r="A31" s="8" t="s">
        <v>172</v>
      </c>
      <c r="B31" s="33">
        <v>1</v>
      </c>
      <c r="C31" s="33"/>
      <c r="D31" s="33"/>
      <c r="E31" s="33">
        <v>1</v>
      </c>
      <c r="F31" s="33">
        <v>1</v>
      </c>
      <c r="G31" s="33"/>
      <c r="H31" s="33"/>
      <c r="I31" s="33">
        <v>1</v>
      </c>
      <c r="J31" s="33"/>
      <c r="K31" s="33"/>
      <c r="L31" s="33"/>
      <c r="M31" s="33">
        <v>1</v>
      </c>
      <c r="N31" s="33">
        <v>1</v>
      </c>
      <c r="O31" s="33"/>
      <c r="P31" s="33">
        <v>1</v>
      </c>
      <c r="Q31" s="33">
        <v>1</v>
      </c>
      <c r="R31" s="33"/>
      <c r="S31" s="33">
        <f t="shared" si="1"/>
        <v>8</v>
      </c>
      <c r="T31" s="11" t="s">
        <v>1880</v>
      </c>
    </row>
    <row r="32" spans="1:20" ht="12.75" customHeight="1">
      <c r="A32" s="8" t="s">
        <v>177</v>
      </c>
      <c r="B32" s="33">
        <v>1</v>
      </c>
      <c r="C32" s="33"/>
      <c r="D32" s="33"/>
      <c r="E32" s="33">
        <v>1</v>
      </c>
      <c r="F32" s="33">
        <v>1</v>
      </c>
      <c r="G32" s="33"/>
      <c r="H32" s="33">
        <v>1</v>
      </c>
      <c r="I32" s="33"/>
      <c r="J32" s="33">
        <v>1</v>
      </c>
      <c r="K32" s="33"/>
      <c r="L32" s="33"/>
      <c r="M32" s="33"/>
      <c r="N32" s="33"/>
      <c r="O32" s="33">
        <v>1</v>
      </c>
      <c r="P32" s="33">
        <v>1</v>
      </c>
      <c r="Q32" s="33">
        <v>1</v>
      </c>
      <c r="R32" s="33"/>
      <c r="S32" s="33">
        <f t="shared" si="1"/>
        <v>8</v>
      </c>
      <c r="T32" s="11" t="s">
        <v>1881</v>
      </c>
    </row>
    <row r="33" spans="1:20" ht="12.75" customHeight="1">
      <c r="A33" s="8" t="s">
        <v>178</v>
      </c>
      <c r="B33" s="33"/>
      <c r="C33" s="33"/>
      <c r="D33" s="33"/>
      <c r="E33" s="33">
        <v>1</v>
      </c>
      <c r="F33" s="33"/>
      <c r="G33" s="33"/>
      <c r="H33" s="33"/>
      <c r="I33" s="33"/>
      <c r="J33" s="33">
        <v>1</v>
      </c>
      <c r="K33" s="33"/>
      <c r="L33" s="33">
        <v>1</v>
      </c>
      <c r="M33" s="33"/>
      <c r="N33" s="33">
        <v>1</v>
      </c>
      <c r="O33" s="33">
        <v>1</v>
      </c>
      <c r="P33" s="33"/>
      <c r="Q33" s="33"/>
      <c r="R33" s="33"/>
      <c r="S33" s="33">
        <f t="shared" si="1"/>
        <v>5</v>
      </c>
      <c r="T33" s="11" t="s">
        <v>1882</v>
      </c>
    </row>
    <row r="34" spans="1:20" ht="12.75" customHeight="1">
      <c r="A34" s="8" t="s">
        <v>818</v>
      </c>
      <c r="B34" s="33"/>
      <c r="C34" s="33"/>
      <c r="D34" s="33">
        <v>1</v>
      </c>
      <c r="E34" s="33">
        <v>1</v>
      </c>
      <c r="F34" s="33"/>
      <c r="G34" s="33"/>
      <c r="H34" s="33">
        <v>1</v>
      </c>
      <c r="I34" s="33"/>
      <c r="J34" s="33">
        <v>1</v>
      </c>
      <c r="K34" s="33"/>
      <c r="L34" s="33"/>
      <c r="M34" s="33"/>
      <c r="N34" s="33"/>
      <c r="O34" s="33">
        <v>1</v>
      </c>
      <c r="P34" s="33"/>
      <c r="Q34" s="33"/>
      <c r="R34" s="33"/>
      <c r="S34" s="33">
        <f t="shared" si="1"/>
        <v>5</v>
      </c>
      <c r="T34" s="11" t="s">
        <v>1883</v>
      </c>
    </row>
    <row r="35" spans="1:20" ht="12.75" customHeight="1">
      <c r="A35" s="8" t="s">
        <v>184</v>
      </c>
      <c r="B35" s="33">
        <v>1</v>
      </c>
      <c r="C35" s="33"/>
      <c r="D35" s="33"/>
      <c r="E35" s="33">
        <v>1</v>
      </c>
      <c r="F35" s="33">
        <v>1</v>
      </c>
      <c r="G35" s="33"/>
      <c r="H35" s="33">
        <v>1</v>
      </c>
      <c r="I35" s="33"/>
      <c r="J35" s="33"/>
      <c r="K35" s="33"/>
      <c r="L35" s="33">
        <v>1</v>
      </c>
      <c r="M35" s="33"/>
      <c r="N35" s="33">
        <v>1</v>
      </c>
      <c r="O35" s="33"/>
      <c r="P35" s="33">
        <v>1</v>
      </c>
      <c r="Q35" s="33">
        <v>1</v>
      </c>
      <c r="R35" s="33"/>
      <c r="S35" s="33">
        <f t="shared" si="1"/>
        <v>8</v>
      </c>
      <c r="T35" s="11" t="s">
        <v>1884</v>
      </c>
    </row>
    <row r="36" spans="1:20" ht="12.75" customHeight="1">
      <c r="A36" s="8" t="s">
        <v>192</v>
      </c>
      <c r="B36" s="33">
        <v>1</v>
      </c>
      <c r="C36" s="33"/>
      <c r="D36" s="33"/>
      <c r="E36" s="33">
        <v>1</v>
      </c>
      <c r="F36" s="33"/>
      <c r="G36" s="33"/>
      <c r="H36" s="33"/>
      <c r="I36" s="33">
        <v>1</v>
      </c>
      <c r="J36" s="33"/>
      <c r="K36" s="33"/>
      <c r="L36" s="33"/>
      <c r="M36" s="33"/>
      <c r="N36" s="33">
        <v>1</v>
      </c>
      <c r="O36" s="33"/>
      <c r="P36" s="33"/>
      <c r="Q36" s="33"/>
      <c r="R36" s="33"/>
      <c r="S36" s="33">
        <f t="shared" si="1"/>
        <v>4</v>
      </c>
      <c r="T36" s="11" t="s">
        <v>1885</v>
      </c>
    </row>
    <row r="37" spans="1:20" ht="12.75" customHeight="1">
      <c r="A37" s="8" t="s">
        <v>1461</v>
      </c>
      <c r="B37" s="33">
        <v>1</v>
      </c>
      <c r="C37" s="33"/>
      <c r="D37" s="33"/>
      <c r="E37" s="33">
        <v>1</v>
      </c>
      <c r="F37" s="33">
        <v>1</v>
      </c>
      <c r="G37" s="33"/>
      <c r="H37" s="33"/>
      <c r="I37" s="33"/>
      <c r="J37" s="33">
        <v>1</v>
      </c>
      <c r="K37" s="33"/>
      <c r="L37" s="33">
        <v>1</v>
      </c>
      <c r="M37" s="33"/>
      <c r="N37" s="33"/>
      <c r="O37" s="33"/>
      <c r="P37" s="33">
        <v>1</v>
      </c>
      <c r="Q37" s="33"/>
      <c r="R37" s="33"/>
      <c r="S37" s="33">
        <f t="shared" si="1"/>
        <v>6</v>
      </c>
      <c r="T37" s="11" t="s">
        <v>1886</v>
      </c>
    </row>
    <row r="38" spans="1:20" ht="12.75" customHeight="1">
      <c r="A38" s="8" t="s">
        <v>1887</v>
      </c>
      <c r="B38" s="33">
        <v>1</v>
      </c>
      <c r="C38" s="33"/>
      <c r="D38" s="33"/>
      <c r="E38" s="33">
        <v>1</v>
      </c>
      <c r="F38" s="33"/>
      <c r="G38" s="33"/>
      <c r="H38" s="33"/>
      <c r="I38" s="33"/>
      <c r="J38" s="33"/>
      <c r="K38" s="33"/>
      <c r="L38" s="33"/>
      <c r="M38" s="33"/>
      <c r="N38" s="33">
        <v>1</v>
      </c>
      <c r="O38" s="33">
        <v>1</v>
      </c>
      <c r="P38" s="33"/>
      <c r="Q38" s="33"/>
      <c r="R38" s="33"/>
      <c r="S38" s="33">
        <f t="shared" si="1"/>
        <v>4</v>
      </c>
      <c r="T38" s="11" t="s">
        <v>1888</v>
      </c>
    </row>
    <row r="39" spans="1:20" ht="12.75" customHeight="1">
      <c r="A39" s="8" t="s">
        <v>203</v>
      </c>
      <c r="B39" s="33"/>
      <c r="C39" s="33"/>
      <c r="D39" s="33"/>
      <c r="E39" s="33">
        <v>1</v>
      </c>
      <c r="F39" s="33"/>
      <c r="G39" s="33"/>
      <c r="H39" s="33"/>
      <c r="I39" s="33"/>
      <c r="J39" s="33">
        <v>1</v>
      </c>
      <c r="K39" s="33">
        <v>1</v>
      </c>
      <c r="L39" s="33"/>
      <c r="M39" s="33"/>
      <c r="N39" s="33"/>
      <c r="O39" s="33">
        <v>1</v>
      </c>
      <c r="P39" s="33">
        <v>1</v>
      </c>
      <c r="Q39" s="33"/>
      <c r="R39" s="33"/>
      <c r="S39" s="33">
        <f t="shared" si="1"/>
        <v>5</v>
      </c>
      <c r="T39" s="11" t="s">
        <v>1878</v>
      </c>
    </row>
    <row r="40" spans="1:20" ht="12.75" customHeight="1">
      <c r="A40" s="8" t="s">
        <v>1889</v>
      </c>
      <c r="B40" s="33"/>
      <c r="C40" s="33"/>
      <c r="D40" s="33"/>
      <c r="E40" s="33">
        <v>1</v>
      </c>
      <c r="F40" s="33">
        <v>1</v>
      </c>
      <c r="G40" s="33"/>
      <c r="H40" s="33"/>
      <c r="I40" s="33"/>
      <c r="J40" s="33"/>
      <c r="K40" s="33"/>
      <c r="L40" s="33"/>
      <c r="M40" s="33"/>
      <c r="N40" s="33">
        <v>1</v>
      </c>
      <c r="O40" s="33"/>
      <c r="P40" s="33"/>
      <c r="Q40" s="33"/>
      <c r="R40" s="33"/>
      <c r="S40" s="33">
        <f t="shared" si="1"/>
        <v>3</v>
      </c>
      <c r="T40" s="11" t="s">
        <v>1890</v>
      </c>
    </row>
    <row r="41" spans="1:20" ht="12.75" customHeight="1">
      <c r="A41" s="8" t="s">
        <v>1891</v>
      </c>
      <c r="B41" s="33"/>
      <c r="C41" s="33"/>
      <c r="D41" s="33"/>
      <c r="E41" s="33">
        <v>1</v>
      </c>
      <c r="F41" s="33"/>
      <c r="G41" s="33"/>
      <c r="H41" s="33"/>
      <c r="I41" s="33"/>
      <c r="J41" s="33">
        <v>1</v>
      </c>
      <c r="K41" s="33"/>
      <c r="L41" s="33"/>
      <c r="M41" s="33"/>
      <c r="N41" s="33">
        <v>1</v>
      </c>
      <c r="O41" s="33">
        <v>1</v>
      </c>
      <c r="P41" s="33">
        <v>1</v>
      </c>
      <c r="Q41" s="33"/>
      <c r="R41" s="33">
        <v>1</v>
      </c>
      <c r="S41" s="33">
        <f t="shared" si="1"/>
        <v>6</v>
      </c>
      <c r="T41" s="11" t="s">
        <v>1892</v>
      </c>
    </row>
    <row r="42" spans="1:20" ht="12.75" customHeight="1">
      <c r="A42" s="8" t="s">
        <v>211</v>
      </c>
      <c r="B42" s="33">
        <v>1</v>
      </c>
      <c r="C42" s="33"/>
      <c r="D42" s="33"/>
      <c r="E42" s="33">
        <v>1</v>
      </c>
      <c r="F42" s="33"/>
      <c r="G42" s="33"/>
      <c r="H42" s="33"/>
      <c r="I42" s="33"/>
      <c r="J42" s="33">
        <v>1</v>
      </c>
      <c r="K42" s="33"/>
      <c r="L42" s="33"/>
      <c r="M42" s="33"/>
      <c r="N42" s="33"/>
      <c r="O42" s="33"/>
      <c r="P42" s="33"/>
      <c r="Q42" s="33"/>
      <c r="R42" s="33"/>
      <c r="S42" s="33">
        <f t="shared" si="1"/>
        <v>3</v>
      </c>
      <c r="T42" s="11" t="s">
        <v>1878</v>
      </c>
    </row>
    <row r="43" spans="1:20" ht="12.75" customHeight="1">
      <c r="A43" s="8" t="s">
        <v>1153</v>
      </c>
      <c r="B43" s="33">
        <v>1</v>
      </c>
      <c r="C43" s="33"/>
      <c r="D43" s="33"/>
      <c r="E43" s="33">
        <v>1</v>
      </c>
      <c r="F43" s="33"/>
      <c r="G43" s="33">
        <v>1</v>
      </c>
      <c r="H43" s="33"/>
      <c r="I43" s="33"/>
      <c r="J43" s="33"/>
      <c r="K43" s="33"/>
      <c r="L43" s="33"/>
      <c r="M43" s="33"/>
      <c r="N43" s="33">
        <v>1</v>
      </c>
      <c r="O43" s="33">
        <v>1</v>
      </c>
      <c r="P43" s="33"/>
      <c r="Q43" s="33"/>
      <c r="R43" s="33"/>
      <c r="S43" s="33">
        <f t="shared" si="1"/>
        <v>5</v>
      </c>
      <c r="T43" s="11" t="s">
        <v>1890</v>
      </c>
    </row>
    <row r="44" spans="1:20" ht="12.75" customHeight="1">
      <c r="A44" s="8" t="s">
        <v>214</v>
      </c>
      <c r="B44" s="33"/>
      <c r="C44" s="33"/>
      <c r="D44" s="33"/>
      <c r="E44" s="33">
        <v>1</v>
      </c>
      <c r="F44" s="33"/>
      <c r="G44" s="33"/>
      <c r="H44" s="33"/>
      <c r="I44" s="33"/>
      <c r="J44" s="33">
        <v>1</v>
      </c>
      <c r="K44" s="33"/>
      <c r="L44" s="33"/>
      <c r="M44" s="33"/>
      <c r="N44" s="33"/>
      <c r="O44" s="33"/>
      <c r="P44" s="33"/>
      <c r="Q44" s="33"/>
      <c r="R44" s="33"/>
      <c r="S44" s="33">
        <f t="shared" si="1"/>
        <v>2</v>
      </c>
      <c r="T44" s="11" t="s">
        <v>1893</v>
      </c>
    </row>
    <row r="45" spans="1:20" ht="12.75" customHeight="1">
      <c r="A45" s="8" t="s">
        <v>215</v>
      </c>
      <c r="B45" s="33">
        <v>1</v>
      </c>
      <c r="C45" s="33"/>
      <c r="D45" s="33"/>
      <c r="E45" s="33">
        <v>1</v>
      </c>
      <c r="F45" s="33"/>
      <c r="G45" s="33"/>
      <c r="H45" s="33"/>
      <c r="I45" s="33"/>
      <c r="J45" s="33">
        <v>1</v>
      </c>
      <c r="K45" s="33"/>
      <c r="L45" s="33"/>
      <c r="M45" s="33"/>
      <c r="N45" s="33">
        <v>1</v>
      </c>
      <c r="O45" s="33"/>
      <c r="P45" s="33"/>
      <c r="Q45" s="33">
        <v>1</v>
      </c>
      <c r="R45" s="33"/>
      <c r="S45" s="33">
        <f t="shared" si="1"/>
        <v>5</v>
      </c>
      <c r="T45" s="11" t="s">
        <v>1894</v>
      </c>
    </row>
    <row r="46" spans="1:20" ht="12.75" customHeight="1">
      <c r="A46" s="8" t="s">
        <v>1471</v>
      </c>
      <c r="B46" s="33"/>
      <c r="C46" s="33"/>
      <c r="D46" s="33"/>
      <c r="E46" s="33"/>
      <c r="F46" s="33"/>
      <c r="G46" s="33"/>
      <c r="H46" s="33"/>
      <c r="I46" s="33"/>
      <c r="J46" s="33">
        <v>1</v>
      </c>
      <c r="K46" s="33"/>
      <c r="L46" s="33"/>
      <c r="M46" s="33"/>
      <c r="N46" s="33"/>
      <c r="O46" s="33">
        <v>1</v>
      </c>
      <c r="P46" s="33"/>
      <c r="Q46" s="33"/>
      <c r="R46" s="33"/>
      <c r="S46" s="33">
        <f t="shared" si="1"/>
        <v>2</v>
      </c>
      <c r="T46" s="11" t="s">
        <v>1863</v>
      </c>
    </row>
    <row r="47" spans="1:20" ht="12.75" customHeight="1">
      <c r="A47" s="8" t="s">
        <v>219</v>
      </c>
      <c r="B47" s="33">
        <v>1</v>
      </c>
      <c r="C47" s="33"/>
      <c r="D47" s="33"/>
      <c r="E47" s="33">
        <v>1</v>
      </c>
      <c r="F47" s="33"/>
      <c r="G47" s="33"/>
      <c r="H47" s="33"/>
      <c r="I47" s="33"/>
      <c r="J47" s="33">
        <v>1</v>
      </c>
      <c r="K47" s="33"/>
      <c r="L47" s="33">
        <v>1</v>
      </c>
      <c r="M47" s="33"/>
      <c r="N47" s="33"/>
      <c r="O47" s="33">
        <v>1</v>
      </c>
      <c r="P47" s="33"/>
      <c r="Q47" s="33"/>
      <c r="R47" s="33"/>
      <c r="S47" s="33">
        <f t="shared" si="1"/>
        <v>5</v>
      </c>
      <c r="T47" s="11" t="s">
        <v>1863</v>
      </c>
    </row>
    <row r="48" spans="1:20" ht="12.75" customHeight="1">
      <c r="A48" s="8" t="s">
        <v>220</v>
      </c>
      <c r="B48" s="33">
        <v>1</v>
      </c>
      <c r="C48" s="33"/>
      <c r="D48" s="33"/>
      <c r="E48" s="33">
        <v>1</v>
      </c>
      <c r="F48" s="33"/>
      <c r="G48" s="33"/>
      <c r="H48" s="33"/>
      <c r="I48" s="33"/>
      <c r="J48" s="33"/>
      <c r="K48" s="33"/>
      <c r="L48" s="33"/>
      <c r="M48" s="33">
        <v>1</v>
      </c>
      <c r="N48" s="33"/>
      <c r="O48" s="33">
        <v>1</v>
      </c>
      <c r="P48" s="33"/>
      <c r="Q48" s="33"/>
      <c r="R48" s="33"/>
      <c r="S48" s="33">
        <f t="shared" si="1"/>
        <v>4</v>
      </c>
      <c r="T48" s="11" t="s">
        <v>1863</v>
      </c>
    </row>
    <row r="49" spans="1:20" ht="12.75" customHeight="1">
      <c r="A49" s="8" t="s">
        <v>232</v>
      </c>
      <c r="B49" s="33"/>
      <c r="C49" s="33"/>
      <c r="D49" s="33"/>
      <c r="E49" s="33">
        <v>1</v>
      </c>
      <c r="F49" s="33">
        <v>1</v>
      </c>
      <c r="G49" s="33"/>
      <c r="H49" s="33"/>
      <c r="I49" s="33"/>
      <c r="J49" s="33"/>
      <c r="K49" s="33"/>
      <c r="L49" s="33"/>
      <c r="M49" s="33"/>
      <c r="N49" s="33">
        <v>1</v>
      </c>
      <c r="O49" s="33"/>
      <c r="P49" s="33">
        <v>1</v>
      </c>
      <c r="Q49" s="33"/>
      <c r="R49" s="33"/>
      <c r="S49" s="33">
        <f t="shared" si="1"/>
        <v>4</v>
      </c>
      <c r="T49" s="11" t="s">
        <v>1895</v>
      </c>
    </row>
    <row r="50" spans="1:20" ht="12.75" customHeight="1">
      <c r="A50" s="8" t="s">
        <v>1165</v>
      </c>
      <c r="B50" s="33"/>
      <c r="C50" s="33"/>
      <c r="D50" s="33"/>
      <c r="E50" s="33">
        <v>1</v>
      </c>
      <c r="F50" s="33">
        <v>1</v>
      </c>
      <c r="G50" s="33"/>
      <c r="H50" s="33"/>
      <c r="I50" s="33"/>
      <c r="J50" s="33">
        <v>1</v>
      </c>
      <c r="K50" s="33"/>
      <c r="L50" s="33"/>
      <c r="M50" s="33"/>
      <c r="N50" s="33">
        <v>1</v>
      </c>
      <c r="O50" s="33">
        <v>1</v>
      </c>
      <c r="P50" s="33">
        <v>1</v>
      </c>
      <c r="Q50" s="33">
        <v>1</v>
      </c>
      <c r="R50" s="33"/>
      <c r="S50" s="33">
        <f t="shared" si="1"/>
        <v>7</v>
      </c>
      <c r="T50" s="11" t="s">
        <v>1890</v>
      </c>
    </row>
    <row r="51" spans="1:20" ht="12.75" customHeight="1">
      <c r="A51" s="8" t="s">
        <v>237</v>
      </c>
      <c r="B51" s="33"/>
      <c r="C51" s="33"/>
      <c r="D51" s="33"/>
      <c r="E51" s="33">
        <v>1</v>
      </c>
      <c r="F51" s="33"/>
      <c r="G51" s="33">
        <v>1</v>
      </c>
      <c r="H51" s="33"/>
      <c r="I51" s="33"/>
      <c r="J51" s="33">
        <v>1</v>
      </c>
      <c r="K51" s="33"/>
      <c r="L51" s="33">
        <v>1</v>
      </c>
      <c r="M51" s="33"/>
      <c r="N51" s="33">
        <v>1</v>
      </c>
      <c r="O51" s="33"/>
      <c r="P51" s="33"/>
      <c r="Q51" s="33"/>
      <c r="R51" s="33"/>
      <c r="S51" s="33">
        <f t="shared" si="1"/>
        <v>5</v>
      </c>
      <c r="T51" s="11" t="s">
        <v>1896</v>
      </c>
    </row>
    <row r="52" spans="1:20" ht="12.75" customHeight="1">
      <c r="A52" s="8" t="s">
        <v>1730</v>
      </c>
      <c r="B52" s="33">
        <v>1</v>
      </c>
      <c r="C52" s="33"/>
      <c r="D52" s="33"/>
      <c r="E52" s="33">
        <v>1</v>
      </c>
      <c r="F52" s="33">
        <v>1</v>
      </c>
      <c r="G52" s="33"/>
      <c r="H52" s="33"/>
      <c r="I52" s="33"/>
      <c r="J52" s="33"/>
      <c r="K52" s="33"/>
      <c r="L52" s="33"/>
      <c r="M52" s="33"/>
      <c r="N52" s="33">
        <v>1</v>
      </c>
      <c r="O52" s="33">
        <v>1</v>
      </c>
      <c r="P52" s="33">
        <v>1</v>
      </c>
      <c r="Q52" s="33"/>
      <c r="R52" s="33"/>
      <c r="S52" s="33">
        <f t="shared" si="1"/>
        <v>6</v>
      </c>
      <c r="T52" s="11" t="s">
        <v>1897</v>
      </c>
    </row>
    <row r="53" spans="1:20" ht="12.75" customHeight="1">
      <c r="A53" s="8" t="s">
        <v>1732</v>
      </c>
      <c r="B53" s="33"/>
      <c r="C53" s="33"/>
      <c r="D53" s="33"/>
      <c r="E53" s="33">
        <v>1</v>
      </c>
      <c r="F53" s="33"/>
      <c r="G53" s="33">
        <v>1</v>
      </c>
      <c r="H53" s="33"/>
      <c r="I53" s="33"/>
      <c r="J53" s="33">
        <v>1</v>
      </c>
      <c r="K53" s="33"/>
      <c r="L53" s="33"/>
      <c r="M53" s="33"/>
      <c r="N53" s="33"/>
      <c r="O53" s="33">
        <v>1</v>
      </c>
      <c r="P53" s="33"/>
      <c r="Q53" s="33"/>
      <c r="R53" s="33"/>
      <c r="S53" s="33">
        <f t="shared" si="1"/>
        <v>4</v>
      </c>
      <c r="T53" s="11" t="s">
        <v>1898</v>
      </c>
    </row>
    <row r="54" spans="1:20" ht="12.75" customHeight="1">
      <c r="A54" s="8" t="s">
        <v>1899</v>
      </c>
      <c r="B54" s="33">
        <v>1</v>
      </c>
      <c r="C54" s="33"/>
      <c r="D54" s="33"/>
      <c r="E54" s="33"/>
      <c r="F54" s="33"/>
      <c r="G54" s="33"/>
      <c r="H54" s="33"/>
      <c r="I54" s="33">
        <v>1</v>
      </c>
      <c r="J54" s="33">
        <v>1</v>
      </c>
      <c r="K54" s="33"/>
      <c r="L54" s="33"/>
      <c r="M54" s="33"/>
      <c r="N54" s="33"/>
      <c r="O54" s="33">
        <v>1</v>
      </c>
      <c r="P54" s="33"/>
      <c r="Q54" s="33"/>
      <c r="R54" s="33"/>
      <c r="S54" s="33">
        <f t="shared" si="1"/>
        <v>4</v>
      </c>
      <c r="T54" s="11" t="s">
        <v>1893</v>
      </c>
    </row>
    <row r="55" spans="1:20">
      <c r="A55" s="8" t="s">
        <v>1900</v>
      </c>
      <c r="B55" s="33">
        <v>1</v>
      </c>
      <c r="C55" s="33"/>
      <c r="D55" s="33"/>
      <c r="E55" s="33">
        <v>1</v>
      </c>
      <c r="F55" s="33">
        <v>1</v>
      </c>
      <c r="G55" s="33">
        <v>1</v>
      </c>
      <c r="H55" s="33">
        <v>1</v>
      </c>
      <c r="I55" s="33"/>
      <c r="J55" s="33">
        <v>1</v>
      </c>
      <c r="K55" s="33"/>
      <c r="L55" s="33"/>
      <c r="M55" s="33"/>
      <c r="N55" s="33">
        <v>1</v>
      </c>
      <c r="O55" s="33">
        <v>1</v>
      </c>
      <c r="P55" s="33">
        <v>1</v>
      </c>
      <c r="Q55" s="33">
        <v>1</v>
      </c>
      <c r="R55" s="33"/>
      <c r="S55" s="33">
        <f t="shared" si="1"/>
        <v>10</v>
      </c>
      <c r="T55" s="11" t="s">
        <v>1901</v>
      </c>
    </row>
    <row r="56" spans="1:20">
      <c r="A56" s="8" t="s">
        <v>1902</v>
      </c>
      <c r="B56" s="33"/>
      <c r="C56" s="33"/>
      <c r="D56" s="33"/>
      <c r="E56" s="33">
        <v>1</v>
      </c>
      <c r="F56" s="33"/>
      <c r="G56" s="33">
        <v>1</v>
      </c>
      <c r="H56" s="33"/>
      <c r="I56" s="33"/>
      <c r="J56" s="33"/>
      <c r="K56" s="33"/>
      <c r="L56" s="33"/>
      <c r="M56" s="33"/>
      <c r="N56" s="33">
        <v>1</v>
      </c>
      <c r="O56" s="33">
        <v>1</v>
      </c>
      <c r="P56" s="33"/>
      <c r="Q56" s="33"/>
      <c r="R56" s="33"/>
      <c r="S56" s="33">
        <f t="shared" si="1"/>
        <v>4</v>
      </c>
      <c r="T56" s="11" t="s">
        <v>1869</v>
      </c>
    </row>
    <row r="57" spans="1:20">
      <c r="A57" s="8" t="s">
        <v>242</v>
      </c>
      <c r="B57" s="33"/>
      <c r="C57" s="33"/>
      <c r="D57" s="33"/>
      <c r="E57" s="33">
        <v>1</v>
      </c>
      <c r="F57" s="33"/>
      <c r="G57" s="33"/>
      <c r="H57" s="33"/>
      <c r="I57" s="33"/>
      <c r="J57" s="33">
        <v>1</v>
      </c>
      <c r="K57" s="33"/>
      <c r="L57" s="33"/>
      <c r="M57" s="33"/>
      <c r="N57" s="33"/>
      <c r="O57" s="33"/>
      <c r="P57" s="33"/>
      <c r="Q57" s="33"/>
      <c r="R57" s="33"/>
      <c r="S57" s="33">
        <f t="shared" si="1"/>
        <v>2</v>
      </c>
      <c r="T57" s="11" t="s">
        <v>1903</v>
      </c>
    </row>
    <row r="58" spans="1:20">
      <c r="A58" s="8" t="s">
        <v>247</v>
      </c>
      <c r="B58" s="33">
        <v>1</v>
      </c>
      <c r="C58" s="33"/>
      <c r="D58" s="33"/>
      <c r="E58" s="33">
        <v>1</v>
      </c>
      <c r="F58" s="33"/>
      <c r="G58" s="33"/>
      <c r="H58" s="33">
        <v>1</v>
      </c>
      <c r="I58" s="33"/>
      <c r="J58" s="33">
        <v>1</v>
      </c>
      <c r="K58" s="33"/>
      <c r="L58" s="33"/>
      <c r="M58" s="33"/>
      <c r="N58" s="33">
        <v>1</v>
      </c>
      <c r="O58" s="33"/>
      <c r="P58" s="33"/>
      <c r="Q58" s="33"/>
      <c r="R58" s="33"/>
      <c r="S58" s="33">
        <f t="shared" si="1"/>
        <v>5</v>
      </c>
      <c r="T58" s="11" t="s">
        <v>1863</v>
      </c>
    </row>
    <row r="59" spans="1:20">
      <c r="A59" s="8" t="s">
        <v>1493</v>
      </c>
      <c r="B59" s="33">
        <v>1</v>
      </c>
      <c r="C59" s="33"/>
      <c r="D59" s="33"/>
      <c r="E59" s="33">
        <v>1</v>
      </c>
      <c r="F59" s="33"/>
      <c r="G59" s="33"/>
      <c r="H59" s="33"/>
      <c r="I59" s="33"/>
      <c r="J59" s="33"/>
      <c r="K59" s="33"/>
      <c r="L59" s="33"/>
      <c r="M59" s="33"/>
      <c r="N59" s="33"/>
      <c r="O59" s="33">
        <v>1</v>
      </c>
      <c r="P59" s="33">
        <v>1</v>
      </c>
      <c r="Q59" s="33"/>
      <c r="R59" s="33"/>
      <c r="S59" s="33">
        <f t="shared" si="1"/>
        <v>4</v>
      </c>
      <c r="T59" s="11" t="s">
        <v>1863</v>
      </c>
    </row>
    <row r="60" spans="1:20">
      <c r="A60" s="8" t="s">
        <v>250</v>
      </c>
      <c r="B60" s="33">
        <v>1</v>
      </c>
      <c r="C60" s="33"/>
      <c r="D60" s="33"/>
      <c r="E60" s="33">
        <v>1</v>
      </c>
      <c r="F60" s="33"/>
      <c r="G60" s="33"/>
      <c r="H60" s="33"/>
      <c r="I60" s="33"/>
      <c r="J60" s="33">
        <v>1</v>
      </c>
      <c r="K60" s="33"/>
      <c r="L60" s="33">
        <v>1</v>
      </c>
      <c r="M60" s="33"/>
      <c r="N60" s="33">
        <v>1</v>
      </c>
      <c r="O60" s="33"/>
      <c r="P60" s="33">
        <v>1</v>
      </c>
      <c r="Q60" s="33"/>
      <c r="R60" s="33"/>
      <c r="S60" s="33">
        <f t="shared" si="1"/>
        <v>6</v>
      </c>
      <c r="T60" s="11" t="s">
        <v>1904</v>
      </c>
    </row>
    <row r="61" spans="1:20">
      <c r="A61" s="8" t="s">
        <v>254</v>
      </c>
      <c r="B61" s="33">
        <v>1</v>
      </c>
      <c r="C61" s="33"/>
      <c r="D61" s="33"/>
      <c r="E61" s="33">
        <v>1</v>
      </c>
      <c r="F61" s="33"/>
      <c r="G61" s="33"/>
      <c r="H61" s="33"/>
      <c r="I61" s="33"/>
      <c r="J61" s="33"/>
      <c r="K61" s="33"/>
      <c r="L61" s="33"/>
      <c r="M61" s="33"/>
      <c r="N61" s="33">
        <v>1</v>
      </c>
      <c r="O61" s="33"/>
      <c r="P61" s="33">
        <v>1</v>
      </c>
      <c r="Q61" s="33"/>
      <c r="R61" s="33"/>
      <c r="S61" s="33">
        <f t="shared" si="1"/>
        <v>4</v>
      </c>
      <c r="T61" s="11" t="s">
        <v>1905</v>
      </c>
    </row>
    <row r="62" spans="1:20">
      <c r="A62" s="8" t="s">
        <v>1185</v>
      </c>
      <c r="B62" s="33"/>
      <c r="C62" s="33"/>
      <c r="D62" s="33"/>
      <c r="E62" s="33">
        <v>1</v>
      </c>
      <c r="F62" s="33">
        <v>1</v>
      </c>
      <c r="G62" s="33"/>
      <c r="H62" s="33"/>
      <c r="I62" s="33"/>
      <c r="J62" s="33">
        <v>1</v>
      </c>
      <c r="K62" s="33"/>
      <c r="L62" s="33"/>
      <c r="M62" s="33"/>
      <c r="N62" s="33"/>
      <c r="O62" s="33">
        <v>1</v>
      </c>
      <c r="P62" s="33">
        <v>1</v>
      </c>
      <c r="Q62" s="33"/>
      <c r="R62" s="33"/>
      <c r="S62" s="33">
        <f t="shared" si="1"/>
        <v>5</v>
      </c>
      <c r="T62" s="11" t="s">
        <v>1906</v>
      </c>
    </row>
    <row r="63" spans="1:20">
      <c r="A63" s="8" t="s">
        <v>255</v>
      </c>
      <c r="B63" s="33"/>
      <c r="C63" s="33"/>
      <c r="D63" s="33"/>
      <c r="E63" s="33"/>
      <c r="F63" s="33">
        <v>1</v>
      </c>
      <c r="G63" s="33"/>
      <c r="H63" s="33"/>
      <c r="I63" s="33"/>
      <c r="J63" s="33"/>
      <c r="K63" s="33"/>
      <c r="L63" s="33"/>
      <c r="M63" s="33"/>
      <c r="N63" s="33"/>
      <c r="O63" s="33">
        <v>1</v>
      </c>
      <c r="P63" s="33"/>
      <c r="Q63" s="33"/>
      <c r="R63" s="33"/>
      <c r="S63" s="33">
        <f t="shared" si="1"/>
        <v>2</v>
      </c>
      <c r="T63" s="11" t="s">
        <v>1869</v>
      </c>
    </row>
    <row r="64" spans="1:20">
      <c r="A64" s="8" t="s">
        <v>443</v>
      </c>
      <c r="B64" s="33"/>
      <c r="C64" s="33"/>
      <c r="D64" s="33"/>
      <c r="E64" s="33">
        <v>1</v>
      </c>
      <c r="F64" s="33"/>
      <c r="G64" s="33"/>
      <c r="H64" s="33"/>
      <c r="I64" s="33"/>
      <c r="J64" s="33">
        <v>1</v>
      </c>
      <c r="K64" s="33"/>
      <c r="L64" s="33"/>
      <c r="M64" s="33"/>
      <c r="N64" s="33"/>
      <c r="O64" s="33"/>
      <c r="P64" s="33">
        <v>1</v>
      </c>
      <c r="Q64" s="33"/>
      <c r="R64" s="33"/>
      <c r="S64" s="33">
        <f t="shared" si="1"/>
        <v>3</v>
      </c>
      <c r="T64" s="11" t="s">
        <v>1907</v>
      </c>
    </row>
    <row r="65" spans="1:20">
      <c r="A65" s="8" t="s">
        <v>863</v>
      </c>
      <c r="B65" s="33">
        <v>1</v>
      </c>
      <c r="C65" s="33">
        <v>1</v>
      </c>
      <c r="D65" s="33"/>
      <c r="E65" s="33">
        <v>1</v>
      </c>
      <c r="F65" s="33"/>
      <c r="G65" s="33"/>
      <c r="H65" s="33"/>
      <c r="I65" s="33"/>
      <c r="J65" s="33">
        <v>1</v>
      </c>
      <c r="K65" s="33"/>
      <c r="L65" s="33"/>
      <c r="M65" s="33"/>
      <c r="N65" s="33">
        <v>1</v>
      </c>
      <c r="O65" s="33"/>
      <c r="P65" s="33">
        <v>1</v>
      </c>
      <c r="Q65" s="33">
        <v>1</v>
      </c>
      <c r="R65" s="33"/>
      <c r="S65" s="33">
        <f t="shared" si="1"/>
        <v>7</v>
      </c>
      <c r="T65" s="11" t="s">
        <v>1908</v>
      </c>
    </row>
    <row r="66" spans="1:20">
      <c r="A66" s="8" t="s">
        <v>1909</v>
      </c>
      <c r="B66" s="33"/>
      <c r="C66" s="33"/>
      <c r="D66" s="33"/>
      <c r="E66" s="33">
        <v>1</v>
      </c>
      <c r="F66" s="33"/>
      <c r="G66" s="33"/>
      <c r="H66" s="33"/>
      <c r="I66" s="33"/>
      <c r="J66" s="33"/>
      <c r="K66" s="33"/>
      <c r="L66" s="33"/>
      <c r="M66" s="33"/>
      <c r="N66" s="33"/>
      <c r="O66" s="33"/>
      <c r="P66" s="33"/>
      <c r="Q66" s="33"/>
      <c r="R66" s="33"/>
      <c r="S66" s="33">
        <f t="shared" si="1"/>
        <v>1</v>
      </c>
      <c r="T66" s="11" t="s">
        <v>1910</v>
      </c>
    </row>
    <row r="67" spans="1:20">
      <c r="A67" s="8" t="s">
        <v>1743</v>
      </c>
      <c r="B67" s="33">
        <v>1</v>
      </c>
      <c r="C67" s="33"/>
      <c r="D67" s="33"/>
      <c r="E67" s="33">
        <v>1</v>
      </c>
      <c r="F67" s="33">
        <v>1</v>
      </c>
      <c r="G67" s="33"/>
      <c r="H67" s="33">
        <v>1</v>
      </c>
      <c r="I67" s="33">
        <v>1</v>
      </c>
      <c r="J67" s="33">
        <v>1</v>
      </c>
      <c r="K67" s="33"/>
      <c r="L67" s="33"/>
      <c r="M67" s="33">
        <v>1</v>
      </c>
      <c r="N67" s="33"/>
      <c r="O67" s="33">
        <v>1</v>
      </c>
      <c r="P67" s="33">
        <v>1</v>
      </c>
      <c r="Q67" s="33"/>
      <c r="R67" s="33"/>
      <c r="S67" s="33">
        <f t="shared" si="1"/>
        <v>9</v>
      </c>
      <c r="T67" s="11" t="s">
        <v>1869</v>
      </c>
    </row>
    <row r="68" spans="1:20">
      <c r="A68" s="8" t="s">
        <v>985</v>
      </c>
      <c r="B68" s="33"/>
      <c r="C68" s="33"/>
      <c r="D68" s="33"/>
      <c r="E68" s="33">
        <v>1</v>
      </c>
      <c r="F68" s="33"/>
      <c r="G68" s="33"/>
      <c r="H68" s="33"/>
      <c r="I68" s="33"/>
      <c r="J68" s="33"/>
      <c r="K68" s="33"/>
      <c r="L68" s="33"/>
      <c r="M68" s="33"/>
      <c r="N68" s="33"/>
      <c r="O68" s="33">
        <v>1</v>
      </c>
      <c r="P68" s="33"/>
      <c r="Q68" s="33"/>
      <c r="R68" s="33"/>
      <c r="S68" s="33">
        <f t="shared" si="1"/>
        <v>2</v>
      </c>
      <c r="T68" s="11" t="s">
        <v>1911</v>
      </c>
    </row>
    <row r="69" spans="1:20">
      <c r="A69" s="8" t="s">
        <v>1912</v>
      </c>
      <c r="B69" s="33">
        <v>1</v>
      </c>
      <c r="C69" s="33"/>
      <c r="D69" s="33"/>
      <c r="E69" s="33"/>
      <c r="F69" s="33"/>
      <c r="G69" s="33"/>
      <c r="H69" s="33"/>
      <c r="I69" s="33"/>
      <c r="J69" s="33"/>
      <c r="K69" s="33"/>
      <c r="L69" s="33"/>
      <c r="M69" s="33"/>
      <c r="N69" s="33"/>
      <c r="O69" s="33"/>
      <c r="P69" s="33"/>
      <c r="Q69" s="33"/>
      <c r="R69" s="33"/>
      <c r="S69" s="33">
        <f t="shared" si="1"/>
        <v>1</v>
      </c>
      <c r="T69" s="11" t="s">
        <v>1913</v>
      </c>
    </row>
    <row r="70" spans="1:20">
      <c r="A70" s="8" t="s">
        <v>1514</v>
      </c>
      <c r="B70" s="33"/>
      <c r="C70" s="33"/>
      <c r="D70" s="33"/>
      <c r="E70" s="33">
        <v>1</v>
      </c>
      <c r="F70" s="33"/>
      <c r="G70" s="33"/>
      <c r="H70" s="33"/>
      <c r="I70" s="33"/>
      <c r="J70" s="33">
        <v>1</v>
      </c>
      <c r="K70" s="33"/>
      <c r="L70" s="33"/>
      <c r="M70" s="33"/>
      <c r="N70" s="33"/>
      <c r="O70" s="33"/>
      <c r="P70" s="33"/>
      <c r="Q70" s="33"/>
      <c r="R70" s="33"/>
      <c r="S70" s="33">
        <f t="shared" si="1"/>
        <v>2</v>
      </c>
      <c r="T70" s="11" t="s">
        <v>1869</v>
      </c>
    </row>
    <row r="71" spans="1:20">
      <c r="A71" s="8" t="s">
        <v>281</v>
      </c>
      <c r="B71" s="33">
        <v>1</v>
      </c>
      <c r="C71" s="33"/>
      <c r="D71" s="33"/>
      <c r="E71" s="33">
        <v>1</v>
      </c>
      <c r="F71" s="33"/>
      <c r="G71" s="33">
        <v>1</v>
      </c>
      <c r="H71" s="33"/>
      <c r="I71" s="33">
        <v>1</v>
      </c>
      <c r="J71" s="33">
        <v>1</v>
      </c>
      <c r="K71" s="33"/>
      <c r="L71" s="33"/>
      <c r="M71" s="33"/>
      <c r="N71" s="33">
        <v>1</v>
      </c>
      <c r="O71" s="33">
        <v>1</v>
      </c>
      <c r="P71" s="33">
        <v>1</v>
      </c>
      <c r="Q71" s="33">
        <v>1</v>
      </c>
      <c r="R71" s="33"/>
      <c r="S71" s="33">
        <f t="shared" si="1"/>
        <v>9</v>
      </c>
      <c r="T71" s="11" t="s">
        <v>1914</v>
      </c>
    </row>
    <row r="72" spans="1:20">
      <c r="A72" s="8" t="s">
        <v>888</v>
      </c>
      <c r="B72" s="33">
        <v>1</v>
      </c>
      <c r="C72" s="33"/>
      <c r="D72" s="33"/>
      <c r="E72" s="33">
        <v>1</v>
      </c>
      <c r="F72" s="33">
        <v>1</v>
      </c>
      <c r="G72" s="33"/>
      <c r="H72" s="33">
        <v>1</v>
      </c>
      <c r="I72" s="33">
        <v>1</v>
      </c>
      <c r="J72" s="33">
        <v>1</v>
      </c>
      <c r="K72" s="33"/>
      <c r="L72" s="33"/>
      <c r="M72" s="33">
        <v>1</v>
      </c>
      <c r="N72" s="33">
        <v>1</v>
      </c>
      <c r="O72" s="33">
        <v>1</v>
      </c>
      <c r="P72" s="33">
        <v>1</v>
      </c>
      <c r="Q72" s="33"/>
      <c r="R72" s="33"/>
      <c r="S72" s="33">
        <f t="shared" si="1"/>
        <v>10</v>
      </c>
      <c r="T72" s="11" t="s">
        <v>1915</v>
      </c>
    </row>
    <row r="73" spans="1:20" ht="25.5">
      <c r="A73" s="8" t="s">
        <v>1916</v>
      </c>
      <c r="B73" s="33">
        <v>1</v>
      </c>
      <c r="C73" s="33"/>
      <c r="D73" s="33"/>
      <c r="E73" s="33">
        <v>1</v>
      </c>
      <c r="F73" s="33">
        <v>1</v>
      </c>
      <c r="G73" s="33"/>
      <c r="H73" s="33">
        <v>1</v>
      </c>
      <c r="I73" s="33"/>
      <c r="J73" s="33"/>
      <c r="K73" s="33"/>
      <c r="L73" s="33">
        <v>1</v>
      </c>
      <c r="M73" s="33"/>
      <c r="N73" s="33">
        <v>1</v>
      </c>
      <c r="O73" s="33"/>
      <c r="P73" s="33">
        <v>1</v>
      </c>
      <c r="Q73" s="33">
        <v>1</v>
      </c>
      <c r="R73" s="33"/>
      <c r="S73" s="33">
        <f t="shared" si="1"/>
        <v>8</v>
      </c>
      <c r="T73" s="11" t="s">
        <v>1917</v>
      </c>
    </row>
    <row r="74" spans="1:20">
      <c r="A74" s="8" t="s">
        <v>1207</v>
      </c>
      <c r="B74" s="33">
        <v>1</v>
      </c>
      <c r="C74" s="33"/>
      <c r="D74" s="33"/>
      <c r="E74" s="33">
        <v>1</v>
      </c>
      <c r="F74" s="33"/>
      <c r="G74" s="33"/>
      <c r="H74" s="33"/>
      <c r="I74" s="33"/>
      <c r="J74" s="33"/>
      <c r="K74" s="33"/>
      <c r="L74" s="33"/>
      <c r="M74" s="33"/>
      <c r="N74" s="33">
        <v>1</v>
      </c>
      <c r="O74" s="33"/>
      <c r="P74" s="33"/>
      <c r="Q74" s="33"/>
      <c r="R74" s="33"/>
      <c r="S74" s="33">
        <f t="shared" si="1"/>
        <v>3</v>
      </c>
      <c r="T74" s="11" t="s">
        <v>1918</v>
      </c>
    </row>
    <row r="75" spans="1:20">
      <c r="A75" s="8" t="s">
        <v>289</v>
      </c>
      <c r="B75" s="33">
        <v>1</v>
      </c>
      <c r="C75" s="33"/>
      <c r="D75" s="33"/>
      <c r="E75" s="33">
        <v>1</v>
      </c>
      <c r="F75" s="33">
        <v>1</v>
      </c>
      <c r="G75" s="33"/>
      <c r="H75" s="33"/>
      <c r="I75" s="33"/>
      <c r="J75" s="33">
        <v>1</v>
      </c>
      <c r="K75" s="33"/>
      <c r="L75" s="33"/>
      <c r="M75" s="33"/>
      <c r="N75" s="33">
        <v>1</v>
      </c>
      <c r="O75" s="33">
        <v>1</v>
      </c>
      <c r="P75" s="33">
        <v>1</v>
      </c>
      <c r="Q75" s="33"/>
      <c r="R75" s="33"/>
      <c r="S75" s="33">
        <f t="shared" si="1"/>
        <v>7</v>
      </c>
      <c r="T75" s="11" t="s">
        <v>1919</v>
      </c>
    </row>
    <row r="76" spans="1:20">
      <c r="A76" s="8" t="s">
        <v>1920</v>
      </c>
      <c r="B76" s="33" t="s">
        <v>1781</v>
      </c>
      <c r="C76" s="33" t="s">
        <v>1782</v>
      </c>
      <c r="D76" s="33"/>
      <c r="E76" s="33"/>
      <c r="F76" s="33"/>
      <c r="G76" s="33"/>
      <c r="H76" s="33"/>
      <c r="I76" s="33"/>
      <c r="J76" s="33"/>
      <c r="K76" s="33"/>
      <c r="L76" s="33"/>
      <c r="M76" s="33"/>
      <c r="N76" s="33"/>
      <c r="O76" s="33"/>
      <c r="P76" s="33"/>
      <c r="Q76" s="33"/>
      <c r="R76" s="33"/>
      <c r="S76" s="33">
        <f t="shared" si="1"/>
        <v>0</v>
      </c>
      <c r="T76" s="11" t="s">
        <v>1921</v>
      </c>
    </row>
    <row r="77" spans="1:20">
      <c r="A77" s="8" t="s">
        <v>293</v>
      </c>
      <c r="B77" s="33"/>
      <c r="C77" s="33"/>
      <c r="D77" s="33"/>
      <c r="E77" s="33">
        <v>1</v>
      </c>
      <c r="F77" s="33"/>
      <c r="G77" s="33"/>
      <c r="H77" s="33"/>
      <c r="I77" s="33"/>
      <c r="J77" s="33">
        <v>1</v>
      </c>
      <c r="K77" s="33"/>
      <c r="L77" s="33"/>
      <c r="M77" s="33"/>
      <c r="N77" s="33">
        <v>1</v>
      </c>
      <c r="O77" s="33"/>
      <c r="P77" s="33">
        <v>1</v>
      </c>
      <c r="Q77" s="33"/>
      <c r="R77" s="33"/>
      <c r="S77" s="33">
        <f t="shared" si="1"/>
        <v>4</v>
      </c>
      <c r="T77" s="11" t="s">
        <v>1922</v>
      </c>
    </row>
    <row r="78" spans="1:20">
      <c r="A78" s="8" t="s">
        <v>456</v>
      </c>
      <c r="B78" s="33"/>
      <c r="C78" s="33"/>
      <c r="D78" s="33"/>
      <c r="E78" s="33">
        <v>1</v>
      </c>
      <c r="F78" s="33"/>
      <c r="G78" s="33"/>
      <c r="H78" s="33"/>
      <c r="I78" s="33"/>
      <c r="J78" s="33">
        <v>1</v>
      </c>
      <c r="K78" s="33"/>
      <c r="L78" s="33"/>
      <c r="M78" s="33"/>
      <c r="N78" s="33">
        <v>1</v>
      </c>
      <c r="O78" s="33">
        <v>1</v>
      </c>
      <c r="P78" s="33"/>
      <c r="Q78" s="33"/>
      <c r="R78" s="33"/>
      <c r="S78" s="33">
        <f t="shared" si="1"/>
        <v>4</v>
      </c>
      <c r="T78" s="11" t="s">
        <v>1890</v>
      </c>
    </row>
    <row r="79" spans="1:20">
      <c r="A79" s="8" t="s">
        <v>615</v>
      </c>
      <c r="B79" s="33">
        <v>1</v>
      </c>
      <c r="C79" s="33"/>
      <c r="D79" s="33"/>
      <c r="E79" s="33">
        <v>1</v>
      </c>
      <c r="F79" s="33">
        <v>1</v>
      </c>
      <c r="G79" s="33"/>
      <c r="H79" s="33"/>
      <c r="I79" s="33"/>
      <c r="J79" s="33">
        <v>1</v>
      </c>
      <c r="K79" s="33"/>
      <c r="L79" s="33"/>
      <c r="M79" s="33"/>
      <c r="N79" s="33"/>
      <c r="O79" s="33">
        <v>1</v>
      </c>
      <c r="P79" s="33"/>
      <c r="Q79" s="33">
        <v>1</v>
      </c>
      <c r="R79" s="33"/>
      <c r="S79" s="33">
        <f t="shared" si="1"/>
        <v>6</v>
      </c>
      <c r="T79" s="11" t="s">
        <v>1923</v>
      </c>
    </row>
    <row r="80" spans="1:20">
      <c r="A80" s="8" t="s">
        <v>1817</v>
      </c>
      <c r="B80" s="33"/>
      <c r="C80" s="33"/>
      <c r="D80" s="33"/>
      <c r="E80" s="33">
        <v>1</v>
      </c>
      <c r="F80" s="33"/>
      <c r="G80" s="33"/>
      <c r="H80" s="33">
        <v>1</v>
      </c>
      <c r="I80" s="33"/>
      <c r="J80" s="33"/>
      <c r="K80" s="33"/>
      <c r="L80" s="33"/>
      <c r="M80" s="33"/>
      <c r="N80" s="33">
        <v>1</v>
      </c>
      <c r="O80" s="33">
        <v>1</v>
      </c>
      <c r="P80" s="33"/>
      <c r="Q80" s="33"/>
      <c r="R80" s="33"/>
      <c r="S80" s="33">
        <f t="shared" si="1"/>
        <v>4</v>
      </c>
      <c r="T80" s="11" t="s">
        <v>1863</v>
      </c>
    </row>
    <row r="81" spans="1:20">
      <c r="A81" s="8" t="s">
        <v>301</v>
      </c>
      <c r="B81" s="33"/>
      <c r="C81" s="33"/>
      <c r="D81" s="33"/>
      <c r="E81" s="33">
        <v>1</v>
      </c>
      <c r="F81" s="33"/>
      <c r="G81" s="33"/>
      <c r="H81" s="33"/>
      <c r="I81" s="33"/>
      <c r="J81" s="33"/>
      <c r="K81" s="33"/>
      <c r="L81" s="33"/>
      <c r="M81" s="33"/>
      <c r="N81" s="33"/>
      <c r="O81" s="33"/>
      <c r="P81" s="33"/>
      <c r="Q81" s="33"/>
      <c r="R81" s="33"/>
      <c r="S81" s="33">
        <f t="shared" si="1"/>
        <v>1</v>
      </c>
      <c r="T81" s="11" t="s">
        <v>1863</v>
      </c>
    </row>
    <row r="82" spans="1:20">
      <c r="A82" s="8" t="s">
        <v>303</v>
      </c>
      <c r="B82" s="33"/>
      <c r="C82" s="33"/>
      <c r="D82" s="33"/>
      <c r="E82" s="33">
        <v>1</v>
      </c>
      <c r="F82" s="33"/>
      <c r="G82" s="33"/>
      <c r="H82" s="33"/>
      <c r="I82" s="33"/>
      <c r="J82" s="33">
        <v>1</v>
      </c>
      <c r="K82" s="33"/>
      <c r="L82" s="33"/>
      <c r="M82" s="33"/>
      <c r="N82" s="33">
        <v>1</v>
      </c>
      <c r="O82" s="33"/>
      <c r="P82" s="33"/>
      <c r="Q82" s="33"/>
      <c r="R82" s="33"/>
      <c r="S82" s="33">
        <f t="shared" si="1"/>
        <v>3</v>
      </c>
      <c r="T82" s="11" t="s">
        <v>1924</v>
      </c>
    </row>
    <row r="83" spans="1:20">
      <c r="A83" s="8" t="s">
        <v>308</v>
      </c>
      <c r="B83" s="33"/>
      <c r="C83" s="33"/>
      <c r="D83" s="33"/>
      <c r="E83" s="33">
        <v>1</v>
      </c>
      <c r="F83" s="33"/>
      <c r="G83" s="33"/>
      <c r="H83" s="33">
        <v>1</v>
      </c>
      <c r="I83" s="33"/>
      <c r="J83" s="33">
        <v>1</v>
      </c>
      <c r="K83" s="33"/>
      <c r="L83" s="33"/>
      <c r="M83" s="33">
        <v>1</v>
      </c>
      <c r="N83" s="33"/>
      <c r="O83" s="33"/>
      <c r="P83" s="33">
        <v>1</v>
      </c>
      <c r="Q83" s="33"/>
      <c r="R83" s="33"/>
      <c r="S83" s="33">
        <f t="shared" si="1"/>
        <v>5</v>
      </c>
      <c r="T83" s="11" t="s">
        <v>1925</v>
      </c>
    </row>
    <row r="84" spans="1:20">
      <c r="A84" s="8" t="s">
        <v>903</v>
      </c>
      <c r="B84" s="33"/>
      <c r="C84" s="33"/>
      <c r="D84" s="33"/>
      <c r="E84" s="33">
        <v>1</v>
      </c>
      <c r="F84" s="33"/>
      <c r="G84" s="33"/>
      <c r="H84" s="33"/>
      <c r="I84" s="33"/>
      <c r="J84" s="33">
        <v>1</v>
      </c>
      <c r="K84" s="33"/>
      <c r="L84" s="33"/>
      <c r="M84" s="33"/>
      <c r="N84" s="33"/>
      <c r="O84" s="33"/>
      <c r="P84" s="33"/>
      <c r="Q84" s="33"/>
      <c r="R84" s="33"/>
      <c r="S84" s="33">
        <f t="shared" si="1"/>
        <v>2</v>
      </c>
      <c r="T84" s="11" t="s">
        <v>1863</v>
      </c>
    </row>
    <row r="85" spans="1:20">
      <c r="A85" s="8" t="s">
        <v>326</v>
      </c>
      <c r="B85" s="33">
        <v>1</v>
      </c>
      <c r="C85" s="33"/>
      <c r="D85" s="33"/>
      <c r="E85" s="33">
        <v>1</v>
      </c>
      <c r="F85" s="33">
        <v>1</v>
      </c>
      <c r="G85" s="33"/>
      <c r="H85" s="33"/>
      <c r="I85" s="33">
        <v>1</v>
      </c>
      <c r="J85" s="33"/>
      <c r="K85" s="33"/>
      <c r="L85" s="33">
        <v>1</v>
      </c>
      <c r="M85" s="33"/>
      <c r="N85" s="33">
        <v>1</v>
      </c>
      <c r="O85" s="33"/>
      <c r="P85" s="33">
        <v>1</v>
      </c>
      <c r="Q85" s="33">
        <v>1</v>
      </c>
      <c r="R85" s="33"/>
      <c r="S85" s="33">
        <f t="shared" si="1"/>
        <v>8</v>
      </c>
      <c r="T85" s="11" t="s">
        <v>1926</v>
      </c>
    </row>
    <row r="86" spans="1:20">
      <c r="A86" s="8" t="s">
        <v>310</v>
      </c>
      <c r="B86" s="33">
        <v>1</v>
      </c>
      <c r="C86" s="33"/>
      <c r="D86" s="33"/>
      <c r="E86" s="33">
        <v>1</v>
      </c>
      <c r="F86" s="33"/>
      <c r="G86" s="33"/>
      <c r="H86" s="33"/>
      <c r="I86" s="33"/>
      <c r="J86" s="33">
        <v>1</v>
      </c>
      <c r="K86" s="33"/>
      <c r="L86" s="33"/>
      <c r="M86" s="33"/>
      <c r="N86" s="33">
        <v>1</v>
      </c>
      <c r="O86" s="33">
        <v>1</v>
      </c>
      <c r="P86" s="33"/>
      <c r="Q86" s="33"/>
      <c r="R86" s="33"/>
      <c r="S86" s="33">
        <f t="shared" si="1"/>
        <v>5</v>
      </c>
      <c r="T86" s="11" t="s">
        <v>1869</v>
      </c>
    </row>
    <row r="87" spans="1:20">
      <c r="A87" s="8" t="s">
        <v>1531</v>
      </c>
      <c r="B87" s="33">
        <v>1</v>
      </c>
      <c r="C87" s="33"/>
      <c r="D87" s="33"/>
      <c r="E87" s="33">
        <v>1</v>
      </c>
      <c r="F87" s="33"/>
      <c r="G87" s="33"/>
      <c r="H87" s="33"/>
      <c r="I87" s="33">
        <v>1</v>
      </c>
      <c r="J87" s="33">
        <v>1</v>
      </c>
      <c r="K87" s="33"/>
      <c r="L87" s="33">
        <v>1</v>
      </c>
      <c r="M87" s="33">
        <v>1</v>
      </c>
      <c r="N87" s="33">
        <v>1</v>
      </c>
      <c r="O87" s="33">
        <v>1</v>
      </c>
      <c r="P87" s="33">
        <v>1</v>
      </c>
      <c r="Q87" s="33"/>
      <c r="R87" s="33"/>
      <c r="S87" s="33">
        <f t="shared" si="1"/>
        <v>9</v>
      </c>
      <c r="T87" s="11" t="s">
        <v>1869</v>
      </c>
    </row>
    <row r="88" spans="1:20">
      <c r="A88" s="8" t="s">
        <v>909</v>
      </c>
      <c r="B88" s="33">
        <v>1</v>
      </c>
      <c r="C88" s="33"/>
      <c r="D88" s="33"/>
      <c r="E88" s="33"/>
      <c r="F88" s="33"/>
      <c r="G88" s="33"/>
      <c r="H88" s="33"/>
      <c r="I88" s="33">
        <v>1</v>
      </c>
      <c r="J88" s="33"/>
      <c r="K88" s="33"/>
      <c r="L88" s="33"/>
      <c r="M88" s="33">
        <v>1</v>
      </c>
      <c r="N88" s="33"/>
      <c r="O88" s="33">
        <v>1</v>
      </c>
      <c r="P88" s="33"/>
      <c r="Q88" s="33"/>
      <c r="R88" s="33"/>
      <c r="S88" s="33">
        <f t="shared" si="1"/>
        <v>4</v>
      </c>
      <c r="T88" s="11" t="s">
        <v>1869</v>
      </c>
    </row>
    <row r="89" spans="1:20">
      <c r="A89" s="8" t="s">
        <v>1927</v>
      </c>
      <c r="B89" s="33">
        <v>1</v>
      </c>
      <c r="C89" s="33"/>
      <c r="D89" s="33"/>
      <c r="E89" s="33">
        <v>1</v>
      </c>
      <c r="F89" s="33">
        <v>1</v>
      </c>
      <c r="G89" s="33"/>
      <c r="H89" s="33"/>
      <c r="I89" s="33"/>
      <c r="J89" s="33"/>
      <c r="K89" s="33"/>
      <c r="L89" s="33"/>
      <c r="M89" s="33">
        <v>1</v>
      </c>
      <c r="N89" s="33"/>
      <c r="O89" s="33"/>
      <c r="P89" s="33"/>
      <c r="Q89" s="33">
        <v>1</v>
      </c>
      <c r="R89" s="33"/>
      <c r="S89" s="33">
        <f t="shared" si="1"/>
        <v>5</v>
      </c>
      <c r="T89" s="11" t="s">
        <v>1928</v>
      </c>
    </row>
    <row r="90" spans="1:20">
      <c r="A90" s="8" t="s">
        <v>684</v>
      </c>
      <c r="B90" s="33">
        <v>1</v>
      </c>
      <c r="C90" s="33"/>
      <c r="D90" s="33"/>
      <c r="E90" s="33">
        <v>1</v>
      </c>
      <c r="F90" s="33"/>
      <c r="G90" s="33"/>
      <c r="H90" s="33">
        <v>1</v>
      </c>
      <c r="I90" s="33"/>
      <c r="J90" s="33">
        <v>1</v>
      </c>
      <c r="K90" s="33"/>
      <c r="L90" s="33"/>
      <c r="M90" s="33"/>
      <c r="N90" s="33"/>
      <c r="O90" s="33"/>
      <c r="P90" s="33"/>
      <c r="Q90" s="33"/>
      <c r="R90" s="33"/>
      <c r="S90" s="33">
        <f t="shared" si="1"/>
        <v>4</v>
      </c>
      <c r="T90" s="11" t="s">
        <v>1862</v>
      </c>
    </row>
    <row r="91" spans="1:20">
      <c r="A91" s="8" t="s">
        <v>331</v>
      </c>
      <c r="B91" s="33" t="s">
        <v>1781</v>
      </c>
      <c r="C91" s="33" t="s">
        <v>1782</v>
      </c>
      <c r="D91" s="33"/>
      <c r="E91" s="33"/>
      <c r="F91" s="33"/>
      <c r="G91" s="33"/>
      <c r="H91" s="33"/>
      <c r="I91" s="33"/>
      <c r="J91" s="33"/>
      <c r="K91" s="33"/>
      <c r="L91" s="33"/>
      <c r="M91" s="33"/>
      <c r="N91" s="33"/>
      <c r="O91" s="33"/>
      <c r="P91" s="33"/>
      <c r="Q91" s="33"/>
      <c r="R91" s="33"/>
      <c r="S91" s="33">
        <f t="shared" si="1"/>
        <v>0</v>
      </c>
      <c r="T91" s="11" t="s">
        <v>1929</v>
      </c>
    </row>
    <row r="92" spans="1:20">
      <c r="A92" s="8" t="s">
        <v>332</v>
      </c>
      <c r="B92" s="33"/>
      <c r="C92" s="33"/>
      <c r="D92" s="33"/>
      <c r="E92" s="33">
        <v>1</v>
      </c>
      <c r="F92" s="33"/>
      <c r="G92" s="33"/>
      <c r="H92" s="33"/>
      <c r="I92" s="33"/>
      <c r="J92" s="33"/>
      <c r="K92" s="33"/>
      <c r="L92" s="33"/>
      <c r="M92" s="33"/>
      <c r="N92" s="33"/>
      <c r="O92" s="33">
        <v>1</v>
      </c>
      <c r="P92" s="33"/>
      <c r="Q92" s="33"/>
      <c r="R92" s="33"/>
      <c r="S92" s="33">
        <f t="shared" si="1"/>
        <v>2</v>
      </c>
      <c r="T92" s="11" t="s">
        <v>1930</v>
      </c>
    </row>
    <row r="93" spans="1:20">
      <c r="A93" s="8" t="s">
        <v>341</v>
      </c>
      <c r="B93" s="33">
        <v>1</v>
      </c>
      <c r="C93" s="33"/>
      <c r="D93" s="33"/>
      <c r="E93" s="33">
        <v>1</v>
      </c>
      <c r="F93" s="33"/>
      <c r="G93" s="33"/>
      <c r="H93" s="33"/>
      <c r="I93" s="33"/>
      <c r="J93" s="33">
        <v>1</v>
      </c>
      <c r="K93" s="33"/>
      <c r="L93" s="33">
        <v>1</v>
      </c>
      <c r="M93" s="33"/>
      <c r="N93" s="33">
        <v>1</v>
      </c>
      <c r="O93" s="33">
        <v>1</v>
      </c>
      <c r="P93" s="33">
        <v>1</v>
      </c>
      <c r="Q93" s="33">
        <v>1</v>
      </c>
      <c r="R93" s="33"/>
      <c r="S93" s="33">
        <f t="shared" si="1"/>
        <v>8</v>
      </c>
      <c r="T93" s="11" t="s">
        <v>1931</v>
      </c>
    </row>
    <row r="94" spans="1:20">
      <c r="A94" s="8" t="s">
        <v>633</v>
      </c>
      <c r="B94" s="33">
        <v>1</v>
      </c>
      <c r="C94" s="33"/>
      <c r="D94" s="33"/>
      <c r="E94" s="33">
        <v>1</v>
      </c>
      <c r="F94" s="33"/>
      <c r="G94" s="33"/>
      <c r="H94" s="33"/>
      <c r="I94" s="33">
        <v>1</v>
      </c>
      <c r="J94" s="33"/>
      <c r="K94" s="33"/>
      <c r="L94" s="33"/>
      <c r="M94" s="33">
        <v>1</v>
      </c>
      <c r="N94" s="33">
        <v>1</v>
      </c>
      <c r="O94" s="33">
        <v>1</v>
      </c>
      <c r="P94" s="33"/>
      <c r="Q94" s="33"/>
      <c r="R94" s="33"/>
      <c r="S94" s="33">
        <f t="shared" si="1"/>
        <v>6</v>
      </c>
      <c r="T94" s="11" t="s">
        <v>1869</v>
      </c>
    </row>
    <row r="95" spans="1:20">
      <c r="A95" s="8" t="s">
        <v>342</v>
      </c>
      <c r="B95" s="33">
        <v>1</v>
      </c>
      <c r="C95" s="33"/>
      <c r="D95" s="33"/>
      <c r="E95" s="33">
        <v>1</v>
      </c>
      <c r="F95" s="33"/>
      <c r="G95" s="33"/>
      <c r="H95" s="33"/>
      <c r="I95" s="33"/>
      <c r="J95" s="33">
        <v>1</v>
      </c>
      <c r="K95" s="33"/>
      <c r="L95" s="33"/>
      <c r="M95" s="33"/>
      <c r="N95" s="33">
        <v>1</v>
      </c>
      <c r="O95" s="33"/>
      <c r="P95" s="33">
        <v>1</v>
      </c>
      <c r="Q95" s="33">
        <v>1</v>
      </c>
      <c r="R95" s="33"/>
      <c r="S95" s="33">
        <f t="shared" si="1"/>
        <v>6</v>
      </c>
      <c r="T95" s="11" t="s">
        <v>1890</v>
      </c>
    </row>
    <row r="96" spans="1:20">
      <c r="A96" s="8" t="s">
        <v>346</v>
      </c>
      <c r="B96" s="33">
        <v>1</v>
      </c>
      <c r="C96" s="33"/>
      <c r="D96" s="33"/>
      <c r="E96" s="33">
        <v>1</v>
      </c>
      <c r="F96" s="33">
        <v>1</v>
      </c>
      <c r="G96" s="33"/>
      <c r="H96" s="33">
        <v>1</v>
      </c>
      <c r="I96" s="33"/>
      <c r="J96" s="33"/>
      <c r="K96" s="33"/>
      <c r="L96" s="33"/>
      <c r="M96" s="33"/>
      <c r="N96" s="33">
        <v>1</v>
      </c>
      <c r="O96" s="33">
        <v>1</v>
      </c>
      <c r="P96" s="33">
        <v>1</v>
      </c>
      <c r="Q96" s="33"/>
      <c r="R96" s="33"/>
      <c r="S96" s="33">
        <f t="shared" si="1"/>
        <v>7</v>
      </c>
      <c r="T96" s="11" t="s">
        <v>1932</v>
      </c>
    </row>
    <row r="97" spans="1:20">
      <c r="A97" s="8" t="s">
        <v>349</v>
      </c>
      <c r="B97" s="33"/>
      <c r="C97" s="33"/>
      <c r="D97" s="33"/>
      <c r="E97" s="33"/>
      <c r="F97" s="33"/>
      <c r="G97" s="33"/>
      <c r="H97" s="33"/>
      <c r="I97" s="33"/>
      <c r="J97" s="33">
        <v>1</v>
      </c>
      <c r="K97" s="33"/>
      <c r="L97" s="33"/>
      <c r="M97" s="33"/>
      <c r="N97" s="33">
        <v>1</v>
      </c>
      <c r="O97" s="33">
        <v>1</v>
      </c>
      <c r="P97" s="33"/>
      <c r="Q97" s="33"/>
      <c r="R97" s="33"/>
      <c r="S97" s="33">
        <f t="shared" si="1"/>
        <v>3</v>
      </c>
      <c r="T97" s="11" t="s">
        <v>1893</v>
      </c>
    </row>
    <row r="98" spans="1:20">
      <c r="A98" s="8" t="s">
        <v>639</v>
      </c>
      <c r="B98" s="33">
        <v>1</v>
      </c>
      <c r="C98" s="33"/>
      <c r="D98" s="33"/>
      <c r="E98" s="33">
        <v>1</v>
      </c>
      <c r="F98" s="33"/>
      <c r="G98" s="33"/>
      <c r="H98" s="33"/>
      <c r="I98" s="33"/>
      <c r="J98" s="33">
        <v>1</v>
      </c>
      <c r="K98" s="33"/>
      <c r="L98" s="33">
        <v>1</v>
      </c>
      <c r="M98" s="33"/>
      <c r="N98" s="33"/>
      <c r="O98" s="33"/>
      <c r="P98" s="33"/>
      <c r="Q98" s="33"/>
      <c r="R98" s="33"/>
      <c r="S98" s="33">
        <f t="shared" si="1"/>
        <v>4</v>
      </c>
      <c r="T98" s="11" t="s">
        <v>1869</v>
      </c>
    </row>
    <row r="99" spans="1:20">
      <c r="A99" s="8" t="s">
        <v>353</v>
      </c>
      <c r="B99" s="33">
        <v>1</v>
      </c>
      <c r="C99" s="33"/>
      <c r="D99" s="33"/>
      <c r="E99" s="33">
        <v>1</v>
      </c>
      <c r="F99" s="33"/>
      <c r="G99" s="33"/>
      <c r="H99" s="33">
        <v>1</v>
      </c>
      <c r="I99" s="33"/>
      <c r="J99" s="33">
        <v>1</v>
      </c>
      <c r="K99" s="33"/>
      <c r="L99" s="33"/>
      <c r="M99" s="33"/>
      <c r="N99" s="33">
        <v>1</v>
      </c>
      <c r="O99" s="33">
        <v>1</v>
      </c>
      <c r="P99" s="33"/>
      <c r="Q99" s="33">
        <v>1</v>
      </c>
      <c r="R99" s="33"/>
      <c r="S99" s="33">
        <f t="shared" si="1"/>
        <v>7</v>
      </c>
      <c r="T99" s="11" t="s">
        <v>1862</v>
      </c>
    </row>
    <row r="100" spans="1:20">
      <c r="A100" s="8" t="s">
        <v>354</v>
      </c>
      <c r="B100" s="33"/>
      <c r="C100" s="33"/>
      <c r="D100" s="33"/>
      <c r="E100" s="33">
        <v>1</v>
      </c>
      <c r="F100" s="33"/>
      <c r="G100" s="33"/>
      <c r="H100" s="33"/>
      <c r="I100" s="33"/>
      <c r="J100" s="33"/>
      <c r="K100" s="33"/>
      <c r="L100" s="33"/>
      <c r="M100" s="33"/>
      <c r="N100" s="33">
        <v>1</v>
      </c>
      <c r="O100" s="33">
        <v>1</v>
      </c>
      <c r="P100" s="33"/>
      <c r="Q100" s="33"/>
      <c r="R100" s="33"/>
      <c r="S100" s="33">
        <f t="shared" si="1"/>
        <v>3</v>
      </c>
      <c r="T100" s="11" t="s">
        <v>1869</v>
      </c>
    </row>
    <row r="101" spans="1:20">
      <c r="A101" s="8" t="s">
        <v>932</v>
      </c>
      <c r="B101" s="33"/>
      <c r="C101" s="33"/>
      <c r="D101" s="33"/>
      <c r="E101" s="33">
        <v>1</v>
      </c>
      <c r="F101" s="33"/>
      <c r="G101" s="33">
        <v>1</v>
      </c>
      <c r="H101" s="33">
        <v>1</v>
      </c>
      <c r="I101" s="33"/>
      <c r="J101" s="33">
        <v>1</v>
      </c>
      <c r="K101" s="33"/>
      <c r="L101" s="33">
        <v>1</v>
      </c>
      <c r="M101" s="33"/>
      <c r="N101" s="33">
        <v>1</v>
      </c>
      <c r="O101" s="33">
        <v>1</v>
      </c>
      <c r="P101" s="33"/>
      <c r="Q101" s="33"/>
      <c r="R101" s="33"/>
      <c r="S101" s="33">
        <f t="shared" si="1"/>
        <v>7</v>
      </c>
      <c r="T101" s="11" t="s">
        <v>1933</v>
      </c>
    </row>
    <row r="102" spans="1:20">
      <c r="A102" s="8" t="s">
        <v>1556</v>
      </c>
      <c r="B102" s="33">
        <v>1</v>
      </c>
      <c r="C102" s="33"/>
      <c r="D102" s="33"/>
      <c r="E102" s="33"/>
      <c r="F102" s="33"/>
      <c r="G102" s="33"/>
      <c r="H102" s="33"/>
      <c r="I102" s="33">
        <v>1</v>
      </c>
      <c r="J102" s="33"/>
      <c r="K102" s="33"/>
      <c r="L102" s="33">
        <v>1</v>
      </c>
      <c r="M102" s="33"/>
      <c r="N102" s="33">
        <v>1</v>
      </c>
      <c r="O102" s="33">
        <v>1</v>
      </c>
      <c r="P102" s="33"/>
      <c r="Q102" s="33"/>
      <c r="R102" s="33"/>
      <c r="S102" s="33">
        <f t="shared" si="1"/>
        <v>5</v>
      </c>
      <c r="T102" s="11" t="s">
        <v>1934</v>
      </c>
    </row>
    <row r="103" spans="1:20">
      <c r="A103" s="8" t="s">
        <v>359</v>
      </c>
      <c r="B103" s="33"/>
      <c r="C103" s="33"/>
      <c r="D103" s="33"/>
      <c r="E103" s="33">
        <v>1</v>
      </c>
      <c r="F103" s="33"/>
      <c r="G103" s="33"/>
      <c r="H103" s="33"/>
      <c r="I103" s="33"/>
      <c r="J103" s="33"/>
      <c r="K103" s="33"/>
      <c r="L103" s="33"/>
      <c r="M103" s="33"/>
      <c r="N103" s="33">
        <v>1</v>
      </c>
      <c r="O103" s="33">
        <v>1</v>
      </c>
      <c r="P103" s="33"/>
      <c r="Q103" s="33"/>
      <c r="R103" s="33"/>
      <c r="S103" s="33">
        <f t="shared" si="1"/>
        <v>3</v>
      </c>
      <c r="T103" s="11" t="s">
        <v>1935</v>
      </c>
    </row>
    <row r="104" spans="1:20">
      <c r="A104" s="8" t="s">
        <v>1565</v>
      </c>
      <c r="B104" s="33">
        <v>1</v>
      </c>
      <c r="C104" s="33"/>
      <c r="D104" s="33"/>
      <c r="E104" s="33">
        <v>1</v>
      </c>
      <c r="F104" s="33">
        <v>1</v>
      </c>
      <c r="G104" s="33"/>
      <c r="H104" s="33"/>
      <c r="I104" s="33">
        <v>1</v>
      </c>
      <c r="J104" s="33"/>
      <c r="K104" s="33"/>
      <c r="L104" s="33"/>
      <c r="M104" s="33"/>
      <c r="N104" s="33">
        <v>1</v>
      </c>
      <c r="O104" s="33"/>
      <c r="P104" s="33"/>
      <c r="Q104" s="33"/>
      <c r="R104" s="33"/>
      <c r="S104" s="33">
        <f t="shared" si="1"/>
        <v>5</v>
      </c>
      <c r="T104" s="11" t="s">
        <v>1936</v>
      </c>
    </row>
    <row r="105" spans="1:20">
      <c r="A105" s="8" t="s">
        <v>938</v>
      </c>
      <c r="B105" s="33"/>
      <c r="C105" s="33"/>
      <c r="D105" s="33"/>
      <c r="E105" s="33">
        <v>1</v>
      </c>
      <c r="F105" s="33">
        <v>1</v>
      </c>
      <c r="G105" s="33"/>
      <c r="H105" s="33"/>
      <c r="I105" s="33"/>
      <c r="J105" s="33">
        <v>1</v>
      </c>
      <c r="K105" s="33"/>
      <c r="L105" s="33"/>
      <c r="M105" s="33">
        <v>1</v>
      </c>
      <c r="N105" s="33"/>
      <c r="O105" s="33">
        <v>1</v>
      </c>
      <c r="P105" s="33">
        <v>1</v>
      </c>
      <c r="Q105" s="33"/>
      <c r="R105" s="33"/>
      <c r="S105" s="33">
        <f t="shared" si="1"/>
        <v>6</v>
      </c>
      <c r="T105" s="11" t="s">
        <v>1937</v>
      </c>
    </row>
    <row r="106" spans="1:20">
      <c r="A106" s="8" t="s">
        <v>366</v>
      </c>
      <c r="B106" s="33"/>
      <c r="C106" s="33"/>
      <c r="D106" s="33"/>
      <c r="E106" s="33">
        <v>1</v>
      </c>
      <c r="F106" s="33"/>
      <c r="G106" s="33"/>
      <c r="H106" s="33"/>
      <c r="I106" s="33"/>
      <c r="J106" s="33">
        <v>1</v>
      </c>
      <c r="K106" s="33"/>
      <c r="L106" s="33"/>
      <c r="M106" s="33"/>
      <c r="N106" s="33"/>
      <c r="O106" s="33">
        <v>1</v>
      </c>
      <c r="P106" s="33"/>
      <c r="Q106" s="33"/>
      <c r="R106" s="33"/>
      <c r="S106" s="33">
        <f t="shared" si="1"/>
        <v>3</v>
      </c>
      <c r="T106" s="11" t="s">
        <v>1869</v>
      </c>
    </row>
    <row r="107" spans="1:20">
      <c r="A107" s="8" t="s">
        <v>369</v>
      </c>
      <c r="B107" s="33">
        <v>1</v>
      </c>
      <c r="C107" s="33"/>
      <c r="D107" s="33"/>
      <c r="E107" s="33"/>
      <c r="F107" s="33"/>
      <c r="G107" s="33"/>
      <c r="H107" s="33"/>
      <c r="I107" s="33">
        <v>1</v>
      </c>
      <c r="J107" s="33"/>
      <c r="K107" s="33"/>
      <c r="L107" s="33"/>
      <c r="M107" s="33">
        <v>1</v>
      </c>
      <c r="N107" s="33"/>
      <c r="O107" s="33"/>
      <c r="P107" s="33"/>
      <c r="Q107" s="33"/>
      <c r="R107" s="33"/>
      <c r="S107" s="33">
        <f t="shared" si="1"/>
        <v>3</v>
      </c>
      <c r="T107" s="11" t="s">
        <v>1938</v>
      </c>
    </row>
    <row r="108" spans="1:20">
      <c r="A108" s="8" t="s">
        <v>941</v>
      </c>
      <c r="B108" s="33"/>
      <c r="C108" s="33"/>
      <c r="D108" s="33"/>
      <c r="E108" s="33">
        <v>1</v>
      </c>
      <c r="F108" s="33"/>
      <c r="G108" s="33">
        <v>1</v>
      </c>
      <c r="H108" s="33">
        <v>1</v>
      </c>
      <c r="I108" s="33"/>
      <c r="J108" s="33">
        <v>1</v>
      </c>
      <c r="K108" s="33"/>
      <c r="L108" s="33"/>
      <c r="M108" s="33"/>
      <c r="N108" s="33">
        <v>1</v>
      </c>
      <c r="O108" s="33">
        <v>1</v>
      </c>
      <c r="P108" s="33">
        <v>1</v>
      </c>
      <c r="Q108" s="33"/>
      <c r="R108" s="33"/>
      <c r="S108" s="33">
        <f t="shared" si="1"/>
        <v>7</v>
      </c>
      <c r="T108" s="11" t="s">
        <v>1863</v>
      </c>
    </row>
    <row r="109" spans="1:20">
      <c r="A109" s="8" t="s">
        <v>371</v>
      </c>
      <c r="B109" s="33"/>
      <c r="C109" s="33"/>
      <c r="D109" s="33"/>
      <c r="E109" s="33">
        <v>1</v>
      </c>
      <c r="F109" s="33"/>
      <c r="G109" s="33">
        <v>1</v>
      </c>
      <c r="H109" s="33">
        <v>1</v>
      </c>
      <c r="I109" s="33">
        <v>1</v>
      </c>
      <c r="J109" s="33">
        <v>1</v>
      </c>
      <c r="K109" s="33"/>
      <c r="L109" s="33"/>
      <c r="M109" s="33"/>
      <c r="N109" s="33"/>
      <c r="O109" s="33"/>
      <c r="P109" s="33">
        <v>1</v>
      </c>
      <c r="Q109" s="33"/>
      <c r="R109" s="33">
        <v>1</v>
      </c>
      <c r="S109" s="33">
        <f t="shared" si="1"/>
        <v>7</v>
      </c>
      <c r="T109" s="11" t="s">
        <v>1869</v>
      </c>
    </row>
    <row r="110" spans="1:20">
      <c r="A110" s="8" t="s">
        <v>373</v>
      </c>
      <c r="B110" s="33">
        <v>1</v>
      </c>
      <c r="C110" s="33"/>
      <c r="D110" s="33"/>
      <c r="E110" s="33">
        <v>1</v>
      </c>
      <c r="F110" s="33">
        <v>1</v>
      </c>
      <c r="G110" s="33"/>
      <c r="H110" s="33">
        <v>1</v>
      </c>
      <c r="I110" s="33">
        <v>1</v>
      </c>
      <c r="J110" s="33">
        <v>1</v>
      </c>
      <c r="K110" s="33"/>
      <c r="L110" s="33">
        <v>1</v>
      </c>
      <c r="M110" s="33">
        <v>1</v>
      </c>
      <c r="N110" s="33">
        <v>1</v>
      </c>
      <c r="O110" s="33"/>
      <c r="P110" s="33"/>
      <c r="Q110" s="33">
        <v>1</v>
      </c>
      <c r="R110" s="33"/>
      <c r="S110" s="33">
        <f t="shared" si="1"/>
        <v>10</v>
      </c>
      <c r="T110" s="11" t="s">
        <v>1869</v>
      </c>
    </row>
    <row r="111" spans="1:20">
      <c r="A111" s="8" t="s">
        <v>378</v>
      </c>
      <c r="B111" s="33">
        <v>1</v>
      </c>
      <c r="C111" s="33"/>
      <c r="D111" s="33"/>
      <c r="E111" s="33">
        <v>1</v>
      </c>
      <c r="F111" s="33">
        <v>1</v>
      </c>
      <c r="G111" s="33"/>
      <c r="H111" s="33">
        <v>1</v>
      </c>
      <c r="I111" s="33">
        <v>1</v>
      </c>
      <c r="J111" s="33"/>
      <c r="K111" s="33"/>
      <c r="L111" s="33"/>
      <c r="M111" s="33"/>
      <c r="N111" s="33">
        <v>1</v>
      </c>
      <c r="O111" s="33"/>
      <c r="P111" s="33">
        <v>1</v>
      </c>
      <c r="Q111" s="33">
        <v>1</v>
      </c>
      <c r="R111" s="33"/>
      <c r="S111" s="33">
        <f t="shared" si="1"/>
        <v>8</v>
      </c>
      <c r="T111" s="11" t="s">
        <v>1939</v>
      </c>
    </row>
    <row r="112" spans="1:20">
      <c r="A112" s="8" t="s">
        <v>381</v>
      </c>
      <c r="B112" s="33"/>
      <c r="C112" s="33"/>
      <c r="D112" s="33"/>
      <c r="E112" s="33">
        <v>1</v>
      </c>
      <c r="F112" s="33"/>
      <c r="G112" s="33"/>
      <c r="H112" s="33"/>
      <c r="I112" s="33"/>
      <c r="J112" s="33"/>
      <c r="K112" s="33"/>
      <c r="L112" s="33"/>
      <c r="M112" s="33"/>
      <c r="N112" s="33">
        <v>1</v>
      </c>
      <c r="O112" s="33">
        <v>1</v>
      </c>
      <c r="P112" s="33"/>
      <c r="Q112" s="33"/>
      <c r="R112" s="33"/>
      <c r="S112" s="33">
        <f t="shared" si="1"/>
        <v>3</v>
      </c>
      <c r="T112" s="11" t="s">
        <v>1890</v>
      </c>
    </row>
    <row r="113" spans="1:20">
      <c r="A113" s="8" t="s">
        <v>382</v>
      </c>
      <c r="B113" s="33">
        <v>1</v>
      </c>
      <c r="C113" s="33"/>
      <c r="D113" s="33">
        <v>1</v>
      </c>
      <c r="E113" s="33">
        <v>1</v>
      </c>
      <c r="F113" s="33">
        <v>1</v>
      </c>
      <c r="G113" s="33"/>
      <c r="H113" s="33">
        <v>1</v>
      </c>
      <c r="I113" s="33">
        <v>1</v>
      </c>
      <c r="J113" s="33">
        <v>1</v>
      </c>
      <c r="K113" s="33"/>
      <c r="L113" s="33"/>
      <c r="M113" s="33">
        <v>1</v>
      </c>
      <c r="N113" s="33">
        <v>1</v>
      </c>
      <c r="O113" s="33"/>
      <c r="P113" s="33">
        <v>1</v>
      </c>
      <c r="Q113" s="33"/>
      <c r="R113" s="33"/>
      <c r="S113" s="33">
        <f t="shared" si="1"/>
        <v>10</v>
      </c>
      <c r="T113" s="11" t="s">
        <v>1940</v>
      </c>
    </row>
    <row r="114" spans="1:20">
      <c r="A114" s="8" t="s">
        <v>386</v>
      </c>
      <c r="B114" s="33">
        <v>1</v>
      </c>
      <c r="C114" s="33"/>
      <c r="D114" s="33"/>
      <c r="E114" s="33">
        <v>1</v>
      </c>
      <c r="F114" s="33">
        <v>1</v>
      </c>
      <c r="G114" s="33"/>
      <c r="H114" s="33"/>
      <c r="I114" s="33">
        <v>1</v>
      </c>
      <c r="J114" s="33">
        <v>1</v>
      </c>
      <c r="K114" s="33"/>
      <c r="L114" s="33"/>
      <c r="M114" s="33"/>
      <c r="N114" s="33">
        <v>1</v>
      </c>
      <c r="O114" s="33"/>
      <c r="P114" s="33"/>
      <c r="Q114" s="33"/>
      <c r="R114" s="33"/>
      <c r="S114" s="33">
        <f t="shared" si="1"/>
        <v>6</v>
      </c>
      <c r="T114" s="11" t="s">
        <v>1941</v>
      </c>
    </row>
    <row r="115" spans="1:20">
      <c r="A115" s="8" t="s">
        <v>1942</v>
      </c>
      <c r="B115" s="33">
        <v>1</v>
      </c>
      <c r="C115" s="33"/>
      <c r="D115" s="33"/>
      <c r="E115" s="33">
        <v>1</v>
      </c>
      <c r="F115" s="33"/>
      <c r="G115" s="33"/>
      <c r="H115" s="33">
        <v>1</v>
      </c>
      <c r="I115" s="33">
        <v>1</v>
      </c>
      <c r="J115" s="33">
        <v>1</v>
      </c>
      <c r="K115" s="33"/>
      <c r="L115" s="33"/>
      <c r="M115" s="33"/>
      <c r="N115" s="33"/>
      <c r="O115" s="33">
        <v>1</v>
      </c>
      <c r="P115" s="33"/>
      <c r="Q115" s="33"/>
      <c r="R115" s="33"/>
      <c r="S115" s="33">
        <f t="shared" si="1"/>
        <v>6</v>
      </c>
      <c r="T115" s="11" t="s">
        <v>1943</v>
      </c>
    </row>
    <row r="116" spans="1:20">
      <c r="A116" s="8" t="s">
        <v>1773</v>
      </c>
      <c r="B116" s="33"/>
      <c r="C116" s="33"/>
      <c r="D116" s="33"/>
      <c r="E116" s="33">
        <v>1</v>
      </c>
      <c r="F116" s="33"/>
      <c r="G116" s="33"/>
      <c r="H116" s="33"/>
      <c r="I116" s="33"/>
      <c r="J116" s="33">
        <v>1</v>
      </c>
      <c r="K116" s="33"/>
      <c r="L116" s="33"/>
      <c r="M116" s="33"/>
      <c r="N116" s="33"/>
      <c r="O116" s="33"/>
      <c r="P116" s="33"/>
      <c r="Q116" s="33"/>
      <c r="R116" s="33"/>
      <c r="S116" s="33">
        <f t="shared" si="1"/>
        <v>2</v>
      </c>
      <c r="T116" s="11" t="s">
        <v>1862</v>
      </c>
    </row>
    <row r="117" spans="1:20">
      <c r="A117" s="8" t="s">
        <v>1944</v>
      </c>
      <c r="B117" s="33">
        <v>1</v>
      </c>
      <c r="C117" s="33"/>
      <c r="D117" s="33"/>
      <c r="E117" s="33">
        <v>1</v>
      </c>
      <c r="F117" s="33"/>
      <c r="G117" s="33"/>
      <c r="H117" s="33">
        <v>1</v>
      </c>
      <c r="I117" s="33"/>
      <c r="J117" s="33"/>
      <c r="K117" s="33"/>
      <c r="L117" s="33"/>
      <c r="M117" s="33"/>
      <c r="N117" s="33">
        <v>1</v>
      </c>
      <c r="O117" s="33">
        <v>1</v>
      </c>
      <c r="P117" s="33"/>
      <c r="Q117" s="33"/>
      <c r="R117" s="33"/>
      <c r="S117" s="33">
        <f t="shared" si="1"/>
        <v>5</v>
      </c>
      <c r="T117" s="11" t="s">
        <v>1945</v>
      </c>
    </row>
    <row r="118" spans="1:20">
      <c r="A118" s="8" t="s">
        <v>388</v>
      </c>
      <c r="B118" s="33">
        <v>1</v>
      </c>
      <c r="C118" s="33"/>
      <c r="D118" s="33"/>
      <c r="E118" s="33">
        <v>1</v>
      </c>
      <c r="F118" s="33">
        <v>1</v>
      </c>
      <c r="G118" s="33">
        <v>1</v>
      </c>
      <c r="H118" s="33"/>
      <c r="I118" s="33"/>
      <c r="J118" s="33">
        <v>1</v>
      </c>
      <c r="K118" s="33"/>
      <c r="L118" s="33"/>
      <c r="M118" s="33"/>
      <c r="N118" s="33">
        <v>1</v>
      </c>
      <c r="O118" s="33"/>
      <c r="P118" s="33"/>
      <c r="Q118" s="33"/>
      <c r="R118" s="33"/>
      <c r="S118" s="33">
        <f t="shared" si="1"/>
        <v>6</v>
      </c>
      <c r="T118" s="11" t="s">
        <v>1946</v>
      </c>
    </row>
    <row r="119" spans="1:20">
      <c r="A119" s="8" t="s">
        <v>1947</v>
      </c>
      <c r="B119" s="33"/>
      <c r="C119" s="33"/>
      <c r="D119" s="33"/>
      <c r="E119" s="33">
        <v>1</v>
      </c>
      <c r="F119" s="33"/>
      <c r="G119" s="33"/>
      <c r="H119" s="33"/>
      <c r="I119" s="33"/>
      <c r="J119" s="33">
        <v>1</v>
      </c>
      <c r="K119" s="33"/>
      <c r="L119" s="33"/>
      <c r="M119" s="33"/>
      <c r="N119" s="33"/>
      <c r="O119" s="33">
        <v>1</v>
      </c>
      <c r="P119" s="33"/>
      <c r="Q119" s="33"/>
      <c r="R119" s="33"/>
      <c r="S119" s="33">
        <f t="shared" si="1"/>
        <v>3</v>
      </c>
      <c r="T119" s="11" t="s">
        <v>1890</v>
      </c>
    </row>
    <row r="120" spans="1:20">
      <c r="A120" s="8" t="s">
        <v>1577</v>
      </c>
      <c r="B120" s="33"/>
      <c r="C120" s="33"/>
      <c r="D120" s="33"/>
      <c r="E120" s="33"/>
      <c r="F120" s="33"/>
      <c r="G120" s="33"/>
      <c r="H120" s="33"/>
      <c r="I120" s="33"/>
      <c r="J120" s="33">
        <v>1</v>
      </c>
      <c r="K120" s="33"/>
      <c r="L120" s="33"/>
      <c r="M120" s="33"/>
      <c r="N120" s="33"/>
      <c r="O120" s="33"/>
      <c r="P120" s="33"/>
      <c r="Q120" s="33"/>
      <c r="R120" s="33"/>
      <c r="S120" s="33">
        <f t="shared" si="1"/>
        <v>1</v>
      </c>
      <c r="T120" s="11" t="s">
        <v>1948</v>
      </c>
    </row>
    <row r="121" spans="1:20">
      <c r="A121" s="8" t="s">
        <v>391</v>
      </c>
      <c r="B121" s="33">
        <v>1</v>
      </c>
      <c r="C121" s="33"/>
      <c r="D121" s="33"/>
      <c r="E121" s="33">
        <v>1</v>
      </c>
      <c r="F121" s="33"/>
      <c r="G121" s="33"/>
      <c r="H121" s="33">
        <v>1</v>
      </c>
      <c r="I121" s="33"/>
      <c r="J121" s="33"/>
      <c r="K121" s="33"/>
      <c r="L121" s="33"/>
      <c r="M121" s="33"/>
      <c r="N121" s="33">
        <v>1</v>
      </c>
      <c r="O121" s="33"/>
      <c r="P121" s="33"/>
      <c r="Q121" s="33"/>
      <c r="R121" s="33"/>
      <c r="S121" s="33">
        <f t="shared" si="1"/>
        <v>4</v>
      </c>
      <c r="T121" s="11" t="s">
        <v>1949</v>
      </c>
    </row>
    <row r="122" spans="1:20">
      <c r="A122" s="645"/>
      <c r="B122" s="33"/>
      <c r="C122" s="33"/>
      <c r="D122" s="33"/>
      <c r="E122" s="33"/>
      <c r="F122" s="33"/>
      <c r="G122" s="33"/>
      <c r="H122" s="33"/>
      <c r="I122" s="33"/>
      <c r="J122" s="33"/>
      <c r="K122" s="33"/>
      <c r="L122" s="33"/>
      <c r="M122" s="33"/>
      <c r="N122" s="33"/>
      <c r="O122" s="33"/>
      <c r="P122" s="33"/>
      <c r="Q122" s="33"/>
      <c r="R122" s="33"/>
      <c r="S122" s="33"/>
      <c r="T122" s="645"/>
    </row>
    <row r="123" spans="1:20">
      <c r="A123" s="645"/>
      <c r="B123" s="33"/>
      <c r="C123" s="33"/>
      <c r="D123" s="33"/>
      <c r="E123" s="33"/>
      <c r="F123" s="33"/>
      <c r="G123" s="33"/>
      <c r="H123" s="33"/>
      <c r="I123" s="33"/>
      <c r="J123" s="33"/>
      <c r="K123" s="33"/>
      <c r="L123" s="33"/>
      <c r="M123" s="33"/>
      <c r="N123" s="33"/>
      <c r="O123" s="33"/>
      <c r="P123" s="33"/>
      <c r="Q123" s="33"/>
      <c r="R123" s="33"/>
      <c r="S123" s="33"/>
      <c r="T123" s="645"/>
    </row>
    <row r="124" spans="1:20">
      <c r="A124" s="645"/>
      <c r="B124" s="33"/>
      <c r="C124" s="33"/>
      <c r="D124" s="33"/>
      <c r="E124" s="33"/>
      <c r="F124" s="33"/>
      <c r="G124" s="33"/>
      <c r="H124" s="33"/>
      <c r="I124" s="33"/>
      <c r="J124" s="33"/>
      <c r="K124" s="33"/>
      <c r="L124" s="33"/>
      <c r="M124" s="33"/>
      <c r="N124" s="33"/>
      <c r="O124" s="33"/>
      <c r="P124" s="33"/>
      <c r="Q124" s="33"/>
      <c r="R124" s="33"/>
      <c r="S124" s="33"/>
      <c r="T124" s="645"/>
    </row>
    <row r="125" spans="1:20">
      <c r="A125" s="645"/>
      <c r="B125" s="33"/>
      <c r="C125" s="33"/>
      <c r="D125" s="33"/>
      <c r="E125" s="33"/>
      <c r="F125" s="33"/>
      <c r="G125" s="33"/>
      <c r="H125" s="33"/>
      <c r="I125" s="33"/>
      <c r="J125" s="33"/>
      <c r="K125" s="33"/>
      <c r="L125" s="33"/>
      <c r="M125" s="33"/>
      <c r="N125" s="33"/>
      <c r="O125" s="33"/>
      <c r="P125" s="33"/>
      <c r="Q125" s="33"/>
      <c r="R125" s="33"/>
      <c r="S125" s="33"/>
      <c r="T125" s="645"/>
    </row>
    <row r="126" spans="1:20">
      <c r="A126" s="645"/>
      <c r="B126" s="33"/>
      <c r="C126" s="33"/>
      <c r="D126" s="33"/>
      <c r="E126" s="33"/>
      <c r="F126" s="33"/>
      <c r="G126" s="33"/>
      <c r="H126" s="33"/>
      <c r="I126" s="33"/>
      <c r="J126" s="33"/>
      <c r="K126" s="33"/>
      <c r="L126" s="33"/>
      <c r="M126" s="33"/>
      <c r="N126" s="33"/>
      <c r="O126" s="33"/>
      <c r="P126" s="33"/>
      <c r="Q126" s="33"/>
      <c r="R126" s="33"/>
      <c r="S126" s="33"/>
      <c r="T126" s="645"/>
    </row>
    <row r="127" spans="1:20">
      <c r="A127" s="645"/>
      <c r="B127" s="33"/>
      <c r="C127" s="33"/>
      <c r="D127" s="33"/>
      <c r="E127" s="33"/>
      <c r="F127" s="33"/>
      <c r="G127" s="33"/>
      <c r="H127" s="33"/>
      <c r="I127" s="33"/>
      <c r="J127" s="33"/>
      <c r="K127" s="33"/>
      <c r="L127" s="33"/>
      <c r="M127" s="33"/>
      <c r="N127" s="33"/>
      <c r="O127" s="33"/>
      <c r="P127" s="33"/>
      <c r="Q127" s="33"/>
      <c r="R127" s="33"/>
      <c r="S127" s="33"/>
      <c r="T127" s="645"/>
    </row>
    <row r="128" spans="1:20">
      <c r="A128" s="645"/>
      <c r="B128" s="33"/>
      <c r="C128" s="33"/>
      <c r="D128" s="33"/>
      <c r="E128" s="33"/>
      <c r="F128" s="33"/>
      <c r="G128" s="33"/>
      <c r="H128" s="33"/>
      <c r="I128" s="33"/>
      <c r="J128" s="33"/>
      <c r="K128" s="33"/>
      <c r="L128" s="33"/>
      <c r="M128" s="33"/>
      <c r="N128" s="33"/>
      <c r="O128" s="33"/>
      <c r="P128" s="33"/>
      <c r="Q128" s="33"/>
      <c r="R128" s="33"/>
      <c r="S128" s="33"/>
      <c r="T128" s="645"/>
    </row>
    <row r="129" spans="1:20">
      <c r="A129" s="645"/>
      <c r="B129" s="33"/>
      <c r="C129" s="33"/>
      <c r="D129" s="33"/>
      <c r="E129" s="33"/>
      <c r="F129" s="33"/>
      <c r="G129" s="33"/>
      <c r="H129" s="33"/>
      <c r="I129" s="33"/>
      <c r="J129" s="33"/>
      <c r="K129" s="33"/>
      <c r="L129" s="33"/>
      <c r="M129" s="33"/>
      <c r="N129" s="33"/>
      <c r="O129" s="33"/>
      <c r="P129" s="33"/>
      <c r="Q129" s="33"/>
      <c r="R129" s="33"/>
      <c r="S129" s="33"/>
      <c r="T129" s="645"/>
    </row>
    <row r="130" spans="1:20">
      <c r="A130" s="645"/>
      <c r="B130" s="33"/>
      <c r="C130" s="33"/>
      <c r="D130" s="33"/>
      <c r="E130" s="33"/>
      <c r="F130" s="33"/>
      <c r="G130" s="33"/>
      <c r="H130" s="33"/>
      <c r="I130" s="33"/>
      <c r="J130" s="33"/>
      <c r="K130" s="33"/>
      <c r="L130" s="33"/>
      <c r="M130" s="33"/>
      <c r="N130" s="33"/>
      <c r="O130" s="33"/>
      <c r="P130" s="33"/>
      <c r="Q130" s="33"/>
      <c r="R130" s="33"/>
      <c r="S130" s="33"/>
      <c r="T130" s="645"/>
    </row>
    <row r="131" spans="1:20">
      <c r="A131" s="645"/>
      <c r="B131" s="33"/>
      <c r="C131" s="33"/>
      <c r="D131" s="33"/>
      <c r="E131" s="33"/>
      <c r="F131" s="33"/>
      <c r="G131" s="33"/>
      <c r="H131" s="33"/>
      <c r="I131" s="33"/>
      <c r="J131" s="33"/>
      <c r="K131" s="33"/>
      <c r="L131" s="33"/>
      <c r="M131" s="33"/>
      <c r="N131" s="33"/>
      <c r="O131" s="33"/>
      <c r="P131" s="33"/>
      <c r="Q131" s="33"/>
      <c r="R131" s="33"/>
      <c r="S131" s="33"/>
      <c r="T131" s="645"/>
    </row>
    <row r="132" spans="1:20">
      <c r="A132" s="645"/>
      <c r="B132" s="33"/>
      <c r="C132" s="33"/>
      <c r="D132" s="33"/>
      <c r="E132" s="33"/>
      <c r="F132" s="33"/>
      <c r="G132" s="33"/>
      <c r="H132" s="33"/>
      <c r="I132" s="33"/>
      <c r="J132" s="33"/>
      <c r="K132" s="33"/>
      <c r="L132" s="33"/>
      <c r="M132" s="33"/>
      <c r="N132" s="33"/>
      <c r="O132" s="33"/>
      <c r="P132" s="33"/>
      <c r="Q132" s="33"/>
      <c r="R132" s="33"/>
      <c r="S132" s="33"/>
      <c r="T132" s="645"/>
    </row>
    <row r="133" spans="1:20">
      <c r="A133" s="645"/>
      <c r="B133" s="33"/>
      <c r="C133" s="33"/>
      <c r="D133" s="33"/>
      <c r="E133" s="33"/>
      <c r="F133" s="33"/>
      <c r="G133" s="33"/>
      <c r="H133" s="33"/>
      <c r="I133" s="33"/>
      <c r="J133" s="33"/>
      <c r="K133" s="33"/>
      <c r="L133" s="33"/>
      <c r="M133" s="33"/>
      <c r="N133" s="33"/>
      <c r="O133" s="33"/>
      <c r="P133" s="33"/>
      <c r="Q133" s="33"/>
      <c r="R133" s="33"/>
      <c r="S133" s="33"/>
      <c r="T133" s="645"/>
    </row>
    <row r="134" spans="1:20">
      <c r="A134" s="645"/>
      <c r="B134" s="33"/>
      <c r="C134" s="33"/>
      <c r="D134" s="33"/>
      <c r="E134" s="33"/>
      <c r="F134" s="33"/>
      <c r="G134" s="33"/>
      <c r="H134" s="33"/>
      <c r="I134" s="33"/>
      <c r="J134" s="33"/>
      <c r="K134" s="33"/>
      <c r="L134" s="33"/>
      <c r="M134" s="33"/>
      <c r="N134" s="33"/>
      <c r="O134" s="33"/>
      <c r="P134" s="33"/>
      <c r="Q134" s="33"/>
      <c r="R134" s="33"/>
      <c r="S134" s="33"/>
      <c r="T134" s="645"/>
    </row>
    <row r="135" spans="1:20">
      <c r="A135" s="645"/>
      <c r="B135" s="33"/>
      <c r="C135" s="33"/>
      <c r="D135" s="33"/>
      <c r="E135" s="33"/>
      <c r="F135" s="33"/>
      <c r="G135" s="33"/>
      <c r="H135" s="33"/>
      <c r="I135" s="33"/>
      <c r="J135" s="33"/>
      <c r="K135" s="33"/>
      <c r="L135" s="33"/>
      <c r="M135" s="33"/>
      <c r="N135" s="33"/>
      <c r="O135" s="33"/>
      <c r="P135" s="33"/>
      <c r="Q135" s="33"/>
      <c r="R135" s="33"/>
      <c r="S135" s="33"/>
      <c r="T135" s="645"/>
    </row>
    <row r="136" spans="1:20">
      <c r="A136" s="645"/>
      <c r="B136" s="33"/>
      <c r="C136" s="33"/>
      <c r="D136" s="33"/>
      <c r="E136" s="33"/>
      <c r="F136" s="33"/>
      <c r="G136" s="33"/>
      <c r="H136" s="33"/>
      <c r="I136" s="33"/>
      <c r="J136" s="33"/>
      <c r="K136" s="33"/>
      <c r="L136" s="33"/>
      <c r="M136" s="33"/>
      <c r="N136" s="33"/>
      <c r="O136" s="33"/>
      <c r="P136" s="33"/>
      <c r="Q136" s="33"/>
      <c r="R136" s="33"/>
      <c r="S136" s="33"/>
      <c r="T136" s="645"/>
    </row>
    <row r="137" spans="1:20">
      <c r="A137" s="645"/>
      <c r="B137" s="33"/>
      <c r="C137" s="33"/>
      <c r="D137" s="33"/>
      <c r="E137" s="33"/>
      <c r="F137" s="33"/>
      <c r="G137" s="33"/>
      <c r="H137" s="33"/>
      <c r="I137" s="33"/>
      <c r="J137" s="33"/>
      <c r="K137" s="33"/>
      <c r="L137" s="33"/>
      <c r="M137" s="33"/>
      <c r="N137" s="33"/>
      <c r="O137" s="33"/>
      <c r="P137" s="33"/>
      <c r="Q137" s="33"/>
      <c r="R137" s="33"/>
      <c r="S137" s="33"/>
      <c r="T137" s="645"/>
    </row>
    <row r="138" spans="1:20">
      <c r="A138" s="645"/>
      <c r="B138" s="33"/>
      <c r="C138" s="33"/>
      <c r="D138" s="33"/>
      <c r="E138" s="33"/>
      <c r="F138" s="33"/>
      <c r="G138" s="33"/>
      <c r="H138" s="33"/>
      <c r="I138" s="33"/>
      <c r="J138" s="33"/>
      <c r="K138" s="33"/>
      <c r="L138" s="33"/>
      <c r="M138" s="33"/>
      <c r="N138" s="33"/>
      <c r="O138" s="33"/>
      <c r="P138" s="33"/>
      <c r="Q138" s="33"/>
      <c r="R138" s="33"/>
      <c r="S138" s="33"/>
      <c r="T138" s="645"/>
    </row>
    <row r="139" spans="1:20">
      <c r="A139" s="645"/>
      <c r="B139" s="33"/>
      <c r="C139" s="33"/>
      <c r="D139" s="33"/>
      <c r="E139" s="33"/>
      <c r="F139" s="33"/>
      <c r="G139" s="33"/>
      <c r="H139" s="33"/>
      <c r="I139" s="33"/>
      <c r="J139" s="33"/>
      <c r="K139" s="33"/>
      <c r="L139" s="33"/>
      <c r="M139" s="33"/>
      <c r="N139" s="33"/>
      <c r="O139" s="33"/>
      <c r="P139" s="33"/>
      <c r="Q139" s="33"/>
      <c r="R139" s="33"/>
      <c r="S139" s="33"/>
      <c r="T139" s="645"/>
    </row>
    <row r="140" spans="1:20">
      <c r="A140" s="645"/>
      <c r="B140" s="33"/>
      <c r="C140" s="33"/>
      <c r="D140" s="33"/>
      <c r="E140" s="33"/>
      <c r="F140" s="33"/>
      <c r="G140" s="33"/>
      <c r="H140" s="33"/>
      <c r="I140" s="33"/>
      <c r="J140" s="33"/>
      <c r="K140" s="33"/>
      <c r="L140" s="33"/>
      <c r="M140" s="33"/>
      <c r="N140" s="33"/>
      <c r="O140" s="33"/>
      <c r="P140" s="33"/>
      <c r="Q140" s="33"/>
      <c r="R140" s="33"/>
      <c r="S140" s="33"/>
      <c r="T140" s="645"/>
    </row>
    <row r="141" spans="1:20">
      <c r="A141" s="645"/>
      <c r="B141" s="33"/>
      <c r="C141" s="33"/>
      <c r="D141" s="33"/>
      <c r="E141" s="33"/>
      <c r="F141" s="33"/>
      <c r="G141" s="33"/>
      <c r="H141" s="33"/>
      <c r="I141" s="33"/>
      <c r="J141" s="33"/>
      <c r="K141" s="33"/>
      <c r="L141" s="33"/>
      <c r="M141" s="33"/>
      <c r="N141" s="33"/>
      <c r="O141" s="33"/>
      <c r="P141" s="33"/>
      <c r="Q141" s="33"/>
      <c r="R141" s="33"/>
      <c r="S141" s="33"/>
      <c r="T141" s="645"/>
    </row>
    <row r="142" spans="1:20">
      <c r="A142" s="645"/>
      <c r="B142" s="33"/>
      <c r="C142" s="33"/>
      <c r="D142" s="33"/>
      <c r="E142" s="33"/>
      <c r="F142" s="33"/>
      <c r="G142" s="33"/>
      <c r="H142" s="33"/>
      <c r="I142" s="33"/>
      <c r="J142" s="33"/>
      <c r="K142" s="33"/>
      <c r="L142" s="33"/>
      <c r="M142" s="33"/>
      <c r="N142" s="33"/>
      <c r="O142" s="33"/>
      <c r="P142" s="33"/>
      <c r="Q142" s="33"/>
      <c r="R142" s="33"/>
      <c r="S142" s="33"/>
      <c r="T142" s="645"/>
    </row>
    <row r="143" spans="1:20">
      <c r="A143" s="645"/>
      <c r="B143" s="33"/>
      <c r="C143" s="33"/>
      <c r="D143" s="33"/>
      <c r="E143" s="33"/>
      <c r="F143" s="33"/>
      <c r="G143" s="33"/>
      <c r="H143" s="33"/>
      <c r="I143" s="33"/>
      <c r="J143" s="33"/>
      <c r="K143" s="33"/>
      <c r="L143" s="33"/>
      <c r="M143" s="33"/>
      <c r="N143" s="33"/>
      <c r="O143" s="33"/>
      <c r="P143" s="33"/>
      <c r="Q143" s="33"/>
      <c r="R143" s="33"/>
      <c r="S143" s="33"/>
      <c r="T143" s="645"/>
    </row>
    <row r="144" spans="1:20">
      <c r="A144" s="645"/>
      <c r="B144" s="33"/>
      <c r="C144" s="33"/>
      <c r="D144" s="33"/>
      <c r="E144" s="33"/>
      <c r="F144" s="33"/>
      <c r="G144" s="33"/>
      <c r="H144" s="33"/>
      <c r="I144" s="33"/>
      <c r="J144" s="33"/>
      <c r="K144" s="33"/>
      <c r="L144" s="33"/>
      <c r="M144" s="33"/>
      <c r="N144" s="33"/>
      <c r="O144" s="33"/>
      <c r="P144" s="33"/>
      <c r="Q144" s="33"/>
      <c r="R144" s="33"/>
      <c r="S144" s="33"/>
      <c r="T144" s="645"/>
    </row>
    <row r="145" spans="2:19">
      <c r="B145" s="33"/>
      <c r="C145" s="33"/>
      <c r="D145" s="33"/>
      <c r="E145" s="33"/>
      <c r="F145" s="33"/>
      <c r="G145" s="33"/>
      <c r="H145" s="33"/>
      <c r="I145" s="33"/>
      <c r="J145" s="33"/>
      <c r="K145" s="33"/>
      <c r="L145" s="33"/>
      <c r="M145" s="33"/>
      <c r="N145" s="33"/>
      <c r="O145" s="33"/>
      <c r="P145" s="33"/>
      <c r="Q145" s="33"/>
      <c r="R145" s="33"/>
      <c r="S145" s="33"/>
    </row>
    <row r="146" spans="2:19">
      <c r="B146" s="33"/>
      <c r="C146" s="33"/>
      <c r="D146" s="33"/>
      <c r="E146" s="33"/>
      <c r="F146" s="33"/>
      <c r="G146" s="33"/>
      <c r="H146" s="33"/>
      <c r="I146" s="33"/>
      <c r="J146" s="33"/>
      <c r="K146" s="33"/>
      <c r="L146" s="33"/>
      <c r="M146" s="33"/>
      <c r="N146" s="33"/>
      <c r="O146" s="33"/>
      <c r="P146" s="33"/>
      <c r="Q146" s="33"/>
      <c r="R146" s="33"/>
      <c r="S146" s="33"/>
    </row>
    <row r="147" spans="2:19">
      <c r="B147" s="33"/>
      <c r="C147" s="33"/>
      <c r="D147" s="33"/>
      <c r="E147" s="33"/>
      <c r="F147" s="33"/>
      <c r="G147" s="33"/>
      <c r="H147" s="33"/>
      <c r="I147" s="33"/>
      <c r="J147" s="33"/>
      <c r="K147" s="33"/>
      <c r="L147" s="33"/>
      <c r="M147" s="33"/>
      <c r="N147" s="33"/>
      <c r="O147" s="33"/>
      <c r="P147" s="33"/>
      <c r="Q147" s="33"/>
      <c r="R147" s="33"/>
      <c r="S147" s="33"/>
    </row>
    <row r="148" spans="2:19">
      <c r="B148" s="33"/>
      <c r="C148" s="33"/>
      <c r="D148" s="33"/>
      <c r="E148" s="33"/>
      <c r="F148" s="33"/>
      <c r="G148" s="33"/>
      <c r="H148" s="33"/>
      <c r="I148" s="33"/>
      <c r="J148" s="33"/>
      <c r="K148" s="33"/>
      <c r="L148" s="33"/>
      <c r="M148" s="33"/>
      <c r="N148" s="33"/>
      <c r="O148" s="33"/>
      <c r="P148" s="33"/>
      <c r="Q148" s="33"/>
      <c r="R148" s="33"/>
      <c r="S148" s="33"/>
    </row>
    <row r="149" spans="2:19">
      <c r="B149" s="33"/>
      <c r="C149" s="33"/>
      <c r="D149" s="33"/>
      <c r="E149" s="33"/>
      <c r="F149" s="33"/>
      <c r="G149" s="33"/>
      <c r="H149" s="33"/>
      <c r="I149" s="33"/>
      <c r="J149" s="33"/>
      <c r="K149" s="33"/>
      <c r="L149" s="33"/>
      <c r="M149" s="33"/>
      <c r="N149" s="33"/>
      <c r="O149" s="33"/>
      <c r="P149" s="33"/>
      <c r="Q149" s="33"/>
      <c r="R149" s="33"/>
      <c r="S149" s="33"/>
    </row>
    <row r="150" spans="2:19">
      <c r="B150" s="33"/>
      <c r="C150" s="33"/>
      <c r="D150" s="33"/>
      <c r="E150" s="33"/>
      <c r="F150" s="33"/>
      <c r="G150" s="33"/>
      <c r="H150" s="33"/>
      <c r="I150" s="33"/>
      <c r="J150" s="33"/>
      <c r="K150" s="33"/>
      <c r="L150" s="33"/>
      <c r="M150" s="33"/>
      <c r="N150" s="33"/>
      <c r="O150" s="33"/>
      <c r="P150" s="33"/>
      <c r="Q150" s="33"/>
      <c r="R150" s="33"/>
      <c r="S150" s="33"/>
    </row>
    <row r="151" spans="2:19">
      <c r="B151" s="33"/>
      <c r="C151" s="33"/>
      <c r="D151" s="33"/>
      <c r="E151" s="33"/>
      <c r="F151" s="33"/>
      <c r="G151" s="33"/>
      <c r="H151" s="33"/>
      <c r="I151" s="33"/>
      <c r="J151" s="33"/>
      <c r="K151" s="33"/>
      <c r="L151" s="33"/>
      <c r="M151" s="33"/>
      <c r="N151" s="33"/>
      <c r="O151" s="33"/>
      <c r="P151" s="33"/>
      <c r="Q151" s="33"/>
      <c r="R151" s="33"/>
      <c r="S151" s="33"/>
    </row>
    <row r="152" spans="2:19">
      <c r="B152" s="33"/>
      <c r="C152" s="33"/>
      <c r="D152" s="33"/>
      <c r="E152" s="33"/>
      <c r="F152" s="33"/>
      <c r="G152" s="33"/>
      <c r="H152" s="33"/>
      <c r="I152" s="33"/>
      <c r="J152" s="33"/>
      <c r="K152" s="33"/>
      <c r="L152" s="33"/>
      <c r="M152" s="33"/>
      <c r="N152" s="33"/>
      <c r="O152" s="33"/>
      <c r="P152" s="33"/>
      <c r="Q152" s="33"/>
      <c r="R152" s="33"/>
      <c r="S152" s="33"/>
    </row>
    <row r="153" spans="2:19">
      <c r="B153" s="33"/>
      <c r="C153" s="33"/>
      <c r="D153" s="33"/>
      <c r="E153" s="33"/>
      <c r="F153" s="33"/>
      <c r="G153" s="33"/>
      <c r="H153" s="33"/>
      <c r="I153" s="33"/>
      <c r="J153" s="33"/>
      <c r="K153" s="33"/>
      <c r="L153" s="33"/>
      <c r="M153" s="33"/>
      <c r="N153" s="33"/>
      <c r="O153" s="33"/>
      <c r="P153" s="33"/>
      <c r="Q153" s="33"/>
      <c r="R153" s="33"/>
      <c r="S153" s="33"/>
    </row>
    <row r="154" spans="2:19">
      <c r="B154" s="33"/>
      <c r="C154" s="33"/>
      <c r="D154" s="33"/>
      <c r="E154" s="33"/>
      <c r="F154" s="33"/>
      <c r="G154" s="33"/>
      <c r="H154" s="33"/>
      <c r="I154" s="33"/>
      <c r="J154" s="33"/>
      <c r="K154" s="33"/>
      <c r="L154" s="33"/>
      <c r="M154" s="33"/>
      <c r="N154" s="33"/>
      <c r="O154" s="33"/>
      <c r="P154" s="33"/>
      <c r="Q154" s="33"/>
      <c r="R154" s="33"/>
      <c r="S154" s="33"/>
    </row>
    <row r="155" spans="2:19">
      <c r="B155" s="33"/>
      <c r="C155" s="33"/>
      <c r="D155" s="33"/>
      <c r="E155" s="33"/>
      <c r="F155" s="33"/>
      <c r="G155" s="33"/>
      <c r="H155" s="33"/>
      <c r="I155" s="33"/>
      <c r="J155" s="33"/>
      <c r="K155" s="33"/>
      <c r="L155" s="33"/>
      <c r="M155" s="33"/>
      <c r="N155" s="33"/>
      <c r="O155" s="33"/>
      <c r="P155" s="33"/>
      <c r="Q155" s="33"/>
      <c r="R155" s="33"/>
      <c r="S155" s="33"/>
    </row>
    <row r="156" spans="2:19">
      <c r="B156" s="33"/>
      <c r="C156" s="33"/>
      <c r="D156" s="33"/>
      <c r="E156" s="33"/>
      <c r="F156" s="33"/>
      <c r="G156" s="33"/>
      <c r="H156" s="33"/>
      <c r="I156" s="33"/>
      <c r="J156" s="33"/>
      <c r="K156" s="33"/>
      <c r="L156" s="33"/>
      <c r="M156" s="33"/>
      <c r="N156" s="33"/>
      <c r="O156" s="33"/>
      <c r="P156" s="33"/>
      <c r="Q156" s="33"/>
      <c r="R156" s="33"/>
      <c r="S156" s="33"/>
    </row>
    <row r="157" spans="2:19">
      <c r="B157" s="33"/>
      <c r="C157" s="33"/>
      <c r="D157" s="33"/>
      <c r="E157" s="33"/>
      <c r="F157" s="33"/>
      <c r="G157" s="33"/>
      <c r="H157" s="33"/>
      <c r="I157" s="33"/>
      <c r="J157" s="33"/>
      <c r="K157" s="33"/>
      <c r="L157" s="33"/>
      <c r="M157" s="33"/>
      <c r="N157" s="33"/>
      <c r="O157" s="33"/>
      <c r="P157" s="33"/>
      <c r="Q157" s="33"/>
      <c r="R157" s="33"/>
      <c r="S157" s="33"/>
    </row>
    <row r="158" spans="2:19">
      <c r="B158" s="33"/>
      <c r="C158" s="33"/>
      <c r="D158" s="33"/>
      <c r="E158" s="33"/>
      <c r="F158" s="33"/>
      <c r="G158" s="33"/>
      <c r="H158" s="33"/>
      <c r="I158" s="33"/>
      <c r="J158" s="33"/>
      <c r="K158" s="33"/>
      <c r="L158" s="33"/>
      <c r="M158" s="33"/>
      <c r="N158" s="33"/>
      <c r="O158" s="33"/>
      <c r="P158" s="33"/>
      <c r="Q158" s="33"/>
      <c r="R158" s="33"/>
      <c r="S158" s="33"/>
    </row>
    <row r="159" spans="2:19">
      <c r="B159" s="33"/>
      <c r="C159" s="33"/>
      <c r="D159" s="33"/>
      <c r="E159" s="33"/>
      <c r="F159" s="33"/>
      <c r="G159" s="33"/>
      <c r="H159" s="33"/>
      <c r="I159" s="33"/>
      <c r="J159" s="33"/>
      <c r="K159" s="33"/>
      <c r="L159" s="33"/>
      <c r="M159" s="33"/>
      <c r="N159" s="33"/>
      <c r="O159" s="33"/>
      <c r="P159" s="33"/>
      <c r="Q159" s="33"/>
      <c r="R159" s="33"/>
      <c r="S159" s="33"/>
    </row>
    <row r="160" spans="2:19">
      <c r="B160" s="33"/>
      <c r="C160" s="33"/>
      <c r="D160" s="33"/>
      <c r="E160" s="33"/>
      <c r="F160" s="33"/>
      <c r="G160" s="33"/>
      <c r="H160" s="33"/>
      <c r="I160" s="33"/>
      <c r="J160" s="33"/>
      <c r="K160" s="33"/>
      <c r="L160" s="33"/>
      <c r="M160" s="33"/>
      <c r="N160" s="33"/>
      <c r="O160" s="33"/>
      <c r="P160" s="33"/>
      <c r="Q160" s="33"/>
      <c r="R160" s="33"/>
      <c r="S160" s="33"/>
    </row>
    <row r="161" spans="2:19">
      <c r="B161" s="33"/>
      <c r="C161" s="33"/>
      <c r="D161" s="33"/>
      <c r="E161" s="33"/>
      <c r="F161" s="33"/>
      <c r="G161" s="33"/>
      <c r="H161" s="33"/>
      <c r="I161" s="33"/>
      <c r="J161" s="33"/>
      <c r="K161" s="33"/>
      <c r="L161" s="33"/>
      <c r="M161" s="33"/>
      <c r="N161" s="33"/>
      <c r="O161" s="33"/>
      <c r="P161" s="33"/>
      <c r="Q161" s="33"/>
      <c r="R161" s="33"/>
      <c r="S161" s="33"/>
    </row>
    <row r="162" spans="2:19">
      <c r="B162" s="33"/>
      <c r="C162" s="33"/>
      <c r="D162" s="33"/>
      <c r="E162" s="33"/>
      <c r="F162" s="33"/>
      <c r="G162" s="33"/>
      <c r="H162" s="33"/>
      <c r="I162" s="33"/>
      <c r="J162" s="33"/>
      <c r="K162" s="33"/>
      <c r="L162" s="33"/>
      <c r="M162" s="33"/>
      <c r="N162" s="33"/>
      <c r="O162" s="33"/>
      <c r="P162" s="33"/>
      <c r="Q162" s="33"/>
      <c r="R162" s="33"/>
      <c r="S162" s="33"/>
    </row>
    <row r="163" spans="2:19">
      <c r="B163" s="33"/>
      <c r="C163" s="33"/>
      <c r="D163" s="33"/>
      <c r="E163" s="33"/>
      <c r="F163" s="33"/>
      <c r="G163" s="33"/>
      <c r="H163" s="33"/>
      <c r="I163" s="33"/>
      <c r="J163" s="33"/>
      <c r="K163" s="33"/>
      <c r="L163" s="33"/>
      <c r="M163" s="33"/>
      <c r="N163" s="33"/>
      <c r="O163" s="33"/>
      <c r="P163" s="33"/>
      <c r="Q163" s="33"/>
      <c r="R163" s="33"/>
      <c r="S163" s="33"/>
    </row>
    <row r="164" spans="2:19">
      <c r="B164" s="33"/>
      <c r="C164" s="33"/>
      <c r="D164" s="33"/>
      <c r="E164" s="33"/>
      <c r="F164" s="33"/>
      <c r="G164" s="33"/>
      <c r="H164" s="33"/>
      <c r="I164" s="33"/>
      <c r="J164" s="33"/>
      <c r="K164" s="33"/>
      <c r="L164" s="33"/>
      <c r="M164" s="33"/>
      <c r="N164" s="33"/>
      <c r="O164" s="33"/>
      <c r="P164" s="33"/>
      <c r="Q164" s="33"/>
      <c r="R164" s="33"/>
      <c r="S164" s="33"/>
    </row>
    <row r="165" spans="2:19">
      <c r="B165" s="33"/>
      <c r="C165" s="33"/>
      <c r="D165" s="33"/>
      <c r="E165" s="33"/>
      <c r="F165" s="33"/>
      <c r="G165" s="33"/>
      <c r="H165" s="33"/>
      <c r="I165" s="33"/>
      <c r="J165" s="33"/>
      <c r="K165" s="33"/>
      <c r="L165" s="33"/>
      <c r="M165" s="33"/>
      <c r="N165" s="33"/>
      <c r="O165" s="33"/>
      <c r="P165" s="33"/>
      <c r="Q165" s="33"/>
      <c r="R165" s="33"/>
      <c r="S165" s="33"/>
    </row>
    <row r="166" spans="2:19">
      <c r="B166" s="33"/>
      <c r="C166" s="33"/>
      <c r="D166" s="33"/>
      <c r="E166" s="33"/>
      <c r="F166" s="33"/>
      <c r="G166" s="33"/>
      <c r="H166" s="33"/>
      <c r="I166" s="33"/>
      <c r="J166" s="33"/>
      <c r="K166" s="33"/>
      <c r="L166" s="33"/>
      <c r="M166" s="33"/>
      <c r="N166" s="33"/>
      <c r="O166" s="33"/>
      <c r="P166" s="33"/>
      <c r="Q166" s="33"/>
      <c r="R166" s="33"/>
      <c r="S166" s="33"/>
    </row>
    <row r="167" spans="2:19">
      <c r="B167" s="33"/>
      <c r="C167" s="33"/>
      <c r="D167" s="33"/>
      <c r="E167" s="33"/>
      <c r="F167" s="33"/>
      <c r="G167" s="33"/>
      <c r="H167" s="33"/>
      <c r="I167" s="33"/>
      <c r="J167" s="33"/>
      <c r="K167" s="33"/>
      <c r="L167" s="33"/>
      <c r="M167" s="33"/>
      <c r="N167" s="33"/>
      <c r="O167" s="33"/>
      <c r="P167" s="33"/>
      <c r="Q167" s="33"/>
      <c r="R167" s="33"/>
      <c r="S167" s="33"/>
    </row>
    <row r="168" spans="2:19">
      <c r="B168" s="33"/>
      <c r="C168" s="33"/>
      <c r="D168" s="33"/>
      <c r="E168" s="33"/>
      <c r="F168" s="33"/>
      <c r="G168" s="33"/>
      <c r="H168" s="33"/>
      <c r="I168" s="33"/>
      <c r="J168" s="33"/>
      <c r="K168" s="33"/>
      <c r="L168" s="33"/>
      <c r="M168" s="33"/>
      <c r="N168" s="33"/>
      <c r="O168" s="33"/>
      <c r="P168" s="33"/>
      <c r="Q168" s="33"/>
      <c r="R168" s="33"/>
      <c r="S168" s="33"/>
    </row>
    <row r="169" spans="2:19">
      <c r="B169" s="33"/>
      <c r="C169" s="33"/>
      <c r="D169" s="33"/>
      <c r="E169" s="33"/>
      <c r="F169" s="33"/>
      <c r="G169" s="33"/>
      <c r="H169" s="33"/>
      <c r="I169" s="33"/>
      <c r="J169" s="33"/>
      <c r="K169" s="33"/>
      <c r="L169" s="33"/>
      <c r="M169" s="33"/>
      <c r="N169" s="33"/>
      <c r="O169" s="33"/>
      <c r="P169" s="33"/>
      <c r="Q169" s="33"/>
      <c r="R169" s="33"/>
      <c r="S169" s="33"/>
    </row>
    <row r="170" spans="2:19">
      <c r="B170" s="33"/>
      <c r="C170" s="33"/>
      <c r="D170" s="33"/>
      <c r="E170" s="33"/>
      <c r="F170" s="33"/>
      <c r="G170" s="33"/>
      <c r="H170" s="33"/>
      <c r="I170" s="33"/>
      <c r="J170" s="33"/>
      <c r="K170" s="33"/>
      <c r="L170" s="33"/>
      <c r="M170" s="33"/>
      <c r="N170" s="33"/>
      <c r="O170" s="33"/>
      <c r="P170" s="33"/>
      <c r="Q170" s="33"/>
      <c r="R170" s="33"/>
      <c r="S170" s="33"/>
    </row>
    <row r="171" spans="2:19">
      <c r="B171" s="33"/>
      <c r="C171" s="33"/>
      <c r="D171" s="33"/>
      <c r="E171" s="33"/>
      <c r="F171" s="33"/>
      <c r="G171" s="33"/>
      <c r="H171" s="33"/>
      <c r="I171" s="33"/>
      <c r="J171" s="33"/>
      <c r="K171" s="33"/>
      <c r="L171" s="33"/>
      <c r="M171" s="33"/>
      <c r="N171" s="33"/>
      <c r="O171" s="33"/>
      <c r="P171" s="33"/>
      <c r="Q171" s="33"/>
      <c r="R171" s="33"/>
      <c r="S171" s="33"/>
    </row>
    <row r="172" spans="2:19">
      <c r="B172" s="33"/>
      <c r="C172" s="33"/>
      <c r="D172" s="33"/>
      <c r="E172" s="33"/>
      <c r="F172" s="33"/>
      <c r="G172" s="33"/>
      <c r="H172" s="33"/>
      <c r="I172" s="33"/>
      <c r="J172" s="33"/>
      <c r="K172" s="33"/>
      <c r="L172" s="33"/>
      <c r="M172" s="33"/>
      <c r="N172" s="33"/>
      <c r="O172" s="33"/>
      <c r="P172" s="33"/>
      <c r="Q172" s="33"/>
      <c r="R172" s="33"/>
      <c r="S172" s="33"/>
    </row>
    <row r="173" spans="2:19">
      <c r="B173" s="33"/>
      <c r="C173" s="33"/>
      <c r="D173" s="33"/>
      <c r="E173" s="33"/>
      <c r="F173" s="33"/>
      <c r="G173" s="33"/>
      <c r="H173" s="33"/>
      <c r="I173" s="33"/>
      <c r="J173" s="33"/>
      <c r="K173" s="33"/>
      <c r="L173" s="33"/>
      <c r="M173" s="33"/>
      <c r="N173" s="33"/>
      <c r="O173" s="33"/>
      <c r="P173" s="33"/>
      <c r="Q173" s="33"/>
      <c r="R173" s="33"/>
      <c r="S173" s="33"/>
    </row>
    <row r="174" spans="2:19">
      <c r="B174" s="33"/>
      <c r="C174" s="33"/>
      <c r="D174" s="33"/>
      <c r="E174" s="33"/>
      <c r="F174" s="33"/>
      <c r="G174" s="33"/>
      <c r="H174" s="33"/>
      <c r="I174" s="33"/>
      <c r="J174" s="33"/>
      <c r="K174" s="33"/>
      <c r="L174" s="33"/>
      <c r="M174" s="33"/>
      <c r="N174" s="33"/>
      <c r="O174" s="33"/>
      <c r="P174" s="33"/>
      <c r="Q174" s="33"/>
      <c r="R174" s="33"/>
      <c r="S174" s="33"/>
    </row>
    <row r="175" spans="2:19">
      <c r="B175" s="33"/>
      <c r="C175" s="33"/>
      <c r="D175" s="33"/>
      <c r="E175" s="33"/>
      <c r="F175" s="33"/>
      <c r="G175" s="33"/>
      <c r="H175" s="33"/>
      <c r="I175" s="33"/>
      <c r="J175" s="33"/>
      <c r="K175" s="33"/>
      <c r="L175" s="33"/>
      <c r="M175" s="33"/>
      <c r="N175" s="33"/>
      <c r="O175" s="33"/>
      <c r="P175" s="33"/>
      <c r="Q175" s="33"/>
      <c r="R175" s="33"/>
      <c r="S175" s="33"/>
    </row>
    <row r="176" spans="2:19">
      <c r="B176" s="33"/>
      <c r="C176" s="33"/>
      <c r="D176" s="33"/>
      <c r="E176" s="33"/>
      <c r="F176" s="33"/>
      <c r="G176" s="33"/>
      <c r="H176" s="33"/>
      <c r="I176" s="33"/>
      <c r="J176" s="33"/>
      <c r="K176" s="33"/>
      <c r="L176" s="33"/>
      <c r="M176" s="33"/>
      <c r="N176" s="33"/>
      <c r="O176" s="33"/>
      <c r="P176" s="33"/>
      <c r="Q176" s="33"/>
      <c r="R176" s="33"/>
      <c r="S176" s="33"/>
    </row>
    <row r="177" spans="2:19">
      <c r="B177" s="33"/>
      <c r="C177" s="33"/>
      <c r="D177" s="33"/>
      <c r="E177" s="33"/>
      <c r="F177" s="33"/>
      <c r="G177" s="33"/>
      <c r="H177" s="33"/>
      <c r="I177" s="33"/>
      <c r="J177" s="33"/>
      <c r="K177" s="33"/>
      <c r="L177" s="33"/>
      <c r="M177" s="33"/>
      <c r="N177" s="33"/>
      <c r="O177" s="33"/>
      <c r="P177" s="33"/>
      <c r="Q177" s="33"/>
      <c r="R177" s="33"/>
      <c r="S177" s="33"/>
    </row>
    <row r="178" spans="2:19">
      <c r="B178" s="33"/>
      <c r="C178" s="33"/>
      <c r="D178" s="33"/>
      <c r="E178" s="33"/>
      <c r="F178" s="33"/>
      <c r="G178" s="33"/>
      <c r="H178" s="33"/>
      <c r="I178" s="33"/>
      <c r="J178" s="33"/>
      <c r="K178" s="33"/>
      <c r="L178" s="33"/>
      <c r="M178" s="33"/>
      <c r="N178" s="33"/>
      <c r="O178" s="33"/>
      <c r="P178" s="33"/>
      <c r="Q178" s="33"/>
      <c r="R178" s="33"/>
      <c r="S178" s="33"/>
    </row>
    <row r="179" spans="2:19">
      <c r="B179" s="33"/>
      <c r="C179" s="33"/>
      <c r="D179" s="33"/>
      <c r="E179" s="33"/>
      <c r="F179" s="33"/>
      <c r="G179" s="33"/>
      <c r="H179" s="33"/>
      <c r="I179" s="33"/>
      <c r="J179" s="33"/>
      <c r="K179" s="33"/>
      <c r="L179" s="33"/>
      <c r="M179" s="33"/>
      <c r="N179" s="33"/>
      <c r="O179" s="33"/>
      <c r="P179" s="33"/>
      <c r="Q179" s="33"/>
      <c r="R179" s="33"/>
      <c r="S179" s="33"/>
    </row>
    <row r="180" spans="2:19">
      <c r="B180" s="33"/>
      <c r="C180" s="33"/>
      <c r="D180" s="33"/>
      <c r="E180" s="33"/>
      <c r="F180" s="33"/>
      <c r="G180" s="33"/>
      <c r="H180" s="33"/>
      <c r="I180" s="33"/>
      <c r="J180" s="33"/>
      <c r="K180" s="33"/>
      <c r="L180" s="33"/>
      <c r="M180" s="33"/>
      <c r="N180" s="33"/>
      <c r="O180" s="33"/>
      <c r="P180" s="33"/>
      <c r="Q180" s="33"/>
      <c r="R180" s="33"/>
      <c r="S180" s="33"/>
    </row>
    <row r="181" spans="2:19">
      <c r="B181" s="33"/>
      <c r="C181" s="33"/>
      <c r="D181" s="33"/>
      <c r="E181" s="33"/>
      <c r="F181" s="33"/>
      <c r="G181" s="33"/>
      <c r="H181" s="33"/>
      <c r="I181" s="33"/>
      <c r="J181" s="33"/>
      <c r="K181" s="33"/>
      <c r="L181" s="33"/>
      <c r="M181" s="33"/>
      <c r="N181" s="33"/>
      <c r="O181" s="33"/>
      <c r="P181" s="33"/>
      <c r="Q181" s="33"/>
      <c r="R181" s="33"/>
      <c r="S181" s="33"/>
    </row>
    <row r="182" spans="2:19">
      <c r="B182" s="33"/>
      <c r="C182" s="33"/>
      <c r="D182" s="33"/>
      <c r="E182" s="33"/>
      <c r="F182" s="33"/>
      <c r="G182" s="33"/>
      <c r="H182" s="33"/>
      <c r="I182" s="33"/>
      <c r="J182" s="33"/>
      <c r="K182" s="33"/>
      <c r="L182" s="33"/>
      <c r="M182" s="33"/>
      <c r="N182" s="33"/>
      <c r="O182" s="33"/>
      <c r="P182" s="33"/>
      <c r="Q182" s="33"/>
      <c r="R182" s="33"/>
      <c r="S182" s="33"/>
    </row>
    <row r="183" spans="2:19">
      <c r="B183" s="33"/>
      <c r="C183" s="33"/>
      <c r="D183" s="33"/>
      <c r="E183" s="33"/>
      <c r="F183" s="33"/>
      <c r="G183" s="33"/>
      <c r="H183" s="33"/>
      <c r="I183" s="33"/>
      <c r="J183" s="33"/>
      <c r="K183" s="33"/>
      <c r="L183" s="33"/>
      <c r="M183" s="33"/>
      <c r="N183" s="33"/>
      <c r="O183" s="33"/>
      <c r="P183" s="33"/>
      <c r="Q183" s="33"/>
      <c r="R183" s="33"/>
      <c r="S183" s="33"/>
    </row>
    <row r="184" spans="2:19">
      <c r="B184" s="33"/>
      <c r="C184" s="33"/>
      <c r="D184" s="33"/>
      <c r="E184" s="33"/>
      <c r="F184" s="33"/>
      <c r="G184" s="33"/>
      <c r="H184" s="33"/>
      <c r="I184" s="33"/>
      <c r="J184" s="33"/>
      <c r="K184" s="33"/>
      <c r="L184" s="33"/>
      <c r="M184" s="33"/>
      <c r="N184" s="33"/>
      <c r="O184" s="33"/>
      <c r="P184" s="33"/>
      <c r="Q184" s="33"/>
      <c r="R184" s="33"/>
      <c r="S184" s="33"/>
    </row>
    <row r="185" spans="2:19">
      <c r="B185" s="33"/>
      <c r="C185" s="33"/>
      <c r="D185" s="33"/>
      <c r="E185" s="33"/>
      <c r="F185" s="33"/>
      <c r="G185" s="33"/>
      <c r="H185" s="33"/>
      <c r="I185" s="33"/>
      <c r="J185" s="33"/>
      <c r="K185" s="33"/>
      <c r="L185" s="33"/>
      <c r="M185" s="33"/>
      <c r="N185" s="33"/>
      <c r="O185" s="33"/>
      <c r="P185" s="33"/>
      <c r="Q185" s="33"/>
      <c r="R185" s="33"/>
      <c r="S185" s="33"/>
    </row>
    <row r="186" spans="2:19">
      <c r="B186" s="33"/>
      <c r="C186" s="33"/>
      <c r="D186" s="33"/>
      <c r="E186" s="33"/>
      <c r="F186" s="33"/>
      <c r="G186" s="33"/>
      <c r="H186" s="33"/>
      <c r="I186" s="33"/>
      <c r="J186" s="33"/>
      <c r="K186" s="33"/>
      <c r="L186" s="33"/>
      <c r="M186" s="33"/>
      <c r="N186" s="33"/>
      <c r="O186" s="33"/>
      <c r="P186" s="33"/>
      <c r="Q186" s="33"/>
      <c r="R186" s="33"/>
      <c r="S186" s="33"/>
    </row>
    <row r="187" spans="2:19">
      <c r="B187" s="33"/>
      <c r="C187" s="33"/>
      <c r="D187" s="33"/>
      <c r="E187" s="33"/>
      <c r="F187" s="33"/>
      <c r="G187" s="33"/>
      <c r="H187" s="33"/>
      <c r="I187" s="33"/>
      <c r="J187" s="33"/>
      <c r="K187" s="33"/>
      <c r="L187" s="33"/>
      <c r="M187" s="33"/>
      <c r="N187" s="33"/>
      <c r="O187" s="33"/>
      <c r="P187" s="33"/>
      <c r="Q187" s="33"/>
      <c r="R187" s="33"/>
      <c r="S187" s="33"/>
    </row>
    <row r="188" spans="2:19">
      <c r="B188" s="33"/>
      <c r="C188" s="33"/>
      <c r="D188" s="33"/>
      <c r="E188" s="33"/>
      <c r="F188" s="33"/>
      <c r="G188" s="33"/>
      <c r="H188" s="33"/>
      <c r="I188" s="33"/>
      <c r="J188" s="33"/>
      <c r="K188" s="33"/>
      <c r="L188" s="33"/>
      <c r="M188" s="33"/>
      <c r="N188" s="33"/>
      <c r="O188" s="33"/>
      <c r="P188" s="33"/>
      <c r="Q188" s="33"/>
      <c r="R188" s="33"/>
      <c r="S188" s="33"/>
    </row>
    <row r="189" spans="2:19">
      <c r="B189" s="33"/>
      <c r="C189" s="33"/>
      <c r="D189" s="33"/>
      <c r="E189" s="33"/>
      <c r="F189" s="33"/>
      <c r="G189" s="33"/>
      <c r="H189" s="33"/>
      <c r="I189" s="33"/>
      <c r="J189" s="33"/>
      <c r="K189" s="33"/>
      <c r="L189" s="33"/>
      <c r="M189" s="33"/>
      <c r="N189" s="33"/>
      <c r="O189" s="33"/>
      <c r="P189" s="33"/>
      <c r="Q189" s="33"/>
      <c r="R189" s="33"/>
      <c r="S189" s="33"/>
    </row>
    <row r="190" spans="2:19">
      <c r="B190" s="33"/>
      <c r="C190" s="33"/>
      <c r="D190" s="33"/>
      <c r="E190" s="33"/>
      <c r="F190" s="33"/>
      <c r="G190" s="33"/>
      <c r="H190" s="33"/>
      <c r="I190" s="33"/>
      <c r="J190" s="33"/>
      <c r="K190" s="33"/>
      <c r="L190" s="33"/>
      <c r="M190" s="33"/>
      <c r="N190" s="33"/>
      <c r="O190" s="33"/>
      <c r="P190" s="33"/>
      <c r="Q190" s="33"/>
      <c r="R190" s="33"/>
      <c r="S190" s="33"/>
    </row>
    <row r="191" spans="2:19">
      <c r="B191" s="33"/>
      <c r="C191" s="33"/>
      <c r="D191" s="33"/>
      <c r="E191" s="33"/>
      <c r="F191" s="33"/>
      <c r="G191" s="33"/>
      <c r="H191" s="33"/>
      <c r="I191" s="33"/>
      <c r="J191" s="33"/>
      <c r="K191" s="33"/>
      <c r="L191" s="33"/>
      <c r="M191" s="33"/>
      <c r="N191" s="33"/>
      <c r="O191" s="33"/>
      <c r="P191" s="33"/>
      <c r="Q191" s="33"/>
      <c r="R191" s="33"/>
      <c r="S191" s="33"/>
    </row>
    <row r="192" spans="2:19">
      <c r="B192" s="33"/>
      <c r="C192" s="33"/>
      <c r="D192" s="33"/>
      <c r="E192" s="33"/>
      <c r="F192" s="33"/>
      <c r="G192" s="33"/>
      <c r="H192" s="33"/>
      <c r="I192" s="33"/>
      <c r="J192" s="33"/>
      <c r="K192" s="33"/>
      <c r="L192" s="33"/>
      <c r="M192" s="33"/>
      <c r="N192" s="33"/>
      <c r="O192" s="33"/>
      <c r="P192" s="33"/>
      <c r="Q192" s="33"/>
      <c r="R192" s="33"/>
      <c r="S192" s="33"/>
    </row>
    <row r="193" spans="2:19">
      <c r="B193" s="33"/>
      <c r="C193" s="33"/>
      <c r="D193" s="33"/>
      <c r="E193" s="33"/>
      <c r="F193" s="33"/>
      <c r="G193" s="33"/>
      <c r="H193" s="33"/>
      <c r="I193" s="33"/>
      <c r="J193" s="33"/>
      <c r="K193" s="33"/>
      <c r="L193" s="33"/>
      <c r="M193" s="33"/>
      <c r="N193" s="33"/>
      <c r="O193" s="33"/>
      <c r="P193" s="33"/>
      <c r="Q193" s="33"/>
      <c r="R193" s="33"/>
      <c r="S193" s="33"/>
    </row>
    <row r="194" spans="2:19">
      <c r="B194" s="33"/>
      <c r="C194" s="33"/>
      <c r="D194" s="33"/>
      <c r="E194" s="33"/>
      <c r="F194" s="33"/>
      <c r="G194" s="33"/>
      <c r="H194" s="33"/>
      <c r="I194" s="33"/>
      <c r="J194" s="33"/>
      <c r="K194" s="33"/>
      <c r="L194" s="33"/>
      <c r="M194" s="33"/>
      <c r="N194" s="33"/>
      <c r="O194" s="33"/>
      <c r="P194" s="33"/>
      <c r="Q194" s="33"/>
      <c r="R194" s="33"/>
      <c r="S194" s="33"/>
    </row>
    <row r="195" spans="2:19">
      <c r="B195" s="33"/>
      <c r="C195" s="33"/>
      <c r="D195" s="33"/>
      <c r="E195" s="33"/>
      <c r="F195" s="33"/>
      <c r="G195" s="33"/>
      <c r="H195" s="33"/>
      <c r="I195" s="33"/>
      <c r="J195" s="33"/>
      <c r="K195" s="33"/>
      <c r="L195" s="33"/>
      <c r="M195" s="33"/>
      <c r="N195" s="33"/>
      <c r="O195" s="33"/>
      <c r="P195" s="33"/>
      <c r="Q195" s="33"/>
      <c r="R195" s="33"/>
      <c r="S195" s="33"/>
    </row>
    <row r="196" spans="2:19">
      <c r="B196" s="33"/>
      <c r="C196" s="33"/>
      <c r="D196" s="33"/>
      <c r="E196" s="33"/>
      <c r="F196" s="33"/>
      <c r="G196" s="33"/>
      <c r="H196" s="33"/>
      <c r="I196" s="33"/>
      <c r="J196" s="33"/>
      <c r="K196" s="33"/>
      <c r="L196" s="33"/>
      <c r="M196" s="33"/>
      <c r="N196" s="33"/>
      <c r="O196" s="33"/>
      <c r="P196" s="33"/>
      <c r="Q196" s="33"/>
      <c r="R196" s="33"/>
      <c r="S196" s="33"/>
    </row>
    <row r="197" spans="2:19">
      <c r="B197" s="33"/>
      <c r="C197" s="33"/>
      <c r="D197" s="33"/>
      <c r="E197" s="33"/>
      <c r="F197" s="33"/>
      <c r="G197" s="33"/>
      <c r="H197" s="33"/>
      <c r="I197" s="33"/>
      <c r="J197" s="33"/>
      <c r="K197" s="33"/>
      <c r="L197" s="33"/>
      <c r="M197" s="33"/>
      <c r="N197" s="33"/>
      <c r="O197" s="33"/>
      <c r="P197" s="33"/>
      <c r="Q197" s="33"/>
      <c r="R197" s="33"/>
      <c r="S197" s="33"/>
    </row>
    <row r="198" spans="2:19">
      <c r="B198" s="33"/>
      <c r="C198" s="33"/>
      <c r="D198" s="33"/>
      <c r="E198" s="33"/>
      <c r="F198" s="33"/>
      <c r="G198" s="33"/>
      <c r="H198" s="33"/>
      <c r="I198" s="33"/>
      <c r="J198" s="33"/>
      <c r="K198" s="33"/>
      <c r="L198" s="33"/>
      <c r="M198" s="33"/>
      <c r="N198" s="33"/>
      <c r="O198" s="33"/>
      <c r="P198" s="33"/>
      <c r="Q198" s="33"/>
      <c r="R198" s="33"/>
      <c r="S198" s="33"/>
    </row>
    <row r="199" spans="2:19">
      <c r="B199" s="33"/>
      <c r="C199" s="33"/>
      <c r="D199" s="33"/>
      <c r="E199" s="33"/>
      <c r="F199" s="33"/>
      <c r="G199" s="33"/>
      <c r="H199" s="33"/>
      <c r="I199" s="33"/>
      <c r="J199" s="33"/>
      <c r="K199" s="33"/>
      <c r="L199" s="33"/>
      <c r="M199" s="33"/>
      <c r="N199" s="33"/>
      <c r="O199" s="33"/>
      <c r="P199" s="33"/>
      <c r="Q199" s="33"/>
      <c r="R199" s="33"/>
      <c r="S199" s="33"/>
    </row>
    <row r="200" spans="2:19">
      <c r="B200" s="33"/>
      <c r="C200" s="33"/>
      <c r="D200" s="33"/>
      <c r="E200" s="33"/>
      <c r="F200" s="33"/>
      <c r="G200" s="33"/>
      <c r="H200" s="33"/>
      <c r="I200" s="33"/>
      <c r="J200" s="33"/>
      <c r="K200" s="33"/>
      <c r="L200" s="33"/>
      <c r="M200" s="33"/>
      <c r="N200" s="33"/>
      <c r="O200" s="33"/>
      <c r="P200" s="33"/>
      <c r="Q200" s="33"/>
      <c r="R200" s="33"/>
      <c r="S200" s="33"/>
    </row>
    <row r="201" spans="2:19">
      <c r="B201" s="33"/>
      <c r="C201" s="33"/>
      <c r="D201" s="33"/>
      <c r="E201" s="33"/>
      <c r="F201" s="33"/>
      <c r="G201" s="33"/>
      <c r="H201" s="33"/>
      <c r="I201" s="33"/>
      <c r="J201" s="33"/>
      <c r="K201" s="33"/>
      <c r="L201" s="33"/>
      <c r="M201" s="33"/>
      <c r="N201" s="33"/>
      <c r="O201" s="33"/>
      <c r="P201" s="33"/>
      <c r="Q201" s="33"/>
      <c r="R201" s="33"/>
      <c r="S201" s="33"/>
    </row>
    <row r="202" spans="2:19">
      <c r="B202" s="33"/>
      <c r="C202" s="33"/>
      <c r="D202" s="33"/>
      <c r="E202" s="33"/>
      <c r="F202" s="33"/>
      <c r="G202" s="33"/>
      <c r="H202" s="33"/>
      <c r="I202" s="33"/>
      <c r="J202" s="33"/>
      <c r="K202" s="33"/>
      <c r="L202" s="33"/>
      <c r="M202" s="33"/>
      <c r="N202" s="33"/>
      <c r="O202" s="33"/>
      <c r="P202" s="33"/>
      <c r="Q202" s="33"/>
      <c r="R202" s="33"/>
      <c r="S202" s="33"/>
    </row>
    <row r="203" spans="2:19">
      <c r="B203" s="33"/>
      <c r="C203" s="33"/>
      <c r="D203" s="33"/>
      <c r="E203" s="33"/>
      <c r="F203" s="33"/>
      <c r="G203" s="33"/>
      <c r="H203" s="33"/>
      <c r="I203" s="33"/>
      <c r="J203" s="33"/>
      <c r="K203" s="33"/>
      <c r="L203" s="33"/>
      <c r="M203" s="33"/>
      <c r="N203" s="33"/>
      <c r="O203" s="33"/>
      <c r="P203" s="33"/>
      <c r="Q203" s="33"/>
      <c r="R203" s="33"/>
      <c r="S203" s="33"/>
    </row>
    <row r="204" spans="2:19">
      <c r="B204" s="33"/>
      <c r="C204" s="33"/>
      <c r="D204" s="33"/>
      <c r="E204" s="33"/>
      <c r="F204" s="33"/>
      <c r="G204" s="33"/>
      <c r="H204" s="33"/>
      <c r="I204" s="33"/>
      <c r="J204" s="33"/>
      <c r="K204" s="33"/>
      <c r="L204" s="33"/>
      <c r="M204" s="33"/>
      <c r="N204" s="33"/>
      <c r="O204" s="33"/>
      <c r="P204" s="33"/>
      <c r="Q204" s="33"/>
      <c r="R204" s="33"/>
      <c r="S204" s="33"/>
    </row>
    <row r="205" spans="2:19">
      <c r="B205" s="33"/>
      <c r="C205" s="33"/>
      <c r="D205" s="33"/>
      <c r="E205" s="33"/>
      <c r="F205" s="33"/>
      <c r="G205" s="33"/>
      <c r="H205" s="33"/>
      <c r="I205" s="33"/>
      <c r="J205" s="33"/>
      <c r="K205" s="33"/>
      <c r="L205" s="33"/>
      <c r="M205" s="33"/>
      <c r="N205" s="33"/>
      <c r="O205" s="33"/>
      <c r="P205" s="33"/>
      <c r="Q205" s="33"/>
      <c r="R205" s="33"/>
      <c r="S205" s="33"/>
    </row>
  </sheetData>
  <hyperlinks>
    <hyperlink ref="T8" r:id="rId1" xr:uid="{00000000-0004-0000-0600-000000000000}"/>
    <hyperlink ref="T9" r:id="rId2" xr:uid="{00000000-0004-0000-0600-000001000000}"/>
    <hyperlink ref="T10" r:id="rId3" xr:uid="{00000000-0004-0000-0600-000002000000}"/>
    <hyperlink ref="T11" r:id="rId4" xr:uid="{00000000-0004-0000-0600-000003000000}"/>
    <hyperlink ref="T12" r:id="rId5" xr:uid="{00000000-0004-0000-0600-000004000000}"/>
    <hyperlink ref="T13" r:id="rId6" xr:uid="{00000000-0004-0000-0600-000005000000}"/>
    <hyperlink ref="T14" r:id="rId7" xr:uid="{00000000-0004-0000-0600-000006000000}"/>
    <hyperlink ref="T15" r:id="rId8" xr:uid="{00000000-0004-0000-0600-000007000000}"/>
    <hyperlink ref="T16" r:id="rId9" xr:uid="{00000000-0004-0000-0600-000008000000}"/>
    <hyperlink ref="T17" r:id="rId10" xr:uid="{00000000-0004-0000-0600-000009000000}"/>
    <hyperlink ref="T18" r:id="rId11" xr:uid="{00000000-0004-0000-0600-00000A000000}"/>
    <hyperlink ref="T19" r:id="rId12" xr:uid="{00000000-0004-0000-0600-00000B000000}"/>
    <hyperlink ref="T20" r:id="rId13" xr:uid="{00000000-0004-0000-0600-00000C000000}"/>
    <hyperlink ref="T21" r:id="rId14" xr:uid="{00000000-0004-0000-0600-00000D000000}"/>
    <hyperlink ref="T22" r:id="rId15" xr:uid="{00000000-0004-0000-0600-00000E000000}"/>
    <hyperlink ref="T23" r:id="rId16" xr:uid="{00000000-0004-0000-0600-00000F000000}"/>
    <hyperlink ref="T24" r:id="rId17" xr:uid="{00000000-0004-0000-0600-000010000000}"/>
    <hyperlink ref="T25" r:id="rId18" xr:uid="{00000000-0004-0000-0600-000011000000}"/>
    <hyperlink ref="T26" r:id="rId19" xr:uid="{00000000-0004-0000-0600-000012000000}"/>
    <hyperlink ref="T27" r:id="rId20" xr:uid="{00000000-0004-0000-0600-000013000000}"/>
    <hyperlink ref="T28" r:id="rId21" xr:uid="{00000000-0004-0000-0600-000014000000}"/>
    <hyperlink ref="T29" r:id="rId22" xr:uid="{00000000-0004-0000-0600-000015000000}"/>
    <hyperlink ref="T30" r:id="rId23" xr:uid="{00000000-0004-0000-0600-000016000000}"/>
    <hyperlink ref="T31" r:id="rId24" xr:uid="{00000000-0004-0000-0600-000017000000}"/>
    <hyperlink ref="T32" r:id="rId25" xr:uid="{00000000-0004-0000-0600-000018000000}"/>
    <hyperlink ref="T33" r:id="rId26" xr:uid="{00000000-0004-0000-0600-000019000000}"/>
    <hyperlink ref="T34" r:id="rId27" xr:uid="{00000000-0004-0000-0600-00001A000000}"/>
    <hyperlink ref="T35" r:id="rId28" xr:uid="{00000000-0004-0000-0600-00001B000000}"/>
    <hyperlink ref="T36" r:id="rId29" xr:uid="{00000000-0004-0000-0600-00001C000000}"/>
    <hyperlink ref="T37" r:id="rId30" xr:uid="{00000000-0004-0000-0600-00001D000000}"/>
    <hyperlink ref="T38" r:id="rId31" xr:uid="{00000000-0004-0000-0600-00001E000000}"/>
    <hyperlink ref="T39" r:id="rId32" xr:uid="{00000000-0004-0000-0600-00001F000000}"/>
    <hyperlink ref="T40" r:id="rId33" xr:uid="{00000000-0004-0000-0600-000020000000}"/>
    <hyperlink ref="T41" r:id="rId34" xr:uid="{00000000-0004-0000-0600-000021000000}"/>
    <hyperlink ref="T42" r:id="rId35" xr:uid="{00000000-0004-0000-0600-000022000000}"/>
    <hyperlink ref="T43" r:id="rId36" xr:uid="{00000000-0004-0000-0600-000023000000}"/>
    <hyperlink ref="T44" r:id="rId37" xr:uid="{00000000-0004-0000-0600-000024000000}"/>
    <hyperlink ref="T45" r:id="rId38" xr:uid="{00000000-0004-0000-0600-000025000000}"/>
    <hyperlink ref="T46" r:id="rId39" xr:uid="{00000000-0004-0000-0600-000026000000}"/>
    <hyperlink ref="T47" r:id="rId40" xr:uid="{00000000-0004-0000-0600-000027000000}"/>
    <hyperlink ref="T48" r:id="rId41" xr:uid="{00000000-0004-0000-0600-000028000000}"/>
    <hyperlink ref="T49" r:id="rId42" xr:uid="{00000000-0004-0000-0600-000029000000}"/>
    <hyperlink ref="T50" r:id="rId43" xr:uid="{00000000-0004-0000-0600-00002A000000}"/>
    <hyperlink ref="T51" r:id="rId44" xr:uid="{00000000-0004-0000-0600-00002B000000}"/>
    <hyperlink ref="T52" r:id="rId45" xr:uid="{00000000-0004-0000-0600-00002C000000}"/>
    <hyperlink ref="T53" r:id="rId46" xr:uid="{00000000-0004-0000-0600-00002D000000}"/>
    <hyperlink ref="T54" r:id="rId47" xr:uid="{00000000-0004-0000-0600-00002E000000}"/>
    <hyperlink ref="T55" r:id="rId48" xr:uid="{00000000-0004-0000-0600-00002F000000}"/>
    <hyperlink ref="T56" r:id="rId49" xr:uid="{00000000-0004-0000-0600-000030000000}"/>
    <hyperlink ref="T57" r:id="rId50" xr:uid="{00000000-0004-0000-0600-000031000000}"/>
    <hyperlink ref="T58" r:id="rId51" xr:uid="{00000000-0004-0000-0600-000032000000}"/>
    <hyperlink ref="T59" r:id="rId52" xr:uid="{00000000-0004-0000-0600-000033000000}"/>
    <hyperlink ref="T60" r:id="rId53" xr:uid="{00000000-0004-0000-0600-000034000000}"/>
    <hyperlink ref="T61" r:id="rId54" xr:uid="{00000000-0004-0000-0600-000035000000}"/>
    <hyperlink ref="T62" r:id="rId55" xr:uid="{00000000-0004-0000-0600-000036000000}"/>
    <hyperlink ref="T63" r:id="rId56" xr:uid="{00000000-0004-0000-0600-000037000000}"/>
    <hyperlink ref="T64" r:id="rId57" xr:uid="{00000000-0004-0000-0600-000038000000}"/>
    <hyperlink ref="T65" r:id="rId58" xr:uid="{00000000-0004-0000-0600-000039000000}"/>
    <hyperlink ref="T66" r:id="rId59" xr:uid="{00000000-0004-0000-0600-00003A000000}"/>
    <hyperlink ref="T67" r:id="rId60" xr:uid="{00000000-0004-0000-0600-00003B000000}"/>
    <hyperlink ref="T68" r:id="rId61" xr:uid="{00000000-0004-0000-0600-00003C000000}"/>
    <hyperlink ref="T69" r:id="rId62" xr:uid="{00000000-0004-0000-0600-00003D000000}"/>
    <hyperlink ref="T70" r:id="rId63" xr:uid="{00000000-0004-0000-0600-00003E000000}"/>
    <hyperlink ref="T71" r:id="rId64" xr:uid="{00000000-0004-0000-0600-00003F000000}"/>
    <hyperlink ref="T72" r:id="rId65" xr:uid="{00000000-0004-0000-0600-000040000000}"/>
    <hyperlink ref="T73" r:id="rId66" xr:uid="{00000000-0004-0000-0600-000041000000}"/>
    <hyperlink ref="T74" r:id="rId67" xr:uid="{00000000-0004-0000-0600-000042000000}"/>
    <hyperlink ref="T75" r:id="rId68" xr:uid="{00000000-0004-0000-0600-000043000000}"/>
    <hyperlink ref="T76" r:id="rId69" xr:uid="{00000000-0004-0000-0600-000044000000}"/>
    <hyperlink ref="T77" r:id="rId70" xr:uid="{00000000-0004-0000-0600-000045000000}"/>
    <hyperlink ref="T78" r:id="rId71" xr:uid="{00000000-0004-0000-0600-000046000000}"/>
    <hyperlink ref="T79" r:id="rId72" xr:uid="{00000000-0004-0000-0600-000047000000}"/>
    <hyperlink ref="T80" r:id="rId73" xr:uid="{00000000-0004-0000-0600-000048000000}"/>
    <hyperlink ref="T81" r:id="rId74" xr:uid="{00000000-0004-0000-0600-000049000000}"/>
    <hyperlink ref="T82" r:id="rId75" xr:uid="{00000000-0004-0000-0600-00004A000000}"/>
    <hyperlink ref="T83" r:id="rId76" xr:uid="{00000000-0004-0000-0600-00004B000000}"/>
    <hyperlink ref="T84" r:id="rId77" xr:uid="{00000000-0004-0000-0600-00004C000000}"/>
    <hyperlink ref="T85" r:id="rId78" xr:uid="{00000000-0004-0000-0600-00004D000000}"/>
    <hyperlink ref="T86" r:id="rId79" xr:uid="{00000000-0004-0000-0600-00004E000000}"/>
    <hyperlink ref="T87" r:id="rId80" xr:uid="{00000000-0004-0000-0600-00004F000000}"/>
    <hyperlink ref="T88" r:id="rId81" xr:uid="{00000000-0004-0000-0600-000050000000}"/>
    <hyperlink ref="T89" r:id="rId82" xr:uid="{00000000-0004-0000-0600-000051000000}"/>
    <hyperlink ref="T90" r:id="rId83" xr:uid="{00000000-0004-0000-0600-000052000000}"/>
    <hyperlink ref="T91" r:id="rId84" xr:uid="{00000000-0004-0000-0600-000053000000}"/>
    <hyperlink ref="T92" r:id="rId85" xr:uid="{00000000-0004-0000-0600-000054000000}"/>
    <hyperlink ref="T93" r:id="rId86" xr:uid="{00000000-0004-0000-0600-000055000000}"/>
    <hyperlink ref="T94" r:id="rId87" xr:uid="{00000000-0004-0000-0600-000056000000}"/>
    <hyperlink ref="T95" r:id="rId88" xr:uid="{00000000-0004-0000-0600-000057000000}"/>
    <hyperlink ref="T96" r:id="rId89" xr:uid="{00000000-0004-0000-0600-000058000000}"/>
    <hyperlink ref="T97" r:id="rId90" xr:uid="{00000000-0004-0000-0600-000059000000}"/>
    <hyperlink ref="T98" r:id="rId91" xr:uid="{00000000-0004-0000-0600-00005A000000}"/>
    <hyperlink ref="T99" r:id="rId92" xr:uid="{00000000-0004-0000-0600-00005B000000}"/>
    <hyperlink ref="T100" r:id="rId93" xr:uid="{00000000-0004-0000-0600-00005C000000}"/>
    <hyperlink ref="T101" r:id="rId94" xr:uid="{00000000-0004-0000-0600-00005D000000}"/>
    <hyperlink ref="T102" r:id="rId95" xr:uid="{00000000-0004-0000-0600-00005E000000}"/>
    <hyperlink ref="T103" r:id="rId96" xr:uid="{00000000-0004-0000-0600-00005F000000}"/>
    <hyperlink ref="T104" r:id="rId97" xr:uid="{00000000-0004-0000-0600-000060000000}"/>
    <hyperlink ref="T105" r:id="rId98" xr:uid="{00000000-0004-0000-0600-000061000000}"/>
    <hyperlink ref="T106" r:id="rId99" xr:uid="{00000000-0004-0000-0600-000062000000}"/>
    <hyperlink ref="T107" r:id="rId100" xr:uid="{00000000-0004-0000-0600-000063000000}"/>
    <hyperlink ref="T108" r:id="rId101" xr:uid="{00000000-0004-0000-0600-000064000000}"/>
    <hyperlink ref="T109" r:id="rId102" xr:uid="{00000000-0004-0000-0600-000065000000}"/>
    <hyperlink ref="T110" r:id="rId103" xr:uid="{00000000-0004-0000-0600-000066000000}"/>
    <hyperlink ref="T111" r:id="rId104" xr:uid="{00000000-0004-0000-0600-000067000000}"/>
    <hyperlink ref="T112" r:id="rId105" xr:uid="{00000000-0004-0000-0600-000068000000}"/>
    <hyperlink ref="T113" r:id="rId106" xr:uid="{00000000-0004-0000-0600-000069000000}"/>
    <hyperlink ref="T114" r:id="rId107" xr:uid="{00000000-0004-0000-0600-00006A000000}"/>
    <hyperlink ref="T115" r:id="rId108" xr:uid="{00000000-0004-0000-0600-00006B000000}"/>
    <hyperlink ref="T116" r:id="rId109" xr:uid="{00000000-0004-0000-0600-00006C000000}"/>
    <hyperlink ref="T117" r:id="rId110" xr:uid="{00000000-0004-0000-0600-00006D000000}"/>
    <hyperlink ref="T118" r:id="rId111" xr:uid="{00000000-0004-0000-0600-00006E000000}"/>
    <hyperlink ref="T119" r:id="rId112" xr:uid="{00000000-0004-0000-0600-00006F000000}"/>
    <hyperlink ref="T120" r:id="rId113" xr:uid="{00000000-0004-0000-0600-000070000000}"/>
    <hyperlink ref="T121" r:id="rId114" xr:uid="{00000000-0004-0000-0600-000071000000}"/>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Z130"/>
  <sheetViews>
    <sheetView workbookViewId="0" xr3:uid="{85D5C41F-068E-5C55-9968-509E7C2A5619}">
      <pane xSplit="1" ySplit="5" topLeftCell="B6" activePane="bottomRight" state="frozen"/>
      <selection pane="bottomRight" activeCell="B18" sqref="B18"/>
      <selection pane="bottomLeft" activeCell="A6" sqref="A6"/>
      <selection pane="topRight" activeCell="B1" sqref="B1"/>
    </sheetView>
  </sheetViews>
  <sheetFormatPr defaultColWidth="14.42578125" defaultRowHeight="12.75" customHeight="1"/>
  <cols>
    <col min="1" max="1" width="25.85546875" customWidth="1"/>
    <col min="2" max="2" width="9.42578125" customWidth="1"/>
    <col min="3" max="3" width="17.28515625" hidden="1" customWidth="1"/>
    <col min="4" max="5" width="9.140625" customWidth="1"/>
    <col min="6" max="6" width="8.28515625" customWidth="1"/>
    <col min="7" max="7" width="8.7109375" customWidth="1"/>
    <col min="8" max="8" width="9.140625" customWidth="1"/>
    <col min="9" max="9" width="10" customWidth="1"/>
    <col min="10" max="10" width="8.42578125" customWidth="1"/>
    <col min="11" max="11" width="9.85546875" customWidth="1"/>
    <col min="12" max="12" width="8" customWidth="1"/>
    <col min="13" max="13" width="8.42578125" customWidth="1"/>
    <col min="14" max="14" width="8.140625" customWidth="1"/>
    <col min="15" max="15" width="9.42578125" customWidth="1"/>
    <col min="16" max="16" width="6.85546875" customWidth="1"/>
    <col min="17" max="17" width="7.85546875" customWidth="1"/>
    <col min="18" max="18" width="9" customWidth="1"/>
    <col min="19" max="19" width="8.42578125" customWidth="1"/>
    <col min="20" max="20" width="8.28515625" customWidth="1"/>
    <col min="21" max="21" width="8.42578125" customWidth="1"/>
    <col min="22" max="22" width="8" customWidth="1"/>
    <col min="23" max="23" width="7.42578125" customWidth="1"/>
    <col min="24" max="24" width="8.42578125" customWidth="1"/>
    <col min="25" max="25" width="9.28515625" customWidth="1"/>
    <col min="26" max="26" width="21.28515625" customWidth="1"/>
  </cols>
  <sheetData>
    <row r="1" spans="1:26" ht="2.25" customHeight="1">
      <c r="A1" s="15" t="s">
        <v>1950</v>
      </c>
      <c r="B1" s="858"/>
      <c r="C1" s="859"/>
      <c r="D1" s="859"/>
      <c r="E1" s="859"/>
      <c r="F1" s="859"/>
      <c r="G1" s="859"/>
      <c r="H1" s="859"/>
      <c r="I1" s="859"/>
      <c r="J1" s="859"/>
      <c r="K1" s="859"/>
      <c r="L1" s="860" t="s">
        <v>1951</v>
      </c>
      <c r="M1" s="859"/>
      <c r="N1" s="859"/>
      <c r="O1" s="859"/>
      <c r="P1" s="859"/>
      <c r="Q1" s="859"/>
      <c r="R1" s="22"/>
      <c r="S1" s="22"/>
      <c r="T1" s="22"/>
      <c r="U1" s="22"/>
      <c r="V1" s="22"/>
      <c r="W1" s="22"/>
      <c r="X1" s="22"/>
      <c r="Y1" s="22"/>
      <c r="Z1" s="24"/>
    </row>
    <row r="2" spans="1:26" ht="38.25" customHeight="1">
      <c r="A2" s="26"/>
      <c r="B2" s="26" t="s">
        <v>1952</v>
      </c>
      <c r="C2" s="26" t="s">
        <v>1953</v>
      </c>
      <c r="D2" s="26" t="s">
        <v>1025</v>
      </c>
      <c r="E2" s="26" t="s">
        <v>1954</v>
      </c>
      <c r="F2" s="26" t="s">
        <v>1955</v>
      </c>
      <c r="G2" s="26" t="s">
        <v>1956</v>
      </c>
      <c r="H2" s="26" t="s">
        <v>1957</v>
      </c>
      <c r="I2" s="26" t="s">
        <v>1958</v>
      </c>
      <c r="J2" s="26" t="s">
        <v>1959</v>
      </c>
      <c r="K2" s="26" t="s">
        <v>1041</v>
      </c>
      <c r="L2" s="26" t="s">
        <v>1960</v>
      </c>
      <c r="M2" s="26" t="s">
        <v>1043</v>
      </c>
      <c r="N2" s="26" t="s">
        <v>1044</v>
      </c>
      <c r="O2" s="26" t="s">
        <v>1045</v>
      </c>
      <c r="P2" s="26" t="s">
        <v>1046</v>
      </c>
      <c r="Q2" s="26" t="s">
        <v>1680</v>
      </c>
      <c r="R2" s="26" t="s">
        <v>1961</v>
      </c>
      <c r="S2" s="26" t="s">
        <v>1390</v>
      </c>
      <c r="T2" s="26" t="s">
        <v>1962</v>
      </c>
      <c r="U2" s="26" t="s">
        <v>1050</v>
      </c>
      <c r="V2" s="26" t="s">
        <v>1054</v>
      </c>
      <c r="W2" s="26" t="s">
        <v>1963</v>
      </c>
      <c r="X2" s="26" t="s">
        <v>1057</v>
      </c>
      <c r="Y2" s="26" t="s">
        <v>1058</v>
      </c>
      <c r="Z2" s="26" t="s">
        <v>1964</v>
      </c>
    </row>
    <row r="3" spans="1:26" ht="25.5" customHeight="1">
      <c r="A3" s="5" t="s">
        <v>1854</v>
      </c>
      <c r="B3" s="5">
        <v>0.94259999999999999</v>
      </c>
      <c r="C3" s="645"/>
      <c r="D3" s="5">
        <v>0.41799999999999998</v>
      </c>
      <c r="E3" s="5">
        <v>4.9180327868852E-2</v>
      </c>
      <c r="F3" s="5">
        <v>0.80327868852458995</v>
      </c>
      <c r="G3" s="5">
        <v>2.4590163934426E-2</v>
      </c>
      <c r="H3" s="5">
        <v>2.4590163934426E-2</v>
      </c>
      <c r="I3" s="5">
        <v>2.4590163934426E-2</v>
      </c>
      <c r="J3" s="5">
        <v>0.67213114754098002</v>
      </c>
      <c r="K3" s="5">
        <v>0.32786885245901998</v>
      </c>
      <c r="L3" s="5">
        <v>8.1967213114749991E-3</v>
      </c>
      <c r="M3" s="5">
        <v>6.5573770491803005E-2</v>
      </c>
      <c r="N3" s="5">
        <v>0.16393442622950999</v>
      </c>
      <c r="O3" s="5">
        <v>0.20491803278688001</v>
      </c>
      <c r="P3" s="5">
        <v>0.50819672131147997</v>
      </c>
      <c r="Q3" s="5">
        <v>8.1967213114753995E-2</v>
      </c>
      <c r="R3" s="5">
        <v>8.1967213114749991E-3</v>
      </c>
      <c r="S3" s="5">
        <v>0.13934426229508001</v>
      </c>
      <c r="T3" s="5">
        <v>5.7377049180328002E-2</v>
      </c>
      <c r="U3" s="5">
        <v>0.47540983606557002</v>
      </c>
      <c r="V3" s="5">
        <v>0.38524590163934003</v>
      </c>
      <c r="W3" s="5">
        <v>8.1967213114749991E-3</v>
      </c>
      <c r="X3" s="5">
        <v>0.27868852459016002</v>
      </c>
      <c r="Y3" s="5">
        <v>0.13114754098361001</v>
      </c>
      <c r="Z3" s="645"/>
    </row>
    <row r="4" spans="1:26">
      <c r="A4" s="36" t="s">
        <v>1855</v>
      </c>
      <c r="B4" s="29">
        <v>0.9</v>
      </c>
      <c r="C4" s="645"/>
      <c r="D4" s="5">
        <v>0.41699999999999998</v>
      </c>
      <c r="E4" s="5">
        <v>4.8000000000000001E-2</v>
      </c>
      <c r="F4" s="5">
        <v>0.79700000000000004</v>
      </c>
      <c r="G4" s="5">
        <v>2.1000000000000001E-2</v>
      </c>
      <c r="H4" s="5">
        <v>4.5999999999999999E-2</v>
      </c>
      <c r="I4" s="5">
        <v>5.1999999999999998E-2</v>
      </c>
      <c r="J4" s="5">
        <v>0.621</v>
      </c>
      <c r="K4" s="5">
        <v>0.32900000000000001</v>
      </c>
      <c r="L4" s="5">
        <v>0.01</v>
      </c>
      <c r="M4" s="5">
        <v>0.13600000000000001</v>
      </c>
      <c r="N4" s="5">
        <v>0.17899999999999999</v>
      </c>
      <c r="O4" s="5">
        <v>0.19800000000000001</v>
      </c>
      <c r="P4" s="5">
        <v>0.53500000000000003</v>
      </c>
      <c r="Q4" s="5">
        <v>0.126</v>
      </c>
      <c r="R4" s="5">
        <v>7.0000000000000001E-3</v>
      </c>
      <c r="S4" s="5">
        <v>0.11</v>
      </c>
      <c r="T4" s="5">
        <v>0.153</v>
      </c>
      <c r="U4" s="5">
        <v>0.375</v>
      </c>
      <c r="V4" s="5">
        <v>0.45300000000000001</v>
      </c>
      <c r="W4" s="29">
        <v>3.0000000000000001E-3</v>
      </c>
      <c r="X4" s="5">
        <v>0.24299999999999999</v>
      </c>
      <c r="Y4" s="5">
        <v>0.20300000000000001</v>
      </c>
      <c r="Z4" s="645"/>
    </row>
    <row r="5" spans="1:26" ht="25.5" customHeight="1" thickBot="1">
      <c r="A5" s="36" t="s">
        <v>1965</v>
      </c>
      <c r="B5" s="36">
        <f>SUM(B9:B130)</f>
        <v>115</v>
      </c>
      <c r="C5" s="36">
        <f>SUM(C12:C130)</f>
        <v>0</v>
      </c>
      <c r="D5" s="36">
        <f t="shared" ref="D5:V5" si="0">SUM(D9:D130)</f>
        <v>51</v>
      </c>
      <c r="E5" s="36">
        <f t="shared" si="0"/>
        <v>6</v>
      </c>
      <c r="F5" s="36">
        <f t="shared" si="0"/>
        <v>98</v>
      </c>
      <c r="G5" s="36">
        <f t="shared" si="0"/>
        <v>3</v>
      </c>
      <c r="H5" s="36">
        <f t="shared" si="0"/>
        <v>3</v>
      </c>
      <c r="I5" s="36">
        <f t="shared" si="0"/>
        <v>3</v>
      </c>
      <c r="J5" s="36">
        <f t="shared" si="0"/>
        <v>82</v>
      </c>
      <c r="K5" s="36">
        <f t="shared" si="0"/>
        <v>40</v>
      </c>
      <c r="L5" s="36">
        <f t="shared" si="0"/>
        <v>1</v>
      </c>
      <c r="M5" s="36">
        <f t="shared" si="0"/>
        <v>8</v>
      </c>
      <c r="N5" s="36">
        <f t="shared" si="0"/>
        <v>20</v>
      </c>
      <c r="O5" s="36">
        <f t="shared" si="0"/>
        <v>25</v>
      </c>
      <c r="P5" s="36">
        <f t="shared" si="0"/>
        <v>63</v>
      </c>
      <c r="Q5" s="36">
        <f t="shared" si="0"/>
        <v>10</v>
      </c>
      <c r="R5" s="36">
        <f t="shared" si="0"/>
        <v>1</v>
      </c>
      <c r="S5" s="36">
        <f t="shared" si="0"/>
        <v>17</v>
      </c>
      <c r="T5" s="36">
        <f t="shared" si="0"/>
        <v>7</v>
      </c>
      <c r="U5" s="36">
        <f t="shared" si="0"/>
        <v>58</v>
      </c>
      <c r="V5" s="36">
        <f t="shared" si="0"/>
        <v>47</v>
      </c>
      <c r="W5" s="36">
        <v>1</v>
      </c>
      <c r="X5" s="36">
        <f t="shared" ref="X5:Y5" si="1">SUM(X9:X130)</f>
        <v>34</v>
      </c>
      <c r="Y5" s="36">
        <f t="shared" si="1"/>
        <v>16</v>
      </c>
      <c r="Z5" s="36"/>
    </row>
    <row r="6" spans="1:26" s="580" customFormat="1" ht="12.75" customHeight="1">
      <c r="A6" s="582" t="s">
        <v>73</v>
      </c>
      <c r="B6" s="584"/>
      <c r="C6" s="584"/>
      <c r="D6" s="585"/>
      <c r="E6" s="584"/>
      <c r="F6" s="584"/>
      <c r="G6" s="584"/>
      <c r="H6" s="584"/>
      <c r="I6" s="584"/>
      <c r="J6" s="584"/>
      <c r="K6" s="584"/>
      <c r="L6" s="584"/>
      <c r="M6" s="584"/>
      <c r="N6" s="586"/>
      <c r="O6" s="584"/>
      <c r="P6" s="584"/>
      <c r="Q6" s="584"/>
      <c r="R6" s="586"/>
      <c r="S6" s="584"/>
      <c r="T6" s="584"/>
      <c r="U6" s="584"/>
      <c r="V6" s="586"/>
      <c r="W6" s="584"/>
      <c r="X6" s="584"/>
      <c r="Y6" s="584"/>
      <c r="Z6" s="36"/>
    </row>
    <row r="7" spans="1:26" s="580" customFormat="1" ht="12.75" customHeight="1">
      <c r="A7" s="587" t="s">
        <v>75</v>
      </c>
      <c r="B7" s="588"/>
      <c r="C7" s="588"/>
      <c r="D7" s="589"/>
      <c r="E7" s="588"/>
      <c r="F7" s="588"/>
      <c r="G7" s="588"/>
      <c r="H7" s="588"/>
      <c r="I7" s="588"/>
      <c r="J7" s="588"/>
      <c r="K7" s="588"/>
      <c r="L7" s="588"/>
      <c r="M7" s="588"/>
      <c r="N7" s="589"/>
      <c r="O7" s="588"/>
      <c r="P7" s="588"/>
      <c r="Q7" s="588"/>
      <c r="R7" s="589"/>
      <c r="S7" s="588"/>
      <c r="T7" s="588"/>
      <c r="U7" s="588"/>
      <c r="V7" s="589"/>
      <c r="W7" s="588"/>
      <c r="X7" s="588"/>
      <c r="Y7" s="588"/>
      <c r="Z7" s="36"/>
    </row>
    <row r="8" spans="1:26" s="580" customFormat="1" ht="12.75" customHeight="1">
      <c r="A8" s="590" t="s">
        <v>77</v>
      </c>
      <c r="B8" s="591"/>
      <c r="C8" s="591"/>
      <c r="D8" s="591"/>
      <c r="E8" s="591"/>
      <c r="F8" s="591"/>
      <c r="G8" s="591"/>
      <c r="H8" s="591"/>
      <c r="I8" s="591"/>
      <c r="J8" s="591"/>
      <c r="K8" s="591"/>
      <c r="L8" s="591"/>
      <c r="M8" s="591"/>
      <c r="N8" s="591"/>
      <c r="O8" s="591"/>
      <c r="P8" s="591"/>
      <c r="Q8" s="591"/>
      <c r="R8" s="591"/>
      <c r="S8" s="591"/>
      <c r="T8" s="591"/>
      <c r="U8" s="591"/>
      <c r="V8" s="591"/>
      <c r="W8" s="591"/>
      <c r="X8" s="591"/>
      <c r="Y8" s="591"/>
      <c r="Z8" s="36"/>
    </row>
    <row r="9" spans="1:26">
      <c r="A9" s="125" t="s">
        <v>1404</v>
      </c>
      <c r="B9" s="125">
        <v>1</v>
      </c>
      <c r="C9" s="645"/>
      <c r="D9" s="645"/>
      <c r="E9" s="645"/>
      <c r="F9" s="125">
        <v>1</v>
      </c>
      <c r="G9" s="645"/>
      <c r="H9" s="645"/>
      <c r="I9" s="645"/>
      <c r="J9" s="125">
        <v>1</v>
      </c>
      <c r="K9" s="645"/>
      <c r="L9" s="645"/>
      <c r="M9" s="645"/>
      <c r="N9" s="645"/>
      <c r="O9" s="645"/>
      <c r="P9" s="645"/>
      <c r="Q9" s="645"/>
      <c r="R9" s="645"/>
      <c r="S9" s="645"/>
      <c r="T9" s="645"/>
      <c r="U9" s="125">
        <v>1</v>
      </c>
      <c r="V9" s="645"/>
      <c r="W9" s="645"/>
      <c r="X9" s="125">
        <v>1</v>
      </c>
      <c r="Y9" s="645"/>
      <c r="Z9" s="11" t="s">
        <v>1966</v>
      </c>
    </row>
    <row r="10" spans="1:26">
      <c r="A10" s="125" t="s">
        <v>101</v>
      </c>
      <c r="B10" s="125">
        <v>1</v>
      </c>
      <c r="C10" s="645"/>
      <c r="D10" s="125">
        <v>1</v>
      </c>
      <c r="E10" s="645"/>
      <c r="F10" s="125">
        <v>1</v>
      </c>
      <c r="G10" s="645"/>
      <c r="H10" s="645"/>
      <c r="I10" s="645"/>
      <c r="J10" s="125">
        <v>1</v>
      </c>
      <c r="K10" s="645"/>
      <c r="L10" s="645"/>
      <c r="M10" s="645"/>
      <c r="N10" s="645"/>
      <c r="O10" s="645"/>
      <c r="P10" s="645"/>
      <c r="Q10" s="645"/>
      <c r="R10" s="645"/>
      <c r="S10" s="645"/>
      <c r="T10" s="645"/>
      <c r="U10" s="645"/>
      <c r="V10" s="645"/>
      <c r="W10" s="645"/>
      <c r="X10" s="645"/>
      <c r="Y10" s="645"/>
      <c r="Z10" s="11" t="s">
        <v>1967</v>
      </c>
    </row>
    <row r="11" spans="1:26">
      <c r="A11" s="125" t="s">
        <v>110</v>
      </c>
      <c r="B11" s="125">
        <v>1</v>
      </c>
      <c r="C11" s="645"/>
      <c r="D11" s="645"/>
      <c r="E11" s="645"/>
      <c r="F11" s="125">
        <v>1</v>
      </c>
      <c r="G11" s="645"/>
      <c r="H11" s="645"/>
      <c r="I11" s="645"/>
      <c r="J11" s="125">
        <v>1</v>
      </c>
      <c r="K11" s="125">
        <v>1</v>
      </c>
      <c r="L11" s="645"/>
      <c r="M11" s="645"/>
      <c r="N11" s="125">
        <v>1</v>
      </c>
      <c r="O11" s="125">
        <v>1</v>
      </c>
      <c r="P11" s="125">
        <v>1</v>
      </c>
      <c r="Q11" s="645"/>
      <c r="R11" s="645"/>
      <c r="S11" s="645"/>
      <c r="T11" s="645"/>
      <c r="U11" s="125">
        <v>1</v>
      </c>
      <c r="V11" s="645"/>
      <c r="W11" s="645"/>
      <c r="X11" s="125">
        <v>1</v>
      </c>
      <c r="Y11" s="645"/>
      <c r="Z11" s="11" t="s">
        <v>1968</v>
      </c>
    </row>
    <row r="12" spans="1:26">
      <c r="A12" s="38" t="s">
        <v>1407</v>
      </c>
      <c r="B12" s="38">
        <v>1</v>
      </c>
      <c r="C12" s="38"/>
      <c r="D12" s="38">
        <v>1</v>
      </c>
      <c r="E12" s="38">
        <v>1</v>
      </c>
      <c r="F12" s="38"/>
      <c r="G12" s="38"/>
      <c r="H12" s="38"/>
      <c r="I12" s="38"/>
      <c r="J12" s="38">
        <v>1</v>
      </c>
      <c r="K12" s="38">
        <v>1</v>
      </c>
      <c r="L12" s="38"/>
      <c r="M12" s="38"/>
      <c r="N12" s="38"/>
      <c r="O12" s="38"/>
      <c r="P12" s="38">
        <v>1</v>
      </c>
      <c r="Q12" s="38"/>
      <c r="R12" s="38"/>
      <c r="S12" s="38"/>
      <c r="T12" s="38"/>
      <c r="U12" s="38"/>
      <c r="V12" s="38">
        <v>1</v>
      </c>
      <c r="W12" s="38"/>
      <c r="X12" s="38"/>
      <c r="Y12" s="38"/>
      <c r="Z12" s="306" t="s">
        <v>1969</v>
      </c>
    </row>
    <row r="13" spans="1:26">
      <c r="A13" s="125" t="s">
        <v>1269</v>
      </c>
      <c r="B13" s="125">
        <v>1</v>
      </c>
      <c r="C13" s="645"/>
      <c r="D13" s="645"/>
      <c r="E13" s="645"/>
      <c r="F13" s="125">
        <v>1</v>
      </c>
      <c r="G13" s="645"/>
      <c r="H13" s="645"/>
      <c r="I13" s="645"/>
      <c r="J13" s="125">
        <v>1</v>
      </c>
      <c r="K13" s="645"/>
      <c r="L13" s="645"/>
      <c r="M13" s="645"/>
      <c r="N13" s="645"/>
      <c r="O13" s="645"/>
      <c r="P13" s="645"/>
      <c r="Q13" s="645"/>
      <c r="R13" s="645"/>
      <c r="S13" s="645"/>
      <c r="T13" s="645"/>
      <c r="U13" s="125">
        <v>1</v>
      </c>
      <c r="V13" s="645"/>
      <c r="W13" s="645"/>
      <c r="X13" s="645"/>
      <c r="Y13" s="645"/>
      <c r="Z13" s="11" t="s">
        <v>1970</v>
      </c>
    </row>
    <row r="14" spans="1:26" ht="25.5" customHeight="1">
      <c r="A14" s="125" t="s">
        <v>1971</v>
      </c>
      <c r="B14" s="125">
        <v>1</v>
      </c>
      <c r="C14" s="645"/>
      <c r="D14" s="645"/>
      <c r="E14" s="645"/>
      <c r="F14" s="125">
        <v>1</v>
      </c>
      <c r="G14" s="645"/>
      <c r="H14" s="645"/>
      <c r="I14" s="645"/>
      <c r="J14" s="125">
        <v>1</v>
      </c>
      <c r="K14" s="125">
        <v>1</v>
      </c>
      <c r="L14" s="645"/>
      <c r="M14" s="645"/>
      <c r="N14" s="645"/>
      <c r="O14" s="645"/>
      <c r="P14" s="645"/>
      <c r="Q14" s="645"/>
      <c r="R14" s="645"/>
      <c r="S14" s="645"/>
      <c r="T14" s="645"/>
      <c r="U14" s="125">
        <v>1</v>
      </c>
      <c r="V14" s="645"/>
      <c r="W14" s="645"/>
      <c r="X14" s="645"/>
      <c r="Y14" s="645"/>
      <c r="Z14" s="11" t="s">
        <v>1972</v>
      </c>
    </row>
    <row r="15" spans="1:26">
      <c r="A15" s="125" t="s">
        <v>120</v>
      </c>
      <c r="B15" s="125">
        <v>1</v>
      </c>
      <c r="C15" s="645"/>
      <c r="D15" s="125">
        <v>1</v>
      </c>
      <c r="E15" s="645"/>
      <c r="F15" s="125">
        <v>1</v>
      </c>
      <c r="G15" s="645"/>
      <c r="H15" s="645"/>
      <c r="I15" s="645"/>
      <c r="J15" s="125">
        <v>1</v>
      </c>
      <c r="K15" s="125">
        <v>1</v>
      </c>
      <c r="L15" s="645"/>
      <c r="M15" s="645"/>
      <c r="N15" s="645"/>
      <c r="O15" s="645"/>
      <c r="P15" s="125">
        <v>1</v>
      </c>
      <c r="Q15" s="645"/>
      <c r="R15" s="645"/>
      <c r="S15" s="645"/>
      <c r="T15" s="645"/>
      <c r="U15" s="645"/>
      <c r="V15" s="645"/>
      <c r="W15" s="645"/>
      <c r="X15" s="645"/>
      <c r="Y15" s="645"/>
      <c r="Z15" s="11" t="s">
        <v>1973</v>
      </c>
    </row>
    <row r="16" spans="1:26">
      <c r="A16" s="125" t="s">
        <v>125</v>
      </c>
      <c r="B16" s="125">
        <v>1</v>
      </c>
      <c r="C16" s="645"/>
      <c r="D16" s="645"/>
      <c r="E16" s="645"/>
      <c r="F16" s="645"/>
      <c r="G16" s="645"/>
      <c r="H16" s="645"/>
      <c r="I16" s="645"/>
      <c r="J16" s="645"/>
      <c r="K16" s="645"/>
      <c r="L16" s="645"/>
      <c r="M16" s="645"/>
      <c r="N16" s="645"/>
      <c r="O16" s="125">
        <v>1</v>
      </c>
      <c r="P16" s="645"/>
      <c r="Q16" s="645"/>
      <c r="R16" s="645"/>
      <c r="S16" s="645"/>
      <c r="T16" s="645"/>
      <c r="U16" s="125">
        <v>1</v>
      </c>
      <c r="V16" s="645"/>
      <c r="W16" s="645"/>
      <c r="X16" s="645"/>
      <c r="Y16" s="125">
        <v>1</v>
      </c>
      <c r="Z16" s="11" t="s">
        <v>1974</v>
      </c>
    </row>
    <row r="17" spans="1:26">
      <c r="A17" s="125" t="s">
        <v>759</v>
      </c>
      <c r="B17" s="125">
        <v>1</v>
      </c>
      <c r="C17" s="645"/>
      <c r="D17" s="125">
        <v>1</v>
      </c>
      <c r="E17" s="645"/>
      <c r="F17" s="125">
        <v>1</v>
      </c>
      <c r="G17" s="645"/>
      <c r="H17" s="645"/>
      <c r="I17" s="645"/>
      <c r="J17" s="125">
        <v>1</v>
      </c>
      <c r="K17" s="645"/>
      <c r="L17" s="645"/>
      <c r="M17" s="645"/>
      <c r="N17" s="645"/>
      <c r="O17" s="645"/>
      <c r="P17" s="645"/>
      <c r="Q17" s="645"/>
      <c r="R17" s="645"/>
      <c r="S17" s="645"/>
      <c r="T17" s="645"/>
      <c r="U17" s="645"/>
      <c r="V17" s="645"/>
      <c r="W17" s="645"/>
      <c r="X17" s="645"/>
      <c r="Y17" s="645"/>
      <c r="Z17" s="11" t="s">
        <v>1975</v>
      </c>
    </row>
    <row r="18" spans="1:26">
      <c r="A18" s="125" t="s">
        <v>127</v>
      </c>
      <c r="B18" s="125">
        <v>1</v>
      </c>
      <c r="C18" s="645"/>
      <c r="D18" s="645"/>
      <c r="E18" s="645"/>
      <c r="F18" s="125">
        <v>1</v>
      </c>
      <c r="G18" s="645"/>
      <c r="H18" s="645"/>
      <c r="I18" s="645"/>
      <c r="J18" s="645"/>
      <c r="K18" s="125">
        <v>1</v>
      </c>
      <c r="L18" s="645"/>
      <c r="M18" s="645"/>
      <c r="N18" s="125">
        <v>1</v>
      </c>
      <c r="O18" s="125">
        <v>1</v>
      </c>
      <c r="P18" s="125">
        <v>1</v>
      </c>
      <c r="Q18" s="645"/>
      <c r="R18" s="645"/>
      <c r="S18" s="125">
        <v>1</v>
      </c>
      <c r="T18" s="645"/>
      <c r="U18" s="125">
        <v>1</v>
      </c>
      <c r="V18" s="125">
        <v>1</v>
      </c>
      <c r="W18" s="645"/>
      <c r="X18" s="125">
        <v>1</v>
      </c>
      <c r="Y18" s="645"/>
      <c r="Z18" s="11" t="s">
        <v>1976</v>
      </c>
    </row>
    <row r="19" spans="1:26">
      <c r="A19" s="125" t="s">
        <v>542</v>
      </c>
      <c r="B19" s="125">
        <v>1</v>
      </c>
      <c r="C19" s="645"/>
      <c r="D19" s="645"/>
      <c r="E19" s="645"/>
      <c r="F19" s="125">
        <v>1</v>
      </c>
      <c r="G19" s="645"/>
      <c r="H19" s="645"/>
      <c r="I19" s="645"/>
      <c r="J19" s="645"/>
      <c r="K19" s="645"/>
      <c r="L19" s="645"/>
      <c r="M19" s="645"/>
      <c r="N19" s="645"/>
      <c r="O19" s="645"/>
      <c r="P19" s="125">
        <v>1</v>
      </c>
      <c r="Q19" s="645"/>
      <c r="R19" s="645"/>
      <c r="S19" s="645"/>
      <c r="T19" s="645"/>
      <c r="U19" s="645"/>
      <c r="V19" s="645"/>
      <c r="W19" s="645"/>
      <c r="X19" s="645"/>
      <c r="Y19" s="645"/>
      <c r="Z19" s="11" t="s">
        <v>1977</v>
      </c>
    </row>
    <row r="20" spans="1:26" ht="25.5" customHeight="1">
      <c r="A20" s="38" t="s">
        <v>133</v>
      </c>
      <c r="B20" s="38">
        <v>1</v>
      </c>
      <c r="C20" s="38"/>
      <c r="D20" s="38"/>
      <c r="E20" s="38"/>
      <c r="F20" s="38"/>
      <c r="G20" s="38"/>
      <c r="H20" s="38"/>
      <c r="I20" s="38"/>
      <c r="J20" s="38">
        <v>1</v>
      </c>
      <c r="K20" s="38"/>
      <c r="L20" s="38"/>
      <c r="M20" s="38"/>
      <c r="N20" s="38"/>
      <c r="O20" s="38"/>
      <c r="P20" s="38">
        <v>1</v>
      </c>
      <c r="Q20" s="38"/>
      <c r="R20" s="38"/>
      <c r="S20" s="38"/>
      <c r="T20" s="38"/>
      <c r="U20" s="38"/>
      <c r="V20" s="38"/>
      <c r="W20" s="38"/>
      <c r="X20" s="38"/>
      <c r="Y20" s="38"/>
      <c r="Z20" s="306" t="s">
        <v>1978</v>
      </c>
    </row>
    <row r="21" spans="1:26" ht="25.5" customHeight="1">
      <c r="A21" s="125" t="s">
        <v>1979</v>
      </c>
      <c r="B21" s="645"/>
      <c r="C21" s="645"/>
      <c r="D21" s="645"/>
      <c r="E21" s="645"/>
      <c r="F21" s="125">
        <v>1</v>
      </c>
      <c r="G21" s="645"/>
      <c r="H21" s="645"/>
      <c r="I21" s="645"/>
      <c r="J21" s="645"/>
      <c r="K21" s="645"/>
      <c r="L21" s="645"/>
      <c r="M21" s="645"/>
      <c r="N21" s="645"/>
      <c r="O21" s="645"/>
      <c r="P21" s="645"/>
      <c r="Q21" s="645"/>
      <c r="R21" s="645"/>
      <c r="S21" s="645"/>
      <c r="T21" s="645"/>
      <c r="U21" s="645"/>
      <c r="V21" s="645"/>
      <c r="W21" s="645"/>
      <c r="X21" s="645"/>
      <c r="Y21" s="645"/>
      <c r="Z21" s="11" t="s">
        <v>1980</v>
      </c>
    </row>
    <row r="22" spans="1:26">
      <c r="A22" s="125" t="s">
        <v>778</v>
      </c>
      <c r="B22" s="125">
        <v>1</v>
      </c>
      <c r="C22" s="645"/>
      <c r="D22" s="645"/>
      <c r="E22" s="645"/>
      <c r="F22" s="125">
        <v>1</v>
      </c>
      <c r="G22" s="645"/>
      <c r="H22" s="645"/>
      <c r="I22" s="645"/>
      <c r="J22" s="645"/>
      <c r="K22" s="645"/>
      <c r="L22" s="645"/>
      <c r="M22" s="645"/>
      <c r="N22" s="645"/>
      <c r="O22" s="645"/>
      <c r="P22" s="645"/>
      <c r="Q22" s="645"/>
      <c r="R22" s="645"/>
      <c r="S22" s="645"/>
      <c r="T22" s="645"/>
      <c r="U22" s="645"/>
      <c r="V22" s="645"/>
      <c r="W22" s="645"/>
      <c r="X22" s="645"/>
      <c r="Y22" s="645"/>
      <c r="Z22" s="11" t="s">
        <v>1981</v>
      </c>
    </row>
    <row r="23" spans="1:26">
      <c r="A23" s="125" t="s">
        <v>144</v>
      </c>
      <c r="B23" s="125">
        <v>1</v>
      </c>
      <c r="C23" s="645"/>
      <c r="D23" s="645"/>
      <c r="E23" s="645"/>
      <c r="F23" s="125">
        <v>1</v>
      </c>
      <c r="G23" s="645"/>
      <c r="H23" s="645"/>
      <c r="I23" s="645"/>
      <c r="J23" s="125">
        <v>1</v>
      </c>
      <c r="K23" s="645"/>
      <c r="L23" s="645"/>
      <c r="M23" s="645"/>
      <c r="N23" s="645"/>
      <c r="O23" s="645"/>
      <c r="P23" s="125">
        <v>1</v>
      </c>
      <c r="Q23" s="645"/>
      <c r="R23" s="645"/>
      <c r="S23" s="645"/>
      <c r="T23" s="645"/>
      <c r="U23" s="125">
        <v>1</v>
      </c>
      <c r="V23" s="645"/>
      <c r="W23" s="645"/>
      <c r="X23" s="125">
        <v>1</v>
      </c>
      <c r="Y23" s="645"/>
      <c r="Z23" s="11" t="s">
        <v>1982</v>
      </c>
    </row>
    <row r="24" spans="1:26">
      <c r="A24" s="125" t="s">
        <v>149</v>
      </c>
      <c r="B24" s="125">
        <v>1</v>
      </c>
      <c r="C24" s="645"/>
      <c r="D24" s="125">
        <v>1</v>
      </c>
      <c r="E24" s="645"/>
      <c r="F24" s="125">
        <v>1</v>
      </c>
      <c r="G24" s="645"/>
      <c r="H24" s="645"/>
      <c r="I24" s="645"/>
      <c r="J24" s="125">
        <v>1</v>
      </c>
      <c r="K24" s="125">
        <v>1</v>
      </c>
      <c r="L24" s="645"/>
      <c r="M24" s="645"/>
      <c r="N24" s="125">
        <v>1</v>
      </c>
      <c r="O24" s="125">
        <v>1</v>
      </c>
      <c r="P24" s="125">
        <v>1</v>
      </c>
      <c r="Q24" s="645"/>
      <c r="R24" s="645"/>
      <c r="S24" s="645"/>
      <c r="T24" s="645"/>
      <c r="U24" s="125">
        <v>1</v>
      </c>
      <c r="V24" s="645"/>
      <c r="W24" s="645"/>
      <c r="X24" s="125">
        <v>1</v>
      </c>
      <c r="Y24" s="645"/>
      <c r="Z24" s="11" t="s">
        <v>1983</v>
      </c>
    </row>
    <row r="25" spans="1:26">
      <c r="A25" s="125" t="s">
        <v>1984</v>
      </c>
      <c r="B25" s="125">
        <v>1</v>
      </c>
      <c r="C25" s="645"/>
      <c r="D25" s="645"/>
      <c r="E25" s="645"/>
      <c r="F25" s="125">
        <v>1</v>
      </c>
      <c r="G25" s="645"/>
      <c r="H25" s="645"/>
      <c r="I25" s="645"/>
      <c r="J25" s="645"/>
      <c r="K25" s="645"/>
      <c r="L25" s="645"/>
      <c r="M25" s="645"/>
      <c r="N25" s="645"/>
      <c r="O25" s="645"/>
      <c r="P25" s="645"/>
      <c r="Q25" s="645"/>
      <c r="R25" s="645"/>
      <c r="S25" s="645"/>
      <c r="T25" s="645"/>
      <c r="U25" s="645"/>
      <c r="V25" s="645"/>
      <c r="W25" s="645"/>
      <c r="X25" s="645"/>
      <c r="Y25" s="645"/>
      <c r="Z25" s="11" t="s">
        <v>1985</v>
      </c>
    </row>
    <row r="26" spans="1:26">
      <c r="A26" s="125" t="s">
        <v>796</v>
      </c>
      <c r="B26" s="125">
        <v>1</v>
      </c>
      <c r="C26" s="645"/>
      <c r="D26" s="125">
        <v>1</v>
      </c>
      <c r="E26" s="645"/>
      <c r="F26" s="125">
        <v>1</v>
      </c>
      <c r="G26" s="645"/>
      <c r="H26" s="645"/>
      <c r="I26" s="645"/>
      <c r="J26" s="645"/>
      <c r="K26" s="645"/>
      <c r="L26" s="645"/>
      <c r="M26" s="645"/>
      <c r="N26" s="645"/>
      <c r="O26" s="645"/>
      <c r="P26" s="125">
        <v>1</v>
      </c>
      <c r="Q26" s="645"/>
      <c r="R26" s="645"/>
      <c r="S26" s="645"/>
      <c r="T26" s="645"/>
      <c r="U26" s="645"/>
      <c r="V26" s="645"/>
      <c r="W26" s="645"/>
      <c r="X26" s="645"/>
      <c r="Y26" s="645"/>
      <c r="Z26" s="11" t="s">
        <v>1986</v>
      </c>
    </row>
    <row r="27" spans="1:26">
      <c r="A27" s="125" t="s">
        <v>1596</v>
      </c>
      <c r="B27" s="125">
        <v>1</v>
      </c>
      <c r="C27" s="645"/>
      <c r="D27" s="125">
        <v>1</v>
      </c>
      <c r="E27" s="645"/>
      <c r="F27" s="125">
        <v>1</v>
      </c>
      <c r="G27" s="645"/>
      <c r="H27" s="645"/>
      <c r="I27" s="645"/>
      <c r="J27" s="125">
        <v>1</v>
      </c>
      <c r="K27" s="645"/>
      <c r="L27" s="645"/>
      <c r="M27" s="645"/>
      <c r="N27" s="125">
        <v>1</v>
      </c>
      <c r="O27" s="645"/>
      <c r="P27" s="125">
        <v>1</v>
      </c>
      <c r="Q27" s="645"/>
      <c r="R27" s="645"/>
      <c r="S27" s="645"/>
      <c r="T27" s="645"/>
      <c r="U27" s="125">
        <v>1</v>
      </c>
      <c r="V27" s="645"/>
      <c r="W27" s="645"/>
      <c r="X27" s="125">
        <v>1</v>
      </c>
      <c r="Y27" s="125">
        <v>1</v>
      </c>
      <c r="Z27" s="11" t="s">
        <v>1987</v>
      </c>
    </row>
    <row r="28" spans="1:26">
      <c r="A28" s="125" t="s">
        <v>964</v>
      </c>
      <c r="B28" s="125">
        <v>1</v>
      </c>
      <c r="C28" s="645"/>
      <c r="D28" s="645"/>
      <c r="E28" s="645"/>
      <c r="F28" s="125">
        <v>1</v>
      </c>
      <c r="G28" s="645"/>
      <c r="H28" s="645"/>
      <c r="I28" s="645"/>
      <c r="J28" s="125">
        <v>1</v>
      </c>
      <c r="K28" s="645"/>
      <c r="L28" s="645"/>
      <c r="M28" s="645"/>
      <c r="N28" s="645"/>
      <c r="O28" s="125">
        <v>1</v>
      </c>
      <c r="P28" s="645"/>
      <c r="Q28" s="645"/>
      <c r="R28" s="645"/>
      <c r="S28" s="125">
        <v>1</v>
      </c>
      <c r="T28" s="645"/>
      <c r="U28" s="645"/>
      <c r="V28" s="645"/>
      <c r="W28" s="645"/>
      <c r="X28" s="125">
        <v>1</v>
      </c>
      <c r="Y28" s="645"/>
      <c r="Z28" s="11" t="s">
        <v>1988</v>
      </c>
    </row>
    <row r="29" spans="1:26">
      <c r="A29" s="125" t="s">
        <v>1989</v>
      </c>
      <c r="B29" s="125">
        <v>1</v>
      </c>
      <c r="C29" s="645"/>
      <c r="D29" s="125">
        <v>1</v>
      </c>
      <c r="E29" s="645"/>
      <c r="F29" s="125">
        <v>1</v>
      </c>
      <c r="G29" s="645"/>
      <c r="H29" s="645"/>
      <c r="I29" s="125">
        <v>1</v>
      </c>
      <c r="J29" s="125">
        <v>1</v>
      </c>
      <c r="K29" s="645"/>
      <c r="L29" s="645"/>
      <c r="M29" s="645"/>
      <c r="N29" s="645"/>
      <c r="O29" s="645"/>
      <c r="P29" s="125">
        <v>1</v>
      </c>
      <c r="Q29" s="645"/>
      <c r="R29" s="645"/>
      <c r="S29" s="645"/>
      <c r="T29" s="645"/>
      <c r="U29" s="645"/>
      <c r="V29" s="645"/>
      <c r="W29" s="645"/>
      <c r="X29" s="645"/>
      <c r="Y29" s="645"/>
      <c r="Z29" s="11" t="s">
        <v>1990</v>
      </c>
    </row>
    <row r="30" spans="1:26">
      <c r="A30" s="38" t="s">
        <v>163</v>
      </c>
      <c r="B30" s="38">
        <v>1</v>
      </c>
      <c r="C30" s="38"/>
      <c r="D30" s="38"/>
      <c r="E30" s="38"/>
      <c r="F30" s="38"/>
      <c r="G30" s="38"/>
      <c r="H30" s="38"/>
      <c r="I30" s="38"/>
      <c r="J30" s="38">
        <v>1</v>
      </c>
      <c r="K30" s="38">
        <v>1</v>
      </c>
      <c r="L30" s="38"/>
      <c r="M30" s="38"/>
      <c r="N30" s="38"/>
      <c r="O30" s="38"/>
      <c r="P30" s="38">
        <v>1</v>
      </c>
      <c r="Q30" s="38"/>
      <c r="R30" s="38"/>
      <c r="S30" s="38"/>
      <c r="T30" s="38"/>
      <c r="U30" s="38">
        <v>1</v>
      </c>
      <c r="V30" s="38"/>
      <c r="W30" s="38"/>
      <c r="X30" s="38"/>
      <c r="Y30" s="38"/>
      <c r="Z30" s="306" t="s">
        <v>1991</v>
      </c>
    </row>
    <row r="31" spans="1:26">
      <c r="A31" s="125" t="s">
        <v>165</v>
      </c>
      <c r="B31" s="125">
        <v>1</v>
      </c>
      <c r="C31" s="645"/>
      <c r="D31" s="125">
        <v>1</v>
      </c>
      <c r="E31" s="645"/>
      <c r="F31" s="125">
        <v>1</v>
      </c>
      <c r="G31" s="645"/>
      <c r="H31" s="645"/>
      <c r="I31" s="645"/>
      <c r="J31" s="125">
        <v>1</v>
      </c>
      <c r="K31" s="125">
        <v>1</v>
      </c>
      <c r="L31" s="645"/>
      <c r="M31" s="645"/>
      <c r="N31" s="125">
        <v>1</v>
      </c>
      <c r="O31" s="645"/>
      <c r="P31" s="125">
        <v>1</v>
      </c>
      <c r="Q31" s="645"/>
      <c r="R31" s="645"/>
      <c r="S31" s="645"/>
      <c r="T31" s="645"/>
      <c r="U31" s="125">
        <v>1</v>
      </c>
      <c r="V31" s="645"/>
      <c r="W31" s="645"/>
      <c r="X31" s="645"/>
      <c r="Y31" s="645"/>
      <c r="Z31" s="11" t="s">
        <v>1992</v>
      </c>
    </row>
    <row r="32" spans="1:26">
      <c r="A32" s="125" t="s">
        <v>167</v>
      </c>
      <c r="B32" s="125">
        <v>1</v>
      </c>
      <c r="C32" s="645"/>
      <c r="D32" s="645"/>
      <c r="E32" s="645"/>
      <c r="F32" s="125">
        <v>1</v>
      </c>
      <c r="G32" s="645"/>
      <c r="H32" s="645"/>
      <c r="I32" s="645"/>
      <c r="J32" s="125">
        <v>1</v>
      </c>
      <c r="K32" s="125">
        <v>1</v>
      </c>
      <c r="L32" s="645"/>
      <c r="M32" s="645"/>
      <c r="N32" s="645"/>
      <c r="O32" s="645"/>
      <c r="P32" s="645"/>
      <c r="Q32" s="645"/>
      <c r="R32" s="645"/>
      <c r="S32" s="645"/>
      <c r="T32" s="645"/>
      <c r="U32" s="125">
        <v>1</v>
      </c>
      <c r="V32" s="645"/>
      <c r="W32" s="645"/>
      <c r="X32" s="645"/>
      <c r="Y32" s="645"/>
      <c r="Z32" s="11" t="s">
        <v>1993</v>
      </c>
    </row>
    <row r="33" spans="1:26">
      <c r="A33" s="125" t="s">
        <v>169</v>
      </c>
      <c r="B33" s="125">
        <v>1</v>
      </c>
      <c r="C33" s="645"/>
      <c r="D33" s="645"/>
      <c r="E33" s="645"/>
      <c r="F33" s="125">
        <v>1</v>
      </c>
      <c r="G33" s="645"/>
      <c r="H33" s="645"/>
      <c r="I33" s="645"/>
      <c r="J33" s="125">
        <v>1</v>
      </c>
      <c r="K33" s="645"/>
      <c r="L33" s="645"/>
      <c r="M33" s="645"/>
      <c r="N33" s="645"/>
      <c r="O33" s="645"/>
      <c r="P33" s="125">
        <v>1</v>
      </c>
      <c r="Q33" s="645"/>
      <c r="R33" s="645"/>
      <c r="S33" s="645"/>
      <c r="T33" s="645"/>
      <c r="U33" s="645"/>
      <c r="V33" s="645"/>
      <c r="W33" s="645"/>
      <c r="X33" s="645"/>
      <c r="Y33" s="645"/>
      <c r="Z33" s="11" t="s">
        <v>1994</v>
      </c>
    </row>
    <row r="34" spans="1:26">
      <c r="A34" s="125" t="s">
        <v>172</v>
      </c>
      <c r="B34" s="125">
        <v>1</v>
      </c>
      <c r="C34" s="645"/>
      <c r="D34" s="125">
        <v>1</v>
      </c>
      <c r="E34" s="645"/>
      <c r="F34" s="125">
        <v>1</v>
      </c>
      <c r="G34" s="125">
        <v>1</v>
      </c>
      <c r="H34" s="645"/>
      <c r="I34" s="645"/>
      <c r="J34" s="125">
        <v>1</v>
      </c>
      <c r="K34" s="125">
        <v>1</v>
      </c>
      <c r="L34" s="645"/>
      <c r="M34" s="645"/>
      <c r="N34" s="645"/>
      <c r="O34" s="125">
        <v>1</v>
      </c>
      <c r="P34" s="645"/>
      <c r="Q34" s="645"/>
      <c r="R34" s="645"/>
      <c r="S34" s="645"/>
      <c r="T34" s="645"/>
      <c r="U34" s="125">
        <v>1</v>
      </c>
      <c r="V34" s="645"/>
      <c r="W34" s="645"/>
      <c r="X34" s="125">
        <v>1</v>
      </c>
      <c r="Y34" s="125">
        <v>1</v>
      </c>
      <c r="Z34" s="11" t="s">
        <v>1995</v>
      </c>
    </row>
    <row r="35" spans="1:26">
      <c r="A35" s="125" t="s">
        <v>177</v>
      </c>
      <c r="B35" s="125">
        <v>1</v>
      </c>
      <c r="C35" s="645"/>
      <c r="D35" s="645"/>
      <c r="E35" s="645"/>
      <c r="F35" s="125">
        <v>1</v>
      </c>
      <c r="G35" s="645"/>
      <c r="H35" s="645"/>
      <c r="I35" s="645"/>
      <c r="J35" s="125">
        <v>1</v>
      </c>
      <c r="K35" s="125">
        <v>1</v>
      </c>
      <c r="L35" s="645"/>
      <c r="M35" s="645"/>
      <c r="N35" s="125">
        <v>1</v>
      </c>
      <c r="O35" s="645"/>
      <c r="P35" s="125">
        <v>1</v>
      </c>
      <c r="Q35" s="645"/>
      <c r="R35" s="645"/>
      <c r="S35" s="645"/>
      <c r="T35" s="645"/>
      <c r="U35" s="125">
        <v>1</v>
      </c>
      <c r="V35" s="125">
        <v>1</v>
      </c>
      <c r="W35" s="645"/>
      <c r="X35" s="125">
        <v>1</v>
      </c>
      <c r="Y35" s="125">
        <v>1</v>
      </c>
      <c r="Z35" s="11" t="s">
        <v>1996</v>
      </c>
    </row>
    <row r="36" spans="1:26">
      <c r="A36" s="125" t="s">
        <v>178</v>
      </c>
      <c r="B36" s="645"/>
      <c r="C36" s="645"/>
      <c r="D36" s="645"/>
      <c r="E36" s="125">
        <v>1</v>
      </c>
      <c r="F36" s="125">
        <v>1</v>
      </c>
      <c r="G36" s="645"/>
      <c r="H36" s="645"/>
      <c r="I36" s="645"/>
      <c r="J36" s="645"/>
      <c r="K36" s="645"/>
      <c r="L36" s="645"/>
      <c r="M36" s="645"/>
      <c r="N36" s="645"/>
      <c r="O36" s="645"/>
      <c r="P36" s="125">
        <v>1</v>
      </c>
      <c r="Q36" s="125">
        <v>1</v>
      </c>
      <c r="R36" s="645"/>
      <c r="S36" s="645"/>
      <c r="T36" s="645"/>
      <c r="U36" s="125">
        <v>1</v>
      </c>
      <c r="V36" s="125">
        <v>1</v>
      </c>
      <c r="W36" s="645"/>
      <c r="X36" s="645"/>
      <c r="Y36" s="645"/>
      <c r="Z36" s="11" t="s">
        <v>1997</v>
      </c>
    </row>
    <row r="37" spans="1:26">
      <c r="A37" s="125" t="s">
        <v>1998</v>
      </c>
      <c r="B37" s="125">
        <v>1</v>
      </c>
      <c r="C37" s="645"/>
      <c r="D37" s="645"/>
      <c r="E37" s="645"/>
      <c r="F37" s="645"/>
      <c r="G37" s="645"/>
      <c r="H37" s="645"/>
      <c r="I37" s="645"/>
      <c r="J37" s="125">
        <v>1</v>
      </c>
      <c r="K37" s="645"/>
      <c r="L37" s="645"/>
      <c r="M37" s="645"/>
      <c r="N37" s="645"/>
      <c r="O37" s="645"/>
      <c r="P37" s="645"/>
      <c r="Q37" s="645"/>
      <c r="R37" s="645"/>
      <c r="S37" s="645"/>
      <c r="T37" s="645"/>
      <c r="U37" s="645"/>
      <c r="V37" s="125">
        <v>1</v>
      </c>
      <c r="W37" s="645"/>
      <c r="X37" s="125">
        <v>1</v>
      </c>
      <c r="Y37" s="645"/>
      <c r="Z37" s="11" t="s">
        <v>1999</v>
      </c>
    </row>
    <row r="38" spans="1:26">
      <c r="A38" s="125" t="s">
        <v>182</v>
      </c>
      <c r="B38" s="645"/>
      <c r="C38" s="645"/>
      <c r="D38" s="125">
        <v>1</v>
      </c>
      <c r="E38" s="645"/>
      <c r="F38" s="125">
        <v>1</v>
      </c>
      <c r="G38" s="125">
        <v>1</v>
      </c>
      <c r="H38" s="645"/>
      <c r="I38" s="645"/>
      <c r="J38" s="125">
        <v>1</v>
      </c>
      <c r="K38" s="645"/>
      <c r="L38" s="645"/>
      <c r="M38" s="645"/>
      <c r="N38" s="125">
        <v>1</v>
      </c>
      <c r="O38" s="645"/>
      <c r="P38" s="125">
        <v>1</v>
      </c>
      <c r="Q38" s="645"/>
      <c r="R38" s="645"/>
      <c r="S38" s="645"/>
      <c r="T38" s="645"/>
      <c r="U38" s="125">
        <v>1</v>
      </c>
      <c r="V38" s="125">
        <v>1</v>
      </c>
      <c r="W38" s="645"/>
      <c r="X38" s="125">
        <v>1</v>
      </c>
      <c r="Y38" s="645"/>
      <c r="Z38" s="645"/>
    </row>
    <row r="39" spans="1:26">
      <c r="A39" s="125" t="s">
        <v>1135</v>
      </c>
      <c r="B39" s="125">
        <v>1</v>
      </c>
      <c r="C39" s="645"/>
      <c r="D39" s="645"/>
      <c r="E39" s="125">
        <v>1</v>
      </c>
      <c r="F39" s="645"/>
      <c r="G39" s="645"/>
      <c r="H39" s="645"/>
      <c r="I39" s="645"/>
      <c r="J39" s="125">
        <v>1</v>
      </c>
      <c r="K39" s="125">
        <v>1</v>
      </c>
      <c r="L39" s="645"/>
      <c r="M39" s="125">
        <v>1</v>
      </c>
      <c r="N39" s="645"/>
      <c r="O39" s="645"/>
      <c r="P39" s="645"/>
      <c r="Q39" s="645"/>
      <c r="R39" s="645"/>
      <c r="S39" s="125">
        <v>1</v>
      </c>
      <c r="T39" s="645"/>
      <c r="U39" s="125">
        <v>1</v>
      </c>
      <c r="V39" s="645"/>
      <c r="W39" s="645"/>
      <c r="X39" s="645"/>
      <c r="Y39" s="645"/>
      <c r="Z39" s="11" t="s">
        <v>2000</v>
      </c>
    </row>
    <row r="40" spans="1:26">
      <c r="A40" s="125" t="s">
        <v>1138</v>
      </c>
      <c r="B40" s="125">
        <v>1</v>
      </c>
      <c r="C40" s="645"/>
      <c r="D40" s="125">
        <v>1</v>
      </c>
      <c r="E40" s="645"/>
      <c r="F40" s="125">
        <v>1</v>
      </c>
      <c r="G40" s="645"/>
      <c r="H40" s="645"/>
      <c r="I40" s="645"/>
      <c r="J40" s="125">
        <v>1</v>
      </c>
      <c r="K40" s="125">
        <v>1</v>
      </c>
      <c r="L40" s="645"/>
      <c r="M40" s="645"/>
      <c r="N40" s="645"/>
      <c r="O40" s="125">
        <v>1</v>
      </c>
      <c r="P40" s="645"/>
      <c r="Q40" s="645"/>
      <c r="R40" s="645"/>
      <c r="S40" s="645"/>
      <c r="T40" s="645"/>
      <c r="U40" s="125">
        <v>1</v>
      </c>
      <c r="V40" s="125">
        <v>1</v>
      </c>
      <c r="W40" s="645"/>
      <c r="X40" s="125">
        <v>1</v>
      </c>
      <c r="Y40" s="645"/>
      <c r="Z40" s="11" t="s">
        <v>1992</v>
      </c>
    </row>
    <row r="41" spans="1:26">
      <c r="A41" s="125" t="s">
        <v>818</v>
      </c>
      <c r="B41" s="125">
        <v>1</v>
      </c>
      <c r="C41" s="645"/>
      <c r="D41" s="645"/>
      <c r="E41" s="645"/>
      <c r="F41" s="125">
        <v>1</v>
      </c>
      <c r="G41" s="645"/>
      <c r="H41" s="645"/>
      <c r="I41" s="645"/>
      <c r="J41" s="125">
        <v>1</v>
      </c>
      <c r="K41" s="645"/>
      <c r="L41" s="645"/>
      <c r="M41" s="645"/>
      <c r="N41" s="645"/>
      <c r="O41" s="645"/>
      <c r="P41" s="125">
        <v>1</v>
      </c>
      <c r="Q41" s="645"/>
      <c r="R41" s="645"/>
      <c r="S41" s="645"/>
      <c r="T41" s="645"/>
      <c r="U41" s="645"/>
      <c r="V41" s="125">
        <v>1</v>
      </c>
      <c r="W41" s="645"/>
      <c r="X41" s="645"/>
      <c r="Y41" s="645"/>
      <c r="Z41" s="11" t="s">
        <v>2001</v>
      </c>
    </row>
    <row r="42" spans="1:26">
      <c r="A42" s="125" t="s">
        <v>2002</v>
      </c>
      <c r="B42" s="125">
        <v>1</v>
      </c>
      <c r="C42" s="645"/>
      <c r="D42" s="125">
        <v>1</v>
      </c>
      <c r="E42" s="645"/>
      <c r="F42" s="125">
        <v>1</v>
      </c>
      <c r="G42" s="645"/>
      <c r="H42" s="645"/>
      <c r="I42" s="645"/>
      <c r="J42" s="125">
        <v>1</v>
      </c>
      <c r="K42" s="645"/>
      <c r="L42" s="645"/>
      <c r="M42" s="645"/>
      <c r="N42" s="125">
        <v>1</v>
      </c>
      <c r="O42" s="645"/>
      <c r="P42" s="645"/>
      <c r="Q42" s="125">
        <v>1</v>
      </c>
      <c r="R42" s="645"/>
      <c r="S42" s="645"/>
      <c r="T42" s="125">
        <v>1</v>
      </c>
      <c r="U42" s="125">
        <v>1</v>
      </c>
      <c r="V42" s="645"/>
      <c r="W42" s="645"/>
      <c r="X42" s="125">
        <v>1</v>
      </c>
      <c r="Y42" s="125">
        <v>1</v>
      </c>
      <c r="Z42" s="11" t="s">
        <v>2003</v>
      </c>
    </row>
    <row r="43" spans="1:26">
      <c r="A43" s="125" t="s">
        <v>1303</v>
      </c>
      <c r="B43" s="125">
        <v>1</v>
      </c>
      <c r="C43" s="645"/>
      <c r="D43" s="125">
        <v>1</v>
      </c>
      <c r="E43" s="645"/>
      <c r="F43" s="125">
        <v>1</v>
      </c>
      <c r="G43" s="645"/>
      <c r="H43" s="645"/>
      <c r="I43" s="645"/>
      <c r="J43" s="125">
        <v>1</v>
      </c>
      <c r="K43" s="125">
        <v>1</v>
      </c>
      <c r="L43" s="645"/>
      <c r="M43" s="645"/>
      <c r="N43" s="645"/>
      <c r="O43" s="645"/>
      <c r="P43" s="645"/>
      <c r="Q43" s="645"/>
      <c r="R43" s="645"/>
      <c r="S43" s="125">
        <v>1</v>
      </c>
      <c r="T43" s="645"/>
      <c r="U43" s="645"/>
      <c r="V43" s="125">
        <v>1</v>
      </c>
      <c r="W43" s="645"/>
      <c r="X43" s="645"/>
      <c r="Y43" s="125">
        <v>1</v>
      </c>
      <c r="Z43" s="11" t="s">
        <v>2004</v>
      </c>
    </row>
    <row r="44" spans="1:26">
      <c r="A44" s="125" t="s">
        <v>192</v>
      </c>
      <c r="B44" s="125">
        <v>1</v>
      </c>
      <c r="C44" s="645"/>
      <c r="D44" s="125">
        <v>1</v>
      </c>
      <c r="E44" s="645"/>
      <c r="F44" s="125">
        <v>1</v>
      </c>
      <c r="G44" s="645"/>
      <c r="H44" s="645"/>
      <c r="I44" s="645"/>
      <c r="J44" s="125">
        <v>1</v>
      </c>
      <c r="K44" s="645"/>
      <c r="L44" s="645"/>
      <c r="M44" s="645"/>
      <c r="N44" s="645"/>
      <c r="O44" s="125">
        <v>1</v>
      </c>
      <c r="P44" s="645"/>
      <c r="Q44" s="645"/>
      <c r="R44" s="645"/>
      <c r="S44" s="645"/>
      <c r="T44" s="645"/>
      <c r="U44" s="125">
        <v>1</v>
      </c>
      <c r="V44" s="645"/>
      <c r="W44" s="645"/>
      <c r="X44" s="645"/>
      <c r="Y44" s="645"/>
      <c r="Z44" s="11" t="s">
        <v>2005</v>
      </c>
    </row>
    <row r="45" spans="1:26">
      <c r="A45" s="125" t="s">
        <v>204</v>
      </c>
      <c r="B45" s="125">
        <v>1</v>
      </c>
      <c r="C45" s="645"/>
      <c r="D45" s="645"/>
      <c r="E45" s="645"/>
      <c r="F45" s="125">
        <v>1</v>
      </c>
      <c r="G45" s="645"/>
      <c r="H45" s="645"/>
      <c r="I45" s="645"/>
      <c r="J45" s="125">
        <v>1</v>
      </c>
      <c r="K45" s="645"/>
      <c r="L45" s="645"/>
      <c r="M45" s="645"/>
      <c r="N45" s="645"/>
      <c r="O45" s="645"/>
      <c r="P45" s="645"/>
      <c r="Q45" s="645"/>
      <c r="R45" s="645"/>
      <c r="S45" s="645"/>
      <c r="T45" s="645"/>
      <c r="U45" s="645"/>
      <c r="V45" s="645"/>
      <c r="W45" s="645"/>
      <c r="X45" s="645"/>
      <c r="Y45" s="645"/>
      <c r="Z45" s="11" t="s">
        <v>2006</v>
      </c>
    </row>
    <row r="46" spans="1:26">
      <c r="A46" s="125" t="s">
        <v>203</v>
      </c>
      <c r="B46" s="125">
        <v>1</v>
      </c>
      <c r="C46" s="645"/>
      <c r="D46" s="645"/>
      <c r="E46" s="645"/>
      <c r="F46" s="125">
        <v>1</v>
      </c>
      <c r="G46" s="645"/>
      <c r="H46" s="645"/>
      <c r="I46" s="645"/>
      <c r="J46" s="125">
        <v>1</v>
      </c>
      <c r="K46" s="645"/>
      <c r="L46" s="645"/>
      <c r="M46" s="645"/>
      <c r="N46" s="645"/>
      <c r="O46" s="645"/>
      <c r="P46" s="125">
        <v>1</v>
      </c>
      <c r="Q46" s="645"/>
      <c r="R46" s="645"/>
      <c r="S46" s="645"/>
      <c r="T46" s="125">
        <v>1</v>
      </c>
      <c r="U46" s="645"/>
      <c r="V46" s="125">
        <v>1</v>
      </c>
      <c r="W46" s="645"/>
      <c r="X46" s="125">
        <v>1</v>
      </c>
      <c r="Y46" s="645"/>
      <c r="Z46" s="645"/>
    </row>
    <row r="47" spans="1:26">
      <c r="A47" s="125" t="s">
        <v>211</v>
      </c>
      <c r="B47" s="125">
        <v>1</v>
      </c>
      <c r="C47" s="645"/>
      <c r="D47" s="645"/>
      <c r="E47" s="645"/>
      <c r="F47" s="125">
        <v>1</v>
      </c>
      <c r="G47" s="645"/>
      <c r="H47" s="645"/>
      <c r="I47" s="645"/>
      <c r="J47" s="125">
        <v>1</v>
      </c>
      <c r="K47" s="645"/>
      <c r="L47" s="645"/>
      <c r="M47" s="645"/>
      <c r="N47" s="645"/>
      <c r="O47" s="645"/>
      <c r="P47" s="125">
        <v>1</v>
      </c>
      <c r="Q47" s="645"/>
      <c r="R47" s="645"/>
      <c r="S47" s="645"/>
      <c r="T47" s="645"/>
      <c r="U47" s="125">
        <v>1</v>
      </c>
      <c r="V47" s="645"/>
      <c r="W47" s="645"/>
      <c r="X47" s="645"/>
      <c r="Y47" s="645"/>
      <c r="Z47" s="11" t="s">
        <v>2007</v>
      </c>
    </row>
    <row r="48" spans="1:26">
      <c r="A48" s="125" t="s">
        <v>1153</v>
      </c>
      <c r="B48" s="125">
        <v>1</v>
      </c>
      <c r="C48" s="645"/>
      <c r="D48" s="645"/>
      <c r="E48" s="645"/>
      <c r="F48" s="125">
        <v>1</v>
      </c>
      <c r="G48" s="645"/>
      <c r="H48" s="645"/>
      <c r="I48" s="645"/>
      <c r="J48" s="645"/>
      <c r="K48" s="645"/>
      <c r="L48" s="645"/>
      <c r="M48" s="125">
        <v>1</v>
      </c>
      <c r="N48" s="645"/>
      <c r="O48" s="645"/>
      <c r="P48" s="645"/>
      <c r="Q48" s="645"/>
      <c r="R48" s="645"/>
      <c r="S48" s="645"/>
      <c r="T48" s="645"/>
      <c r="U48" s="125">
        <v>1</v>
      </c>
      <c r="V48" s="125">
        <v>1</v>
      </c>
      <c r="W48" s="645"/>
      <c r="X48" s="645"/>
      <c r="Y48" s="645"/>
      <c r="Z48" s="11" t="s">
        <v>2008</v>
      </c>
    </row>
    <row r="49" spans="1:26">
      <c r="A49" s="125" t="s">
        <v>215</v>
      </c>
      <c r="B49" s="125">
        <v>1</v>
      </c>
      <c r="C49" s="645"/>
      <c r="D49" s="645"/>
      <c r="E49" s="645"/>
      <c r="F49" s="125">
        <v>1</v>
      </c>
      <c r="G49" s="645"/>
      <c r="H49" s="645"/>
      <c r="I49" s="645"/>
      <c r="J49" s="125">
        <v>1</v>
      </c>
      <c r="K49" s="645"/>
      <c r="L49" s="645"/>
      <c r="M49" s="645"/>
      <c r="N49" s="645"/>
      <c r="O49" s="645"/>
      <c r="P49" s="125">
        <v>1</v>
      </c>
      <c r="Q49" s="645"/>
      <c r="R49" s="645"/>
      <c r="S49" s="645"/>
      <c r="T49" s="645"/>
      <c r="U49" s="125">
        <v>1</v>
      </c>
      <c r="V49" s="645"/>
      <c r="W49" s="645"/>
      <c r="X49" s="645"/>
      <c r="Y49" s="125">
        <v>1</v>
      </c>
      <c r="Z49" s="11" t="s">
        <v>2009</v>
      </c>
    </row>
    <row r="50" spans="1:26">
      <c r="A50" s="125" t="s">
        <v>1471</v>
      </c>
      <c r="B50" s="645"/>
      <c r="C50" s="645"/>
      <c r="D50" s="645"/>
      <c r="E50" s="645"/>
      <c r="F50" s="125">
        <v>1</v>
      </c>
      <c r="G50" s="645"/>
      <c r="H50" s="645"/>
      <c r="I50" s="645"/>
      <c r="J50" s="645"/>
      <c r="K50" s="645"/>
      <c r="L50" s="645"/>
      <c r="M50" s="645"/>
      <c r="N50" s="645"/>
      <c r="O50" s="645"/>
      <c r="P50" s="645"/>
      <c r="Q50" s="645"/>
      <c r="R50" s="645"/>
      <c r="S50" s="645"/>
      <c r="T50" s="645"/>
      <c r="U50" s="645"/>
      <c r="V50" s="125">
        <v>1</v>
      </c>
      <c r="W50" s="645"/>
      <c r="X50" s="645"/>
      <c r="Y50" s="645"/>
      <c r="Z50" s="11" t="s">
        <v>1975</v>
      </c>
    </row>
    <row r="51" spans="1:26">
      <c r="A51" s="125" t="s">
        <v>1474</v>
      </c>
      <c r="B51" s="125">
        <v>1</v>
      </c>
      <c r="C51" s="645"/>
      <c r="D51" s="645"/>
      <c r="E51" s="645"/>
      <c r="F51" s="125">
        <v>1</v>
      </c>
      <c r="G51" s="645"/>
      <c r="H51" s="645"/>
      <c r="I51" s="645"/>
      <c r="J51" s="645"/>
      <c r="K51" s="645"/>
      <c r="L51" s="645"/>
      <c r="M51" s="645"/>
      <c r="N51" s="645"/>
      <c r="O51" s="645"/>
      <c r="P51" s="125">
        <v>1</v>
      </c>
      <c r="Q51" s="645"/>
      <c r="R51" s="645"/>
      <c r="S51" s="645"/>
      <c r="T51" s="645"/>
      <c r="U51" s="645"/>
      <c r="V51" s="645"/>
      <c r="W51" s="645"/>
      <c r="X51" s="645"/>
      <c r="Y51" s="645"/>
      <c r="Z51" s="11" t="s">
        <v>2010</v>
      </c>
    </row>
    <row r="52" spans="1:26">
      <c r="A52" s="125" t="s">
        <v>228</v>
      </c>
      <c r="B52" s="125">
        <v>1</v>
      </c>
      <c r="C52" s="645"/>
      <c r="D52" s="645"/>
      <c r="E52" s="645"/>
      <c r="F52" s="125">
        <v>1</v>
      </c>
      <c r="G52" s="645"/>
      <c r="H52" s="645"/>
      <c r="I52" s="645"/>
      <c r="J52" s="125">
        <v>1</v>
      </c>
      <c r="K52" s="125">
        <v>1</v>
      </c>
      <c r="L52" s="645"/>
      <c r="M52" s="645"/>
      <c r="N52" s="125">
        <v>1</v>
      </c>
      <c r="O52" s="645"/>
      <c r="P52" s="125">
        <v>1</v>
      </c>
      <c r="Q52" s="645"/>
      <c r="R52" s="645"/>
      <c r="S52" s="645"/>
      <c r="T52" s="645"/>
      <c r="U52" s="125">
        <v>1</v>
      </c>
      <c r="V52" s="125">
        <v>1</v>
      </c>
      <c r="W52" s="645"/>
      <c r="X52" s="645"/>
      <c r="Y52" s="645"/>
      <c r="Z52" s="11" t="s">
        <v>2010</v>
      </c>
    </row>
    <row r="53" spans="1:26">
      <c r="A53" s="125" t="s">
        <v>1487</v>
      </c>
      <c r="B53" s="125">
        <v>1</v>
      </c>
      <c r="C53" s="645"/>
      <c r="D53" s="125">
        <v>1</v>
      </c>
      <c r="E53" s="645"/>
      <c r="F53" s="125">
        <v>1</v>
      </c>
      <c r="G53" s="645"/>
      <c r="H53" s="645"/>
      <c r="I53" s="645"/>
      <c r="J53" s="645"/>
      <c r="K53" s="645"/>
      <c r="L53" s="645"/>
      <c r="M53" s="645"/>
      <c r="N53" s="645"/>
      <c r="O53" s="645"/>
      <c r="P53" s="125">
        <v>1</v>
      </c>
      <c r="Q53" s="645"/>
      <c r="R53" s="645"/>
      <c r="S53" s="645"/>
      <c r="T53" s="645"/>
      <c r="U53" s="645"/>
      <c r="V53" s="645"/>
      <c r="W53" s="645"/>
      <c r="X53" s="645"/>
      <c r="Y53" s="645"/>
      <c r="Z53" s="11" t="s">
        <v>2010</v>
      </c>
    </row>
    <row r="54" spans="1:26">
      <c r="A54" s="125" t="s">
        <v>1176</v>
      </c>
      <c r="B54" s="125">
        <v>1</v>
      </c>
      <c r="C54" s="645"/>
      <c r="D54" s="125">
        <v>1</v>
      </c>
      <c r="E54" s="645"/>
      <c r="F54" s="125">
        <v>1</v>
      </c>
      <c r="G54" s="645"/>
      <c r="H54" s="645"/>
      <c r="I54" s="645"/>
      <c r="J54" s="125">
        <v>1</v>
      </c>
      <c r="K54" s="125">
        <v>1</v>
      </c>
      <c r="L54" s="645"/>
      <c r="M54" s="645"/>
      <c r="N54" s="645"/>
      <c r="O54" s="645"/>
      <c r="P54" s="125">
        <v>1</v>
      </c>
      <c r="Q54" s="645"/>
      <c r="R54" s="645"/>
      <c r="S54" s="645"/>
      <c r="T54" s="645"/>
      <c r="U54" s="125">
        <v>1</v>
      </c>
      <c r="V54" s="645"/>
      <c r="W54" s="645"/>
      <c r="X54" s="645"/>
      <c r="Y54" s="645"/>
      <c r="Z54" s="11" t="s">
        <v>2011</v>
      </c>
    </row>
    <row r="55" spans="1:26">
      <c r="A55" s="125" t="s">
        <v>242</v>
      </c>
      <c r="B55" s="125">
        <v>1</v>
      </c>
      <c r="C55" s="645"/>
      <c r="D55" s="645"/>
      <c r="E55" s="645"/>
      <c r="F55" s="125">
        <v>1</v>
      </c>
      <c r="G55" s="645"/>
      <c r="H55" s="645"/>
      <c r="I55" s="645"/>
      <c r="J55" s="645"/>
      <c r="K55" s="645"/>
      <c r="L55" s="645"/>
      <c r="M55" s="645"/>
      <c r="N55" s="645"/>
      <c r="O55" s="645"/>
      <c r="P55" s="125">
        <v>1</v>
      </c>
      <c r="Q55" s="645"/>
      <c r="R55" s="645"/>
      <c r="S55" s="645"/>
      <c r="T55" s="645"/>
      <c r="U55" s="645"/>
      <c r="V55" s="645"/>
      <c r="W55" s="645"/>
      <c r="X55" s="645"/>
      <c r="Y55" s="645"/>
      <c r="Z55" s="11" t="s">
        <v>2012</v>
      </c>
    </row>
    <row r="56" spans="1:26">
      <c r="A56" s="125" t="s">
        <v>1902</v>
      </c>
      <c r="B56" s="125">
        <v>1</v>
      </c>
      <c r="C56" s="645"/>
      <c r="D56" s="645"/>
      <c r="E56" s="645"/>
      <c r="F56" s="125">
        <v>1</v>
      </c>
      <c r="G56" s="645"/>
      <c r="H56" s="645"/>
      <c r="I56" s="645"/>
      <c r="J56" s="645"/>
      <c r="K56" s="645"/>
      <c r="L56" s="645"/>
      <c r="M56" s="645"/>
      <c r="N56" s="645"/>
      <c r="O56" s="645"/>
      <c r="P56" s="645"/>
      <c r="Q56" s="645"/>
      <c r="R56" s="645"/>
      <c r="S56" s="645"/>
      <c r="T56" s="645"/>
      <c r="U56" s="645"/>
      <c r="V56" s="125">
        <v>1</v>
      </c>
      <c r="W56" s="645"/>
      <c r="X56" s="645"/>
      <c r="Y56" s="645"/>
      <c r="Z56" s="11" t="s">
        <v>1992</v>
      </c>
    </row>
    <row r="57" spans="1:26">
      <c r="A57" s="125" t="s">
        <v>247</v>
      </c>
      <c r="B57" s="125">
        <v>1</v>
      </c>
      <c r="C57" s="645"/>
      <c r="D57" s="125">
        <v>1</v>
      </c>
      <c r="E57" s="645"/>
      <c r="F57" s="125">
        <v>1</v>
      </c>
      <c r="G57" s="645"/>
      <c r="H57" s="645"/>
      <c r="I57" s="645"/>
      <c r="J57" s="125">
        <v>1</v>
      </c>
      <c r="K57" s="645"/>
      <c r="L57" s="645"/>
      <c r="M57" s="645"/>
      <c r="N57" s="125">
        <v>1</v>
      </c>
      <c r="O57" s="645"/>
      <c r="P57" s="125">
        <v>1</v>
      </c>
      <c r="Q57" s="645"/>
      <c r="R57" s="645"/>
      <c r="S57" s="645"/>
      <c r="T57" s="645"/>
      <c r="U57" s="125">
        <v>1</v>
      </c>
      <c r="V57" s="125">
        <v>1</v>
      </c>
      <c r="W57" s="645"/>
      <c r="X57" s="645"/>
      <c r="Y57" s="645"/>
      <c r="Z57" s="11" t="s">
        <v>2013</v>
      </c>
    </row>
    <row r="58" spans="1:26">
      <c r="A58" s="125" t="s">
        <v>219</v>
      </c>
      <c r="B58" s="125">
        <v>1</v>
      </c>
      <c r="C58" s="645"/>
      <c r="D58" s="125">
        <v>1</v>
      </c>
      <c r="E58" s="645"/>
      <c r="F58" s="125">
        <v>1</v>
      </c>
      <c r="G58" s="645"/>
      <c r="H58" s="645"/>
      <c r="I58" s="645"/>
      <c r="J58" s="125">
        <v>1</v>
      </c>
      <c r="K58" s="645"/>
      <c r="L58" s="645"/>
      <c r="M58" s="645"/>
      <c r="N58" s="645"/>
      <c r="O58" s="645"/>
      <c r="P58" s="125">
        <v>1</v>
      </c>
      <c r="Q58" s="125">
        <v>1</v>
      </c>
      <c r="R58" s="645"/>
      <c r="S58" s="645"/>
      <c r="T58" s="645"/>
      <c r="U58" s="645"/>
      <c r="V58" s="125">
        <v>1</v>
      </c>
      <c r="W58" s="645"/>
      <c r="X58" s="645"/>
      <c r="Y58" s="645"/>
      <c r="Z58" s="11" t="s">
        <v>1975</v>
      </c>
    </row>
    <row r="59" spans="1:26">
      <c r="A59" s="125" t="s">
        <v>1725</v>
      </c>
      <c r="B59" s="125">
        <v>1</v>
      </c>
      <c r="C59" s="645"/>
      <c r="D59" s="645"/>
      <c r="E59" s="645"/>
      <c r="F59" s="125">
        <v>1</v>
      </c>
      <c r="G59" s="645"/>
      <c r="H59" s="645"/>
      <c r="I59" s="645"/>
      <c r="J59" s="125">
        <v>1</v>
      </c>
      <c r="K59" s="125">
        <v>1</v>
      </c>
      <c r="L59" s="645"/>
      <c r="M59" s="125">
        <v>1</v>
      </c>
      <c r="N59" s="645"/>
      <c r="O59" s="645"/>
      <c r="P59" s="125">
        <v>1</v>
      </c>
      <c r="Q59" s="645"/>
      <c r="R59" s="645"/>
      <c r="S59" s="645"/>
      <c r="T59" s="125">
        <v>1</v>
      </c>
      <c r="U59" s="645"/>
      <c r="V59" s="125">
        <v>1</v>
      </c>
      <c r="W59" s="645"/>
      <c r="X59" s="125">
        <v>1</v>
      </c>
      <c r="Y59" s="125">
        <v>1</v>
      </c>
      <c r="Z59" s="11" t="s">
        <v>2014</v>
      </c>
    </row>
    <row r="60" spans="1:26">
      <c r="A60" s="125" t="s">
        <v>978</v>
      </c>
      <c r="B60" s="125">
        <v>1</v>
      </c>
      <c r="C60" s="645"/>
      <c r="D60" s="645"/>
      <c r="E60" s="645"/>
      <c r="F60" s="645"/>
      <c r="G60" s="645"/>
      <c r="H60" s="645"/>
      <c r="I60" s="645"/>
      <c r="J60" s="645"/>
      <c r="K60" s="645"/>
      <c r="L60" s="645"/>
      <c r="M60" s="645"/>
      <c r="N60" s="645"/>
      <c r="O60" s="645"/>
      <c r="P60" s="645"/>
      <c r="Q60" s="645"/>
      <c r="R60" s="645"/>
      <c r="S60" s="645"/>
      <c r="T60" s="645"/>
      <c r="U60" s="645"/>
      <c r="V60" s="645"/>
      <c r="W60" s="645"/>
      <c r="X60" s="645"/>
      <c r="Y60" s="645"/>
      <c r="Z60" s="11" t="s">
        <v>2015</v>
      </c>
    </row>
    <row r="61" spans="1:26">
      <c r="A61" s="38" t="s">
        <v>237</v>
      </c>
      <c r="B61" s="38">
        <v>1</v>
      </c>
      <c r="C61" s="38"/>
      <c r="D61" s="38"/>
      <c r="E61" s="38"/>
      <c r="F61" s="38"/>
      <c r="G61" s="38"/>
      <c r="H61" s="38"/>
      <c r="I61" s="38"/>
      <c r="J61" s="38">
        <v>1</v>
      </c>
      <c r="K61" s="38"/>
      <c r="L61" s="38"/>
      <c r="M61" s="38">
        <v>1</v>
      </c>
      <c r="N61" s="38"/>
      <c r="O61" s="38"/>
      <c r="P61" s="38">
        <v>1</v>
      </c>
      <c r="Q61" s="38">
        <v>1</v>
      </c>
      <c r="R61" s="38"/>
      <c r="S61" s="38"/>
      <c r="T61" s="38">
        <v>1</v>
      </c>
      <c r="U61" s="38">
        <v>1</v>
      </c>
      <c r="V61" s="38"/>
      <c r="W61" s="38"/>
      <c r="X61" s="38"/>
      <c r="Y61" s="38"/>
      <c r="Z61" s="306" t="s">
        <v>2016</v>
      </c>
    </row>
    <row r="62" spans="1:26">
      <c r="A62" s="125" t="s">
        <v>1732</v>
      </c>
      <c r="B62" s="125">
        <v>1</v>
      </c>
      <c r="C62" s="645"/>
      <c r="D62" s="125">
        <v>1</v>
      </c>
      <c r="E62" s="645"/>
      <c r="F62" s="125">
        <v>1</v>
      </c>
      <c r="G62" s="645"/>
      <c r="H62" s="645"/>
      <c r="I62" s="645"/>
      <c r="J62" s="645"/>
      <c r="K62" s="645"/>
      <c r="L62" s="645"/>
      <c r="M62" s="125">
        <v>1</v>
      </c>
      <c r="N62" s="125">
        <v>1</v>
      </c>
      <c r="O62" s="125">
        <v>1</v>
      </c>
      <c r="P62" s="645"/>
      <c r="Q62" s="645"/>
      <c r="R62" s="645"/>
      <c r="S62" s="125">
        <v>1</v>
      </c>
      <c r="T62" s="645"/>
      <c r="U62" s="645"/>
      <c r="V62" s="125">
        <v>1</v>
      </c>
      <c r="W62" s="645"/>
      <c r="X62" s="645"/>
      <c r="Y62" s="645"/>
      <c r="Z62" s="11" t="s">
        <v>2017</v>
      </c>
    </row>
    <row r="63" spans="1:26">
      <c r="A63" s="125" t="s">
        <v>1493</v>
      </c>
      <c r="B63" s="125">
        <v>1</v>
      </c>
      <c r="C63" s="645"/>
      <c r="D63" s="125">
        <v>1</v>
      </c>
      <c r="E63" s="645"/>
      <c r="F63" s="125">
        <v>1</v>
      </c>
      <c r="G63" s="645"/>
      <c r="H63" s="645"/>
      <c r="I63" s="645"/>
      <c r="J63" s="645"/>
      <c r="K63" s="645"/>
      <c r="L63" s="645"/>
      <c r="M63" s="645"/>
      <c r="N63" s="645"/>
      <c r="O63" s="645"/>
      <c r="P63" s="645"/>
      <c r="Q63" s="645"/>
      <c r="R63" s="645"/>
      <c r="S63" s="645"/>
      <c r="T63" s="645"/>
      <c r="U63" s="645"/>
      <c r="V63" s="125">
        <v>1</v>
      </c>
      <c r="W63" s="645"/>
      <c r="X63" s="645"/>
      <c r="Y63" s="645"/>
      <c r="Z63" s="11" t="s">
        <v>1975</v>
      </c>
    </row>
    <row r="64" spans="1:26">
      <c r="A64" s="125" t="s">
        <v>590</v>
      </c>
      <c r="B64" s="125">
        <v>1</v>
      </c>
      <c r="C64" s="645"/>
      <c r="D64" s="125">
        <v>1</v>
      </c>
      <c r="E64" s="645"/>
      <c r="F64" s="125">
        <v>1</v>
      </c>
      <c r="G64" s="645"/>
      <c r="H64" s="645"/>
      <c r="I64" s="645"/>
      <c r="J64" s="125">
        <v>1</v>
      </c>
      <c r="K64" s="125">
        <v>1</v>
      </c>
      <c r="L64" s="645"/>
      <c r="M64" s="645"/>
      <c r="N64" s="645"/>
      <c r="O64" s="645"/>
      <c r="P64" s="125">
        <v>1</v>
      </c>
      <c r="Q64" s="645"/>
      <c r="R64" s="645"/>
      <c r="S64" s="645"/>
      <c r="T64" s="645"/>
      <c r="U64" s="645"/>
      <c r="V64" s="645"/>
      <c r="W64" s="645"/>
      <c r="X64" s="645"/>
      <c r="Y64" s="645"/>
      <c r="Z64" s="11" t="s">
        <v>2018</v>
      </c>
    </row>
    <row r="65" spans="1:26">
      <c r="A65" s="125" t="s">
        <v>2019</v>
      </c>
      <c r="B65" s="125">
        <v>1</v>
      </c>
      <c r="C65" s="645"/>
      <c r="D65" s="645"/>
      <c r="E65" s="645"/>
      <c r="F65" s="125">
        <v>1</v>
      </c>
      <c r="G65" s="645"/>
      <c r="H65" s="645"/>
      <c r="I65" s="645"/>
      <c r="J65" s="645"/>
      <c r="K65" s="645"/>
      <c r="L65" s="645"/>
      <c r="M65" s="645"/>
      <c r="N65" s="645"/>
      <c r="O65" s="125">
        <v>1</v>
      </c>
      <c r="P65" s="645"/>
      <c r="Q65" s="125">
        <v>1</v>
      </c>
      <c r="R65" s="645"/>
      <c r="S65" s="125">
        <v>1</v>
      </c>
      <c r="T65" s="645"/>
      <c r="U65" s="645"/>
      <c r="V65" s="645"/>
      <c r="W65" s="645"/>
      <c r="X65" s="645"/>
      <c r="Y65" s="645"/>
      <c r="Z65" s="11" t="s">
        <v>2020</v>
      </c>
    </row>
    <row r="66" spans="1:26">
      <c r="A66" s="125" t="s">
        <v>254</v>
      </c>
      <c r="B66" s="125">
        <v>1</v>
      </c>
      <c r="C66" s="645"/>
      <c r="D66" s="645"/>
      <c r="E66" s="645"/>
      <c r="F66" s="125">
        <v>1</v>
      </c>
      <c r="G66" s="645"/>
      <c r="H66" s="645"/>
      <c r="I66" s="645"/>
      <c r="J66" s="125">
        <v>1</v>
      </c>
      <c r="K66" s="645"/>
      <c r="L66" s="645"/>
      <c r="M66" s="645"/>
      <c r="N66" s="645"/>
      <c r="O66" s="645"/>
      <c r="P66" s="125">
        <v>1</v>
      </c>
      <c r="Q66" s="645"/>
      <c r="R66" s="645"/>
      <c r="S66" s="645"/>
      <c r="T66" s="645"/>
      <c r="U66" s="125">
        <v>1</v>
      </c>
      <c r="V66" s="645"/>
      <c r="W66" s="645"/>
      <c r="X66" s="125">
        <v>1</v>
      </c>
      <c r="Y66" s="645"/>
      <c r="Z66" s="11" t="s">
        <v>2021</v>
      </c>
    </row>
    <row r="67" spans="1:26">
      <c r="A67" s="125" t="s">
        <v>1185</v>
      </c>
      <c r="B67" s="125">
        <v>1</v>
      </c>
      <c r="C67" s="645"/>
      <c r="D67" s="645"/>
      <c r="E67" s="645"/>
      <c r="F67" s="125">
        <v>1</v>
      </c>
      <c r="G67" s="645"/>
      <c r="H67" s="125">
        <v>1</v>
      </c>
      <c r="I67" s="645"/>
      <c r="J67" s="125">
        <v>1</v>
      </c>
      <c r="K67" s="125">
        <v>1</v>
      </c>
      <c r="L67" s="645"/>
      <c r="M67" s="645"/>
      <c r="N67" s="645"/>
      <c r="O67" s="645"/>
      <c r="P67" s="125">
        <v>1</v>
      </c>
      <c r="Q67" s="645"/>
      <c r="R67" s="645"/>
      <c r="S67" s="645"/>
      <c r="T67" s="645"/>
      <c r="U67" s="645"/>
      <c r="V67" s="125">
        <v>1</v>
      </c>
      <c r="W67" s="645"/>
      <c r="X67" s="125">
        <v>1</v>
      </c>
      <c r="Y67" s="645"/>
      <c r="Z67" s="11" t="s">
        <v>2022</v>
      </c>
    </row>
    <row r="68" spans="1:26">
      <c r="A68" s="125" t="s">
        <v>255</v>
      </c>
      <c r="B68" s="125">
        <v>1</v>
      </c>
      <c r="C68" s="645"/>
      <c r="D68" s="645"/>
      <c r="E68" s="645"/>
      <c r="F68" s="645"/>
      <c r="G68" s="645"/>
      <c r="H68" s="645"/>
      <c r="I68" s="645"/>
      <c r="J68" s="645"/>
      <c r="K68" s="125">
        <v>1</v>
      </c>
      <c r="L68" s="645"/>
      <c r="M68" s="645"/>
      <c r="N68" s="645"/>
      <c r="O68" s="645"/>
      <c r="P68" s="645"/>
      <c r="Q68" s="645"/>
      <c r="R68" s="645"/>
      <c r="S68" s="645"/>
      <c r="T68" s="645"/>
      <c r="U68" s="645"/>
      <c r="V68" s="125">
        <v>1</v>
      </c>
      <c r="W68" s="645"/>
      <c r="X68" s="645"/>
      <c r="Y68" s="645"/>
      <c r="Z68" s="11" t="s">
        <v>1992</v>
      </c>
    </row>
    <row r="69" spans="1:26" ht="38.25" customHeight="1">
      <c r="A69" s="38" t="s">
        <v>2023</v>
      </c>
      <c r="B69" s="38">
        <v>1</v>
      </c>
      <c r="C69" s="38"/>
      <c r="D69" s="38"/>
      <c r="E69" s="38"/>
      <c r="F69" s="38"/>
      <c r="G69" s="38"/>
      <c r="H69" s="38"/>
      <c r="I69" s="38"/>
      <c r="J69" s="38"/>
      <c r="K69" s="38"/>
      <c r="L69" s="38"/>
      <c r="M69" s="38"/>
      <c r="N69" s="38"/>
      <c r="O69" s="38"/>
      <c r="P69" s="38">
        <v>1</v>
      </c>
      <c r="Q69" s="38"/>
      <c r="R69" s="38"/>
      <c r="S69" s="38"/>
      <c r="T69" s="38"/>
      <c r="U69" s="38"/>
      <c r="V69" s="38"/>
      <c r="W69" s="38"/>
      <c r="X69" s="38"/>
      <c r="Y69" s="38"/>
      <c r="Z69" s="306" t="s">
        <v>2024</v>
      </c>
    </row>
    <row r="70" spans="1:26">
      <c r="A70" s="125" t="s">
        <v>593</v>
      </c>
      <c r="B70" s="125">
        <v>1</v>
      </c>
      <c r="C70" s="645"/>
      <c r="D70" s="645"/>
      <c r="E70" s="645"/>
      <c r="F70" s="125">
        <v>1</v>
      </c>
      <c r="G70" s="645"/>
      <c r="H70" s="645"/>
      <c r="I70" s="645"/>
      <c r="J70" s="645"/>
      <c r="K70" s="645"/>
      <c r="L70" s="645"/>
      <c r="M70" s="645"/>
      <c r="N70" s="645"/>
      <c r="O70" s="645"/>
      <c r="P70" s="645"/>
      <c r="Q70" s="645"/>
      <c r="R70" s="645"/>
      <c r="S70" s="645"/>
      <c r="T70" s="645"/>
      <c r="U70" s="645"/>
      <c r="V70" s="645"/>
      <c r="W70" s="645"/>
      <c r="X70" s="645"/>
      <c r="Y70" s="645"/>
      <c r="Z70" s="11" t="s">
        <v>2025</v>
      </c>
    </row>
    <row r="71" spans="1:26">
      <c r="A71" s="38" t="s">
        <v>863</v>
      </c>
      <c r="B71" s="38">
        <v>1</v>
      </c>
      <c r="C71" s="38"/>
      <c r="D71" s="38">
        <v>1</v>
      </c>
      <c r="E71" s="38"/>
      <c r="F71" s="38"/>
      <c r="G71" s="38"/>
      <c r="H71" s="38"/>
      <c r="I71" s="38"/>
      <c r="J71" s="38">
        <v>1</v>
      </c>
      <c r="K71" s="38"/>
      <c r="L71" s="38"/>
      <c r="M71" s="38"/>
      <c r="N71" s="38"/>
      <c r="O71" s="38"/>
      <c r="P71" s="38">
        <v>1</v>
      </c>
      <c r="Q71" s="38"/>
      <c r="R71" s="38"/>
      <c r="S71" s="38"/>
      <c r="T71" s="38"/>
      <c r="U71" s="38">
        <v>1</v>
      </c>
      <c r="V71" s="38"/>
      <c r="W71" s="38"/>
      <c r="X71" s="38">
        <v>1</v>
      </c>
      <c r="Y71" s="38">
        <v>1</v>
      </c>
      <c r="Z71" s="306" t="s">
        <v>2026</v>
      </c>
    </row>
    <row r="72" spans="1:26">
      <c r="A72" s="125" t="s">
        <v>1743</v>
      </c>
      <c r="B72" s="125">
        <v>1</v>
      </c>
      <c r="C72" s="645"/>
      <c r="D72" s="125">
        <v>1</v>
      </c>
      <c r="E72" s="645"/>
      <c r="F72" s="125">
        <v>1</v>
      </c>
      <c r="G72" s="645"/>
      <c r="H72" s="645"/>
      <c r="I72" s="645"/>
      <c r="J72" s="125">
        <v>1</v>
      </c>
      <c r="K72" s="125">
        <v>1</v>
      </c>
      <c r="L72" s="645"/>
      <c r="M72" s="645"/>
      <c r="N72" s="645"/>
      <c r="O72" s="125">
        <v>1</v>
      </c>
      <c r="P72" s="125">
        <v>1</v>
      </c>
      <c r="Q72" s="645"/>
      <c r="R72" s="645"/>
      <c r="S72" s="125">
        <v>1</v>
      </c>
      <c r="T72" s="645"/>
      <c r="U72" s="125">
        <v>1</v>
      </c>
      <c r="V72" s="645"/>
      <c r="W72" s="645"/>
      <c r="X72" s="125">
        <v>1</v>
      </c>
      <c r="Y72" s="645"/>
      <c r="Z72" s="11" t="s">
        <v>1992</v>
      </c>
    </row>
    <row r="73" spans="1:26">
      <c r="A73" s="125" t="s">
        <v>2027</v>
      </c>
      <c r="B73" s="645"/>
      <c r="C73" s="645"/>
      <c r="D73" s="645"/>
      <c r="E73" s="645"/>
      <c r="F73" s="125">
        <v>1</v>
      </c>
      <c r="G73" s="645"/>
      <c r="H73" s="645"/>
      <c r="I73" s="645"/>
      <c r="J73" s="645"/>
      <c r="K73" s="645"/>
      <c r="L73" s="645"/>
      <c r="M73" s="645"/>
      <c r="N73" s="645"/>
      <c r="O73" s="645"/>
      <c r="P73" s="645"/>
      <c r="Q73" s="645"/>
      <c r="R73" s="645"/>
      <c r="S73" s="645"/>
      <c r="T73" s="645"/>
      <c r="U73" s="645"/>
      <c r="V73" s="645"/>
      <c r="W73" s="645"/>
      <c r="X73" s="645"/>
      <c r="Y73" s="645"/>
      <c r="Z73" s="11" t="s">
        <v>2028</v>
      </c>
    </row>
    <row r="74" spans="1:26">
      <c r="A74" s="125" t="s">
        <v>985</v>
      </c>
      <c r="B74" s="125">
        <v>1</v>
      </c>
      <c r="C74" s="645"/>
      <c r="D74" s="645"/>
      <c r="E74" s="645"/>
      <c r="F74" s="125">
        <v>1</v>
      </c>
      <c r="G74" s="645"/>
      <c r="H74" s="645"/>
      <c r="I74" s="645"/>
      <c r="J74" s="645"/>
      <c r="K74" s="645"/>
      <c r="L74" s="645"/>
      <c r="M74" s="645"/>
      <c r="N74" s="645"/>
      <c r="O74" s="645"/>
      <c r="P74" s="645"/>
      <c r="Q74" s="645"/>
      <c r="R74" s="645"/>
      <c r="S74" s="645"/>
      <c r="T74" s="645"/>
      <c r="U74" s="645"/>
      <c r="V74" s="125">
        <v>1</v>
      </c>
      <c r="W74" s="645"/>
      <c r="X74" s="645"/>
      <c r="Y74" s="645"/>
      <c r="Z74" s="11" t="s">
        <v>2029</v>
      </c>
    </row>
    <row r="75" spans="1:26">
      <c r="A75" s="125" t="s">
        <v>2030</v>
      </c>
      <c r="B75" s="125">
        <v>1</v>
      </c>
      <c r="C75" s="645"/>
      <c r="D75" s="125">
        <v>1</v>
      </c>
      <c r="E75" s="645"/>
      <c r="F75" s="125">
        <v>1</v>
      </c>
      <c r="G75" s="645"/>
      <c r="H75" s="645"/>
      <c r="I75" s="645"/>
      <c r="J75" s="125">
        <v>1</v>
      </c>
      <c r="K75" s="125">
        <v>1</v>
      </c>
      <c r="L75" s="645"/>
      <c r="M75" s="645"/>
      <c r="N75" s="125">
        <v>1</v>
      </c>
      <c r="O75" s="645"/>
      <c r="P75" s="125">
        <v>1</v>
      </c>
      <c r="Q75" s="645"/>
      <c r="R75" s="645"/>
      <c r="S75" s="645"/>
      <c r="T75" s="645"/>
      <c r="U75" s="125">
        <v>1</v>
      </c>
      <c r="V75" s="125">
        <v>1</v>
      </c>
      <c r="W75" s="645"/>
      <c r="X75" s="645"/>
      <c r="Y75" s="645"/>
      <c r="Z75" s="11" t="s">
        <v>2031</v>
      </c>
    </row>
    <row r="76" spans="1:26">
      <c r="A76" s="125" t="s">
        <v>447</v>
      </c>
      <c r="B76" s="125">
        <v>1</v>
      </c>
      <c r="C76" s="645"/>
      <c r="D76" s="125">
        <v>1</v>
      </c>
      <c r="E76" s="645"/>
      <c r="F76" s="645"/>
      <c r="G76" s="645"/>
      <c r="H76" s="645"/>
      <c r="I76" s="125">
        <v>1</v>
      </c>
      <c r="J76" s="125">
        <v>1</v>
      </c>
      <c r="K76" s="125">
        <v>1</v>
      </c>
      <c r="L76" s="645"/>
      <c r="M76" s="645"/>
      <c r="N76" s="645"/>
      <c r="O76" s="125">
        <v>1</v>
      </c>
      <c r="P76" s="645"/>
      <c r="Q76" s="645"/>
      <c r="R76" s="645"/>
      <c r="S76" s="125">
        <v>1</v>
      </c>
      <c r="T76" s="645"/>
      <c r="U76" s="125">
        <v>1</v>
      </c>
      <c r="V76" s="645"/>
      <c r="W76" s="645"/>
      <c r="X76" s="125">
        <v>1</v>
      </c>
      <c r="Y76" s="125">
        <v>1</v>
      </c>
      <c r="Z76" s="11" t="s">
        <v>1999</v>
      </c>
    </row>
    <row r="77" spans="1:26" ht="25.5" customHeight="1">
      <c r="A77" s="125" t="s">
        <v>2032</v>
      </c>
      <c r="B77" s="125">
        <v>1</v>
      </c>
      <c r="C77" s="645"/>
      <c r="D77" s="125">
        <v>1</v>
      </c>
      <c r="E77" s="645"/>
      <c r="F77" s="125">
        <v>1</v>
      </c>
      <c r="G77" s="645"/>
      <c r="H77" s="645"/>
      <c r="I77" s="645"/>
      <c r="J77" s="125">
        <v>1</v>
      </c>
      <c r="K77" s="645"/>
      <c r="L77" s="645"/>
      <c r="M77" s="645"/>
      <c r="N77" s="645"/>
      <c r="O77" s="645"/>
      <c r="P77" s="645"/>
      <c r="Q77" s="645"/>
      <c r="R77" s="645"/>
      <c r="S77" s="645"/>
      <c r="T77" s="125">
        <v>1</v>
      </c>
      <c r="U77" s="645"/>
      <c r="V77" s="645"/>
      <c r="W77" s="645"/>
      <c r="X77" s="645"/>
      <c r="Y77" s="645"/>
      <c r="Z77" s="11" t="s">
        <v>2033</v>
      </c>
    </row>
    <row r="78" spans="1:26">
      <c r="A78" s="125" t="s">
        <v>281</v>
      </c>
      <c r="B78" s="645"/>
      <c r="C78" s="645"/>
      <c r="D78" s="125">
        <v>1</v>
      </c>
      <c r="E78" s="645"/>
      <c r="F78" s="125">
        <v>1</v>
      </c>
      <c r="G78" s="645"/>
      <c r="H78" s="645"/>
      <c r="I78" s="645"/>
      <c r="J78" s="125">
        <v>1</v>
      </c>
      <c r="K78" s="645"/>
      <c r="L78" s="645"/>
      <c r="M78" s="125">
        <v>1</v>
      </c>
      <c r="N78" s="645"/>
      <c r="O78" s="125">
        <v>1</v>
      </c>
      <c r="P78" s="125">
        <v>1</v>
      </c>
      <c r="Q78" s="645"/>
      <c r="R78" s="645"/>
      <c r="S78" s="645"/>
      <c r="T78" s="645"/>
      <c r="U78" s="125">
        <v>1</v>
      </c>
      <c r="V78" s="125">
        <v>1</v>
      </c>
      <c r="W78" s="645"/>
      <c r="X78" s="125">
        <v>1</v>
      </c>
      <c r="Y78" s="645"/>
      <c r="Z78" s="11" t="s">
        <v>2034</v>
      </c>
    </row>
    <row r="79" spans="1:26">
      <c r="A79" s="125" t="s">
        <v>287</v>
      </c>
      <c r="B79" s="125">
        <v>1</v>
      </c>
      <c r="C79" s="645"/>
      <c r="D79" s="125">
        <v>1</v>
      </c>
      <c r="E79" s="645"/>
      <c r="F79" s="125">
        <v>1</v>
      </c>
      <c r="G79" s="645"/>
      <c r="H79" s="645"/>
      <c r="I79" s="645"/>
      <c r="J79" s="125">
        <v>1</v>
      </c>
      <c r="K79" s="125">
        <v>1</v>
      </c>
      <c r="L79" s="645"/>
      <c r="M79" s="645"/>
      <c r="N79" s="125">
        <v>1</v>
      </c>
      <c r="O79" s="645"/>
      <c r="P79" s="645"/>
      <c r="Q79" s="125">
        <v>1</v>
      </c>
      <c r="R79" s="125">
        <v>1</v>
      </c>
      <c r="S79" s="645"/>
      <c r="T79" s="645"/>
      <c r="U79" s="125">
        <v>1</v>
      </c>
      <c r="V79" s="645"/>
      <c r="W79" s="645"/>
      <c r="X79" s="125">
        <v>1</v>
      </c>
      <c r="Y79" s="645"/>
      <c r="Z79" s="11" t="s">
        <v>2035</v>
      </c>
    </row>
    <row r="80" spans="1:26">
      <c r="A80" s="125" t="s">
        <v>1207</v>
      </c>
      <c r="B80" s="125">
        <v>1</v>
      </c>
      <c r="C80" s="645"/>
      <c r="D80" s="125">
        <v>1</v>
      </c>
      <c r="E80" s="645"/>
      <c r="F80" s="125">
        <v>1</v>
      </c>
      <c r="G80" s="645"/>
      <c r="H80" s="645"/>
      <c r="I80" s="645"/>
      <c r="J80" s="125">
        <v>1</v>
      </c>
      <c r="K80" s="645"/>
      <c r="L80" s="645"/>
      <c r="M80" s="645"/>
      <c r="N80" s="645"/>
      <c r="O80" s="645"/>
      <c r="P80" s="645"/>
      <c r="Q80" s="645"/>
      <c r="R80" s="645"/>
      <c r="S80" s="645"/>
      <c r="T80" s="645"/>
      <c r="U80" s="125">
        <v>1</v>
      </c>
      <c r="V80" s="645"/>
      <c r="W80" s="645"/>
      <c r="X80" s="645"/>
      <c r="Y80" s="645"/>
      <c r="Z80" s="11" t="s">
        <v>2036</v>
      </c>
    </row>
    <row r="81" spans="1:26">
      <c r="A81" s="38" t="s">
        <v>276</v>
      </c>
      <c r="B81" s="38">
        <v>1</v>
      </c>
      <c r="C81" s="38"/>
      <c r="D81" s="38">
        <v>1</v>
      </c>
      <c r="E81" s="38"/>
      <c r="F81" s="38"/>
      <c r="G81" s="38"/>
      <c r="H81" s="38"/>
      <c r="I81" s="38"/>
      <c r="J81" s="38"/>
      <c r="K81" s="38"/>
      <c r="L81" s="38"/>
      <c r="M81" s="38"/>
      <c r="N81" s="38"/>
      <c r="O81" s="38"/>
      <c r="P81" s="38">
        <v>1</v>
      </c>
      <c r="Q81" s="38"/>
      <c r="R81" s="38"/>
      <c r="S81" s="38"/>
      <c r="T81" s="38"/>
      <c r="U81" s="38"/>
      <c r="V81" s="38"/>
      <c r="W81" s="38"/>
      <c r="X81" s="38"/>
      <c r="Y81" s="38"/>
      <c r="Z81" s="306" t="s">
        <v>2037</v>
      </c>
    </row>
    <row r="82" spans="1:26">
      <c r="A82" s="125" t="s">
        <v>278</v>
      </c>
      <c r="B82" s="125">
        <v>1</v>
      </c>
      <c r="C82" s="645"/>
      <c r="D82" s="645"/>
      <c r="E82" s="645"/>
      <c r="F82" s="645"/>
      <c r="G82" s="645"/>
      <c r="H82" s="645"/>
      <c r="I82" s="645"/>
      <c r="J82" s="125">
        <v>1</v>
      </c>
      <c r="K82" s="125">
        <v>1</v>
      </c>
      <c r="L82" s="645"/>
      <c r="M82" s="645"/>
      <c r="N82" s="645"/>
      <c r="O82" s="645"/>
      <c r="P82" s="645"/>
      <c r="Q82" s="645"/>
      <c r="R82" s="645"/>
      <c r="S82" s="645"/>
      <c r="T82" s="645"/>
      <c r="U82" s="645"/>
      <c r="V82" s="645"/>
      <c r="W82" s="645"/>
      <c r="X82" s="645"/>
      <c r="Y82" s="645"/>
      <c r="Z82" s="11" t="s">
        <v>1982</v>
      </c>
    </row>
    <row r="83" spans="1:26" ht="38.25" customHeight="1">
      <c r="A83" s="125" t="s">
        <v>2038</v>
      </c>
      <c r="B83" s="125">
        <v>1</v>
      </c>
      <c r="C83" s="645"/>
      <c r="D83" s="125">
        <v>1</v>
      </c>
      <c r="E83" s="645"/>
      <c r="F83" s="125">
        <v>1</v>
      </c>
      <c r="G83" s="645"/>
      <c r="H83" s="645"/>
      <c r="I83" s="645"/>
      <c r="J83" s="125">
        <v>1</v>
      </c>
      <c r="K83" s="125">
        <v>1</v>
      </c>
      <c r="L83" s="645"/>
      <c r="M83" s="645"/>
      <c r="N83" s="645"/>
      <c r="O83" s="645"/>
      <c r="P83" s="125">
        <v>1</v>
      </c>
      <c r="Q83" s="645"/>
      <c r="R83" s="645"/>
      <c r="S83" s="645"/>
      <c r="T83" s="645"/>
      <c r="U83" s="125">
        <v>1</v>
      </c>
      <c r="V83" s="125">
        <v>1</v>
      </c>
      <c r="W83" s="645"/>
      <c r="X83" s="125">
        <v>1</v>
      </c>
      <c r="Y83" s="645"/>
      <c r="Z83" s="11" t="s">
        <v>2039</v>
      </c>
    </row>
    <row r="84" spans="1:26">
      <c r="A84" s="38" t="s">
        <v>293</v>
      </c>
      <c r="B84" s="38">
        <v>1</v>
      </c>
      <c r="C84" s="49"/>
      <c r="D84" s="49"/>
      <c r="E84" s="49"/>
      <c r="F84" s="38">
        <v>1</v>
      </c>
      <c r="G84" s="49"/>
      <c r="H84" s="49"/>
      <c r="I84" s="49"/>
      <c r="J84" s="38">
        <v>1</v>
      </c>
      <c r="K84" s="49"/>
      <c r="L84" s="49"/>
      <c r="M84" s="49"/>
      <c r="N84" s="49"/>
      <c r="O84" s="49"/>
      <c r="P84" s="49">
        <v>1</v>
      </c>
      <c r="Q84" s="49"/>
      <c r="R84" s="49"/>
      <c r="S84" s="49"/>
      <c r="T84" s="49"/>
      <c r="U84" s="38">
        <v>1</v>
      </c>
      <c r="V84" s="49"/>
      <c r="W84" s="49"/>
      <c r="X84" s="38">
        <v>1</v>
      </c>
      <c r="Y84" s="49"/>
      <c r="Z84" s="306" t="s">
        <v>2040</v>
      </c>
    </row>
    <row r="85" spans="1:26">
      <c r="A85" s="125" t="s">
        <v>456</v>
      </c>
      <c r="B85" s="125">
        <v>1</v>
      </c>
      <c r="C85" s="645"/>
      <c r="D85" s="645"/>
      <c r="E85" s="645"/>
      <c r="F85" s="125">
        <v>1</v>
      </c>
      <c r="G85" s="645"/>
      <c r="H85" s="645"/>
      <c r="I85" s="645"/>
      <c r="J85" s="125">
        <v>1</v>
      </c>
      <c r="K85" s="645"/>
      <c r="L85" s="645"/>
      <c r="M85" s="645"/>
      <c r="N85" s="645"/>
      <c r="O85" s="645"/>
      <c r="P85" s="125">
        <v>1</v>
      </c>
      <c r="Q85" s="645"/>
      <c r="R85" s="645"/>
      <c r="S85" s="645"/>
      <c r="T85" s="645"/>
      <c r="U85" s="125">
        <v>1</v>
      </c>
      <c r="V85" s="125">
        <v>1</v>
      </c>
      <c r="W85" s="645"/>
      <c r="X85" s="645"/>
      <c r="Y85" s="645"/>
      <c r="Z85" s="11" t="s">
        <v>2041</v>
      </c>
    </row>
    <row r="86" spans="1:26">
      <c r="A86" s="125" t="s">
        <v>1817</v>
      </c>
      <c r="B86" s="125">
        <v>1</v>
      </c>
      <c r="C86" s="645"/>
      <c r="D86" s="645"/>
      <c r="E86" s="645"/>
      <c r="F86" s="125">
        <v>1</v>
      </c>
      <c r="G86" s="645"/>
      <c r="H86" s="645"/>
      <c r="I86" s="645"/>
      <c r="J86" s="125">
        <v>1</v>
      </c>
      <c r="K86" s="645"/>
      <c r="L86" s="645"/>
      <c r="M86" s="645"/>
      <c r="N86" s="125">
        <v>1</v>
      </c>
      <c r="O86" s="645"/>
      <c r="P86" s="645"/>
      <c r="Q86" s="645"/>
      <c r="R86" s="645"/>
      <c r="S86" s="645"/>
      <c r="T86" s="645"/>
      <c r="U86" s="645"/>
      <c r="V86" s="125">
        <v>1</v>
      </c>
      <c r="W86" s="645"/>
      <c r="X86" s="645"/>
      <c r="Y86" s="645"/>
      <c r="Z86" s="11" t="s">
        <v>2042</v>
      </c>
    </row>
    <row r="87" spans="1:26">
      <c r="A87" s="125" t="s">
        <v>301</v>
      </c>
      <c r="B87" s="125">
        <v>1</v>
      </c>
      <c r="C87" s="645"/>
      <c r="D87" s="645"/>
      <c r="E87" s="645"/>
      <c r="F87" s="645"/>
      <c r="G87" s="645"/>
      <c r="H87" s="645"/>
      <c r="I87" s="645"/>
      <c r="J87" s="645"/>
      <c r="K87" s="645"/>
      <c r="L87" s="645"/>
      <c r="M87" s="645"/>
      <c r="N87" s="645"/>
      <c r="O87" s="645"/>
      <c r="P87" s="645"/>
      <c r="Q87" s="645"/>
      <c r="R87" s="645"/>
      <c r="S87" s="645"/>
      <c r="T87" s="645"/>
      <c r="U87" s="645"/>
      <c r="V87" s="645"/>
      <c r="W87" s="645"/>
      <c r="X87" s="645"/>
      <c r="Y87" s="645"/>
      <c r="Z87" s="11" t="s">
        <v>1975</v>
      </c>
    </row>
    <row r="88" spans="1:26">
      <c r="A88" s="125" t="s">
        <v>2043</v>
      </c>
      <c r="B88" s="125">
        <v>1</v>
      </c>
      <c r="C88" s="645"/>
      <c r="D88" s="125">
        <v>1</v>
      </c>
      <c r="E88" s="645"/>
      <c r="F88" s="125">
        <v>1</v>
      </c>
      <c r="G88" s="645"/>
      <c r="H88" s="125">
        <v>1</v>
      </c>
      <c r="I88" s="645"/>
      <c r="J88" s="125">
        <v>1</v>
      </c>
      <c r="K88" s="125">
        <v>1</v>
      </c>
      <c r="L88" s="645"/>
      <c r="M88" s="645"/>
      <c r="N88" s="125">
        <v>1</v>
      </c>
      <c r="O88" s="645"/>
      <c r="P88" s="645"/>
      <c r="Q88" s="645"/>
      <c r="R88" s="645"/>
      <c r="S88" s="645"/>
      <c r="T88" s="645"/>
      <c r="U88" s="125">
        <v>1</v>
      </c>
      <c r="V88" s="125">
        <v>1</v>
      </c>
      <c r="W88" s="645"/>
      <c r="X88" s="645"/>
      <c r="Y88" s="645"/>
      <c r="Z88" s="11" t="s">
        <v>1987</v>
      </c>
    </row>
    <row r="89" spans="1:26">
      <c r="A89" s="125" t="s">
        <v>306</v>
      </c>
      <c r="B89" s="125">
        <v>1</v>
      </c>
      <c r="C89" s="645"/>
      <c r="D89" s="645"/>
      <c r="E89" s="645"/>
      <c r="F89" s="645"/>
      <c r="G89" s="645"/>
      <c r="H89" s="645"/>
      <c r="I89" s="645"/>
      <c r="J89" s="125">
        <v>1</v>
      </c>
      <c r="K89" s="645"/>
      <c r="L89" s="645"/>
      <c r="M89" s="645"/>
      <c r="N89" s="645"/>
      <c r="O89" s="125">
        <v>1</v>
      </c>
      <c r="P89" s="645"/>
      <c r="Q89" s="645"/>
      <c r="R89" s="645"/>
      <c r="S89" s="645"/>
      <c r="T89" s="645"/>
      <c r="U89" s="645"/>
      <c r="V89" s="125">
        <v>1</v>
      </c>
      <c r="W89" s="645"/>
      <c r="X89" s="645"/>
      <c r="Y89" s="645"/>
      <c r="Z89" s="11" t="s">
        <v>1975</v>
      </c>
    </row>
    <row r="90" spans="1:26">
      <c r="A90" s="125" t="s">
        <v>308</v>
      </c>
      <c r="B90" s="125">
        <v>1</v>
      </c>
      <c r="C90" s="645"/>
      <c r="D90" s="645"/>
      <c r="E90" s="645"/>
      <c r="F90" s="125">
        <v>1</v>
      </c>
      <c r="G90" s="645"/>
      <c r="H90" s="645"/>
      <c r="I90" s="645"/>
      <c r="J90" s="645"/>
      <c r="K90" s="645"/>
      <c r="L90" s="645"/>
      <c r="M90" s="645"/>
      <c r="N90" s="125">
        <v>1</v>
      </c>
      <c r="O90" s="645"/>
      <c r="P90" s="125">
        <v>1</v>
      </c>
      <c r="Q90" s="645"/>
      <c r="R90" s="645"/>
      <c r="S90" s="125">
        <v>1</v>
      </c>
      <c r="T90" s="645"/>
      <c r="U90" s="645"/>
      <c r="V90" s="645"/>
      <c r="W90" s="645"/>
      <c r="X90" s="645"/>
      <c r="Y90" s="645"/>
      <c r="Z90" s="11" t="s">
        <v>1999</v>
      </c>
    </row>
    <row r="91" spans="1:26">
      <c r="A91" s="125" t="s">
        <v>903</v>
      </c>
      <c r="B91" s="125">
        <v>1</v>
      </c>
      <c r="C91" s="645"/>
      <c r="D91" s="645"/>
      <c r="E91" s="645"/>
      <c r="F91" s="645"/>
      <c r="G91" s="645"/>
      <c r="H91" s="645"/>
      <c r="I91" s="645"/>
      <c r="J91" s="125">
        <v>1</v>
      </c>
      <c r="K91" s="645"/>
      <c r="L91" s="645"/>
      <c r="M91" s="645"/>
      <c r="N91" s="645"/>
      <c r="O91" s="645"/>
      <c r="P91" s="645"/>
      <c r="Q91" s="645"/>
      <c r="R91" s="645"/>
      <c r="S91" s="645"/>
      <c r="T91" s="125">
        <v>1</v>
      </c>
      <c r="U91" s="645"/>
      <c r="V91" s="645"/>
      <c r="W91" s="645"/>
      <c r="X91" s="645"/>
      <c r="Y91" s="645"/>
      <c r="Z91" s="11" t="s">
        <v>1975</v>
      </c>
    </row>
    <row r="92" spans="1:26">
      <c r="A92" s="125" t="s">
        <v>310</v>
      </c>
      <c r="B92" s="125">
        <v>1</v>
      </c>
      <c r="C92" s="645"/>
      <c r="D92" s="645"/>
      <c r="E92" s="645"/>
      <c r="F92" s="125">
        <v>1</v>
      </c>
      <c r="G92" s="645"/>
      <c r="H92" s="645"/>
      <c r="I92" s="645"/>
      <c r="J92" s="125">
        <v>1</v>
      </c>
      <c r="K92" s="645"/>
      <c r="L92" s="645"/>
      <c r="M92" s="645"/>
      <c r="N92" s="645"/>
      <c r="O92" s="645"/>
      <c r="P92" s="125">
        <v>1</v>
      </c>
      <c r="Q92" s="645"/>
      <c r="R92" s="645"/>
      <c r="S92" s="645"/>
      <c r="T92" s="645"/>
      <c r="U92" s="645"/>
      <c r="V92" s="125">
        <v>1</v>
      </c>
      <c r="W92" s="645"/>
      <c r="X92" s="645"/>
      <c r="Y92" s="645"/>
      <c r="Z92" s="11" t="s">
        <v>1981</v>
      </c>
    </row>
    <row r="93" spans="1:26">
      <c r="A93" s="38" t="s">
        <v>1531</v>
      </c>
      <c r="B93" s="38">
        <v>1</v>
      </c>
      <c r="C93" s="38"/>
      <c r="D93" s="38">
        <v>1</v>
      </c>
      <c r="E93" s="38"/>
      <c r="F93" s="38"/>
      <c r="G93" s="38"/>
      <c r="H93" s="38"/>
      <c r="I93" s="38"/>
      <c r="J93" s="38"/>
      <c r="K93" s="38"/>
      <c r="L93" s="38"/>
      <c r="M93" s="38"/>
      <c r="N93" s="38"/>
      <c r="O93" s="38">
        <v>1</v>
      </c>
      <c r="P93" s="38">
        <v>1</v>
      </c>
      <c r="Q93" s="38"/>
      <c r="R93" s="38"/>
      <c r="S93" s="38">
        <v>1</v>
      </c>
      <c r="T93" s="38"/>
      <c r="U93" s="38">
        <v>1</v>
      </c>
      <c r="V93" s="38"/>
      <c r="W93" s="38"/>
      <c r="X93" s="38"/>
      <c r="Y93" s="38"/>
      <c r="Z93" s="306" t="s">
        <v>2044</v>
      </c>
    </row>
    <row r="94" spans="1:26">
      <c r="A94" s="125" t="s">
        <v>313</v>
      </c>
      <c r="B94" s="125">
        <v>1</v>
      </c>
      <c r="C94" s="645"/>
      <c r="D94" s="645"/>
      <c r="E94" s="645"/>
      <c r="F94" s="645"/>
      <c r="G94" s="645"/>
      <c r="H94" s="645"/>
      <c r="I94" s="645"/>
      <c r="J94" s="645"/>
      <c r="K94" s="645"/>
      <c r="L94" s="645"/>
      <c r="M94" s="645"/>
      <c r="N94" s="645"/>
      <c r="O94" s="125">
        <v>1</v>
      </c>
      <c r="P94" s="645"/>
      <c r="Q94" s="645"/>
      <c r="R94" s="645"/>
      <c r="S94" s="645"/>
      <c r="T94" s="645"/>
      <c r="U94" s="645"/>
      <c r="V94" s="125">
        <v>1</v>
      </c>
      <c r="W94" s="645"/>
      <c r="X94" s="645"/>
      <c r="Y94" s="645"/>
      <c r="Z94" s="11" t="s">
        <v>1981</v>
      </c>
    </row>
    <row r="95" spans="1:26">
      <c r="A95" s="125" t="s">
        <v>909</v>
      </c>
      <c r="B95" s="125">
        <v>1</v>
      </c>
      <c r="C95" s="645"/>
      <c r="D95" s="645"/>
      <c r="E95" s="645"/>
      <c r="F95" s="125">
        <v>1</v>
      </c>
      <c r="G95" s="645"/>
      <c r="H95" s="645"/>
      <c r="I95" s="645"/>
      <c r="J95" s="645"/>
      <c r="K95" s="645"/>
      <c r="L95" s="645"/>
      <c r="M95" s="645"/>
      <c r="N95" s="645"/>
      <c r="O95" s="645"/>
      <c r="P95" s="645"/>
      <c r="Q95" s="645"/>
      <c r="R95" s="645"/>
      <c r="S95" s="645"/>
      <c r="T95" s="645"/>
      <c r="U95" s="645"/>
      <c r="V95" s="645"/>
      <c r="W95" s="645"/>
      <c r="X95" s="645"/>
      <c r="Y95" s="645"/>
      <c r="Z95" s="11" t="s">
        <v>1981</v>
      </c>
    </row>
    <row r="96" spans="1:26">
      <c r="A96" s="125" t="s">
        <v>2045</v>
      </c>
      <c r="B96" s="125">
        <v>1</v>
      </c>
      <c r="C96" s="645"/>
      <c r="D96" s="645"/>
      <c r="E96" s="645"/>
      <c r="F96" s="125">
        <v>1</v>
      </c>
      <c r="G96" s="645"/>
      <c r="H96" s="645"/>
      <c r="I96" s="645"/>
      <c r="J96" s="645"/>
      <c r="K96" s="645"/>
      <c r="L96" s="645"/>
      <c r="M96" s="645"/>
      <c r="N96" s="645"/>
      <c r="O96" s="645"/>
      <c r="P96" s="125">
        <v>1</v>
      </c>
      <c r="Q96" s="645"/>
      <c r="R96" s="645"/>
      <c r="S96" s="645"/>
      <c r="T96" s="645"/>
      <c r="U96" s="645"/>
      <c r="V96" s="645"/>
      <c r="W96" s="645"/>
      <c r="X96" s="645"/>
      <c r="Y96" s="645"/>
      <c r="Z96" s="11" t="s">
        <v>1999</v>
      </c>
    </row>
    <row r="97" spans="1:26">
      <c r="A97" s="125" t="s">
        <v>316</v>
      </c>
      <c r="B97" s="125">
        <v>1</v>
      </c>
      <c r="C97" s="645"/>
      <c r="D97" s="125">
        <v>1</v>
      </c>
      <c r="E97" s="645"/>
      <c r="F97" s="125">
        <v>1</v>
      </c>
      <c r="G97" s="645"/>
      <c r="H97" s="645"/>
      <c r="I97" s="645"/>
      <c r="J97" s="125">
        <v>1</v>
      </c>
      <c r="K97" s="125">
        <v>1</v>
      </c>
      <c r="L97" s="645"/>
      <c r="M97" s="645"/>
      <c r="N97" s="645"/>
      <c r="O97" s="645"/>
      <c r="P97" s="645"/>
      <c r="Q97" s="645"/>
      <c r="R97" s="645"/>
      <c r="S97" s="125">
        <v>1</v>
      </c>
      <c r="T97" s="645"/>
      <c r="U97" s="125">
        <v>1</v>
      </c>
      <c r="V97" s="645"/>
      <c r="W97" s="645"/>
      <c r="X97" s="645"/>
      <c r="Y97" s="125">
        <v>1</v>
      </c>
      <c r="Z97" s="11" t="s">
        <v>2046</v>
      </c>
    </row>
    <row r="98" spans="1:26">
      <c r="A98" s="125" t="s">
        <v>322</v>
      </c>
      <c r="B98" s="125">
        <v>1</v>
      </c>
      <c r="C98" s="645"/>
      <c r="D98" s="645"/>
      <c r="E98" s="645"/>
      <c r="F98" s="125">
        <v>1</v>
      </c>
      <c r="G98" s="645"/>
      <c r="H98" s="645"/>
      <c r="I98" s="645"/>
      <c r="J98" s="125">
        <v>1</v>
      </c>
      <c r="K98" s="645"/>
      <c r="L98" s="645"/>
      <c r="M98" s="645"/>
      <c r="N98" s="645"/>
      <c r="O98" s="645"/>
      <c r="P98" s="125">
        <v>1</v>
      </c>
      <c r="Q98" s="645"/>
      <c r="R98" s="645"/>
      <c r="S98" s="645"/>
      <c r="T98" s="645"/>
      <c r="U98" s="645"/>
      <c r="V98" s="645"/>
      <c r="W98" s="645"/>
      <c r="X98" s="645"/>
      <c r="Y98" s="645"/>
      <c r="Z98" s="11" t="s">
        <v>2047</v>
      </c>
    </row>
    <row r="99" spans="1:26">
      <c r="A99" s="125" t="s">
        <v>326</v>
      </c>
      <c r="B99" s="125">
        <v>1</v>
      </c>
      <c r="C99" s="645"/>
      <c r="D99" s="125">
        <v>1</v>
      </c>
      <c r="E99" s="645"/>
      <c r="F99" s="125">
        <v>1</v>
      </c>
      <c r="G99" s="645"/>
      <c r="H99" s="645"/>
      <c r="I99" s="645"/>
      <c r="J99" s="125">
        <v>1</v>
      </c>
      <c r="K99" s="125">
        <v>1</v>
      </c>
      <c r="L99" s="645"/>
      <c r="M99" s="645"/>
      <c r="N99" s="645"/>
      <c r="O99" s="125">
        <v>1</v>
      </c>
      <c r="P99" s="645"/>
      <c r="Q99" s="125">
        <v>1</v>
      </c>
      <c r="R99" s="645"/>
      <c r="S99" s="645"/>
      <c r="T99" s="645"/>
      <c r="U99" s="125">
        <v>1</v>
      </c>
      <c r="V99" s="645"/>
      <c r="W99" s="645"/>
      <c r="X99" s="125">
        <v>1</v>
      </c>
      <c r="Y99" s="125">
        <v>1</v>
      </c>
      <c r="Z99" s="645"/>
    </row>
    <row r="100" spans="1:26">
      <c r="A100" s="125" t="s">
        <v>684</v>
      </c>
      <c r="B100" s="125">
        <v>1</v>
      </c>
      <c r="C100" s="645"/>
      <c r="D100" s="645"/>
      <c r="E100" s="645"/>
      <c r="F100" s="125">
        <v>1</v>
      </c>
      <c r="G100" s="645"/>
      <c r="H100" s="645"/>
      <c r="I100" s="645"/>
      <c r="J100" s="645"/>
      <c r="K100" s="645"/>
      <c r="L100" s="645"/>
      <c r="M100" s="645"/>
      <c r="N100" s="645"/>
      <c r="O100" s="645"/>
      <c r="P100" s="125">
        <v>1</v>
      </c>
      <c r="Q100" s="645"/>
      <c r="R100" s="645"/>
      <c r="S100" s="645"/>
      <c r="T100" s="645"/>
      <c r="U100" s="645"/>
      <c r="V100" s="645"/>
      <c r="W100" s="645"/>
      <c r="X100" s="645"/>
      <c r="Y100" s="645"/>
      <c r="Z100" s="11" t="s">
        <v>2048</v>
      </c>
    </row>
    <row r="101" spans="1:26">
      <c r="A101" s="125" t="s">
        <v>331</v>
      </c>
      <c r="B101" s="125">
        <v>1</v>
      </c>
      <c r="C101" s="645"/>
      <c r="D101" s="645"/>
      <c r="E101" s="645"/>
      <c r="F101" s="645"/>
      <c r="G101" s="645"/>
      <c r="H101" s="645"/>
      <c r="I101" s="645"/>
      <c r="J101" s="645"/>
      <c r="K101" s="645"/>
      <c r="L101" s="645"/>
      <c r="M101" s="645"/>
      <c r="N101" s="645"/>
      <c r="O101" s="645"/>
      <c r="P101" s="645"/>
      <c r="Q101" s="645"/>
      <c r="R101" s="645"/>
      <c r="S101" s="645"/>
      <c r="T101" s="645"/>
      <c r="U101" s="645"/>
      <c r="V101" s="645"/>
      <c r="W101" s="645"/>
      <c r="X101" s="645"/>
      <c r="Y101" s="645"/>
      <c r="Z101" s="11" t="s">
        <v>2049</v>
      </c>
    </row>
    <row r="102" spans="1:26">
      <c r="A102" s="125" t="s">
        <v>333</v>
      </c>
      <c r="B102" s="125">
        <v>1</v>
      </c>
      <c r="C102" s="645"/>
      <c r="D102" s="125">
        <v>1</v>
      </c>
      <c r="E102" s="125">
        <v>1</v>
      </c>
      <c r="F102" s="125">
        <v>1</v>
      </c>
      <c r="G102" s="645"/>
      <c r="H102" s="645"/>
      <c r="I102" s="645"/>
      <c r="J102" s="125">
        <v>1</v>
      </c>
      <c r="K102" s="645"/>
      <c r="L102" s="645"/>
      <c r="M102" s="645"/>
      <c r="N102" s="645"/>
      <c r="O102" s="645"/>
      <c r="P102" s="645"/>
      <c r="Q102" s="645"/>
      <c r="R102" s="645"/>
      <c r="S102" s="645"/>
      <c r="T102" s="645"/>
      <c r="U102" s="645"/>
      <c r="V102" s="125">
        <v>1</v>
      </c>
      <c r="W102" s="645"/>
      <c r="X102" s="645"/>
      <c r="Y102" s="645"/>
      <c r="Z102" s="11" t="s">
        <v>2050</v>
      </c>
    </row>
    <row r="103" spans="1:26">
      <c r="A103" s="125" t="s">
        <v>341</v>
      </c>
      <c r="B103" s="125">
        <v>1</v>
      </c>
      <c r="C103" s="645"/>
      <c r="D103" s="125">
        <v>1</v>
      </c>
      <c r="E103" s="645"/>
      <c r="F103" s="125">
        <v>1</v>
      </c>
      <c r="G103" s="645"/>
      <c r="H103" s="125">
        <v>1</v>
      </c>
      <c r="I103" s="645"/>
      <c r="J103" s="125">
        <v>1</v>
      </c>
      <c r="K103" s="645"/>
      <c r="L103" s="645"/>
      <c r="M103" s="645"/>
      <c r="N103" s="645"/>
      <c r="O103" s="645"/>
      <c r="P103" s="125">
        <v>1</v>
      </c>
      <c r="Q103" s="645"/>
      <c r="R103" s="645"/>
      <c r="S103" s="645"/>
      <c r="T103" s="645"/>
      <c r="U103" s="125">
        <v>1</v>
      </c>
      <c r="V103" s="125">
        <v>1</v>
      </c>
      <c r="W103" s="645"/>
      <c r="X103" s="125">
        <v>1</v>
      </c>
      <c r="Y103" s="125">
        <v>1</v>
      </c>
      <c r="Z103" s="11" t="s">
        <v>2051</v>
      </c>
    </row>
    <row r="104" spans="1:26">
      <c r="A104" s="125" t="s">
        <v>633</v>
      </c>
      <c r="B104" s="125">
        <v>1</v>
      </c>
      <c r="C104" s="645"/>
      <c r="D104" s="125">
        <v>1</v>
      </c>
      <c r="E104" s="645"/>
      <c r="F104" s="125">
        <v>1</v>
      </c>
      <c r="G104" s="645"/>
      <c r="H104" s="645"/>
      <c r="I104" s="645"/>
      <c r="J104" s="125">
        <v>1</v>
      </c>
      <c r="K104" s="645"/>
      <c r="L104" s="645"/>
      <c r="M104" s="645"/>
      <c r="N104" s="645"/>
      <c r="O104" s="645"/>
      <c r="P104" s="125">
        <v>1</v>
      </c>
      <c r="Q104" s="645"/>
      <c r="R104" s="645"/>
      <c r="S104" s="125">
        <v>1</v>
      </c>
      <c r="T104" s="645"/>
      <c r="U104" s="125">
        <v>1</v>
      </c>
      <c r="V104" s="125">
        <v>1</v>
      </c>
      <c r="W104" s="645"/>
      <c r="X104" s="645"/>
      <c r="Y104" s="645"/>
      <c r="Z104" s="11" t="s">
        <v>1981</v>
      </c>
    </row>
    <row r="105" spans="1:26">
      <c r="A105" s="125" t="s">
        <v>342</v>
      </c>
      <c r="B105" s="125">
        <v>1</v>
      </c>
      <c r="C105" s="645"/>
      <c r="D105" s="645"/>
      <c r="E105" s="645"/>
      <c r="F105" s="125">
        <v>1</v>
      </c>
      <c r="G105" s="645"/>
      <c r="H105" s="645"/>
      <c r="I105" s="645"/>
      <c r="J105" s="125">
        <v>1</v>
      </c>
      <c r="K105" s="645"/>
      <c r="L105" s="645"/>
      <c r="M105" s="645"/>
      <c r="N105" s="645"/>
      <c r="O105" s="645"/>
      <c r="P105" s="125">
        <v>1</v>
      </c>
      <c r="Q105" s="645"/>
      <c r="R105" s="645"/>
      <c r="S105" s="645"/>
      <c r="T105" s="645"/>
      <c r="U105" s="125">
        <v>1</v>
      </c>
      <c r="V105" s="645"/>
      <c r="W105" s="645"/>
      <c r="X105" s="125">
        <v>1</v>
      </c>
      <c r="Y105" s="125">
        <v>1</v>
      </c>
      <c r="Z105" s="11" t="s">
        <v>2052</v>
      </c>
    </row>
    <row r="106" spans="1:26">
      <c r="A106" s="125" t="s">
        <v>346</v>
      </c>
      <c r="B106" s="125">
        <v>1</v>
      </c>
      <c r="C106" s="645"/>
      <c r="D106" s="645"/>
      <c r="E106" s="645"/>
      <c r="F106" s="125">
        <v>1</v>
      </c>
      <c r="G106" s="645"/>
      <c r="H106" s="645"/>
      <c r="I106" s="645"/>
      <c r="J106" s="125">
        <v>1</v>
      </c>
      <c r="K106" s="125">
        <v>1</v>
      </c>
      <c r="L106" s="645"/>
      <c r="M106" s="645"/>
      <c r="N106" s="125">
        <v>1</v>
      </c>
      <c r="O106" s="645"/>
      <c r="P106" s="645"/>
      <c r="Q106" s="645"/>
      <c r="R106" s="645"/>
      <c r="S106" s="645"/>
      <c r="T106" s="645"/>
      <c r="U106" s="125">
        <v>1</v>
      </c>
      <c r="V106" s="125">
        <v>1</v>
      </c>
      <c r="W106" s="645"/>
      <c r="X106" s="125">
        <v>1</v>
      </c>
      <c r="Y106" s="645"/>
      <c r="Z106" s="11" t="s">
        <v>2053</v>
      </c>
    </row>
    <row r="107" spans="1:26">
      <c r="A107" s="125" t="s">
        <v>639</v>
      </c>
      <c r="B107" s="125">
        <v>1</v>
      </c>
      <c r="C107" s="645"/>
      <c r="D107" s="125">
        <v>1</v>
      </c>
      <c r="E107" s="645"/>
      <c r="F107" s="125">
        <v>1</v>
      </c>
      <c r="G107" s="645"/>
      <c r="H107" s="645"/>
      <c r="I107" s="645"/>
      <c r="J107" s="125">
        <v>1</v>
      </c>
      <c r="K107" s="645"/>
      <c r="L107" s="645"/>
      <c r="M107" s="645"/>
      <c r="N107" s="645"/>
      <c r="O107" s="645"/>
      <c r="P107" s="125">
        <v>1</v>
      </c>
      <c r="Q107" s="125">
        <v>1</v>
      </c>
      <c r="R107" s="645"/>
      <c r="S107" s="645"/>
      <c r="T107" s="645"/>
      <c r="U107" s="645"/>
      <c r="V107" s="645"/>
      <c r="W107" s="645"/>
      <c r="X107" s="645"/>
      <c r="Y107" s="645"/>
      <c r="Z107" s="11" t="s">
        <v>1981</v>
      </c>
    </row>
    <row r="108" spans="1:26">
      <c r="A108" s="125" t="s">
        <v>352</v>
      </c>
      <c r="B108" s="125">
        <v>1</v>
      </c>
      <c r="C108" s="645"/>
      <c r="D108" s="125">
        <v>1</v>
      </c>
      <c r="E108" s="645"/>
      <c r="F108" s="125">
        <v>1</v>
      </c>
      <c r="G108" s="645"/>
      <c r="H108" s="645"/>
      <c r="I108" s="645"/>
      <c r="J108" s="125">
        <v>1</v>
      </c>
      <c r="K108" s="125">
        <v>1</v>
      </c>
      <c r="L108" s="645"/>
      <c r="M108" s="645"/>
      <c r="N108" s="645"/>
      <c r="O108" s="645"/>
      <c r="P108" s="125">
        <v>1</v>
      </c>
      <c r="Q108" s="645"/>
      <c r="R108" s="645"/>
      <c r="S108" s="645"/>
      <c r="T108" s="645"/>
      <c r="U108" s="645"/>
      <c r="V108" s="645"/>
      <c r="W108" s="645"/>
      <c r="X108" s="645"/>
      <c r="Y108" s="645"/>
      <c r="Z108" s="11" t="s">
        <v>1982</v>
      </c>
    </row>
    <row r="109" spans="1:26">
      <c r="A109" s="125" t="s">
        <v>353</v>
      </c>
      <c r="B109" s="125">
        <v>1</v>
      </c>
      <c r="C109" s="645"/>
      <c r="D109" s="125">
        <v>1</v>
      </c>
      <c r="E109" s="645"/>
      <c r="F109" s="125">
        <v>1</v>
      </c>
      <c r="G109" s="645"/>
      <c r="H109" s="645"/>
      <c r="I109" s="645"/>
      <c r="J109" s="645"/>
      <c r="K109" s="645"/>
      <c r="L109" s="645"/>
      <c r="M109" s="645"/>
      <c r="N109" s="645"/>
      <c r="O109" s="645"/>
      <c r="P109" s="125">
        <v>1</v>
      </c>
      <c r="Q109" s="645"/>
      <c r="R109" s="645"/>
      <c r="S109" s="645"/>
      <c r="T109" s="645"/>
      <c r="U109" s="645"/>
      <c r="V109" s="645"/>
      <c r="W109" s="645"/>
      <c r="X109" s="645"/>
      <c r="Y109" s="645"/>
      <c r="Z109" s="11" t="s">
        <v>1973</v>
      </c>
    </row>
    <row r="110" spans="1:26">
      <c r="A110" s="125" t="s">
        <v>354</v>
      </c>
      <c r="B110" s="125">
        <v>1</v>
      </c>
      <c r="C110" s="645"/>
      <c r="D110" s="645"/>
      <c r="E110" s="645"/>
      <c r="F110" s="125">
        <v>1</v>
      </c>
      <c r="G110" s="645"/>
      <c r="H110" s="645"/>
      <c r="I110" s="645"/>
      <c r="J110" s="125">
        <v>1</v>
      </c>
      <c r="K110" s="645"/>
      <c r="L110" s="645"/>
      <c r="M110" s="645"/>
      <c r="N110" s="645"/>
      <c r="O110" s="645"/>
      <c r="P110" s="645"/>
      <c r="Q110" s="645"/>
      <c r="R110" s="645"/>
      <c r="S110" s="645"/>
      <c r="T110" s="645"/>
      <c r="U110" s="125">
        <v>1</v>
      </c>
      <c r="V110" s="125">
        <v>1</v>
      </c>
      <c r="W110" s="645"/>
      <c r="X110" s="645"/>
      <c r="Y110" s="645"/>
      <c r="Z110" s="11" t="s">
        <v>1981</v>
      </c>
    </row>
    <row r="111" spans="1:26">
      <c r="A111" s="125" t="s">
        <v>1556</v>
      </c>
      <c r="B111" s="125">
        <v>1</v>
      </c>
      <c r="C111" s="645"/>
      <c r="D111" s="125">
        <v>1</v>
      </c>
      <c r="E111" s="645"/>
      <c r="F111" s="125">
        <v>1</v>
      </c>
      <c r="G111" s="645"/>
      <c r="H111" s="645"/>
      <c r="I111" s="645"/>
      <c r="J111" s="645"/>
      <c r="K111" s="645"/>
      <c r="L111" s="645"/>
      <c r="M111" s="645"/>
      <c r="N111" s="645"/>
      <c r="O111" s="125">
        <v>1</v>
      </c>
      <c r="P111" s="645"/>
      <c r="Q111" s="125">
        <v>1</v>
      </c>
      <c r="R111" s="645"/>
      <c r="S111" s="645"/>
      <c r="T111" s="645"/>
      <c r="U111" s="125">
        <v>1</v>
      </c>
      <c r="V111" s="125">
        <v>1</v>
      </c>
      <c r="W111" s="645"/>
      <c r="X111" s="645"/>
      <c r="Y111" s="645"/>
      <c r="Z111" s="11" t="s">
        <v>2054</v>
      </c>
    </row>
    <row r="112" spans="1:26" ht="25.5" customHeight="1">
      <c r="A112" s="125" t="s">
        <v>358</v>
      </c>
      <c r="B112" s="125">
        <v>1</v>
      </c>
      <c r="C112" s="645"/>
      <c r="D112" s="645"/>
      <c r="E112" s="645"/>
      <c r="F112" s="125">
        <v>1</v>
      </c>
      <c r="G112" s="645"/>
      <c r="H112" s="645"/>
      <c r="I112" s="645"/>
      <c r="J112" s="645"/>
      <c r="K112" s="645"/>
      <c r="L112" s="645"/>
      <c r="M112" s="645"/>
      <c r="N112" s="645"/>
      <c r="O112" s="645"/>
      <c r="P112" s="125">
        <v>1</v>
      </c>
      <c r="Q112" s="645"/>
      <c r="R112" s="645"/>
      <c r="S112" s="645"/>
      <c r="T112" s="645"/>
      <c r="U112" s="645"/>
      <c r="V112" s="645"/>
      <c r="W112" s="645"/>
      <c r="X112" s="645"/>
      <c r="Y112" s="645"/>
      <c r="Z112" s="11" t="s">
        <v>2055</v>
      </c>
    </row>
    <row r="113" spans="1:26">
      <c r="A113" s="125" t="s">
        <v>359</v>
      </c>
      <c r="B113" s="125">
        <v>1</v>
      </c>
      <c r="C113" s="645"/>
      <c r="D113" s="645"/>
      <c r="E113" s="645"/>
      <c r="F113" s="125">
        <v>1</v>
      </c>
      <c r="G113" s="645"/>
      <c r="H113" s="645"/>
      <c r="I113" s="645"/>
      <c r="J113" s="125">
        <v>1</v>
      </c>
      <c r="K113" s="645"/>
      <c r="L113" s="645"/>
      <c r="M113" s="645"/>
      <c r="N113" s="645"/>
      <c r="O113" s="645"/>
      <c r="P113" s="645"/>
      <c r="Q113" s="645"/>
      <c r="R113" s="645"/>
      <c r="S113" s="645"/>
      <c r="T113" s="645"/>
      <c r="U113" s="645"/>
      <c r="V113" s="125">
        <v>1</v>
      </c>
      <c r="W113" s="645"/>
      <c r="X113" s="645"/>
      <c r="Y113" s="645"/>
      <c r="Z113" s="11" t="s">
        <v>2056</v>
      </c>
    </row>
    <row r="114" spans="1:26">
      <c r="A114" s="125" t="s">
        <v>1565</v>
      </c>
      <c r="B114" s="125">
        <v>1</v>
      </c>
      <c r="C114" s="645"/>
      <c r="D114" s="125">
        <v>1</v>
      </c>
      <c r="E114" s="645"/>
      <c r="F114" s="125">
        <v>1</v>
      </c>
      <c r="G114" s="645"/>
      <c r="H114" s="645"/>
      <c r="I114" s="645"/>
      <c r="J114" s="125">
        <v>1</v>
      </c>
      <c r="K114" s="125">
        <v>1</v>
      </c>
      <c r="L114" s="645"/>
      <c r="M114" s="645"/>
      <c r="N114" s="645"/>
      <c r="O114" s="125">
        <v>1</v>
      </c>
      <c r="P114" s="645"/>
      <c r="Q114" s="645"/>
      <c r="R114" s="645"/>
      <c r="S114" s="645"/>
      <c r="T114" s="645"/>
      <c r="U114" s="125">
        <v>1</v>
      </c>
      <c r="V114" s="645"/>
      <c r="W114" s="645"/>
      <c r="X114" s="645"/>
      <c r="Y114" s="645"/>
      <c r="Z114" s="11" t="s">
        <v>2057</v>
      </c>
    </row>
    <row r="115" spans="1:26">
      <c r="A115" s="125" t="s">
        <v>938</v>
      </c>
      <c r="B115" s="125">
        <v>1</v>
      </c>
      <c r="C115" s="645"/>
      <c r="D115" s="645"/>
      <c r="E115" s="645"/>
      <c r="F115" s="125">
        <v>1</v>
      </c>
      <c r="G115" s="645"/>
      <c r="H115" s="645"/>
      <c r="I115" s="645"/>
      <c r="J115" s="125">
        <v>1</v>
      </c>
      <c r="K115" s="125">
        <v>1</v>
      </c>
      <c r="L115" s="645"/>
      <c r="M115" s="645"/>
      <c r="N115" s="645"/>
      <c r="O115" s="645"/>
      <c r="P115" s="645"/>
      <c r="Q115" s="645"/>
      <c r="R115" s="645"/>
      <c r="S115" s="125">
        <v>1</v>
      </c>
      <c r="T115" s="645"/>
      <c r="U115" s="645"/>
      <c r="V115" s="125">
        <v>1</v>
      </c>
      <c r="W115" s="645"/>
      <c r="X115" s="125">
        <v>1</v>
      </c>
      <c r="Y115" s="645"/>
      <c r="Z115" s="11" t="s">
        <v>1975</v>
      </c>
    </row>
    <row r="116" spans="1:26">
      <c r="A116" s="125" t="s">
        <v>366</v>
      </c>
      <c r="B116" s="125">
        <v>1</v>
      </c>
      <c r="C116" s="645"/>
      <c r="D116" s="645"/>
      <c r="E116" s="645"/>
      <c r="F116" s="125">
        <v>1</v>
      </c>
      <c r="G116" s="645"/>
      <c r="H116" s="645"/>
      <c r="I116" s="645"/>
      <c r="J116" s="645"/>
      <c r="K116" s="125">
        <v>1</v>
      </c>
      <c r="L116" s="645"/>
      <c r="M116" s="645"/>
      <c r="N116" s="645"/>
      <c r="O116" s="645"/>
      <c r="P116" s="125">
        <v>1</v>
      </c>
      <c r="Q116" s="645"/>
      <c r="R116" s="645"/>
      <c r="S116" s="645"/>
      <c r="T116" s="645"/>
      <c r="U116" s="645"/>
      <c r="V116" s="125">
        <v>1</v>
      </c>
      <c r="W116" s="645"/>
      <c r="X116" s="645"/>
      <c r="Y116" s="645"/>
      <c r="Z116" s="11" t="s">
        <v>1981</v>
      </c>
    </row>
    <row r="117" spans="1:26">
      <c r="A117" s="125" t="s">
        <v>941</v>
      </c>
      <c r="B117" s="125">
        <v>1</v>
      </c>
      <c r="C117" s="645"/>
      <c r="D117" s="645"/>
      <c r="E117" s="645"/>
      <c r="F117" s="125">
        <v>1</v>
      </c>
      <c r="G117" s="645"/>
      <c r="H117" s="645"/>
      <c r="I117" s="645"/>
      <c r="J117" s="125">
        <v>1</v>
      </c>
      <c r="K117" s="645"/>
      <c r="L117" s="645"/>
      <c r="M117" s="125">
        <v>1</v>
      </c>
      <c r="N117" s="125">
        <v>1</v>
      </c>
      <c r="O117" s="645"/>
      <c r="P117" s="645"/>
      <c r="Q117" s="125">
        <v>1</v>
      </c>
      <c r="R117" s="645"/>
      <c r="S117" s="125">
        <v>1</v>
      </c>
      <c r="T117" s="645"/>
      <c r="U117" s="125">
        <v>1</v>
      </c>
      <c r="V117" s="125">
        <v>1</v>
      </c>
      <c r="W117" s="645"/>
      <c r="X117" s="125">
        <v>1</v>
      </c>
      <c r="Y117" s="645"/>
      <c r="Z117" s="11" t="s">
        <v>1975</v>
      </c>
    </row>
    <row r="118" spans="1:26">
      <c r="A118" s="125" t="s">
        <v>373</v>
      </c>
      <c r="B118" s="125">
        <v>1</v>
      </c>
      <c r="C118" s="645"/>
      <c r="D118" s="125">
        <v>1</v>
      </c>
      <c r="E118" s="645"/>
      <c r="F118" s="125">
        <v>1</v>
      </c>
      <c r="G118" s="645"/>
      <c r="H118" s="645"/>
      <c r="I118" s="645"/>
      <c r="J118" s="125">
        <v>1</v>
      </c>
      <c r="K118" s="125">
        <v>1</v>
      </c>
      <c r="L118" s="645"/>
      <c r="M118" s="645"/>
      <c r="N118" s="645"/>
      <c r="O118" s="125">
        <v>1</v>
      </c>
      <c r="P118" s="645"/>
      <c r="Q118" s="645"/>
      <c r="R118" s="645"/>
      <c r="S118" s="125">
        <v>1</v>
      </c>
      <c r="T118" s="645"/>
      <c r="U118" s="125">
        <v>1</v>
      </c>
      <c r="V118" s="645"/>
      <c r="W118" s="645"/>
      <c r="X118" s="645"/>
      <c r="Y118" s="125">
        <v>1</v>
      </c>
      <c r="Z118" s="11" t="s">
        <v>1981</v>
      </c>
    </row>
    <row r="119" spans="1:26">
      <c r="A119" s="125" t="s">
        <v>376</v>
      </c>
      <c r="B119" s="125">
        <v>1</v>
      </c>
      <c r="C119" s="645"/>
      <c r="D119" s="645"/>
      <c r="E119" s="645"/>
      <c r="F119" s="125">
        <v>1</v>
      </c>
      <c r="G119" s="645"/>
      <c r="H119" s="645"/>
      <c r="I119" s="645"/>
      <c r="J119" s="645"/>
      <c r="K119" s="645"/>
      <c r="L119" s="645"/>
      <c r="M119" s="645"/>
      <c r="N119" s="645"/>
      <c r="O119" s="125">
        <v>1</v>
      </c>
      <c r="P119" s="125">
        <v>1</v>
      </c>
      <c r="Q119" s="645"/>
      <c r="R119" s="645"/>
      <c r="S119" s="645"/>
      <c r="T119" s="645"/>
      <c r="U119" s="645"/>
      <c r="V119" s="125">
        <v>1</v>
      </c>
      <c r="W119" s="645"/>
      <c r="X119" s="645"/>
      <c r="Y119" s="645"/>
      <c r="Z119" s="11" t="s">
        <v>2058</v>
      </c>
    </row>
    <row r="120" spans="1:26">
      <c r="A120" s="125" t="s">
        <v>378</v>
      </c>
      <c r="B120" s="125">
        <v>1</v>
      </c>
      <c r="C120" s="645"/>
      <c r="D120" s="125">
        <v>1</v>
      </c>
      <c r="E120" s="645"/>
      <c r="F120" s="125">
        <v>1</v>
      </c>
      <c r="G120" s="645"/>
      <c r="H120" s="645"/>
      <c r="I120" s="645"/>
      <c r="J120" s="125">
        <v>1</v>
      </c>
      <c r="K120" s="125">
        <v>1</v>
      </c>
      <c r="L120" s="645"/>
      <c r="M120" s="645"/>
      <c r="N120" s="125">
        <v>1</v>
      </c>
      <c r="O120" s="125">
        <v>1</v>
      </c>
      <c r="P120" s="645"/>
      <c r="Q120" s="645"/>
      <c r="R120" s="645"/>
      <c r="S120" s="645"/>
      <c r="T120" s="645"/>
      <c r="U120" s="125">
        <v>1</v>
      </c>
      <c r="V120" s="645"/>
      <c r="W120" s="645"/>
      <c r="X120" s="125">
        <v>1</v>
      </c>
      <c r="Y120" s="125">
        <v>1</v>
      </c>
      <c r="Z120" s="11" t="s">
        <v>2059</v>
      </c>
    </row>
    <row r="121" spans="1:26">
      <c r="A121" s="125" t="s">
        <v>381</v>
      </c>
      <c r="B121" s="125">
        <v>1</v>
      </c>
      <c r="C121" s="645"/>
      <c r="D121" s="645"/>
      <c r="E121" s="125">
        <v>1</v>
      </c>
      <c r="F121" s="645"/>
      <c r="G121" s="645"/>
      <c r="H121" s="645"/>
      <c r="I121" s="645"/>
      <c r="J121" s="645"/>
      <c r="K121" s="645"/>
      <c r="L121" s="645"/>
      <c r="M121" s="645"/>
      <c r="N121" s="645"/>
      <c r="O121" s="645"/>
      <c r="P121" s="645"/>
      <c r="Q121" s="645"/>
      <c r="R121" s="645"/>
      <c r="S121" s="645"/>
      <c r="T121" s="645"/>
      <c r="U121" s="125">
        <v>1</v>
      </c>
      <c r="V121" s="125">
        <v>1</v>
      </c>
      <c r="W121" s="645"/>
      <c r="X121" s="645"/>
      <c r="Y121" s="645"/>
      <c r="Z121" s="11" t="s">
        <v>2060</v>
      </c>
    </row>
    <row r="122" spans="1:26">
      <c r="A122" s="125" t="s">
        <v>2061</v>
      </c>
      <c r="B122" s="125">
        <v>1</v>
      </c>
      <c r="C122" s="645"/>
      <c r="D122" s="125">
        <v>1</v>
      </c>
      <c r="E122" s="645"/>
      <c r="F122" s="125">
        <v>1</v>
      </c>
      <c r="G122" s="125">
        <v>1</v>
      </c>
      <c r="H122" s="645"/>
      <c r="I122" s="125">
        <v>1</v>
      </c>
      <c r="J122" s="125">
        <v>1</v>
      </c>
      <c r="K122" s="645"/>
      <c r="L122" s="645"/>
      <c r="M122" s="645"/>
      <c r="N122" s="645"/>
      <c r="O122" s="125">
        <v>1</v>
      </c>
      <c r="P122" s="125">
        <v>1</v>
      </c>
      <c r="Q122" s="645"/>
      <c r="R122" s="645"/>
      <c r="S122" s="125">
        <v>1</v>
      </c>
      <c r="T122" s="645"/>
      <c r="U122" s="125">
        <v>1</v>
      </c>
      <c r="V122" s="645"/>
      <c r="W122" s="645"/>
      <c r="X122" s="645"/>
      <c r="Y122" s="645"/>
      <c r="Z122" s="11" t="s">
        <v>2062</v>
      </c>
    </row>
    <row r="123" spans="1:26">
      <c r="A123" s="53" t="s">
        <v>371</v>
      </c>
      <c r="B123" s="53"/>
      <c r="C123" s="53"/>
      <c r="D123" s="53"/>
      <c r="E123" s="53"/>
      <c r="F123" s="53"/>
      <c r="G123" s="53"/>
      <c r="H123" s="53"/>
      <c r="I123" s="53"/>
      <c r="J123" s="53"/>
      <c r="K123" s="53">
        <v>1</v>
      </c>
      <c r="L123" s="53">
        <v>1</v>
      </c>
      <c r="M123" s="53">
        <v>1</v>
      </c>
      <c r="N123" s="53"/>
      <c r="O123" s="53"/>
      <c r="P123" s="53">
        <v>1</v>
      </c>
      <c r="Q123" s="53"/>
      <c r="R123" s="53"/>
      <c r="S123" s="53"/>
      <c r="T123" s="53"/>
      <c r="U123" s="53"/>
      <c r="V123" s="53"/>
      <c r="W123" s="53">
        <v>1</v>
      </c>
      <c r="X123" s="53"/>
      <c r="Y123" s="53"/>
      <c r="Z123" s="307" t="s">
        <v>1992</v>
      </c>
    </row>
    <row r="124" spans="1:26">
      <c r="A124" s="125" t="s">
        <v>380</v>
      </c>
      <c r="B124" s="125">
        <v>1</v>
      </c>
      <c r="C124" s="645"/>
      <c r="D124" s="125">
        <v>1</v>
      </c>
      <c r="E124" s="645"/>
      <c r="F124" s="125">
        <v>1</v>
      </c>
      <c r="G124" s="645"/>
      <c r="H124" s="645"/>
      <c r="I124" s="645"/>
      <c r="J124" s="125">
        <v>1</v>
      </c>
      <c r="K124" s="125">
        <v>1</v>
      </c>
      <c r="L124" s="645"/>
      <c r="M124" s="645"/>
      <c r="N124" s="645"/>
      <c r="O124" s="645"/>
      <c r="P124" s="125">
        <v>1</v>
      </c>
      <c r="Q124" s="645"/>
      <c r="R124" s="645"/>
      <c r="S124" s="645"/>
      <c r="T124" s="645"/>
      <c r="U124" s="125">
        <v>1</v>
      </c>
      <c r="V124" s="125">
        <v>1</v>
      </c>
      <c r="W124" s="645"/>
      <c r="X124" s="645"/>
      <c r="Y124" s="645"/>
      <c r="Z124" s="11" t="s">
        <v>1975</v>
      </c>
    </row>
    <row r="125" spans="1:26">
      <c r="A125" s="125" t="s">
        <v>385</v>
      </c>
      <c r="B125" s="125">
        <v>1</v>
      </c>
      <c r="C125" s="645"/>
      <c r="D125" s="645"/>
      <c r="E125" s="125">
        <v>1</v>
      </c>
      <c r="F125" s="125">
        <v>1</v>
      </c>
      <c r="G125" s="645"/>
      <c r="H125" s="645"/>
      <c r="I125" s="645"/>
      <c r="J125" s="125">
        <v>1</v>
      </c>
      <c r="K125" s="125">
        <v>1</v>
      </c>
      <c r="L125" s="645"/>
      <c r="M125" s="645"/>
      <c r="N125" s="645"/>
      <c r="O125" s="645"/>
      <c r="P125" s="645"/>
      <c r="Q125" s="645"/>
      <c r="R125" s="645"/>
      <c r="S125" s="645"/>
      <c r="T125" s="125">
        <v>1</v>
      </c>
      <c r="U125" s="125">
        <v>1</v>
      </c>
      <c r="V125" s="125">
        <v>1</v>
      </c>
      <c r="W125" s="645"/>
      <c r="X125" s="125">
        <v>1</v>
      </c>
      <c r="Y125" s="645"/>
      <c r="Z125" s="11" t="s">
        <v>2063</v>
      </c>
    </row>
    <row r="126" spans="1:26">
      <c r="A126" s="125" t="s">
        <v>386</v>
      </c>
      <c r="B126" s="125">
        <v>1</v>
      </c>
      <c r="C126" s="645"/>
      <c r="D126" s="125">
        <v>1</v>
      </c>
      <c r="E126" s="645"/>
      <c r="F126" s="125">
        <v>1</v>
      </c>
      <c r="G126" s="645"/>
      <c r="H126" s="645"/>
      <c r="I126" s="645"/>
      <c r="J126" s="125">
        <v>1</v>
      </c>
      <c r="K126" s="645"/>
      <c r="L126" s="645"/>
      <c r="M126" s="645"/>
      <c r="N126" s="645"/>
      <c r="O126" s="645"/>
      <c r="P126" s="125">
        <v>1</v>
      </c>
      <c r="Q126" s="645"/>
      <c r="R126" s="645"/>
      <c r="S126" s="645"/>
      <c r="T126" s="645"/>
      <c r="U126" s="645"/>
      <c r="V126" s="645"/>
      <c r="W126" s="645"/>
      <c r="X126" s="125">
        <v>1</v>
      </c>
      <c r="Y126" s="645"/>
      <c r="Z126" s="11" t="s">
        <v>2064</v>
      </c>
    </row>
    <row r="127" spans="1:26">
      <c r="A127" s="125" t="s">
        <v>1942</v>
      </c>
      <c r="B127" s="125">
        <v>1</v>
      </c>
      <c r="C127" s="645"/>
      <c r="D127" s="125">
        <v>1</v>
      </c>
      <c r="E127" s="645"/>
      <c r="F127" s="645"/>
      <c r="G127" s="645"/>
      <c r="H127" s="645"/>
      <c r="I127" s="645"/>
      <c r="J127" s="125">
        <v>1</v>
      </c>
      <c r="K127" s="645"/>
      <c r="L127" s="645"/>
      <c r="M127" s="645"/>
      <c r="N127" s="125">
        <v>1</v>
      </c>
      <c r="O127" s="125">
        <v>1</v>
      </c>
      <c r="P127" s="645"/>
      <c r="Q127" s="645"/>
      <c r="R127" s="645"/>
      <c r="S127" s="645"/>
      <c r="T127" s="645"/>
      <c r="U127" s="645"/>
      <c r="V127" s="125">
        <v>1</v>
      </c>
      <c r="W127" s="645"/>
      <c r="X127" s="645"/>
      <c r="Y127" s="645"/>
      <c r="Z127" s="11" t="s">
        <v>2065</v>
      </c>
    </row>
    <row r="128" spans="1:26">
      <c r="A128" s="38" t="s">
        <v>2066</v>
      </c>
      <c r="B128" s="38">
        <v>1</v>
      </c>
      <c r="C128" s="38"/>
      <c r="D128" s="38"/>
      <c r="E128" s="38"/>
      <c r="F128" s="38"/>
      <c r="G128" s="38"/>
      <c r="H128" s="38"/>
      <c r="I128" s="38"/>
      <c r="J128" s="38"/>
      <c r="K128" s="38"/>
      <c r="L128" s="38"/>
      <c r="M128" s="38"/>
      <c r="N128" s="38"/>
      <c r="O128" s="38"/>
      <c r="P128" s="38">
        <v>1</v>
      </c>
      <c r="Q128" s="38"/>
      <c r="R128" s="38"/>
      <c r="S128" s="38"/>
      <c r="T128" s="38"/>
      <c r="U128" s="38"/>
      <c r="V128" s="38">
        <v>1</v>
      </c>
      <c r="W128" s="38"/>
      <c r="X128" s="38"/>
      <c r="Y128" s="38"/>
      <c r="Z128" s="306" t="s">
        <v>2067</v>
      </c>
    </row>
    <row r="129" spans="1:26">
      <c r="A129" s="125" t="s">
        <v>1579</v>
      </c>
      <c r="B129" s="125">
        <v>1</v>
      </c>
      <c r="C129" s="645"/>
      <c r="D129" s="645"/>
      <c r="E129" s="645"/>
      <c r="F129" s="125">
        <v>1</v>
      </c>
      <c r="G129" s="645"/>
      <c r="H129" s="645"/>
      <c r="I129" s="645"/>
      <c r="J129" s="125">
        <v>1</v>
      </c>
      <c r="K129" s="125">
        <v>1</v>
      </c>
      <c r="L129" s="645"/>
      <c r="M129" s="645"/>
      <c r="N129" s="645"/>
      <c r="O129" s="645"/>
      <c r="P129" s="125">
        <v>1</v>
      </c>
      <c r="Q129" s="645"/>
      <c r="R129" s="645"/>
      <c r="S129" s="645"/>
      <c r="T129" s="645"/>
      <c r="U129" s="125">
        <v>1</v>
      </c>
      <c r="V129" s="645"/>
      <c r="W129" s="645"/>
      <c r="X129" s="645"/>
      <c r="Y129" s="645"/>
      <c r="Z129" s="11" t="s">
        <v>1973</v>
      </c>
    </row>
    <row r="130" spans="1:26">
      <c r="A130" s="125" t="s">
        <v>1580</v>
      </c>
      <c r="B130" s="125">
        <v>1</v>
      </c>
      <c r="C130" s="645"/>
      <c r="D130" s="125">
        <v>1</v>
      </c>
      <c r="E130" s="645"/>
      <c r="F130" s="125">
        <v>1</v>
      </c>
      <c r="G130" s="645"/>
      <c r="H130" s="645"/>
      <c r="I130" s="645"/>
      <c r="J130" s="125">
        <v>1</v>
      </c>
      <c r="K130" s="645"/>
      <c r="L130" s="645"/>
      <c r="M130" s="645"/>
      <c r="N130" s="645"/>
      <c r="O130" s="125">
        <v>1</v>
      </c>
      <c r="P130" s="645"/>
      <c r="Q130" s="645"/>
      <c r="R130" s="645"/>
      <c r="S130" s="125">
        <v>1</v>
      </c>
      <c r="T130" s="645"/>
      <c r="U130" s="125">
        <v>1</v>
      </c>
      <c r="V130" s="645"/>
      <c r="W130" s="645"/>
      <c r="X130" s="125">
        <v>1</v>
      </c>
      <c r="Y130" s="645"/>
      <c r="Z130" s="11" t="s">
        <v>2010</v>
      </c>
    </row>
  </sheetData>
  <mergeCells count="2">
    <mergeCell ref="B1:K1"/>
    <mergeCell ref="L1:Q1"/>
  </mergeCells>
  <hyperlinks>
    <hyperlink ref="Z9" r:id="rId1" xr:uid="{00000000-0004-0000-0700-000000000000}"/>
    <hyperlink ref="Z10" r:id="rId2" xr:uid="{00000000-0004-0000-0700-000001000000}"/>
    <hyperlink ref="Z11" r:id="rId3" xr:uid="{00000000-0004-0000-0700-000002000000}"/>
    <hyperlink ref="Z12" r:id="rId4" xr:uid="{00000000-0004-0000-0700-000003000000}"/>
    <hyperlink ref="Z13" r:id="rId5" xr:uid="{00000000-0004-0000-0700-000004000000}"/>
    <hyperlink ref="Z14" r:id="rId6" xr:uid="{00000000-0004-0000-0700-000005000000}"/>
    <hyperlink ref="Z15" r:id="rId7" xr:uid="{00000000-0004-0000-0700-000006000000}"/>
    <hyperlink ref="Z16" r:id="rId8" xr:uid="{00000000-0004-0000-0700-000007000000}"/>
    <hyperlink ref="Z17" r:id="rId9" xr:uid="{00000000-0004-0000-0700-000008000000}"/>
    <hyperlink ref="Z18" r:id="rId10" xr:uid="{00000000-0004-0000-0700-000009000000}"/>
    <hyperlink ref="Z19" r:id="rId11" xr:uid="{00000000-0004-0000-0700-00000A000000}"/>
    <hyperlink ref="Z20" r:id="rId12" xr:uid="{00000000-0004-0000-0700-00000B000000}"/>
    <hyperlink ref="Z21" r:id="rId13" xr:uid="{00000000-0004-0000-0700-00000C000000}"/>
    <hyperlink ref="Z22" r:id="rId14" xr:uid="{00000000-0004-0000-0700-00000D000000}"/>
    <hyperlink ref="Z23" r:id="rId15" xr:uid="{00000000-0004-0000-0700-00000E000000}"/>
    <hyperlink ref="Z24" r:id="rId16" xr:uid="{00000000-0004-0000-0700-00000F000000}"/>
    <hyperlink ref="Z25" r:id="rId17" xr:uid="{00000000-0004-0000-0700-000010000000}"/>
    <hyperlink ref="Z26" r:id="rId18" xr:uid="{00000000-0004-0000-0700-000011000000}"/>
    <hyperlink ref="Z27" r:id="rId19" xr:uid="{00000000-0004-0000-0700-000012000000}"/>
    <hyperlink ref="Z28" r:id="rId20" xr:uid="{00000000-0004-0000-0700-000013000000}"/>
    <hyperlink ref="Z29" r:id="rId21" xr:uid="{00000000-0004-0000-0700-000014000000}"/>
    <hyperlink ref="Z30" r:id="rId22" xr:uid="{00000000-0004-0000-0700-000015000000}"/>
    <hyperlink ref="Z31" r:id="rId23" xr:uid="{00000000-0004-0000-0700-000016000000}"/>
    <hyperlink ref="Z32" r:id="rId24" xr:uid="{00000000-0004-0000-0700-000017000000}"/>
    <hyperlink ref="Z33" r:id="rId25" xr:uid="{00000000-0004-0000-0700-000018000000}"/>
    <hyperlink ref="Z34" r:id="rId26" xr:uid="{00000000-0004-0000-0700-000019000000}"/>
    <hyperlink ref="Z35" r:id="rId27" xr:uid="{00000000-0004-0000-0700-00001A000000}"/>
    <hyperlink ref="Z36" r:id="rId28" xr:uid="{00000000-0004-0000-0700-00001B000000}"/>
    <hyperlink ref="Z37" r:id="rId29" xr:uid="{00000000-0004-0000-0700-00001C000000}"/>
    <hyperlink ref="Z39" r:id="rId30" xr:uid="{00000000-0004-0000-0700-00001D000000}"/>
    <hyperlink ref="Z40" r:id="rId31" xr:uid="{00000000-0004-0000-0700-00001E000000}"/>
    <hyperlink ref="Z41" r:id="rId32" xr:uid="{00000000-0004-0000-0700-00001F000000}"/>
    <hyperlink ref="Z42" r:id="rId33" xr:uid="{00000000-0004-0000-0700-000020000000}"/>
    <hyperlink ref="Z43" r:id="rId34" xr:uid="{00000000-0004-0000-0700-000021000000}"/>
    <hyperlink ref="Z44" r:id="rId35" xr:uid="{00000000-0004-0000-0700-000022000000}"/>
    <hyperlink ref="Z45" r:id="rId36" xr:uid="{00000000-0004-0000-0700-000023000000}"/>
    <hyperlink ref="Z47" r:id="rId37" xr:uid="{00000000-0004-0000-0700-000024000000}"/>
    <hyperlink ref="Z48" r:id="rId38" xr:uid="{00000000-0004-0000-0700-000025000000}"/>
    <hyperlink ref="Z49" r:id="rId39" xr:uid="{00000000-0004-0000-0700-000026000000}"/>
    <hyperlink ref="Z50" r:id="rId40" xr:uid="{00000000-0004-0000-0700-000027000000}"/>
    <hyperlink ref="Z51" r:id="rId41" xr:uid="{00000000-0004-0000-0700-000028000000}"/>
    <hyperlink ref="Z52" r:id="rId42" xr:uid="{00000000-0004-0000-0700-000029000000}"/>
    <hyperlink ref="Z53" r:id="rId43" xr:uid="{00000000-0004-0000-0700-00002A000000}"/>
    <hyperlink ref="Z54" r:id="rId44" xr:uid="{00000000-0004-0000-0700-00002B000000}"/>
    <hyperlink ref="Z55" r:id="rId45" xr:uid="{00000000-0004-0000-0700-00002C000000}"/>
    <hyperlink ref="Z56" r:id="rId46" xr:uid="{00000000-0004-0000-0700-00002D000000}"/>
    <hyperlink ref="Z57" r:id="rId47" xr:uid="{00000000-0004-0000-0700-00002E000000}"/>
    <hyperlink ref="Z58" r:id="rId48" xr:uid="{00000000-0004-0000-0700-00002F000000}"/>
    <hyperlink ref="Z59" r:id="rId49" xr:uid="{00000000-0004-0000-0700-000030000000}"/>
    <hyperlink ref="Z60" r:id="rId50" xr:uid="{00000000-0004-0000-0700-000031000000}"/>
    <hyperlink ref="Z61" r:id="rId51" xr:uid="{00000000-0004-0000-0700-000032000000}"/>
    <hyperlink ref="Z62" r:id="rId52" xr:uid="{00000000-0004-0000-0700-000033000000}"/>
    <hyperlink ref="Z63" r:id="rId53" xr:uid="{00000000-0004-0000-0700-000034000000}"/>
    <hyperlink ref="Z64" r:id="rId54" xr:uid="{00000000-0004-0000-0700-000035000000}"/>
    <hyperlink ref="Z65" r:id="rId55" xr:uid="{00000000-0004-0000-0700-000036000000}"/>
    <hyperlink ref="Z66" r:id="rId56" xr:uid="{00000000-0004-0000-0700-000037000000}"/>
    <hyperlink ref="Z67" r:id="rId57" xr:uid="{00000000-0004-0000-0700-000038000000}"/>
    <hyperlink ref="Z68" r:id="rId58" xr:uid="{00000000-0004-0000-0700-000039000000}"/>
    <hyperlink ref="Z69" r:id="rId59" xr:uid="{00000000-0004-0000-0700-00003A000000}"/>
    <hyperlink ref="Z70" r:id="rId60" xr:uid="{00000000-0004-0000-0700-00003B000000}"/>
    <hyperlink ref="Z71" r:id="rId61" xr:uid="{00000000-0004-0000-0700-00003C000000}"/>
    <hyperlink ref="Z72" r:id="rId62" xr:uid="{00000000-0004-0000-0700-00003D000000}"/>
    <hyperlink ref="Z73" r:id="rId63" xr:uid="{00000000-0004-0000-0700-00003E000000}"/>
    <hyperlink ref="Z74" r:id="rId64" xr:uid="{00000000-0004-0000-0700-00003F000000}"/>
    <hyperlink ref="Z75" r:id="rId65" xr:uid="{00000000-0004-0000-0700-000040000000}"/>
    <hyperlink ref="Z76" r:id="rId66" xr:uid="{00000000-0004-0000-0700-000041000000}"/>
    <hyperlink ref="Z77" r:id="rId67" xr:uid="{00000000-0004-0000-0700-000042000000}"/>
    <hyperlink ref="Z78" r:id="rId68" xr:uid="{00000000-0004-0000-0700-000043000000}"/>
    <hyperlink ref="Z79" r:id="rId69" xr:uid="{00000000-0004-0000-0700-000044000000}"/>
    <hyperlink ref="Z80" r:id="rId70" xr:uid="{00000000-0004-0000-0700-000045000000}"/>
    <hyperlink ref="Z81" r:id="rId71" xr:uid="{00000000-0004-0000-0700-000046000000}"/>
    <hyperlink ref="Z82" r:id="rId72" xr:uid="{00000000-0004-0000-0700-000047000000}"/>
    <hyperlink ref="Z83" r:id="rId73" xr:uid="{00000000-0004-0000-0700-000048000000}"/>
    <hyperlink ref="Z84" r:id="rId74" xr:uid="{00000000-0004-0000-0700-000049000000}"/>
    <hyperlink ref="Z85" r:id="rId75" xr:uid="{00000000-0004-0000-0700-00004A000000}"/>
    <hyperlink ref="Z86" r:id="rId76" xr:uid="{00000000-0004-0000-0700-00004B000000}"/>
    <hyperlink ref="Z87" r:id="rId77" xr:uid="{00000000-0004-0000-0700-00004C000000}"/>
    <hyperlink ref="Z88" r:id="rId78" xr:uid="{00000000-0004-0000-0700-00004D000000}"/>
    <hyperlink ref="Z89" r:id="rId79" xr:uid="{00000000-0004-0000-0700-00004E000000}"/>
    <hyperlink ref="Z90" r:id="rId80" xr:uid="{00000000-0004-0000-0700-00004F000000}"/>
    <hyperlink ref="Z91" r:id="rId81" xr:uid="{00000000-0004-0000-0700-000050000000}"/>
    <hyperlink ref="Z92" r:id="rId82" xr:uid="{00000000-0004-0000-0700-000051000000}"/>
    <hyperlink ref="Z93" r:id="rId83" xr:uid="{00000000-0004-0000-0700-000052000000}"/>
    <hyperlink ref="Z94" r:id="rId84" xr:uid="{00000000-0004-0000-0700-000053000000}"/>
    <hyperlink ref="Z95" r:id="rId85" xr:uid="{00000000-0004-0000-0700-000054000000}"/>
    <hyperlink ref="Z96" r:id="rId86" xr:uid="{00000000-0004-0000-0700-000055000000}"/>
    <hyperlink ref="Z97" r:id="rId87" xr:uid="{00000000-0004-0000-0700-000056000000}"/>
    <hyperlink ref="Z98" r:id="rId88" xr:uid="{00000000-0004-0000-0700-000057000000}"/>
    <hyperlink ref="Z100" r:id="rId89" xr:uid="{00000000-0004-0000-0700-000058000000}"/>
    <hyperlink ref="Z101" r:id="rId90" xr:uid="{00000000-0004-0000-0700-000059000000}"/>
    <hyperlink ref="Z102" r:id="rId91" xr:uid="{00000000-0004-0000-0700-00005A000000}"/>
    <hyperlink ref="Z103" r:id="rId92" xr:uid="{00000000-0004-0000-0700-00005B000000}"/>
    <hyperlink ref="Z104" r:id="rId93" xr:uid="{00000000-0004-0000-0700-00005C000000}"/>
    <hyperlink ref="Z105" r:id="rId94" xr:uid="{00000000-0004-0000-0700-00005D000000}"/>
    <hyperlink ref="Z106" r:id="rId95" xr:uid="{00000000-0004-0000-0700-00005E000000}"/>
    <hyperlink ref="Z107" r:id="rId96" xr:uid="{00000000-0004-0000-0700-00005F000000}"/>
    <hyperlink ref="Z108" r:id="rId97" xr:uid="{00000000-0004-0000-0700-000060000000}"/>
    <hyperlink ref="Z109" r:id="rId98" xr:uid="{00000000-0004-0000-0700-000061000000}"/>
    <hyperlink ref="Z110" r:id="rId99" xr:uid="{00000000-0004-0000-0700-000062000000}"/>
    <hyperlink ref="Z111" r:id="rId100" xr:uid="{00000000-0004-0000-0700-000063000000}"/>
    <hyperlink ref="Z112" r:id="rId101" xr:uid="{00000000-0004-0000-0700-000064000000}"/>
    <hyperlink ref="Z113" r:id="rId102" xr:uid="{00000000-0004-0000-0700-000065000000}"/>
    <hyperlink ref="Z114" r:id="rId103" xr:uid="{00000000-0004-0000-0700-000066000000}"/>
    <hyperlink ref="Z115" r:id="rId104" xr:uid="{00000000-0004-0000-0700-000067000000}"/>
    <hyperlink ref="Z116" r:id="rId105" xr:uid="{00000000-0004-0000-0700-000068000000}"/>
    <hyperlink ref="Z117" r:id="rId106" xr:uid="{00000000-0004-0000-0700-000069000000}"/>
    <hyperlink ref="Z118" r:id="rId107" xr:uid="{00000000-0004-0000-0700-00006A000000}"/>
    <hyperlink ref="Z119" r:id="rId108" xr:uid="{00000000-0004-0000-0700-00006B000000}"/>
    <hyperlink ref="Z120" r:id="rId109" xr:uid="{00000000-0004-0000-0700-00006C000000}"/>
    <hyperlink ref="Z121" r:id="rId110" xr:uid="{00000000-0004-0000-0700-00006D000000}"/>
    <hyperlink ref="Z122" r:id="rId111" xr:uid="{00000000-0004-0000-0700-00006E000000}"/>
    <hyperlink ref="Z123" r:id="rId112" xr:uid="{00000000-0004-0000-0700-00006F000000}"/>
    <hyperlink ref="Z124" r:id="rId113" xr:uid="{00000000-0004-0000-0700-000070000000}"/>
    <hyperlink ref="Z125" r:id="rId114" xr:uid="{00000000-0004-0000-0700-000071000000}"/>
    <hyperlink ref="Z126" r:id="rId115" xr:uid="{00000000-0004-0000-0700-000072000000}"/>
    <hyperlink ref="Z127" r:id="rId116" xr:uid="{00000000-0004-0000-0700-000073000000}"/>
    <hyperlink ref="Z128" r:id="rId117" xr:uid="{00000000-0004-0000-0700-000074000000}"/>
    <hyperlink ref="Z129" r:id="rId118" xr:uid="{00000000-0004-0000-0700-000075000000}"/>
    <hyperlink ref="Z130" r:id="rId119" xr:uid="{00000000-0004-0000-0700-00007600000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R99"/>
  <sheetViews>
    <sheetView workbookViewId="0" xr3:uid="{44B22561-5205-5C8A-B808-2C70100D228F}">
      <pane xSplit="1" ySplit="4" topLeftCell="B5" activePane="bottomRight" state="frozen"/>
      <selection pane="bottomRight" activeCell="B13" sqref="B13"/>
      <selection pane="bottomLeft" activeCell="A5" sqref="A5"/>
      <selection pane="topRight" activeCell="B1" sqref="B1"/>
    </sheetView>
  </sheetViews>
  <sheetFormatPr defaultColWidth="14.42578125" defaultRowHeight="12.75" customHeight="1"/>
  <cols>
    <col min="1" max="1" width="23.42578125" customWidth="1"/>
    <col min="2" max="2" width="9.85546875" customWidth="1"/>
    <col min="3" max="3" width="7.85546875" customWidth="1"/>
    <col min="4" max="4" width="9.28515625" customWidth="1"/>
    <col min="5" max="5" width="9" customWidth="1"/>
    <col min="6" max="6" width="8.42578125" customWidth="1"/>
    <col min="7" max="7" width="9.85546875" customWidth="1"/>
    <col min="8" max="8" width="10.140625" customWidth="1"/>
    <col min="9" max="9" width="9.7109375" customWidth="1"/>
    <col min="10" max="10" width="10.42578125" customWidth="1"/>
    <col min="11" max="11" width="7.42578125" customWidth="1"/>
    <col min="12" max="12" width="9.140625" customWidth="1"/>
    <col min="13" max="13" width="8.42578125" customWidth="1"/>
    <col min="14" max="15" width="7.42578125" customWidth="1"/>
    <col min="16" max="16" width="9.42578125" customWidth="1"/>
    <col min="17" max="17" width="8.42578125" customWidth="1"/>
    <col min="18" max="18" width="49.42578125" customWidth="1"/>
  </cols>
  <sheetData>
    <row r="1" spans="1:18" ht="25.5" customHeight="1">
      <c r="A1" s="645"/>
      <c r="B1" s="3" t="s">
        <v>1952</v>
      </c>
      <c r="C1" s="3" t="s">
        <v>1954</v>
      </c>
      <c r="D1" s="3" t="s">
        <v>1955</v>
      </c>
      <c r="E1" s="3" t="s">
        <v>2068</v>
      </c>
      <c r="F1" s="3" t="s">
        <v>1959</v>
      </c>
      <c r="G1" s="3" t="s">
        <v>1041</v>
      </c>
      <c r="H1" s="3" t="s">
        <v>1043</v>
      </c>
      <c r="I1" s="3" t="s">
        <v>1044</v>
      </c>
      <c r="J1" s="3" t="s">
        <v>1045</v>
      </c>
      <c r="K1" s="3" t="s">
        <v>1046</v>
      </c>
      <c r="L1" s="3" t="s">
        <v>1680</v>
      </c>
      <c r="M1" s="3" t="s">
        <v>1962</v>
      </c>
      <c r="N1" s="3" t="s">
        <v>1050</v>
      </c>
      <c r="O1" s="3" t="s">
        <v>1054</v>
      </c>
      <c r="P1" s="3" t="s">
        <v>1057</v>
      </c>
      <c r="Q1" s="3" t="s">
        <v>2069</v>
      </c>
      <c r="R1" s="3" t="s">
        <v>2070</v>
      </c>
    </row>
    <row r="2" spans="1:18">
      <c r="A2" s="17"/>
      <c r="B2" s="18"/>
      <c r="C2" s="18"/>
      <c r="D2" s="18"/>
      <c r="E2" s="18"/>
      <c r="F2" s="18"/>
      <c r="G2" s="18"/>
      <c r="H2" s="18"/>
      <c r="I2" s="18"/>
      <c r="J2" s="18"/>
      <c r="K2" s="18"/>
      <c r="L2" s="18"/>
      <c r="M2" s="18"/>
      <c r="N2" s="18"/>
      <c r="O2" s="18"/>
      <c r="P2" s="18"/>
      <c r="Q2" s="18"/>
      <c r="R2" s="645"/>
    </row>
    <row r="3" spans="1:18">
      <c r="A3" s="17" t="s">
        <v>1855</v>
      </c>
      <c r="B3" s="20">
        <v>0.73699999999999999</v>
      </c>
      <c r="C3" s="18">
        <v>6.0999999999999999E-2</v>
      </c>
      <c r="D3" s="18">
        <v>0.73699999999999999</v>
      </c>
      <c r="E3" s="18">
        <v>0.77900000000000003</v>
      </c>
      <c r="F3" s="18">
        <v>0.51600000000000001</v>
      </c>
      <c r="G3" s="18">
        <v>0.36199999999999999</v>
      </c>
      <c r="H3" s="18">
        <v>0.161</v>
      </c>
      <c r="I3" s="18">
        <v>0.215</v>
      </c>
      <c r="J3" s="18">
        <v>0.23699999999999999</v>
      </c>
      <c r="K3" s="18">
        <v>0.52300000000000002</v>
      </c>
      <c r="L3" s="18">
        <v>0.11700000000000001</v>
      </c>
      <c r="M3" s="18">
        <v>0.152</v>
      </c>
      <c r="N3" s="18">
        <v>0.30399999999999999</v>
      </c>
      <c r="O3" s="18">
        <v>0.47299999999999998</v>
      </c>
      <c r="P3" s="18">
        <v>0.224</v>
      </c>
      <c r="Q3" s="18">
        <v>1.2999999999999999E-2</v>
      </c>
      <c r="R3" s="645"/>
    </row>
    <row r="4" spans="1:18" ht="13.5" thickBot="1">
      <c r="A4" s="17" t="s">
        <v>2071</v>
      </c>
      <c r="B4" s="17">
        <f t="shared" ref="B4:Q4" si="0">SUM(B8:B328)</f>
        <v>82</v>
      </c>
      <c r="C4" s="17">
        <f t="shared" si="0"/>
        <v>6</v>
      </c>
      <c r="D4" s="17">
        <f t="shared" si="0"/>
        <v>69</v>
      </c>
      <c r="E4" s="17">
        <f t="shared" si="0"/>
        <v>72</v>
      </c>
      <c r="F4" s="17">
        <f t="shared" si="0"/>
        <v>54</v>
      </c>
      <c r="G4" s="17">
        <f t="shared" si="0"/>
        <v>36</v>
      </c>
      <c r="H4" s="17">
        <f t="shared" si="0"/>
        <v>7</v>
      </c>
      <c r="I4" s="17">
        <f t="shared" si="0"/>
        <v>22</v>
      </c>
      <c r="J4" s="17">
        <f t="shared" si="0"/>
        <v>34</v>
      </c>
      <c r="K4" s="17">
        <f t="shared" si="0"/>
        <v>42</v>
      </c>
      <c r="L4" s="17">
        <f t="shared" si="0"/>
        <v>10</v>
      </c>
      <c r="M4" s="17">
        <f t="shared" si="0"/>
        <v>10</v>
      </c>
      <c r="N4" s="17">
        <f t="shared" si="0"/>
        <v>41</v>
      </c>
      <c r="O4" s="17">
        <f t="shared" si="0"/>
        <v>38</v>
      </c>
      <c r="P4" s="17">
        <f t="shared" si="0"/>
        <v>24</v>
      </c>
      <c r="Q4" s="17">
        <f t="shared" si="0"/>
        <v>1</v>
      </c>
      <c r="R4" s="645"/>
    </row>
    <row r="5" spans="1:18" s="580" customFormat="1" ht="12.75" customHeight="1">
      <c r="A5" s="582" t="s">
        <v>73</v>
      </c>
      <c r="B5" s="584"/>
      <c r="C5" s="584"/>
      <c r="D5" s="585"/>
      <c r="E5" s="584"/>
      <c r="F5" s="584"/>
      <c r="G5" s="584"/>
      <c r="H5" s="584"/>
      <c r="I5" s="584"/>
      <c r="J5" s="584"/>
      <c r="K5" s="584"/>
      <c r="L5" s="584"/>
      <c r="M5" s="584"/>
      <c r="N5" s="586"/>
      <c r="O5" s="584"/>
      <c r="P5" s="584"/>
      <c r="Q5" s="584"/>
      <c r="R5" s="645"/>
    </row>
    <row r="6" spans="1:18" s="580" customFormat="1" ht="12.75" customHeight="1">
      <c r="A6" s="587" t="s">
        <v>75</v>
      </c>
      <c r="B6" s="588"/>
      <c r="C6" s="588"/>
      <c r="D6" s="589"/>
      <c r="E6" s="588"/>
      <c r="F6" s="588"/>
      <c r="G6" s="588"/>
      <c r="H6" s="588"/>
      <c r="I6" s="588"/>
      <c r="J6" s="588"/>
      <c r="K6" s="588"/>
      <c r="L6" s="588"/>
      <c r="M6" s="588"/>
      <c r="N6" s="589"/>
      <c r="O6" s="588"/>
      <c r="P6" s="588"/>
      <c r="Q6" s="588"/>
      <c r="R6" s="645"/>
    </row>
    <row r="7" spans="1:18" s="580" customFormat="1" ht="12.75" customHeight="1">
      <c r="A7" s="590" t="s">
        <v>77</v>
      </c>
      <c r="B7" s="591"/>
      <c r="C7" s="591"/>
      <c r="D7" s="591"/>
      <c r="E7" s="591"/>
      <c r="F7" s="591"/>
      <c r="G7" s="591"/>
      <c r="H7" s="591"/>
      <c r="I7" s="591"/>
      <c r="J7" s="591"/>
      <c r="K7" s="591"/>
      <c r="L7" s="591"/>
      <c r="M7" s="591"/>
      <c r="N7" s="591"/>
      <c r="O7" s="591"/>
      <c r="P7" s="591"/>
      <c r="Q7" s="591"/>
      <c r="R7" s="645"/>
    </row>
    <row r="8" spans="1:18">
      <c r="A8" s="7" t="s">
        <v>110</v>
      </c>
      <c r="B8" s="25">
        <v>1</v>
      </c>
      <c r="C8" s="645"/>
      <c r="D8" s="25">
        <v>1</v>
      </c>
      <c r="E8" s="25">
        <v>1</v>
      </c>
      <c r="F8" s="25">
        <v>1</v>
      </c>
      <c r="G8" s="25">
        <v>1</v>
      </c>
      <c r="H8" s="645"/>
      <c r="I8" s="25">
        <v>1</v>
      </c>
      <c r="J8" s="25">
        <v>1</v>
      </c>
      <c r="K8" s="25">
        <v>1</v>
      </c>
      <c r="L8" s="645"/>
      <c r="M8" s="645"/>
      <c r="N8" s="25">
        <v>1</v>
      </c>
      <c r="O8" s="645"/>
      <c r="P8" s="25">
        <v>1</v>
      </c>
      <c r="Q8" s="645"/>
      <c r="R8" s="308" t="s">
        <v>2072</v>
      </c>
    </row>
    <row r="9" spans="1:18">
      <c r="A9" s="7" t="s">
        <v>1407</v>
      </c>
      <c r="B9" s="25">
        <v>1</v>
      </c>
      <c r="C9" s="25">
        <v>1</v>
      </c>
      <c r="D9" s="25">
        <v>1</v>
      </c>
      <c r="E9" s="25">
        <v>1</v>
      </c>
      <c r="F9" s="25">
        <v>1</v>
      </c>
      <c r="G9" s="25">
        <v>1</v>
      </c>
      <c r="H9" s="645"/>
      <c r="I9" s="645"/>
      <c r="J9" s="645"/>
      <c r="K9" s="25">
        <v>1</v>
      </c>
      <c r="L9" s="645"/>
      <c r="M9" s="645"/>
      <c r="N9" s="645"/>
      <c r="O9" s="25">
        <v>1</v>
      </c>
      <c r="P9" s="645"/>
      <c r="Q9" s="645"/>
      <c r="R9" s="308" t="s">
        <v>2073</v>
      </c>
    </row>
    <row r="10" spans="1:18">
      <c r="A10" s="7" t="s">
        <v>759</v>
      </c>
      <c r="B10" s="25">
        <v>1</v>
      </c>
      <c r="C10" s="645"/>
      <c r="D10" s="25">
        <v>1</v>
      </c>
      <c r="E10" s="25">
        <v>1</v>
      </c>
      <c r="F10" s="645"/>
      <c r="G10" s="645"/>
      <c r="H10" s="645"/>
      <c r="I10" s="645"/>
      <c r="J10" s="645"/>
      <c r="K10" s="645"/>
      <c r="L10" s="645"/>
      <c r="M10" s="645"/>
      <c r="N10" s="645"/>
      <c r="O10" s="25">
        <v>1</v>
      </c>
      <c r="P10" s="645"/>
      <c r="Q10" s="645"/>
      <c r="R10" s="308" t="s">
        <v>2074</v>
      </c>
    </row>
    <row r="11" spans="1:18">
      <c r="A11" s="7" t="s">
        <v>125</v>
      </c>
      <c r="B11" s="25">
        <v>1</v>
      </c>
      <c r="C11" s="645"/>
      <c r="D11" s="645"/>
      <c r="E11" s="645"/>
      <c r="F11" s="645"/>
      <c r="G11" s="645"/>
      <c r="H11" s="645"/>
      <c r="I11" s="645"/>
      <c r="J11" s="25">
        <v>1</v>
      </c>
      <c r="K11" s="645"/>
      <c r="L11" s="645"/>
      <c r="M11" s="645"/>
      <c r="N11" s="25">
        <v>1</v>
      </c>
      <c r="O11" s="645"/>
      <c r="P11" s="645"/>
      <c r="Q11" s="645"/>
      <c r="R11" s="308" t="s">
        <v>2075</v>
      </c>
    </row>
    <row r="12" spans="1:18">
      <c r="A12" s="7" t="s">
        <v>542</v>
      </c>
      <c r="B12" s="25">
        <v>1</v>
      </c>
      <c r="C12" s="645"/>
      <c r="D12" s="25">
        <v>1</v>
      </c>
      <c r="E12" s="25">
        <v>1</v>
      </c>
      <c r="F12" s="645"/>
      <c r="G12" s="645"/>
      <c r="H12" s="645"/>
      <c r="I12" s="645"/>
      <c r="J12" s="645"/>
      <c r="K12" s="25">
        <v>1</v>
      </c>
      <c r="L12" s="645"/>
      <c r="M12" s="645"/>
      <c r="N12" s="645"/>
      <c r="O12" s="645"/>
      <c r="P12" s="645"/>
      <c r="Q12" s="645"/>
      <c r="R12" s="308" t="s">
        <v>2074</v>
      </c>
    </row>
    <row r="13" spans="1:18">
      <c r="A13" s="7" t="s">
        <v>1424</v>
      </c>
      <c r="B13" s="25">
        <v>1</v>
      </c>
      <c r="C13" s="645"/>
      <c r="D13" s="25">
        <v>1</v>
      </c>
      <c r="E13" s="25">
        <v>1</v>
      </c>
      <c r="F13" s="645"/>
      <c r="G13" s="25">
        <v>1</v>
      </c>
      <c r="H13" s="645"/>
      <c r="I13" s="25">
        <v>1</v>
      </c>
      <c r="J13" s="25">
        <v>1</v>
      </c>
      <c r="K13" s="25">
        <v>1</v>
      </c>
      <c r="L13" s="645"/>
      <c r="M13" s="645"/>
      <c r="N13" s="645"/>
      <c r="O13" s="25">
        <v>1</v>
      </c>
      <c r="P13" s="25">
        <v>1</v>
      </c>
      <c r="Q13" s="25">
        <v>1</v>
      </c>
      <c r="R13" s="308" t="s">
        <v>2074</v>
      </c>
    </row>
    <row r="14" spans="1:18">
      <c r="A14" s="7" t="s">
        <v>128</v>
      </c>
      <c r="B14" s="25">
        <v>1</v>
      </c>
      <c r="C14" s="645"/>
      <c r="D14" s="25">
        <v>1</v>
      </c>
      <c r="E14" s="25">
        <v>1</v>
      </c>
      <c r="F14" s="25">
        <v>1</v>
      </c>
      <c r="G14" s="25">
        <v>1</v>
      </c>
      <c r="H14" s="645"/>
      <c r="I14" s="645"/>
      <c r="J14" s="25">
        <v>1</v>
      </c>
      <c r="K14" s="645"/>
      <c r="L14" s="645"/>
      <c r="M14" s="645"/>
      <c r="N14" s="25">
        <v>1</v>
      </c>
      <c r="O14" s="25">
        <v>1</v>
      </c>
      <c r="P14" s="645"/>
      <c r="Q14" s="645"/>
      <c r="R14" s="308" t="s">
        <v>2076</v>
      </c>
    </row>
    <row r="15" spans="1:18">
      <c r="A15" s="7" t="s">
        <v>1868</v>
      </c>
      <c r="B15" s="645"/>
      <c r="C15" s="645"/>
      <c r="D15" s="25">
        <v>1</v>
      </c>
      <c r="E15" s="25">
        <v>1</v>
      </c>
      <c r="F15" s="645"/>
      <c r="G15" s="645"/>
      <c r="H15" s="645"/>
      <c r="I15" s="645"/>
      <c r="J15" s="645"/>
      <c r="K15" s="645"/>
      <c r="L15" s="645"/>
      <c r="M15" s="645"/>
      <c r="N15" s="645"/>
      <c r="O15" s="645"/>
      <c r="P15" s="645"/>
      <c r="Q15" s="645"/>
      <c r="R15" s="308" t="s">
        <v>2077</v>
      </c>
    </row>
    <row r="16" spans="1:18">
      <c r="A16" s="7" t="s">
        <v>1432</v>
      </c>
      <c r="B16" s="25">
        <v>1</v>
      </c>
      <c r="C16" s="645"/>
      <c r="D16" s="645"/>
      <c r="E16" s="645"/>
      <c r="F16" s="645"/>
      <c r="G16" s="645"/>
      <c r="H16" s="645"/>
      <c r="I16" s="645"/>
      <c r="J16" s="645"/>
      <c r="K16" s="645"/>
      <c r="L16" s="645"/>
      <c r="M16" s="645"/>
      <c r="N16" s="645"/>
      <c r="O16" s="645"/>
      <c r="P16" s="645"/>
      <c r="Q16" s="645"/>
      <c r="R16" s="308" t="s">
        <v>2078</v>
      </c>
    </row>
    <row r="17" spans="1:18">
      <c r="A17" s="7" t="s">
        <v>149</v>
      </c>
      <c r="B17" s="25">
        <v>1</v>
      </c>
      <c r="C17" s="645"/>
      <c r="D17" s="25">
        <v>1</v>
      </c>
      <c r="E17" s="25">
        <v>1</v>
      </c>
      <c r="F17" s="25">
        <v>1</v>
      </c>
      <c r="G17" s="25">
        <v>1</v>
      </c>
      <c r="H17" s="645"/>
      <c r="I17" s="25">
        <v>1</v>
      </c>
      <c r="J17" s="25">
        <v>1</v>
      </c>
      <c r="K17" s="25">
        <v>1</v>
      </c>
      <c r="L17" s="645"/>
      <c r="M17" s="645"/>
      <c r="N17" s="25">
        <v>1</v>
      </c>
      <c r="O17" s="645"/>
      <c r="P17" s="25">
        <v>1</v>
      </c>
      <c r="Q17" s="645"/>
      <c r="R17" s="308" t="s">
        <v>2079</v>
      </c>
    </row>
    <row r="18" spans="1:18">
      <c r="A18" s="7" t="s">
        <v>1704</v>
      </c>
      <c r="B18" s="25">
        <v>1</v>
      </c>
      <c r="C18" s="645"/>
      <c r="D18" s="25">
        <v>1</v>
      </c>
      <c r="E18" s="25">
        <v>1</v>
      </c>
      <c r="F18" s="645"/>
      <c r="G18" s="645"/>
      <c r="H18" s="645"/>
      <c r="I18" s="645"/>
      <c r="J18" s="645"/>
      <c r="K18" s="645"/>
      <c r="L18" s="645"/>
      <c r="M18" s="645"/>
      <c r="N18" s="645"/>
      <c r="O18" s="645"/>
      <c r="P18" s="645"/>
      <c r="Q18" s="645"/>
      <c r="R18" s="308" t="s">
        <v>2080</v>
      </c>
    </row>
    <row r="19" spans="1:18">
      <c r="A19" s="7" t="s">
        <v>150</v>
      </c>
      <c r="B19" s="25">
        <v>1</v>
      </c>
      <c r="C19" s="645"/>
      <c r="D19" s="25">
        <v>1</v>
      </c>
      <c r="E19" s="25">
        <v>1</v>
      </c>
      <c r="F19" s="645"/>
      <c r="G19" s="645"/>
      <c r="H19" s="645"/>
      <c r="I19" s="645"/>
      <c r="J19" s="645"/>
      <c r="K19" s="25">
        <v>1</v>
      </c>
      <c r="L19" s="645"/>
      <c r="M19" s="645"/>
      <c r="N19" s="645"/>
      <c r="O19" s="25">
        <v>1</v>
      </c>
      <c r="P19" s="25">
        <v>1</v>
      </c>
      <c r="Q19" s="645"/>
      <c r="R19" s="308" t="s">
        <v>2081</v>
      </c>
    </row>
    <row r="20" spans="1:18">
      <c r="A20" s="7" t="s">
        <v>1706</v>
      </c>
      <c r="B20" s="25">
        <v>1</v>
      </c>
      <c r="C20" s="645"/>
      <c r="D20" s="645"/>
      <c r="E20" s="645"/>
      <c r="F20" s="25">
        <v>1</v>
      </c>
      <c r="G20" s="645"/>
      <c r="H20" s="645"/>
      <c r="I20" s="645"/>
      <c r="J20" s="645"/>
      <c r="K20" s="25">
        <v>1</v>
      </c>
      <c r="L20" s="645"/>
      <c r="M20" s="645"/>
      <c r="N20" s="645"/>
      <c r="O20" s="645"/>
      <c r="P20" s="645"/>
      <c r="Q20" s="645"/>
      <c r="R20" s="308" t="s">
        <v>2082</v>
      </c>
    </row>
    <row r="21" spans="1:18">
      <c r="A21" s="7" t="s">
        <v>1989</v>
      </c>
      <c r="B21" s="25">
        <v>1</v>
      </c>
      <c r="C21" s="645"/>
      <c r="D21" s="25">
        <v>1</v>
      </c>
      <c r="E21" s="25">
        <v>1</v>
      </c>
      <c r="F21" s="645"/>
      <c r="G21" s="25">
        <v>1</v>
      </c>
      <c r="H21" s="645"/>
      <c r="I21" s="25">
        <v>1</v>
      </c>
      <c r="J21" s="645"/>
      <c r="K21" s="25">
        <v>1</v>
      </c>
      <c r="L21" s="645"/>
      <c r="M21" s="645"/>
      <c r="N21" s="645"/>
      <c r="O21" s="645"/>
      <c r="P21" s="645"/>
      <c r="Q21" s="645"/>
      <c r="R21" s="308" t="s">
        <v>2083</v>
      </c>
    </row>
    <row r="22" spans="1:18">
      <c r="A22" s="7" t="s">
        <v>2084</v>
      </c>
      <c r="B22" s="25">
        <v>1</v>
      </c>
      <c r="C22" s="25">
        <v>1</v>
      </c>
      <c r="D22" s="25">
        <v>1</v>
      </c>
      <c r="E22" s="25">
        <v>1</v>
      </c>
      <c r="F22" s="645"/>
      <c r="G22" s="645"/>
      <c r="H22" s="645"/>
      <c r="I22" s="645"/>
      <c r="J22" s="645"/>
      <c r="K22" s="645"/>
      <c r="L22" s="645"/>
      <c r="M22" s="25">
        <v>1</v>
      </c>
      <c r="N22" s="645"/>
      <c r="O22" s="25">
        <v>1</v>
      </c>
      <c r="P22" s="645"/>
      <c r="Q22" s="645"/>
      <c r="R22" s="308" t="s">
        <v>2085</v>
      </c>
    </row>
    <row r="23" spans="1:18">
      <c r="A23" s="7" t="s">
        <v>165</v>
      </c>
      <c r="B23" s="25">
        <v>1</v>
      </c>
      <c r="C23" s="645"/>
      <c r="D23" s="25">
        <v>1</v>
      </c>
      <c r="E23" s="25">
        <v>1</v>
      </c>
      <c r="F23" s="25">
        <v>1</v>
      </c>
      <c r="G23" s="25">
        <v>1</v>
      </c>
      <c r="H23" s="645"/>
      <c r="I23" s="25">
        <v>1</v>
      </c>
      <c r="J23" s="25">
        <v>1</v>
      </c>
      <c r="K23" s="645"/>
      <c r="L23" s="645"/>
      <c r="M23" s="645"/>
      <c r="N23" s="25">
        <v>1</v>
      </c>
      <c r="O23" s="25">
        <v>1</v>
      </c>
      <c r="P23" s="645"/>
      <c r="Q23" s="645"/>
      <c r="R23" s="308" t="s">
        <v>2086</v>
      </c>
    </row>
    <row r="24" spans="1:18">
      <c r="A24" s="7" t="s">
        <v>167</v>
      </c>
      <c r="B24" s="25">
        <v>1</v>
      </c>
      <c r="C24" s="645"/>
      <c r="D24" s="25">
        <v>1</v>
      </c>
      <c r="E24" s="25">
        <v>1</v>
      </c>
      <c r="F24" s="25">
        <v>1</v>
      </c>
      <c r="G24" s="25">
        <v>1</v>
      </c>
      <c r="H24" s="645"/>
      <c r="I24" s="645"/>
      <c r="J24" s="645"/>
      <c r="K24" s="645"/>
      <c r="L24" s="645"/>
      <c r="M24" s="645"/>
      <c r="N24" s="25">
        <v>1</v>
      </c>
      <c r="O24" s="645"/>
      <c r="P24" s="645"/>
      <c r="Q24" s="645"/>
      <c r="R24" s="308" t="s">
        <v>2087</v>
      </c>
    </row>
    <row r="25" spans="1:18">
      <c r="A25" s="7" t="s">
        <v>172</v>
      </c>
      <c r="B25" s="25">
        <v>1</v>
      </c>
      <c r="C25" s="645"/>
      <c r="D25" s="25">
        <v>1</v>
      </c>
      <c r="E25" s="645"/>
      <c r="F25" s="25">
        <v>1</v>
      </c>
      <c r="G25" s="25">
        <v>1</v>
      </c>
      <c r="H25" s="645"/>
      <c r="I25" s="645"/>
      <c r="J25" s="25">
        <v>1</v>
      </c>
      <c r="K25" s="645"/>
      <c r="L25" s="645"/>
      <c r="M25" s="645"/>
      <c r="N25" s="25">
        <v>1</v>
      </c>
      <c r="O25" s="645"/>
      <c r="P25" s="25">
        <v>1</v>
      </c>
      <c r="Q25" s="645"/>
      <c r="R25" s="308" t="s">
        <v>2088</v>
      </c>
    </row>
    <row r="26" spans="1:18">
      <c r="A26" s="7" t="s">
        <v>1998</v>
      </c>
      <c r="B26" s="25">
        <v>1</v>
      </c>
      <c r="C26" s="645"/>
      <c r="D26" s="645"/>
      <c r="E26" s="25">
        <v>1</v>
      </c>
      <c r="F26" s="645"/>
      <c r="G26" s="645"/>
      <c r="H26" s="645"/>
      <c r="I26" s="645"/>
      <c r="J26" s="645"/>
      <c r="K26" s="645"/>
      <c r="L26" s="645"/>
      <c r="M26" s="645"/>
      <c r="N26" s="645"/>
      <c r="O26" s="25">
        <v>1</v>
      </c>
      <c r="P26" s="645"/>
      <c r="Q26" s="645"/>
      <c r="R26" s="308" t="s">
        <v>2072</v>
      </c>
    </row>
    <row r="27" spans="1:18">
      <c r="A27" s="7" t="s">
        <v>1138</v>
      </c>
      <c r="B27" s="25">
        <v>1</v>
      </c>
      <c r="C27" s="25">
        <v>1</v>
      </c>
      <c r="D27" s="25">
        <v>1</v>
      </c>
      <c r="E27" s="645"/>
      <c r="F27" s="25">
        <v>1</v>
      </c>
      <c r="G27" s="25">
        <v>1</v>
      </c>
      <c r="H27" s="645"/>
      <c r="I27" s="25">
        <v>1</v>
      </c>
      <c r="J27" s="25">
        <v>1</v>
      </c>
      <c r="K27" s="645"/>
      <c r="L27" s="645"/>
      <c r="M27" s="645"/>
      <c r="N27" s="25">
        <v>1</v>
      </c>
      <c r="O27" s="25">
        <v>1</v>
      </c>
      <c r="P27" s="25">
        <v>1</v>
      </c>
      <c r="Q27" s="645"/>
      <c r="R27" s="308" t="s">
        <v>2077</v>
      </c>
    </row>
    <row r="28" spans="1:18">
      <c r="A28" s="7" t="s">
        <v>192</v>
      </c>
      <c r="B28" s="25">
        <v>1</v>
      </c>
      <c r="C28" s="645"/>
      <c r="D28" s="25">
        <v>1</v>
      </c>
      <c r="E28" s="25">
        <v>1</v>
      </c>
      <c r="F28" s="25">
        <v>1</v>
      </c>
      <c r="G28" s="645"/>
      <c r="H28" s="645"/>
      <c r="I28" s="645"/>
      <c r="J28" s="25">
        <v>1</v>
      </c>
      <c r="K28" s="645"/>
      <c r="L28" s="645"/>
      <c r="M28" s="645"/>
      <c r="N28" s="25">
        <v>1</v>
      </c>
      <c r="O28" s="645"/>
      <c r="P28" s="645"/>
      <c r="Q28" s="645"/>
      <c r="R28" s="308" t="s">
        <v>2089</v>
      </c>
    </row>
    <row r="29" spans="1:18">
      <c r="A29" s="7" t="s">
        <v>196</v>
      </c>
      <c r="B29" s="25">
        <v>1</v>
      </c>
      <c r="C29" s="645"/>
      <c r="D29" s="25">
        <v>1</v>
      </c>
      <c r="E29" s="25">
        <v>1</v>
      </c>
      <c r="F29" s="25">
        <v>1</v>
      </c>
      <c r="G29" s="645"/>
      <c r="H29" s="645"/>
      <c r="I29" s="645"/>
      <c r="J29" s="25">
        <v>1</v>
      </c>
      <c r="K29" s="645"/>
      <c r="L29" s="645"/>
      <c r="M29" s="645"/>
      <c r="N29" s="25">
        <v>1</v>
      </c>
      <c r="O29" s="645"/>
      <c r="P29" s="25">
        <v>1</v>
      </c>
      <c r="Q29" s="645"/>
      <c r="R29" s="308" t="s">
        <v>2074</v>
      </c>
    </row>
    <row r="30" spans="1:18">
      <c r="A30" s="7" t="s">
        <v>203</v>
      </c>
      <c r="B30" s="25">
        <v>1</v>
      </c>
      <c r="C30" s="645"/>
      <c r="D30" s="645"/>
      <c r="E30" s="25">
        <v>1</v>
      </c>
      <c r="F30" s="25">
        <v>1</v>
      </c>
      <c r="G30" s="645"/>
      <c r="H30" s="645"/>
      <c r="I30" s="645"/>
      <c r="J30" s="645"/>
      <c r="K30" s="645"/>
      <c r="L30" s="645"/>
      <c r="M30" s="25">
        <v>1</v>
      </c>
      <c r="N30" s="645"/>
      <c r="O30" s="25">
        <v>1</v>
      </c>
      <c r="P30" s="25">
        <v>1</v>
      </c>
      <c r="Q30" s="645"/>
      <c r="R30" s="308" t="s">
        <v>2077</v>
      </c>
    </row>
    <row r="31" spans="1:18">
      <c r="A31" s="7" t="s">
        <v>204</v>
      </c>
      <c r="B31" s="25">
        <v>1</v>
      </c>
      <c r="C31" s="645"/>
      <c r="D31" s="25">
        <v>1</v>
      </c>
      <c r="E31" s="25">
        <v>1</v>
      </c>
      <c r="F31" s="25">
        <v>1</v>
      </c>
      <c r="G31" s="645"/>
      <c r="H31" s="645"/>
      <c r="I31" s="645"/>
      <c r="J31" s="645"/>
      <c r="K31" s="645"/>
      <c r="L31" s="645"/>
      <c r="M31" s="645"/>
      <c r="N31" s="645"/>
      <c r="O31" s="645"/>
      <c r="P31" s="645"/>
      <c r="Q31" s="645"/>
      <c r="R31" s="308" t="s">
        <v>2090</v>
      </c>
    </row>
    <row r="32" spans="1:18">
      <c r="A32" s="7" t="s">
        <v>1153</v>
      </c>
      <c r="B32" s="25">
        <v>1</v>
      </c>
      <c r="C32" s="645"/>
      <c r="D32" s="25">
        <v>1</v>
      </c>
      <c r="E32" s="25">
        <v>1</v>
      </c>
      <c r="F32" s="645"/>
      <c r="G32" s="645"/>
      <c r="H32" s="25">
        <v>1</v>
      </c>
      <c r="I32" s="645"/>
      <c r="J32" s="645"/>
      <c r="K32" s="645"/>
      <c r="L32" s="645"/>
      <c r="M32" s="645"/>
      <c r="N32" s="645"/>
      <c r="O32" s="25">
        <v>1</v>
      </c>
      <c r="P32" s="645"/>
      <c r="Q32" s="645"/>
      <c r="R32" s="308" t="s">
        <v>2091</v>
      </c>
    </row>
    <row r="33" spans="1:18">
      <c r="A33" s="7" t="s">
        <v>211</v>
      </c>
      <c r="B33" s="25">
        <v>1</v>
      </c>
      <c r="C33" s="645"/>
      <c r="D33" s="25">
        <v>1</v>
      </c>
      <c r="E33" s="645"/>
      <c r="F33" s="25">
        <v>1</v>
      </c>
      <c r="G33" s="645"/>
      <c r="H33" s="645"/>
      <c r="I33" s="645"/>
      <c r="J33" s="645"/>
      <c r="K33" s="25">
        <v>1</v>
      </c>
      <c r="L33" s="645"/>
      <c r="M33" s="645"/>
      <c r="N33" s="25">
        <v>1</v>
      </c>
      <c r="O33" s="645"/>
      <c r="P33" s="645"/>
      <c r="Q33" s="645"/>
      <c r="R33" s="308" t="s">
        <v>2089</v>
      </c>
    </row>
    <row r="34" spans="1:18">
      <c r="A34" s="7" t="s">
        <v>2092</v>
      </c>
      <c r="B34" s="25">
        <v>1</v>
      </c>
      <c r="C34" s="645"/>
      <c r="D34" s="25">
        <v>1</v>
      </c>
      <c r="E34" s="25">
        <v>1</v>
      </c>
      <c r="F34" s="25">
        <v>1</v>
      </c>
      <c r="G34" s="645"/>
      <c r="H34" s="645"/>
      <c r="I34" s="645"/>
      <c r="J34" s="645"/>
      <c r="K34" s="25">
        <v>1</v>
      </c>
      <c r="L34" s="645"/>
      <c r="M34" s="645"/>
      <c r="N34" s="25">
        <v>1</v>
      </c>
      <c r="O34" s="645"/>
      <c r="P34" s="645"/>
      <c r="Q34" s="645"/>
      <c r="R34" s="308" t="s">
        <v>2093</v>
      </c>
    </row>
    <row r="35" spans="1:18">
      <c r="A35" s="7" t="s">
        <v>1471</v>
      </c>
      <c r="B35" s="645"/>
      <c r="C35" s="645"/>
      <c r="D35" s="25">
        <v>1</v>
      </c>
      <c r="E35" s="25">
        <v>1</v>
      </c>
      <c r="F35" s="645"/>
      <c r="G35" s="645"/>
      <c r="H35" s="645"/>
      <c r="I35" s="645"/>
      <c r="J35" s="645"/>
      <c r="K35" s="645"/>
      <c r="L35" s="645"/>
      <c r="M35" s="645"/>
      <c r="N35" s="645"/>
      <c r="O35" s="25">
        <v>1</v>
      </c>
      <c r="P35" s="645"/>
      <c r="Q35" s="645"/>
      <c r="R35" s="308" t="s">
        <v>2074</v>
      </c>
    </row>
    <row r="36" spans="1:18">
      <c r="A36" s="7" t="s">
        <v>219</v>
      </c>
      <c r="B36" s="25">
        <v>1</v>
      </c>
      <c r="C36" s="645"/>
      <c r="D36" s="25">
        <v>1</v>
      </c>
      <c r="E36" s="25">
        <v>1</v>
      </c>
      <c r="F36" s="25">
        <v>1</v>
      </c>
      <c r="G36" s="645"/>
      <c r="H36" s="645"/>
      <c r="I36" s="645"/>
      <c r="J36" s="645"/>
      <c r="K36" s="25">
        <v>1</v>
      </c>
      <c r="L36" s="25">
        <v>1</v>
      </c>
      <c r="M36" s="645"/>
      <c r="N36" s="645"/>
      <c r="O36" s="25">
        <v>1</v>
      </c>
      <c r="P36" s="645"/>
      <c r="Q36" s="645"/>
      <c r="R36" s="308" t="s">
        <v>2074</v>
      </c>
    </row>
    <row r="37" spans="1:18">
      <c r="A37" s="7" t="s">
        <v>228</v>
      </c>
      <c r="B37" s="25">
        <v>1</v>
      </c>
      <c r="C37" s="645"/>
      <c r="D37" s="25">
        <v>1</v>
      </c>
      <c r="E37" s="25">
        <v>1</v>
      </c>
      <c r="F37" s="25">
        <v>1</v>
      </c>
      <c r="G37" s="25">
        <v>1</v>
      </c>
      <c r="H37" s="645"/>
      <c r="I37" s="25">
        <v>1</v>
      </c>
      <c r="J37" s="645"/>
      <c r="K37" s="25">
        <v>1</v>
      </c>
      <c r="L37" s="645"/>
      <c r="M37" s="645"/>
      <c r="N37" s="25">
        <v>1</v>
      </c>
      <c r="O37" s="25">
        <v>1</v>
      </c>
      <c r="P37" s="645"/>
      <c r="Q37" s="645"/>
      <c r="R37" s="308" t="s">
        <v>2094</v>
      </c>
    </row>
    <row r="38" spans="1:18" ht="25.5" customHeight="1">
      <c r="A38" s="7" t="s">
        <v>2095</v>
      </c>
      <c r="B38" s="25">
        <v>1</v>
      </c>
      <c r="C38" s="645"/>
      <c r="D38" s="645"/>
      <c r="E38" s="645"/>
      <c r="F38" s="25">
        <v>1</v>
      </c>
      <c r="G38" s="25">
        <v>1</v>
      </c>
      <c r="H38" s="645"/>
      <c r="I38" s="25">
        <v>1</v>
      </c>
      <c r="J38" s="645"/>
      <c r="K38" s="645"/>
      <c r="L38" s="645"/>
      <c r="M38" s="645"/>
      <c r="N38" s="645"/>
      <c r="O38" s="645"/>
      <c r="P38" s="645"/>
      <c r="Q38" s="645"/>
      <c r="R38" s="308" t="s">
        <v>2096</v>
      </c>
    </row>
    <row r="39" spans="1:18">
      <c r="A39" s="7" t="s">
        <v>1725</v>
      </c>
      <c r="B39" s="25">
        <v>1</v>
      </c>
      <c r="C39" s="645"/>
      <c r="D39" s="25">
        <v>1</v>
      </c>
      <c r="E39" s="25">
        <v>1</v>
      </c>
      <c r="F39" s="25">
        <v>1</v>
      </c>
      <c r="G39" s="25">
        <v>1</v>
      </c>
      <c r="H39" s="25">
        <v>1</v>
      </c>
      <c r="I39" s="645"/>
      <c r="J39" s="645"/>
      <c r="K39" s="25">
        <v>1</v>
      </c>
      <c r="L39" s="645"/>
      <c r="M39" s="645"/>
      <c r="N39" s="645"/>
      <c r="O39" s="25">
        <v>1</v>
      </c>
      <c r="P39" s="25">
        <v>1</v>
      </c>
      <c r="Q39" s="645"/>
      <c r="R39" s="308" t="s">
        <v>2097</v>
      </c>
    </row>
    <row r="40" spans="1:18">
      <c r="A40" s="7" t="s">
        <v>232</v>
      </c>
      <c r="B40" s="25">
        <v>1</v>
      </c>
      <c r="C40" s="645"/>
      <c r="D40" s="25">
        <v>1</v>
      </c>
      <c r="E40" s="25">
        <v>1</v>
      </c>
      <c r="F40" s="25">
        <v>1</v>
      </c>
      <c r="G40" s="25">
        <v>1</v>
      </c>
      <c r="H40" s="645"/>
      <c r="I40" s="645"/>
      <c r="J40" s="645"/>
      <c r="K40" s="645"/>
      <c r="L40" s="645"/>
      <c r="M40" s="645"/>
      <c r="N40" s="25">
        <v>1</v>
      </c>
      <c r="O40" s="645"/>
      <c r="P40" s="25">
        <v>1</v>
      </c>
      <c r="Q40" s="645"/>
      <c r="R40" s="308" t="s">
        <v>2098</v>
      </c>
    </row>
    <row r="41" spans="1:18">
      <c r="A41" s="7" t="s">
        <v>237</v>
      </c>
      <c r="B41" s="25">
        <v>1</v>
      </c>
      <c r="C41" s="645"/>
      <c r="D41" s="645"/>
      <c r="E41" s="25">
        <v>1</v>
      </c>
      <c r="F41" s="25">
        <v>1</v>
      </c>
      <c r="G41" s="645"/>
      <c r="H41" s="25">
        <v>1</v>
      </c>
      <c r="I41" s="645"/>
      <c r="J41" s="645"/>
      <c r="K41" s="25">
        <v>1</v>
      </c>
      <c r="L41" s="645"/>
      <c r="M41" s="25">
        <v>1</v>
      </c>
      <c r="N41" s="645"/>
      <c r="O41" s="645"/>
      <c r="P41" s="645"/>
      <c r="Q41" s="645"/>
      <c r="R41" s="645"/>
    </row>
    <row r="42" spans="1:18">
      <c r="A42" s="7" t="s">
        <v>585</v>
      </c>
      <c r="B42" s="25">
        <v>1</v>
      </c>
      <c r="C42" s="645"/>
      <c r="D42" s="25">
        <v>1</v>
      </c>
      <c r="E42" s="25">
        <v>1</v>
      </c>
      <c r="F42" s="645"/>
      <c r="G42" s="25">
        <v>1</v>
      </c>
      <c r="H42" s="645"/>
      <c r="I42" s="645"/>
      <c r="J42" s="25">
        <v>1</v>
      </c>
      <c r="K42" s="25">
        <v>1</v>
      </c>
      <c r="L42" s="25">
        <v>1</v>
      </c>
      <c r="M42" s="25">
        <v>1</v>
      </c>
      <c r="N42" s="645"/>
      <c r="O42" s="25">
        <v>1</v>
      </c>
      <c r="P42" s="645"/>
      <c r="Q42" s="645"/>
      <c r="R42" s="308" t="s">
        <v>2089</v>
      </c>
    </row>
    <row r="43" spans="1:18">
      <c r="A43" s="7" t="s">
        <v>1902</v>
      </c>
      <c r="B43" s="25">
        <v>1</v>
      </c>
      <c r="C43" s="645"/>
      <c r="D43" s="645"/>
      <c r="E43" s="25">
        <v>1</v>
      </c>
      <c r="F43" s="645"/>
      <c r="G43" s="645"/>
      <c r="H43" s="645"/>
      <c r="I43" s="645"/>
      <c r="J43" s="645"/>
      <c r="K43" s="645"/>
      <c r="L43" s="645"/>
      <c r="M43" s="645"/>
      <c r="N43" s="645"/>
      <c r="O43" s="25">
        <v>1</v>
      </c>
      <c r="P43" s="645"/>
      <c r="Q43" s="645"/>
      <c r="R43" s="308" t="s">
        <v>2077</v>
      </c>
    </row>
    <row r="44" spans="1:18">
      <c r="A44" s="7" t="s">
        <v>243</v>
      </c>
      <c r="B44" s="25">
        <v>1</v>
      </c>
      <c r="C44" s="645"/>
      <c r="D44" s="645"/>
      <c r="E44" s="645"/>
      <c r="F44" s="25">
        <v>1</v>
      </c>
      <c r="G44" s="25">
        <v>1</v>
      </c>
      <c r="H44" s="25">
        <v>1</v>
      </c>
      <c r="I44" s="645"/>
      <c r="J44" s="25">
        <v>1</v>
      </c>
      <c r="K44" s="25">
        <v>1</v>
      </c>
      <c r="L44" s="645"/>
      <c r="M44" s="25">
        <v>1</v>
      </c>
      <c r="N44" s="645"/>
      <c r="O44" s="645"/>
      <c r="P44" s="645"/>
      <c r="Q44" s="645"/>
      <c r="R44" s="308" t="s">
        <v>2099</v>
      </c>
    </row>
    <row r="45" spans="1:18">
      <c r="A45" s="7" t="s">
        <v>590</v>
      </c>
      <c r="B45" s="25">
        <v>1</v>
      </c>
      <c r="C45" s="645"/>
      <c r="D45" s="25">
        <v>1</v>
      </c>
      <c r="E45" s="25">
        <v>1</v>
      </c>
      <c r="F45" s="25">
        <v>1</v>
      </c>
      <c r="G45" s="25">
        <v>1</v>
      </c>
      <c r="H45" s="645"/>
      <c r="I45" s="645"/>
      <c r="J45" s="645"/>
      <c r="K45" s="25">
        <v>1</v>
      </c>
      <c r="L45" s="645"/>
      <c r="M45" s="645"/>
      <c r="N45" s="645"/>
      <c r="O45" s="645"/>
      <c r="P45" s="645"/>
      <c r="Q45" s="645"/>
      <c r="R45" s="308" t="s">
        <v>2100</v>
      </c>
    </row>
    <row r="46" spans="1:18">
      <c r="A46" s="7" t="s">
        <v>2019</v>
      </c>
      <c r="B46" s="645"/>
      <c r="C46" s="645"/>
      <c r="D46" s="25">
        <v>1</v>
      </c>
      <c r="E46" s="25">
        <v>1</v>
      </c>
      <c r="F46" s="645"/>
      <c r="G46" s="645"/>
      <c r="H46" s="645"/>
      <c r="I46" s="645"/>
      <c r="J46" s="25">
        <v>1</v>
      </c>
      <c r="K46" s="645"/>
      <c r="L46" s="25">
        <v>1</v>
      </c>
      <c r="M46" s="645"/>
      <c r="N46" s="645"/>
      <c r="O46" s="645"/>
      <c r="P46" s="645"/>
      <c r="Q46" s="645"/>
      <c r="R46" s="308" t="s">
        <v>2101</v>
      </c>
    </row>
    <row r="47" spans="1:18">
      <c r="A47" s="7" t="s">
        <v>254</v>
      </c>
      <c r="B47" s="25">
        <v>1</v>
      </c>
      <c r="C47" s="645"/>
      <c r="D47" s="25">
        <v>1</v>
      </c>
      <c r="E47" s="25">
        <v>1</v>
      </c>
      <c r="F47" s="25">
        <v>1</v>
      </c>
      <c r="G47" s="645"/>
      <c r="H47" s="645"/>
      <c r="I47" s="645"/>
      <c r="J47" s="645"/>
      <c r="K47" s="25">
        <v>1</v>
      </c>
      <c r="L47" s="645"/>
      <c r="M47" s="645"/>
      <c r="N47" s="25">
        <v>1</v>
      </c>
      <c r="O47" s="645"/>
      <c r="P47" s="645"/>
      <c r="Q47" s="645"/>
      <c r="R47" s="645"/>
    </row>
    <row r="48" spans="1:18">
      <c r="A48" s="7" t="s">
        <v>2102</v>
      </c>
      <c r="B48" s="645"/>
      <c r="C48" s="645"/>
      <c r="D48" s="645"/>
      <c r="E48" s="645"/>
      <c r="F48" s="645"/>
      <c r="G48" s="645"/>
      <c r="H48" s="645"/>
      <c r="I48" s="645"/>
      <c r="J48" s="25">
        <v>1</v>
      </c>
      <c r="K48" s="645"/>
      <c r="L48" s="645"/>
      <c r="M48" s="645"/>
      <c r="N48" s="645"/>
      <c r="O48" s="645"/>
      <c r="P48" s="645"/>
      <c r="Q48" s="645"/>
      <c r="R48" s="308" t="s">
        <v>2103</v>
      </c>
    </row>
    <row r="49" spans="1:18">
      <c r="A49" s="7" t="s">
        <v>255</v>
      </c>
      <c r="B49" s="25">
        <v>1</v>
      </c>
      <c r="C49" s="645"/>
      <c r="D49" s="645"/>
      <c r="E49" s="25">
        <v>1</v>
      </c>
      <c r="F49" s="645"/>
      <c r="G49" s="25">
        <v>1</v>
      </c>
      <c r="H49" s="645"/>
      <c r="I49" s="645"/>
      <c r="J49" s="645"/>
      <c r="K49" s="645"/>
      <c r="L49" s="645"/>
      <c r="M49" s="645"/>
      <c r="N49" s="645"/>
      <c r="O49" s="25">
        <v>1</v>
      </c>
      <c r="P49" s="645"/>
      <c r="Q49" s="645"/>
      <c r="R49" s="308" t="s">
        <v>2077</v>
      </c>
    </row>
    <row r="50" spans="1:18">
      <c r="A50" s="7" t="s">
        <v>443</v>
      </c>
      <c r="B50" s="25">
        <v>1</v>
      </c>
      <c r="C50" s="645"/>
      <c r="D50" s="645"/>
      <c r="E50" s="25">
        <v>1</v>
      </c>
      <c r="F50" s="645"/>
      <c r="G50" s="645"/>
      <c r="H50" s="645"/>
      <c r="I50" s="645"/>
      <c r="J50" s="25">
        <v>1</v>
      </c>
      <c r="K50" s="25">
        <v>1</v>
      </c>
      <c r="L50" s="645"/>
      <c r="M50" s="645"/>
      <c r="N50" s="645"/>
      <c r="O50" s="645"/>
      <c r="P50" s="645"/>
      <c r="Q50" s="645"/>
      <c r="R50" s="308" t="s">
        <v>2104</v>
      </c>
    </row>
    <row r="51" spans="1:18">
      <c r="A51" s="7" t="s">
        <v>1743</v>
      </c>
      <c r="B51" s="25">
        <v>1</v>
      </c>
      <c r="C51" s="645"/>
      <c r="D51" s="25">
        <v>1</v>
      </c>
      <c r="E51" s="25">
        <v>1</v>
      </c>
      <c r="F51" s="25">
        <v>1</v>
      </c>
      <c r="G51" s="25">
        <v>1</v>
      </c>
      <c r="H51" s="645"/>
      <c r="I51" s="25">
        <v>1</v>
      </c>
      <c r="J51" s="25">
        <v>1</v>
      </c>
      <c r="K51" s="25">
        <v>1</v>
      </c>
      <c r="L51" s="645"/>
      <c r="M51" s="645"/>
      <c r="N51" s="25">
        <v>1</v>
      </c>
      <c r="O51" s="645"/>
      <c r="P51" s="25">
        <v>1</v>
      </c>
      <c r="Q51" s="645"/>
      <c r="R51" s="308" t="s">
        <v>2077</v>
      </c>
    </row>
    <row r="52" spans="1:18">
      <c r="A52" s="7" t="s">
        <v>2105</v>
      </c>
      <c r="B52" s="25">
        <v>1</v>
      </c>
      <c r="C52" s="25">
        <v>1</v>
      </c>
      <c r="D52" s="25">
        <v>1</v>
      </c>
      <c r="E52" s="25">
        <v>1</v>
      </c>
      <c r="F52" s="645"/>
      <c r="G52" s="25">
        <v>1</v>
      </c>
      <c r="H52" s="645"/>
      <c r="I52" s="645"/>
      <c r="J52" s="25">
        <v>1</v>
      </c>
      <c r="K52" s="645"/>
      <c r="L52" s="645"/>
      <c r="M52" s="645"/>
      <c r="N52" s="25">
        <v>1</v>
      </c>
      <c r="O52" s="25">
        <v>1</v>
      </c>
      <c r="P52" s="645"/>
      <c r="Q52" s="645"/>
      <c r="R52" s="308" t="s">
        <v>2106</v>
      </c>
    </row>
    <row r="53" spans="1:18">
      <c r="A53" s="7" t="s">
        <v>447</v>
      </c>
      <c r="B53" s="25">
        <v>1</v>
      </c>
      <c r="C53" s="645"/>
      <c r="D53" s="25">
        <v>1</v>
      </c>
      <c r="E53" s="25">
        <v>1</v>
      </c>
      <c r="F53" s="25">
        <v>1</v>
      </c>
      <c r="G53" s="25">
        <v>1</v>
      </c>
      <c r="H53" s="645"/>
      <c r="I53" s="25">
        <v>1</v>
      </c>
      <c r="J53" s="25">
        <v>1</v>
      </c>
      <c r="K53" s="645"/>
      <c r="L53" s="645"/>
      <c r="M53" s="645"/>
      <c r="N53" s="645"/>
      <c r="O53" s="645"/>
      <c r="P53" s="645"/>
      <c r="Q53" s="645"/>
      <c r="R53" s="308" t="s">
        <v>2072</v>
      </c>
    </row>
    <row r="54" spans="1:18">
      <c r="A54" s="7" t="s">
        <v>888</v>
      </c>
      <c r="B54" s="645"/>
      <c r="C54" s="645"/>
      <c r="D54" s="25">
        <v>1</v>
      </c>
      <c r="E54" s="25">
        <v>1</v>
      </c>
      <c r="F54" s="25">
        <v>1</v>
      </c>
      <c r="G54" s="645"/>
      <c r="H54" s="645"/>
      <c r="I54" s="645"/>
      <c r="J54" s="25">
        <v>1</v>
      </c>
      <c r="K54" s="25">
        <v>1</v>
      </c>
      <c r="L54" s="645"/>
      <c r="M54" s="645"/>
      <c r="N54" s="645"/>
      <c r="O54" s="25">
        <v>1</v>
      </c>
      <c r="P54" s="645"/>
      <c r="Q54" s="645"/>
      <c r="R54" s="308" t="s">
        <v>2107</v>
      </c>
    </row>
    <row r="55" spans="1:18">
      <c r="A55" s="7" t="s">
        <v>452</v>
      </c>
      <c r="B55" s="645"/>
      <c r="C55" s="645"/>
      <c r="D55" s="25">
        <v>1</v>
      </c>
      <c r="E55" s="25">
        <v>1</v>
      </c>
      <c r="F55" s="25">
        <v>1</v>
      </c>
      <c r="G55" s="25">
        <v>1</v>
      </c>
      <c r="H55" s="645"/>
      <c r="I55" s="645"/>
      <c r="J55" s="645"/>
      <c r="K55" s="645"/>
      <c r="L55" s="645"/>
      <c r="M55" s="645"/>
      <c r="N55" s="645"/>
      <c r="O55" s="25">
        <v>1</v>
      </c>
      <c r="P55" s="645"/>
      <c r="Q55" s="645"/>
      <c r="R55" s="308" t="s">
        <v>2108</v>
      </c>
    </row>
    <row r="56" spans="1:18">
      <c r="A56" s="7" t="s">
        <v>2109</v>
      </c>
      <c r="B56" s="25">
        <v>1</v>
      </c>
      <c r="C56" s="645"/>
      <c r="D56" s="25">
        <v>1</v>
      </c>
      <c r="E56" s="25">
        <v>1</v>
      </c>
      <c r="F56" s="25">
        <v>1</v>
      </c>
      <c r="G56" s="25">
        <v>1</v>
      </c>
      <c r="H56" s="645"/>
      <c r="I56" s="25">
        <v>1</v>
      </c>
      <c r="J56" s="645"/>
      <c r="K56" s="645"/>
      <c r="L56" s="25">
        <v>1</v>
      </c>
      <c r="M56" s="645"/>
      <c r="N56" s="25">
        <v>1</v>
      </c>
      <c r="O56" s="25">
        <v>1</v>
      </c>
      <c r="P56" s="25">
        <v>1</v>
      </c>
      <c r="Q56" s="645"/>
      <c r="R56" s="308" t="s">
        <v>2106</v>
      </c>
    </row>
    <row r="57" spans="1:18">
      <c r="A57" s="7" t="s">
        <v>450</v>
      </c>
      <c r="B57" s="25">
        <v>1</v>
      </c>
      <c r="C57" s="645"/>
      <c r="D57" s="25">
        <v>1</v>
      </c>
      <c r="E57" s="25">
        <v>1</v>
      </c>
      <c r="F57" s="25">
        <v>1</v>
      </c>
      <c r="G57" s="25">
        <v>1</v>
      </c>
      <c r="H57" s="645"/>
      <c r="I57" s="645"/>
      <c r="J57" s="645"/>
      <c r="K57" s="25">
        <v>1</v>
      </c>
      <c r="L57" s="645"/>
      <c r="M57" s="645"/>
      <c r="N57" s="645"/>
      <c r="O57" s="645"/>
      <c r="P57" s="645"/>
      <c r="Q57" s="645"/>
      <c r="R57" s="308" t="s">
        <v>2110</v>
      </c>
    </row>
    <row r="58" spans="1:18">
      <c r="A58" s="7" t="s">
        <v>2111</v>
      </c>
      <c r="B58" s="7" t="s">
        <v>2112</v>
      </c>
      <c r="C58" s="7" t="s">
        <v>2113</v>
      </c>
      <c r="D58" s="7" t="s">
        <v>2114</v>
      </c>
      <c r="E58" s="7" t="s">
        <v>2115</v>
      </c>
      <c r="F58" s="7" t="s">
        <v>2116</v>
      </c>
      <c r="G58" s="645"/>
      <c r="H58" s="645"/>
      <c r="I58" s="645"/>
      <c r="J58" s="645"/>
      <c r="K58" s="645"/>
      <c r="L58" s="645"/>
      <c r="M58" s="645"/>
      <c r="N58" s="645"/>
      <c r="O58" s="645"/>
      <c r="P58" s="645"/>
      <c r="Q58" s="645"/>
      <c r="R58" s="645"/>
    </row>
    <row r="59" spans="1:18">
      <c r="A59" s="7" t="s">
        <v>2117</v>
      </c>
      <c r="B59" s="25">
        <v>1</v>
      </c>
      <c r="C59" s="645"/>
      <c r="D59" s="25">
        <v>1</v>
      </c>
      <c r="E59" s="25">
        <v>1</v>
      </c>
      <c r="F59" s="645"/>
      <c r="G59" s="645"/>
      <c r="H59" s="645"/>
      <c r="I59" s="645"/>
      <c r="J59" s="25">
        <v>1</v>
      </c>
      <c r="K59" s="645"/>
      <c r="L59" s="645"/>
      <c r="M59" s="645"/>
      <c r="N59" s="645"/>
      <c r="O59" s="25">
        <v>1</v>
      </c>
      <c r="P59" s="645"/>
      <c r="Q59" s="645"/>
      <c r="R59" s="308" t="s">
        <v>2118</v>
      </c>
    </row>
    <row r="60" spans="1:18">
      <c r="A60" s="7" t="s">
        <v>891</v>
      </c>
      <c r="B60" s="25">
        <v>1</v>
      </c>
      <c r="C60" s="645"/>
      <c r="D60" s="25">
        <v>1</v>
      </c>
      <c r="E60" s="25">
        <v>1</v>
      </c>
      <c r="F60" s="25">
        <v>1</v>
      </c>
      <c r="G60" s="25">
        <v>1</v>
      </c>
      <c r="H60" s="645"/>
      <c r="I60" s="645"/>
      <c r="J60" s="25">
        <v>1</v>
      </c>
      <c r="K60" s="645"/>
      <c r="L60" s="645"/>
      <c r="M60" s="645"/>
      <c r="N60" s="25">
        <v>1</v>
      </c>
      <c r="O60" s="25">
        <v>1</v>
      </c>
      <c r="P60" s="25">
        <v>1</v>
      </c>
      <c r="Q60" s="645"/>
      <c r="R60" s="308" t="s">
        <v>2119</v>
      </c>
    </row>
    <row r="61" spans="1:18">
      <c r="A61" s="7" t="s">
        <v>289</v>
      </c>
      <c r="B61" s="25">
        <v>1</v>
      </c>
      <c r="C61" s="645"/>
      <c r="D61" s="25">
        <v>1</v>
      </c>
      <c r="E61" s="25">
        <v>1</v>
      </c>
      <c r="F61" s="25">
        <v>1</v>
      </c>
      <c r="G61" s="25">
        <v>1</v>
      </c>
      <c r="H61" s="645"/>
      <c r="I61" s="645"/>
      <c r="J61" s="645"/>
      <c r="K61" s="25">
        <v>1</v>
      </c>
      <c r="L61" s="645"/>
      <c r="M61" s="645"/>
      <c r="N61" s="25">
        <v>1</v>
      </c>
      <c r="O61" s="25">
        <v>1</v>
      </c>
      <c r="P61" s="25">
        <v>1</v>
      </c>
      <c r="Q61" s="645"/>
      <c r="R61" s="308" t="s">
        <v>2120</v>
      </c>
    </row>
    <row r="62" spans="1:18">
      <c r="A62" s="7" t="s">
        <v>293</v>
      </c>
      <c r="B62" s="25">
        <v>1</v>
      </c>
      <c r="C62" s="645"/>
      <c r="D62" s="25">
        <v>1</v>
      </c>
      <c r="E62" s="25">
        <v>1</v>
      </c>
      <c r="F62" s="25">
        <v>1</v>
      </c>
      <c r="G62" s="645"/>
      <c r="H62" s="645"/>
      <c r="I62" s="645"/>
      <c r="J62" s="645"/>
      <c r="K62" s="25">
        <v>1</v>
      </c>
      <c r="L62" s="645"/>
      <c r="M62" s="645"/>
      <c r="N62" s="25">
        <v>1</v>
      </c>
      <c r="O62" s="645"/>
      <c r="P62" s="8">
        <v>1</v>
      </c>
      <c r="Q62" s="645"/>
      <c r="R62" s="308" t="s">
        <v>2121</v>
      </c>
    </row>
    <row r="63" spans="1:18">
      <c r="A63" s="7" t="s">
        <v>456</v>
      </c>
      <c r="B63" s="25">
        <v>1</v>
      </c>
      <c r="C63" s="645"/>
      <c r="D63" s="25">
        <v>1</v>
      </c>
      <c r="E63" s="25">
        <v>1</v>
      </c>
      <c r="F63" s="25">
        <v>1</v>
      </c>
      <c r="G63" s="645"/>
      <c r="H63" s="645"/>
      <c r="I63" s="25">
        <v>1</v>
      </c>
      <c r="J63" s="645"/>
      <c r="K63" s="25">
        <v>1</v>
      </c>
      <c r="L63" s="645"/>
      <c r="M63" s="645"/>
      <c r="N63" s="25">
        <v>1</v>
      </c>
      <c r="O63" s="25">
        <v>1</v>
      </c>
      <c r="P63" s="645"/>
      <c r="Q63" s="645"/>
      <c r="R63" s="308" t="s">
        <v>2122</v>
      </c>
    </row>
    <row r="64" spans="1:18">
      <c r="A64" s="7" t="s">
        <v>294</v>
      </c>
      <c r="B64" s="25">
        <v>1</v>
      </c>
      <c r="C64" s="645"/>
      <c r="D64" s="25">
        <v>1</v>
      </c>
      <c r="E64" s="25">
        <v>1</v>
      </c>
      <c r="F64" s="645"/>
      <c r="G64" s="645"/>
      <c r="H64" s="645"/>
      <c r="I64" s="645"/>
      <c r="J64" s="25">
        <v>1</v>
      </c>
      <c r="K64" s="645"/>
      <c r="L64" s="645"/>
      <c r="M64" s="645"/>
      <c r="N64" s="645"/>
      <c r="O64" s="645"/>
      <c r="P64" s="645"/>
      <c r="Q64" s="645"/>
      <c r="R64" s="308" t="s">
        <v>2123</v>
      </c>
    </row>
    <row r="65" spans="1:18">
      <c r="A65" s="7" t="s">
        <v>1817</v>
      </c>
      <c r="B65" s="25">
        <v>1</v>
      </c>
      <c r="C65" s="645"/>
      <c r="D65" s="25">
        <v>1</v>
      </c>
      <c r="E65" s="25">
        <v>1</v>
      </c>
      <c r="F65" s="25">
        <v>1</v>
      </c>
      <c r="G65" s="645"/>
      <c r="H65" s="645"/>
      <c r="I65" s="25">
        <v>1</v>
      </c>
      <c r="J65" s="645"/>
      <c r="K65" s="645"/>
      <c r="L65" s="645"/>
      <c r="M65" s="645"/>
      <c r="N65" s="25">
        <v>1</v>
      </c>
      <c r="O65" s="25">
        <v>1</v>
      </c>
      <c r="P65" s="645"/>
      <c r="Q65" s="645"/>
      <c r="R65" s="308" t="s">
        <v>2089</v>
      </c>
    </row>
    <row r="66" spans="1:18">
      <c r="A66" s="7" t="s">
        <v>301</v>
      </c>
      <c r="B66" s="25">
        <v>1</v>
      </c>
      <c r="C66" s="645"/>
      <c r="D66" s="645"/>
      <c r="E66" s="25">
        <v>1</v>
      </c>
      <c r="F66" s="645"/>
      <c r="G66" s="645"/>
      <c r="H66" s="645"/>
      <c r="I66" s="645"/>
      <c r="J66" s="645"/>
      <c r="K66" s="645"/>
      <c r="L66" s="645"/>
      <c r="M66" s="645"/>
      <c r="N66" s="645"/>
      <c r="O66" s="645"/>
      <c r="P66" s="645"/>
      <c r="Q66" s="645"/>
      <c r="R66" s="308" t="s">
        <v>2074</v>
      </c>
    </row>
    <row r="67" spans="1:18">
      <c r="A67" s="7" t="s">
        <v>2124</v>
      </c>
      <c r="B67" s="25">
        <v>1</v>
      </c>
      <c r="C67" s="645"/>
      <c r="D67" s="25">
        <v>1</v>
      </c>
      <c r="E67" s="25">
        <v>1</v>
      </c>
      <c r="F67" s="25">
        <v>1</v>
      </c>
      <c r="G67" s="645"/>
      <c r="H67" s="645"/>
      <c r="I67" s="645"/>
      <c r="J67" s="645"/>
      <c r="K67" s="25">
        <v>1</v>
      </c>
      <c r="L67" s="645"/>
      <c r="M67" s="645"/>
      <c r="N67" s="645"/>
      <c r="O67" s="645"/>
      <c r="P67" s="645"/>
      <c r="Q67" s="645"/>
      <c r="R67" s="308" t="s">
        <v>2125</v>
      </c>
    </row>
    <row r="68" spans="1:18">
      <c r="A68" s="7" t="s">
        <v>306</v>
      </c>
      <c r="B68" s="25">
        <v>1</v>
      </c>
      <c r="C68" s="645"/>
      <c r="D68" s="645"/>
      <c r="E68" s="645"/>
      <c r="F68" s="645"/>
      <c r="G68" s="645"/>
      <c r="H68" s="645"/>
      <c r="I68" s="645"/>
      <c r="J68" s="25">
        <v>1</v>
      </c>
      <c r="K68" s="645"/>
      <c r="L68" s="645"/>
      <c r="M68" s="645"/>
      <c r="N68" s="645"/>
      <c r="O68" s="25">
        <v>1</v>
      </c>
      <c r="P68" s="645"/>
      <c r="Q68" s="645"/>
      <c r="R68" s="308" t="s">
        <v>2074</v>
      </c>
    </row>
    <row r="69" spans="1:18">
      <c r="A69" s="7" t="s">
        <v>308</v>
      </c>
      <c r="B69" s="25">
        <v>1</v>
      </c>
      <c r="C69" s="645"/>
      <c r="D69" s="25">
        <v>1</v>
      </c>
      <c r="E69" s="25">
        <v>1</v>
      </c>
      <c r="F69" s="645"/>
      <c r="G69" s="645"/>
      <c r="H69" s="645"/>
      <c r="I69" s="25">
        <v>1</v>
      </c>
      <c r="J69" s="645"/>
      <c r="K69" s="25">
        <v>1</v>
      </c>
      <c r="L69" s="645"/>
      <c r="M69" s="645"/>
      <c r="N69" s="645"/>
      <c r="O69" s="645"/>
      <c r="P69" s="645"/>
      <c r="Q69" s="645"/>
      <c r="R69" s="308" t="s">
        <v>2072</v>
      </c>
    </row>
    <row r="70" spans="1:18">
      <c r="A70" s="7" t="s">
        <v>903</v>
      </c>
      <c r="B70" s="645"/>
      <c r="C70" s="645"/>
      <c r="D70" s="645"/>
      <c r="E70" s="645"/>
      <c r="F70" s="25">
        <v>1</v>
      </c>
      <c r="G70" s="645"/>
      <c r="H70" s="645"/>
      <c r="I70" s="645"/>
      <c r="J70" s="645"/>
      <c r="K70" s="645"/>
      <c r="L70" s="645"/>
      <c r="M70" s="25">
        <v>1</v>
      </c>
      <c r="N70" s="645"/>
      <c r="O70" s="645"/>
      <c r="P70" s="645"/>
      <c r="Q70" s="645"/>
      <c r="R70" s="308" t="s">
        <v>2074</v>
      </c>
    </row>
    <row r="71" spans="1:18">
      <c r="A71" s="7" t="s">
        <v>1531</v>
      </c>
      <c r="B71" s="25">
        <v>1</v>
      </c>
      <c r="C71" s="645"/>
      <c r="D71" s="645"/>
      <c r="E71" s="25">
        <v>1</v>
      </c>
      <c r="F71" s="25">
        <v>1</v>
      </c>
      <c r="G71" s="645"/>
      <c r="H71" s="645"/>
      <c r="I71" s="645"/>
      <c r="J71" s="25">
        <v>1</v>
      </c>
      <c r="K71" s="25">
        <v>1</v>
      </c>
      <c r="L71" s="645"/>
      <c r="M71" s="645"/>
      <c r="N71" s="25">
        <v>1</v>
      </c>
      <c r="O71" s="645"/>
      <c r="P71" s="645"/>
      <c r="Q71" s="645"/>
      <c r="R71" s="308" t="s">
        <v>2077</v>
      </c>
    </row>
    <row r="72" spans="1:18">
      <c r="A72" s="7" t="s">
        <v>2126</v>
      </c>
      <c r="B72" s="25">
        <v>1</v>
      </c>
      <c r="C72" s="645"/>
      <c r="D72" s="25">
        <v>1</v>
      </c>
      <c r="E72" s="645"/>
      <c r="F72" s="645"/>
      <c r="G72" s="645"/>
      <c r="H72" s="645"/>
      <c r="I72" s="645"/>
      <c r="J72" s="645"/>
      <c r="K72" s="645"/>
      <c r="L72" s="645"/>
      <c r="M72" s="645"/>
      <c r="N72" s="25">
        <v>1</v>
      </c>
      <c r="O72" s="645"/>
      <c r="P72" s="645"/>
      <c r="Q72" s="645"/>
      <c r="R72" s="308" t="s">
        <v>2127</v>
      </c>
    </row>
    <row r="73" spans="1:18">
      <c r="A73" s="7" t="s">
        <v>2045</v>
      </c>
      <c r="B73" s="645"/>
      <c r="C73" s="645"/>
      <c r="D73" s="25">
        <v>1</v>
      </c>
      <c r="E73" s="25">
        <v>1</v>
      </c>
      <c r="F73" s="25">
        <v>1</v>
      </c>
      <c r="G73" s="645"/>
      <c r="H73" s="645"/>
      <c r="I73" s="645"/>
      <c r="J73" s="645"/>
      <c r="K73" s="645"/>
      <c r="L73" s="645"/>
      <c r="M73" s="645"/>
      <c r="N73" s="645"/>
      <c r="O73" s="645"/>
      <c r="P73" s="645"/>
      <c r="Q73" s="645"/>
      <c r="R73" s="308" t="s">
        <v>2072</v>
      </c>
    </row>
    <row r="74" spans="1:18">
      <c r="A74" s="7" t="s">
        <v>2128</v>
      </c>
      <c r="B74" s="125">
        <v>1</v>
      </c>
      <c r="C74" s="645"/>
      <c r="D74" s="25">
        <v>1</v>
      </c>
      <c r="E74" s="25">
        <v>1</v>
      </c>
      <c r="F74" s="25">
        <v>1</v>
      </c>
      <c r="G74" s="125">
        <v>1</v>
      </c>
      <c r="H74" s="125">
        <v>1</v>
      </c>
      <c r="I74" s="645"/>
      <c r="J74" s="125">
        <v>1</v>
      </c>
      <c r="K74" s="645"/>
      <c r="L74" s="645"/>
      <c r="M74" s="125">
        <v>1</v>
      </c>
      <c r="N74" s="645"/>
      <c r="O74" s="645"/>
      <c r="P74" s="645"/>
      <c r="Q74" s="645"/>
      <c r="R74" s="308" t="s">
        <v>2129</v>
      </c>
    </row>
    <row r="75" spans="1:18">
      <c r="A75" s="7" t="s">
        <v>317</v>
      </c>
      <c r="B75" s="25">
        <v>1</v>
      </c>
      <c r="C75" s="645"/>
      <c r="D75" s="25">
        <v>1</v>
      </c>
      <c r="E75" s="25">
        <v>1</v>
      </c>
      <c r="F75" s="25">
        <v>1</v>
      </c>
      <c r="G75" s="645"/>
      <c r="H75" s="645"/>
      <c r="I75" s="25">
        <v>1</v>
      </c>
      <c r="J75" s="25">
        <v>1</v>
      </c>
      <c r="K75" s="25">
        <v>1</v>
      </c>
      <c r="L75" s="645"/>
      <c r="M75" s="25">
        <v>1</v>
      </c>
      <c r="N75" s="25">
        <v>1</v>
      </c>
      <c r="O75" s="25">
        <v>1</v>
      </c>
      <c r="P75" s="645"/>
      <c r="Q75" s="645"/>
      <c r="R75" s="308" t="s">
        <v>2130</v>
      </c>
    </row>
    <row r="76" spans="1:18">
      <c r="A76" s="7" t="s">
        <v>326</v>
      </c>
      <c r="B76" s="25">
        <v>1</v>
      </c>
      <c r="C76" s="645"/>
      <c r="D76" s="25">
        <v>1</v>
      </c>
      <c r="E76" s="645"/>
      <c r="F76" s="25">
        <v>1</v>
      </c>
      <c r="G76" s="25">
        <v>1</v>
      </c>
      <c r="H76" s="645"/>
      <c r="I76" s="645"/>
      <c r="J76" s="25">
        <v>1</v>
      </c>
      <c r="K76" s="645"/>
      <c r="L76" s="25">
        <v>1</v>
      </c>
      <c r="M76" s="645"/>
      <c r="N76" s="25">
        <v>1</v>
      </c>
      <c r="O76" s="645"/>
      <c r="P76" s="25">
        <v>1</v>
      </c>
      <c r="Q76" s="645"/>
      <c r="R76" s="308" t="s">
        <v>2131</v>
      </c>
    </row>
    <row r="77" spans="1:18">
      <c r="A77" s="7" t="s">
        <v>2132</v>
      </c>
      <c r="B77" s="25">
        <v>1</v>
      </c>
      <c r="C77" s="645"/>
      <c r="D77" s="25">
        <v>1</v>
      </c>
      <c r="E77" s="645"/>
      <c r="F77" s="645"/>
      <c r="G77" s="645"/>
      <c r="H77" s="645"/>
      <c r="I77" s="25">
        <v>1</v>
      </c>
      <c r="J77" s="645"/>
      <c r="K77" s="25">
        <v>1</v>
      </c>
      <c r="L77" s="645"/>
      <c r="M77" s="645"/>
      <c r="N77" s="25">
        <v>1</v>
      </c>
      <c r="O77" s="25">
        <v>1</v>
      </c>
      <c r="P77" s="645"/>
      <c r="Q77" s="645"/>
      <c r="R77" s="308" t="s">
        <v>2089</v>
      </c>
    </row>
    <row r="78" spans="1:18">
      <c r="A78" s="7" t="s">
        <v>341</v>
      </c>
      <c r="B78" s="25">
        <v>1</v>
      </c>
      <c r="C78" s="645"/>
      <c r="D78" s="25">
        <v>1</v>
      </c>
      <c r="E78" s="25">
        <v>1</v>
      </c>
      <c r="F78" s="25">
        <v>1</v>
      </c>
      <c r="G78" s="645"/>
      <c r="H78" s="645"/>
      <c r="I78" s="645"/>
      <c r="J78" s="645"/>
      <c r="K78" s="25">
        <v>1</v>
      </c>
      <c r="L78" s="645"/>
      <c r="M78" s="645"/>
      <c r="N78" s="25">
        <v>1</v>
      </c>
      <c r="O78" s="25">
        <v>1</v>
      </c>
      <c r="P78" s="25">
        <v>1</v>
      </c>
      <c r="Q78" s="645"/>
      <c r="R78" s="308" t="s">
        <v>2133</v>
      </c>
    </row>
    <row r="79" spans="1:18">
      <c r="A79" s="7" t="s">
        <v>633</v>
      </c>
      <c r="B79" s="25">
        <v>1</v>
      </c>
      <c r="C79" s="645"/>
      <c r="D79" s="25">
        <v>1</v>
      </c>
      <c r="E79" s="645"/>
      <c r="F79" s="25">
        <v>1</v>
      </c>
      <c r="G79" s="645"/>
      <c r="H79" s="645"/>
      <c r="I79" s="645"/>
      <c r="J79" s="25">
        <v>1</v>
      </c>
      <c r="K79" s="645"/>
      <c r="L79" s="645"/>
      <c r="M79" s="645"/>
      <c r="N79" s="25">
        <v>1</v>
      </c>
      <c r="O79" s="25">
        <v>1</v>
      </c>
      <c r="P79" s="645"/>
      <c r="Q79" s="645"/>
      <c r="R79" s="308" t="s">
        <v>2077</v>
      </c>
    </row>
    <row r="80" spans="1:18">
      <c r="A80" s="7" t="s">
        <v>342</v>
      </c>
      <c r="B80" s="25">
        <v>1</v>
      </c>
      <c r="C80" s="25">
        <v>1</v>
      </c>
      <c r="D80" s="25">
        <v>1</v>
      </c>
      <c r="E80" s="25">
        <v>1</v>
      </c>
      <c r="F80" s="645"/>
      <c r="G80" s="645"/>
      <c r="H80" s="645"/>
      <c r="I80" s="645"/>
      <c r="J80" s="645"/>
      <c r="K80" s="25">
        <v>1</v>
      </c>
      <c r="L80" s="645"/>
      <c r="M80" s="645"/>
      <c r="N80" s="25">
        <v>1</v>
      </c>
      <c r="O80" s="645"/>
      <c r="P80" s="25">
        <v>1</v>
      </c>
      <c r="Q80" s="645"/>
      <c r="R80" s="308" t="s">
        <v>2134</v>
      </c>
    </row>
    <row r="81" spans="1:18">
      <c r="A81" s="7" t="s">
        <v>346</v>
      </c>
      <c r="B81" s="25">
        <v>1</v>
      </c>
      <c r="C81" s="645"/>
      <c r="D81" s="25">
        <v>1</v>
      </c>
      <c r="E81" s="25">
        <v>1</v>
      </c>
      <c r="F81" s="25">
        <v>1</v>
      </c>
      <c r="G81" s="25">
        <v>1</v>
      </c>
      <c r="H81" s="645"/>
      <c r="I81" s="25">
        <v>1</v>
      </c>
      <c r="J81" s="645"/>
      <c r="K81" s="645"/>
      <c r="L81" s="645"/>
      <c r="M81" s="645"/>
      <c r="N81" s="25">
        <v>1</v>
      </c>
      <c r="O81" s="25">
        <v>1</v>
      </c>
      <c r="P81" s="25">
        <v>1</v>
      </c>
      <c r="Q81" s="645"/>
      <c r="R81" s="308" t="s">
        <v>2135</v>
      </c>
    </row>
    <row r="82" spans="1:18">
      <c r="A82" s="7" t="s">
        <v>2136</v>
      </c>
      <c r="B82" s="25">
        <v>1</v>
      </c>
      <c r="C82" s="645"/>
      <c r="D82" s="25">
        <v>1</v>
      </c>
      <c r="E82" s="25">
        <v>1</v>
      </c>
      <c r="F82" s="645"/>
      <c r="G82" s="645"/>
      <c r="H82" s="645"/>
      <c r="I82" s="645"/>
      <c r="J82" s="645"/>
      <c r="K82" s="25">
        <v>1</v>
      </c>
      <c r="L82" s="25">
        <v>1</v>
      </c>
      <c r="M82" s="645"/>
      <c r="N82" s="645"/>
      <c r="O82" s="645"/>
      <c r="P82" s="645"/>
      <c r="Q82" s="645"/>
      <c r="R82" s="308" t="s">
        <v>2077</v>
      </c>
    </row>
    <row r="83" spans="1:18">
      <c r="A83" s="7" t="s">
        <v>932</v>
      </c>
      <c r="B83" s="645"/>
      <c r="C83" s="645"/>
      <c r="D83" s="25">
        <v>1</v>
      </c>
      <c r="E83" s="25">
        <v>1</v>
      </c>
      <c r="F83" s="645"/>
      <c r="G83" s="645"/>
      <c r="H83" s="645"/>
      <c r="I83" s="25">
        <v>1</v>
      </c>
      <c r="J83" s="645"/>
      <c r="K83" s="25">
        <v>1</v>
      </c>
      <c r="L83" s="25">
        <v>1</v>
      </c>
      <c r="M83" s="25">
        <v>1</v>
      </c>
      <c r="N83" s="645"/>
      <c r="O83" s="645"/>
      <c r="P83" s="645"/>
      <c r="Q83" s="645"/>
      <c r="R83" s="308" t="s">
        <v>2137</v>
      </c>
    </row>
    <row r="84" spans="1:18">
      <c r="A84" s="7" t="s">
        <v>357</v>
      </c>
      <c r="B84" s="25">
        <v>1</v>
      </c>
      <c r="C84" s="645"/>
      <c r="D84" s="25">
        <v>1</v>
      </c>
      <c r="E84" s="25">
        <v>1</v>
      </c>
      <c r="F84" s="25">
        <v>1</v>
      </c>
      <c r="G84" s="25">
        <v>1</v>
      </c>
      <c r="H84" s="25">
        <v>1</v>
      </c>
      <c r="I84" s="645"/>
      <c r="J84" s="645"/>
      <c r="K84" s="25">
        <v>1</v>
      </c>
      <c r="L84" s="25">
        <v>1</v>
      </c>
      <c r="M84" s="25">
        <v>1</v>
      </c>
      <c r="N84" s="645"/>
      <c r="O84" s="645"/>
      <c r="P84" s="25">
        <v>1</v>
      </c>
      <c r="Q84" s="645"/>
      <c r="R84" s="308" t="s">
        <v>2138</v>
      </c>
    </row>
    <row r="85" spans="1:18">
      <c r="A85" s="7" t="s">
        <v>358</v>
      </c>
      <c r="B85" s="25">
        <v>1</v>
      </c>
      <c r="C85" s="645"/>
      <c r="D85" s="25">
        <v>1</v>
      </c>
      <c r="E85" s="645"/>
      <c r="F85" s="645"/>
      <c r="G85" s="645"/>
      <c r="H85" s="645"/>
      <c r="I85" s="645"/>
      <c r="J85" s="645"/>
      <c r="K85" s="25">
        <v>1</v>
      </c>
      <c r="L85" s="645"/>
      <c r="M85" s="645"/>
      <c r="N85" s="645"/>
      <c r="O85" s="645"/>
      <c r="P85" s="645"/>
      <c r="Q85" s="645"/>
      <c r="R85" s="308" t="s">
        <v>2139</v>
      </c>
    </row>
    <row r="86" spans="1:18">
      <c r="A86" s="7" t="s">
        <v>360</v>
      </c>
      <c r="B86" s="25">
        <v>1</v>
      </c>
      <c r="C86" s="645"/>
      <c r="D86" s="645"/>
      <c r="E86" s="645"/>
      <c r="F86" s="645"/>
      <c r="G86" s="25">
        <v>1</v>
      </c>
      <c r="H86" s="645"/>
      <c r="I86" s="645"/>
      <c r="J86" s="645"/>
      <c r="K86" s="25">
        <v>1</v>
      </c>
      <c r="L86" s="645"/>
      <c r="M86" s="645"/>
      <c r="N86" s="25">
        <v>1</v>
      </c>
      <c r="O86" s="645"/>
      <c r="P86" s="645"/>
      <c r="Q86" s="645"/>
      <c r="R86" s="645"/>
    </row>
    <row r="87" spans="1:18">
      <c r="A87" s="7" t="s">
        <v>938</v>
      </c>
      <c r="B87" s="25">
        <v>1</v>
      </c>
      <c r="C87" s="645"/>
      <c r="D87" s="25">
        <v>1</v>
      </c>
      <c r="E87" s="25">
        <v>1</v>
      </c>
      <c r="F87" s="25">
        <v>1</v>
      </c>
      <c r="G87" s="25">
        <v>1</v>
      </c>
      <c r="H87" s="645"/>
      <c r="I87" s="645"/>
      <c r="J87" s="645"/>
      <c r="K87" s="25">
        <v>1</v>
      </c>
      <c r="L87" s="645"/>
      <c r="M87" s="645"/>
      <c r="N87" s="645"/>
      <c r="O87" s="645"/>
      <c r="P87" s="25">
        <v>1</v>
      </c>
      <c r="Q87" s="645"/>
      <c r="R87" s="308" t="s">
        <v>2074</v>
      </c>
    </row>
    <row r="88" spans="1:18">
      <c r="A88" s="7" t="s">
        <v>369</v>
      </c>
      <c r="B88" s="25">
        <v>1</v>
      </c>
      <c r="C88" s="645"/>
      <c r="D88" s="645"/>
      <c r="E88" s="25">
        <v>1</v>
      </c>
      <c r="F88" s="645"/>
      <c r="G88" s="645"/>
      <c r="H88" s="645"/>
      <c r="I88" s="645"/>
      <c r="J88" s="25">
        <v>1</v>
      </c>
      <c r="K88" s="645"/>
      <c r="L88" s="645"/>
      <c r="M88" s="645"/>
      <c r="N88" s="645"/>
      <c r="O88" s="645"/>
      <c r="P88" s="645"/>
      <c r="Q88" s="645"/>
      <c r="R88" s="308" t="s">
        <v>2140</v>
      </c>
    </row>
    <row r="89" spans="1:18">
      <c r="A89" s="7" t="s">
        <v>941</v>
      </c>
      <c r="B89" s="25">
        <v>1</v>
      </c>
      <c r="C89" s="645"/>
      <c r="D89" s="25">
        <v>1</v>
      </c>
      <c r="E89" s="25">
        <v>1</v>
      </c>
      <c r="F89" s="25">
        <v>1</v>
      </c>
      <c r="G89" s="645"/>
      <c r="H89" s="25">
        <v>1</v>
      </c>
      <c r="I89" s="645"/>
      <c r="J89" s="645"/>
      <c r="K89" s="645"/>
      <c r="L89" s="25">
        <v>1</v>
      </c>
      <c r="M89" s="645"/>
      <c r="N89" s="25">
        <v>1</v>
      </c>
      <c r="O89" s="25">
        <v>1</v>
      </c>
      <c r="P89" s="25">
        <v>1</v>
      </c>
      <c r="Q89" s="645"/>
      <c r="R89" s="308" t="s">
        <v>2074</v>
      </c>
    </row>
    <row r="90" spans="1:18">
      <c r="A90" s="7" t="s">
        <v>373</v>
      </c>
      <c r="B90" s="25">
        <v>1</v>
      </c>
      <c r="C90" s="645"/>
      <c r="D90" s="25">
        <v>1</v>
      </c>
      <c r="E90" s="25">
        <v>1</v>
      </c>
      <c r="F90" s="25">
        <v>1</v>
      </c>
      <c r="G90" s="25">
        <v>1</v>
      </c>
      <c r="H90" s="645"/>
      <c r="I90" s="25">
        <v>1</v>
      </c>
      <c r="J90" s="25">
        <v>1</v>
      </c>
      <c r="K90" s="25">
        <v>1</v>
      </c>
      <c r="L90" s="25">
        <v>1</v>
      </c>
      <c r="M90" s="645"/>
      <c r="N90" s="25">
        <v>1</v>
      </c>
      <c r="O90" s="645"/>
      <c r="P90" s="645"/>
      <c r="Q90" s="645"/>
      <c r="R90" s="308" t="s">
        <v>2077</v>
      </c>
    </row>
    <row r="91" spans="1:18">
      <c r="A91" s="7" t="s">
        <v>376</v>
      </c>
      <c r="B91" s="25">
        <v>1</v>
      </c>
      <c r="C91" s="645"/>
      <c r="D91" s="25">
        <v>1</v>
      </c>
      <c r="E91" s="25">
        <v>1</v>
      </c>
      <c r="F91" s="645"/>
      <c r="G91" s="645"/>
      <c r="H91" s="645"/>
      <c r="I91" s="645"/>
      <c r="J91" s="25">
        <v>1</v>
      </c>
      <c r="K91" s="25">
        <v>1</v>
      </c>
      <c r="L91" s="645"/>
      <c r="M91" s="645"/>
      <c r="N91" s="25">
        <v>1</v>
      </c>
      <c r="O91" s="25">
        <v>1</v>
      </c>
      <c r="P91" s="645"/>
      <c r="Q91" s="645"/>
      <c r="R91" s="308" t="s">
        <v>2141</v>
      </c>
    </row>
    <row r="92" spans="1:18">
      <c r="A92" s="7" t="s">
        <v>380</v>
      </c>
      <c r="B92" s="25">
        <v>1</v>
      </c>
      <c r="C92" s="645"/>
      <c r="D92" s="25">
        <v>1</v>
      </c>
      <c r="E92" s="25">
        <v>1</v>
      </c>
      <c r="F92" s="25">
        <v>1</v>
      </c>
      <c r="G92" s="25">
        <v>1</v>
      </c>
      <c r="H92" s="645"/>
      <c r="I92" s="645"/>
      <c r="J92" s="645"/>
      <c r="K92" s="25">
        <v>1</v>
      </c>
      <c r="L92" s="645"/>
      <c r="M92" s="645"/>
      <c r="N92" s="25">
        <v>1</v>
      </c>
      <c r="O92" s="645"/>
      <c r="P92" s="645"/>
      <c r="Q92" s="645"/>
      <c r="R92" s="308" t="s">
        <v>2074</v>
      </c>
    </row>
    <row r="93" spans="1:18">
      <c r="A93" s="7" t="s">
        <v>381</v>
      </c>
      <c r="B93" s="25">
        <v>1</v>
      </c>
      <c r="C93" s="25">
        <v>1</v>
      </c>
      <c r="D93" s="645"/>
      <c r="E93" s="25">
        <v>1</v>
      </c>
      <c r="F93" s="645"/>
      <c r="G93" s="645"/>
      <c r="H93" s="645"/>
      <c r="I93" s="645"/>
      <c r="J93" s="645"/>
      <c r="K93" s="645"/>
      <c r="L93" s="645"/>
      <c r="M93" s="645"/>
      <c r="N93" s="25">
        <v>1</v>
      </c>
      <c r="O93" s="25">
        <v>1</v>
      </c>
      <c r="P93" s="645"/>
      <c r="Q93" s="645"/>
      <c r="R93" s="308" t="s">
        <v>2142</v>
      </c>
    </row>
    <row r="94" spans="1:18">
      <c r="A94" s="7" t="s">
        <v>2061</v>
      </c>
      <c r="B94" s="25">
        <v>1</v>
      </c>
      <c r="C94" s="645"/>
      <c r="D94" s="25">
        <v>1</v>
      </c>
      <c r="E94" s="25">
        <v>1</v>
      </c>
      <c r="F94" s="645"/>
      <c r="G94" s="645"/>
      <c r="H94" s="645"/>
      <c r="I94" s="645"/>
      <c r="J94" s="25">
        <v>1</v>
      </c>
      <c r="K94" s="645"/>
      <c r="L94" s="645"/>
      <c r="M94" s="645"/>
      <c r="N94" s="645"/>
      <c r="O94" s="645"/>
      <c r="P94" s="645"/>
      <c r="Q94" s="645"/>
      <c r="R94" s="308" t="s">
        <v>2074</v>
      </c>
    </row>
    <row r="95" spans="1:18">
      <c r="A95" s="7" t="s">
        <v>378</v>
      </c>
      <c r="B95" s="25">
        <v>1</v>
      </c>
      <c r="C95" s="645"/>
      <c r="D95" s="25">
        <v>1</v>
      </c>
      <c r="E95" s="25">
        <v>1</v>
      </c>
      <c r="F95" s="25">
        <v>1</v>
      </c>
      <c r="G95" s="25">
        <v>1</v>
      </c>
      <c r="H95" s="645"/>
      <c r="I95" s="25">
        <v>1</v>
      </c>
      <c r="J95" s="25">
        <v>1</v>
      </c>
      <c r="K95" s="645"/>
      <c r="L95" s="645"/>
      <c r="M95" s="645"/>
      <c r="N95" s="25">
        <v>1</v>
      </c>
      <c r="O95" s="645"/>
      <c r="P95" s="25">
        <v>1</v>
      </c>
      <c r="Q95" s="645"/>
      <c r="R95" s="308" t="s">
        <v>2143</v>
      </c>
    </row>
    <row r="96" spans="1:18">
      <c r="A96" s="7" t="s">
        <v>387</v>
      </c>
      <c r="B96" s="25">
        <v>1</v>
      </c>
      <c r="C96" s="645"/>
      <c r="D96" s="645"/>
      <c r="E96" s="25">
        <v>1</v>
      </c>
      <c r="F96" s="25">
        <v>1</v>
      </c>
      <c r="G96" s="645"/>
      <c r="H96" s="645"/>
      <c r="I96" s="25">
        <v>1</v>
      </c>
      <c r="J96" s="25">
        <v>1</v>
      </c>
      <c r="K96" s="645"/>
      <c r="L96" s="645"/>
      <c r="M96" s="645"/>
      <c r="N96" s="645"/>
      <c r="O96" s="25">
        <v>1</v>
      </c>
      <c r="P96" s="645"/>
      <c r="Q96" s="645"/>
      <c r="R96" s="308" t="s">
        <v>2144</v>
      </c>
    </row>
    <row r="97" spans="1:18">
      <c r="A97" s="7" t="s">
        <v>1773</v>
      </c>
      <c r="B97" s="25">
        <v>1</v>
      </c>
      <c r="C97" s="645"/>
      <c r="D97" s="25">
        <v>1</v>
      </c>
      <c r="E97" s="645"/>
      <c r="F97" s="25">
        <v>1</v>
      </c>
      <c r="G97" s="25">
        <v>1</v>
      </c>
      <c r="H97" s="645"/>
      <c r="I97" s="645"/>
      <c r="J97" s="645"/>
      <c r="K97" s="25">
        <v>1</v>
      </c>
      <c r="L97" s="645"/>
      <c r="M97" s="645"/>
      <c r="N97" s="25">
        <v>1</v>
      </c>
      <c r="O97" s="645"/>
      <c r="P97" s="25">
        <v>1</v>
      </c>
      <c r="Q97" s="645"/>
      <c r="R97" s="308" t="s">
        <v>2145</v>
      </c>
    </row>
    <row r="98" spans="1:18">
      <c r="A98" s="7" t="s">
        <v>2146</v>
      </c>
      <c r="B98" s="25">
        <v>1</v>
      </c>
      <c r="C98" s="645"/>
      <c r="D98" s="645"/>
      <c r="E98" s="25">
        <v>1</v>
      </c>
      <c r="F98" s="645"/>
      <c r="G98" s="645"/>
      <c r="H98" s="645"/>
      <c r="I98" s="645"/>
      <c r="J98" s="645"/>
      <c r="K98" s="645"/>
      <c r="L98" s="645"/>
      <c r="M98" s="645"/>
      <c r="N98" s="645"/>
      <c r="O98" s="25">
        <v>1</v>
      </c>
      <c r="P98" s="645"/>
      <c r="Q98" s="645"/>
      <c r="R98" s="308" t="s">
        <v>2147</v>
      </c>
    </row>
    <row r="99" spans="1:18">
      <c r="A99" s="7" t="s">
        <v>391</v>
      </c>
      <c r="B99" s="25">
        <v>1</v>
      </c>
      <c r="C99" s="645"/>
      <c r="D99" s="645"/>
      <c r="E99" s="645"/>
      <c r="F99" s="25">
        <v>1</v>
      </c>
      <c r="G99" s="645"/>
      <c r="H99" s="645"/>
      <c r="I99" s="25">
        <v>1</v>
      </c>
      <c r="J99" s="645"/>
      <c r="K99" s="645"/>
      <c r="L99" s="645"/>
      <c r="M99" s="645"/>
      <c r="N99" s="25">
        <v>1</v>
      </c>
      <c r="O99" s="645"/>
      <c r="P99" s="645"/>
      <c r="Q99" s="645"/>
      <c r="R99" s="645"/>
    </row>
  </sheetData>
  <hyperlinks>
    <hyperlink ref="R8" r:id="rId1" xr:uid="{00000000-0004-0000-0800-000000000000}"/>
    <hyperlink ref="R9" r:id="rId2" xr:uid="{00000000-0004-0000-0800-000001000000}"/>
    <hyperlink ref="R10" r:id="rId3" xr:uid="{00000000-0004-0000-0800-000002000000}"/>
    <hyperlink ref="R11" r:id="rId4" xr:uid="{00000000-0004-0000-0800-000003000000}"/>
    <hyperlink ref="R12" r:id="rId5" xr:uid="{00000000-0004-0000-0800-000004000000}"/>
    <hyperlink ref="R13" r:id="rId6" xr:uid="{00000000-0004-0000-0800-000005000000}"/>
    <hyperlink ref="R14" r:id="rId7" xr:uid="{00000000-0004-0000-0800-000006000000}"/>
    <hyperlink ref="R15" r:id="rId8" xr:uid="{00000000-0004-0000-0800-000007000000}"/>
    <hyperlink ref="R16" r:id="rId9" xr:uid="{00000000-0004-0000-0800-000008000000}"/>
    <hyperlink ref="R17" r:id="rId10" xr:uid="{00000000-0004-0000-0800-000009000000}"/>
    <hyperlink ref="R18" r:id="rId11" xr:uid="{00000000-0004-0000-0800-00000A000000}"/>
    <hyperlink ref="R19" r:id="rId12" xr:uid="{00000000-0004-0000-0800-00000B000000}"/>
    <hyperlink ref="R20" r:id="rId13" xr:uid="{00000000-0004-0000-0800-00000C000000}"/>
    <hyperlink ref="R21" r:id="rId14" xr:uid="{00000000-0004-0000-0800-00000D000000}"/>
    <hyperlink ref="R22" r:id="rId15" xr:uid="{00000000-0004-0000-0800-00000E000000}"/>
    <hyperlink ref="R23" r:id="rId16" xr:uid="{00000000-0004-0000-0800-00000F000000}"/>
    <hyperlink ref="R24" r:id="rId17" xr:uid="{00000000-0004-0000-0800-000010000000}"/>
    <hyperlink ref="R25" r:id="rId18" xr:uid="{00000000-0004-0000-0800-000011000000}"/>
    <hyperlink ref="R26" r:id="rId19" xr:uid="{00000000-0004-0000-0800-000012000000}"/>
    <hyperlink ref="R27" r:id="rId20" xr:uid="{00000000-0004-0000-0800-000013000000}"/>
    <hyperlink ref="R28" r:id="rId21" xr:uid="{00000000-0004-0000-0800-000014000000}"/>
    <hyperlink ref="R29" r:id="rId22" xr:uid="{00000000-0004-0000-0800-000015000000}"/>
    <hyperlink ref="R30" r:id="rId23" xr:uid="{00000000-0004-0000-0800-000016000000}"/>
    <hyperlink ref="R31" r:id="rId24" xr:uid="{00000000-0004-0000-0800-000017000000}"/>
    <hyperlink ref="R32" r:id="rId25" xr:uid="{00000000-0004-0000-0800-000018000000}"/>
    <hyperlink ref="R33" r:id="rId26" xr:uid="{00000000-0004-0000-0800-000019000000}"/>
    <hyperlink ref="R34" r:id="rId27" xr:uid="{00000000-0004-0000-0800-00001A000000}"/>
    <hyperlink ref="R35" r:id="rId28" xr:uid="{00000000-0004-0000-0800-00001B000000}"/>
    <hyperlink ref="R36" r:id="rId29" xr:uid="{00000000-0004-0000-0800-00001C000000}"/>
    <hyperlink ref="R37" r:id="rId30" xr:uid="{00000000-0004-0000-0800-00001D000000}"/>
    <hyperlink ref="R38" r:id="rId31" xr:uid="{00000000-0004-0000-0800-00001E000000}"/>
    <hyperlink ref="R39" r:id="rId32" xr:uid="{00000000-0004-0000-0800-00001F000000}"/>
    <hyperlink ref="R40" r:id="rId33" xr:uid="{00000000-0004-0000-0800-000020000000}"/>
    <hyperlink ref="R42" r:id="rId34" xr:uid="{00000000-0004-0000-0800-000021000000}"/>
    <hyperlink ref="R43" r:id="rId35" xr:uid="{00000000-0004-0000-0800-000022000000}"/>
    <hyperlink ref="R44" r:id="rId36" xr:uid="{00000000-0004-0000-0800-000023000000}"/>
    <hyperlink ref="R45" r:id="rId37" xr:uid="{00000000-0004-0000-0800-000024000000}"/>
    <hyperlink ref="R46" r:id="rId38" xr:uid="{00000000-0004-0000-0800-000025000000}"/>
    <hyperlink ref="R48" r:id="rId39" xr:uid="{00000000-0004-0000-0800-000026000000}"/>
    <hyperlink ref="R49" r:id="rId40" xr:uid="{00000000-0004-0000-0800-000027000000}"/>
    <hyperlink ref="R50" r:id="rId41" xr:uid="{00000000-0004-0000-0800-000028000000}"/>
    <hyperlink ref="R51" r:id="rId42" xr:uid="{00000000-0004-0000-0800-000029000000}"/>
    <hyperlink ref="R52" r:id="rId43" xr:uid="{00000000-0004-0000-0800-00002A000000}"/>
    <hyperlink ref="R53" r:id="rId44" xr:uid="{00000000-0004-0000-0800-00002B000000}"/>
    <hyperlink ref="R54" r:id="rId45" xr:uid="{00000000-0004-0000-0800-00002C000000}"/>
    <hyperlink ref="R55" r:id="rId46" xr:uid="{00000000-0004-0000-0800-00002D000000}"/>
    <hyperlink ref="R56" r:id="rId47" xr:uid="{00000000-0004-0000-0800-00002E000000}"/>
    <hyperlink ref="R57" r:id="rId48" xr:uid="{00000000-0004-0000-0800-00002F000000}"/>
    <hyperlink ref="R59" r:id="rId49" xr:uid="{00000000-0004-0000-0800-000030000000}"/>
    <hyperlink ref="R60" r:id="rId50" xr:uid="{00000000-0004-0000-0800-000031000000}"/>
    <hyperlink ref="R61" r:id="rId51" xr:uid="{00000000-0004-0000-0800-000032000000}"/>
    <hyperlink ref="R62" r:id="rId52" xr:uid="{00000000-0004-0000-0800-000033000000}"/>
    <hyperlink ref="R63" r:id="rId53" xr:uid="{00000000-0004-0000-0800-000034000000}"/>
    <hyperlink ref="R64" r:id="rId54" xr:uid="{00000000-0004-0000-0800-000035000000}"/>
    <hyperlink ref="R65" r:id="rId55" xr:uid="{00000000-0004-0000-0800-000036000000}"/>
    <hyperlink ref="R66" r:id="rId56" xr:uid="{00000000-0004-0000-0800-000037000000}"/>
    <hyperlink ref="R67" r:id="rId57" xr:uid="{00000000-0004-0000-0800-000038000000}"/>
    <hyperlink ref="R68" r:id="rId58" xr:uid="{00000000-0004-0000-0800-000039000000}"/>
    <hyperlink ref="R69" r:id="rId59" xr:uid="{00000000-0004-0000-0800-00003A000000}"/>
    <hyperlink ref="R70" r:id="rId60" xr:uid="{00000000-0004-0000-0800-00003B000000}"/>
    <hyperlink ref="R71" r:id="rId61" xr:uid="{00000000-0004-0000-0800-00003C000000}"/>
    <hyperlink ref="R72" r:id="rId62" xr:uid="{00000000-0004-0000-0800-00003D000000}"/>
    <hyperlink ref="R73" r:id="rId63" xr:uid="{00000000-0004-0000-0800-00003E000000}"/>
    <hyperlink ref="R74" r:id="rId64" xr:uid="{00000000-0004-0000-0800-00003F000000}"/>
    <hyperlink ref="R75" r:id="rId65" xr:uid="{00000000-0004-0000-0800-000040000000}"/>
    <hyperlink ref="R76" r:id="rId66" xr:uid="{00000000-0004-0000-0800-000041000000}"/>
    <hyperlink ref="R77" r:id="rId67" xr:uid="{00000000-0004-0000-0800-000042000000}"/>
    <hyperlink ref="R78" r:id="rId68" xr:uid="{00000000-0004-0000-0800-000043000000}"/>
    <hyperlink ref="R79" r:id="rId69" xr:uid="{00000000-0004-0000-0800-000044000000}"/>
    <hyperlink ref="R80" r:id="rId70" xr:uid="{00000000-0004-0000-0800-000045000000}"/>
    <hyperlink ref="R81" r:id="rId71" xr:uid="{00000000-0004-0000-0800-000046000000}"/>
    <hyperlink ref="R82" r:id="rId72" xr:uid="{00000000-0004-0000-0800-000047000000}"/>
    <hyperlink ref="R83" r:id="rId73" xr:uid="{00000000-0004-0000-0800-000048000000}"/>
    <hyperlink ref="R84" r:id="rId74" xr:uid="{00000000-0004-0000-0800-000049000000}"/>
    <hyperlink ref="R85" r:id="rId75" xr:uid="{00000000-0004-0000-0800-00004A000000}"/>
    <hyperlink ref="R87" r:id="rId76" xr:uid="{00000000-0004-0000-0800-00004B000000}"/>
    <hyperlink ref="R88" r:id="rId77" xr:uid="{00000000-0004-0000-0800-00004C000000}"/>
    <hyperlink ref="R89" r:id="rId78" xr:uid="{00000000-0004-0000-0800-00004D000000}"/>
    <hyperlink ref="R90" r:id="rId79" xr:uid="{00000000-0004-0000-0800-00004E000000}"/>
    <hyperlink ref="R91" r:id="rId80" xr:uid="{00000000-0004-0000-0800-00004F000000}"/>
    <hyperlink ref="R92" r:id="rId81" xr:uid="{00000000-0004-0000-0800-000050000000}"/>
    <hyperlink ref="R93" r:id="rId82" xr:uid="{00000000-0004-0000-0800-000051000000}"/>
    <hyperlink ref="R94" r:id="rId83" xr:uid="{00000000-0004-0000-0800-000052000000}"/>
    <hyperlink ref="R95" r:id="rId84" xr:uid="{00000000-0004-0000-0800-000053000000}"/>
    <hyperlink ref="R96" r:id="rId85" xr:uid="{00000000-0004-0000-0800-000054000000}"/>
    <hyperlink ref="R97" r:id="rId86" xr:uid="{00000000-0004-0000-0800-000055000000}"/>
    <hyperlink ref="R98" r:id="rId87" xr:uid="{00000000-0004-0000-0800-00005600000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O64"/>
  <sheetViews>
    <sheetView workbookViewId="0" xr3:uid="{7BE570AB-09E9-518F-B8F7-3F91B7162CA9}">
      <pane xSplit="1" ySplit="2" topLeftCell="B3" activePane="bottomRight" state="frozen"/>
      <selection pane="bottomRight" activeCell="L45" sqref="L45"/>
      <selection pane="bottomLeft" activeCell="A3" sqref="A3"/>
      <selection pane="topRight" activeCell="B1" sqref="B1"/>
    </sheetView>
  </sheetViews>
  <sheetFormatPr defaultColWidth="14.42578125" defaultRowHeight="12.75" customHeight="1"/>
  <cols>
    <col min="1" max="1" width="17.28515625" customWidth="1"/>
    <col min="2" max="2" width="8.28515625" customWidth="1"/>
    <col min="3" max="3" width="9.28515625" customWidth="1"/>
    <col min="4" max="4" width="10" customWidth="1"/>
    <col min="5" max="5" width="10.140625" customWidth="1"/>
    <col min="6" max="6" width="7" customWidth="1"/>
    <col min="7" max="7" width="8.7109375" customWidth="1"/>
    <col min="8" max="8" width="9.140625" customWidth="1"/>
    <col min="9" max="9" width="7.85546875" customWidth="1"/>
    <col min="10" max="10" width="8.42578125" customWidth="1"/>
    <col min="11" max="12" width="7.85546875" customWidth="1"/>
    <col min="13" max="13" width="7.42578125" customWidth="1"/>
    <col min="14" max="14" width="7.28515625" customWidth="1"/>
    <col min="15" max="15" width="9.140625" customWidth="1"/>
  </cols>
  <sheetData>
    <row r="1" spans="1:15" ht="25.5" customHeight="1">
      <c r="A1" s="645"/>
      <c r="B1" s="3" t="s">
        <v>1954</v>
      </c>
      <c r="C1" s="3" t="s">
        <v>1955</v>
      </c>
      <c r="D1" s="3" t="s">
        <v>2068</v>
      </c>
      <c r="E1" s="3" t="s">
        <v>2148</v>
      </c>
      <c r="F1" s="3" t="s">
        <v>2149</v>
      </c>
      <c r="G1" s="3" t="s">
        <v>1043</v>
      </c>
      <c r="H1" s="3" t="s">
        <v>1045</v>
      </c>
      <c r="I1" s="3" t="s">
        <v>1046</v>
      </c>
      <c r="J1" s="3" t="s">
        <v>1680</v>
      </c>
      <c r="K1" s="3" t="s">
        <v>1962</v>
      </c>
      <c r="L1" s="3" t="s">
        <v>1050</v>
      </c>
      <c r="M1" s="3" t="s">
        <v>2150</v>
      </c>
      <c r="N1" s="3" t="s">
        <v>1054</v>
      </c>
      <c r="O1" s="3" t="s">
        <v>1057</v>
      </c>
    </row>
    <row r="2" spans="1:15">
      <c r="A2" s="17" t="s">
        <v>2151</v>
      </c>
      <c r="B2" s="18">
        <v>0.05</v>
      </c>
      <c r="C2" s="18">
        <v>0.7</v>
      </c>
      <c r="D2" s="18">
        <v>0.75</v>
      </c>
      <c r="E2" s="18">
        <v>0.96719999999999995</v>
      </c>
      <c r="F2" s="18">
        <v>0.2</v>
      </c>
      <c r="G2" s="18">
        <v>6.6699999999999995E-2</v>
      </c>
      <c r="H2" s="18">
        <v>0.2</v>
      </c>
      <c r="I2" s="18">
        <v>0.5</v>
      </c>
      <c r="J2" s="18">
        <v>0.1</v>
      </c>
      <c r="K2" s="18">
        <v>0.05</v>
      </c>
      <c r="L2" s="18">
        <v>0.4</v>
      </c>
      <c r="M2" s="18">
        <v>0.7833</v>
      </c>
      <c r="N2" s="18">
        <v>0.36670000000000003</v>
      </c>
      <c r="O2" s="18">
        <v>0.23330000000000001</v>
      </c>
    </row>
    <row r="3" spans="1:15">
      <c r="A3" s="17" t="s">
        <v>1855</v>
      </c>
      <c r="B3" s="18">
        <v>5.8999999999999997E-2</v>
      </c>
      <c r="C3" s="18">
        <v>0.627</v>
      </c>
      <c r="D3" s="18">
        <v>0.67</v>
      </c>
      <c r="E3" s="18">
        <v>0.94799999999999995</v>
      </c>
      <c r="F3" s="18">
        <v>0.317</v>
      </c>
      <c r="G3" s="18">
        <v>0.11899999999999999</v>
      </c>
      <c r="H3" s="18">
        <v>0.219</v>
      </c>
      <c r="I3" s="18">
        <v>0.44</v>
      </c>
      <c r="J3" s="18">
        <v>0.115</v>
      </c>
      <c r="K3" s="18">
        <v>0.15</v>
      </c>
      <c r="L3" s="18">
        <v>0.22600000000000001</v>
      </c>
      <c r="M3" s="18">
        <v>0.76400000000000001</v>
      </c>
      <c r="N3" s="18">
        <v>0.44500000000000001</v>
      </c>
      <c r="O3" s="18">
        <v>0.17399999999999999</v>
      </c>
    </row>
    <row r="4" spans="1:15">
      <c r="A4" s="17" t="s">
        <v>2152</v>
      </c>
      <c r="B4" s="17">
        <v>3</v>
      </c>
      <c r="C4" s="17">
        <v>42</v>
      </c>
      <c r="D4" s="17">
        <v>45</v>
      </c>
      <c r="E4" s="17">
        <f>SUM(E5:E64)</f>
        <v>59</v>
      </c>
      <c r="F4" s="17">
        <v>12</v>
      </c>
      <c r="G4" s="17">
        <v>4</v>
      </c>
      <c r="H4" s="17">
        <v>12</v>
      </c>
      <c r="I4" s="17">
        <v>30</v>
      </c>
      <c r="J4" s="17">
        <v>6</v>
      </c>
      <c r="K4" s="17">
        <v>3</v>
      </c>
      <c r="L4" s="17">
        <v>24</v>
      </c>
      <c r="M4" s="17">
        <v>47</v>
      </c>
      <c r="N4" s="17">
        <v>22</v>
      </c>
      <c r="O4" s="17">
        <v>14</v>
      </c>
    </row>
    <row r="5" spans="1:15">
      <c r="A5" s="7" t="s">
        <v>1407</v>
      </c>
      <c r="B5" s="645"/>
      <c r="C5" s="7">
        <v>1</v>
      </c>
      <c r="D5" s="7">
        <v>1</v>
      </c>
      <c r="E5" s="7">
        <v>1</v>
      </c>
      <c r="F5" s="645"/>
      <c r="G5" s="645"/>
      <c r="H5" s="645"/>
      <c r="I5" s="7">
        <v>1</v>
      </c>
      <c r="J5" s="645"/>
      <c r="K5" s="645"/>
      <c r="L5" s="645"/>
      <c r="M5" s="7">
        <v>1</v>
      </c>
      <c r="N5" s="7">
        <v>1</v>
      </c>
      <c r="O5" s="645"/>
    </row>
    <row r="6" spans="1:15">
      <c r="A6" s="7" t="s">
        <v>1084</v>
      </c>
      <c r="B6" s="645"/>
      <c r="C6" s="7">
        <v>1</v>
      </c>
      <c r="D6" s="7">
        <v>1</v>
      </c>
      <c r="E6" s="7">
        <v>1</v>
      </c>
      <c r="F6" s="645"/>
      <c r="G6" s="645"/>
      <c r="H6" s="645"/>
      <c r="I6" s="7">
        <v>1</v>
      </c>
      <c r="J6" s="645"/>
      <c r="K6" s="645"/>
      <c r="L6" s="645"/>
      <c r="M6" s="645"/>
      <c r="N6" s="645"/>
      <c r="O6" s="7">
        <v>1</v>
      </c>
    </row>
    <row r="7" spans="1:15">
      <c r="A7" s="7" t="s">
        <v>130</v>
      </c>
      <c r="B7" s="645"/>
      <c r="C7" s="645"/>
      <c r="D7" s="645"/>
      <c r="E7" s="7">
        <v>1</v>
      </c>
      <c r="F7" s="645"/>
      <c r="G7" s="645"/>
      <c r="H7" s="645"/>
      <c r="I7" s="645"/>
      <c r="J7" s="645"/>
      <c r="K7" s="645"/>
      <c r="L7" s="645"/>
      <c r="M7" s="645"/>
      <c r="N7" s="645"/>
      <c r="O7" s="645"/>
    </row>
    <row r="8" spans="1:15">
      <c r="A8" s="7" t="s">
        <v>778</v>
      </c>
      <c r="B8" s="645"/>
      <c r="C8" s="7">
        <v>1</v>
      </c>
      <c r="D8" s="7">
        <v>1</v>
      </c>
      <c r="E8" s="7">
        <v>1</v>
      </c>
      <c r="F8" s="645"/>
      <c r="G8" s="645"/>
      <c r="H8" s="645"/>
      <c r="I8" s="645"/>
      <c r="J8" s="645"/>
      <c r="K8" s="645"/>
      <c r="L8" s="645"/>
      <c r="M8" s="7">
        <v>1</v>
      </c>
      <c r="N8" s="645"/>
      <c r="O8" s="645"/>
    </row>
    <row r="9" spans="1:15">
      <c r="A9" s="7" t="s">
        <v>140</v>
      </c>
      <c r="B9" s="645"/>
      <c r="C9" s="7">
        <v>1</v>
      </c>
      <c r="D9" s="7">
        <v>1</v>
      </c>
      <c r="E9" s="7">
        <v>1</v>
      </c>
      <c r="F9" s="7">
        <v>1</v>
      </c>
      <c r="G9" s="645"/>
      <c r="H9" s="645"/>
      <c r="I9" s="7">
        <v>1</v>
      </c>
      <c r="J9" s="645"/>
      <c r="K9" s="645"/>
      <c r="L9" s="645"/>
      <c r="M9" s="7">
        <v>1</v>
      </c>
      <c r="N9" s="645"/>
      <c r="O9" s="645"/>
    </row>
    <row r="10" spans="1:15">
      <c r="A10" s="7" t="s">
        <v>142</v>
      </c>
      <c r="B10" s="645"/>
      <c r="C10" s="7">
        <v>1</v>
      </c>
      <c r="D10" s="645"/>
      <c r="E10" s="7">
        <v>1</v>
      </c>
      <c r="F10" s="645"/>
      <c r="G10" s="645"/>
      <c r="H10" s="645"/>
      <c r="I10" s="7">
        <v>1</v>
      </c>
      <c r="J10" s="645"/>
      <c r="K10" s="645"/>
      <c r="L10" s="645"/>
      <c r="M10" s="7">
        <v>1</v>
      </c>
      <c r="N10" s="645"/>
      <c r="O10" s="645"/>
    </row>
    <row r="11" spans="1:15">
      <c r="A11" s="7" t="s">
        <v>149</v>
      </c>
      <c r="B11" s="645"/>
      <c r="C11" s="7">
        <v>1</v>
      </c>
      <c r="D11" s="7">
        <v>1</v>
      </c>
      <c r="E11" s="7">
        <v>1</v>
      </c>
      <c r="F11" s="645"/>
      <c r="G11" s="645"/>
      <c r="H11" s="7">
        <v>1</v>
      </c>
      <c r="I11" s="7">
        <v>1</v>
      </c>
      <c r="J11" s="645"/>
      <c r="K11" s="7">
        <v>1</v>
      </c>
      <c r="L11" s="645"/>
      <c r="M11" s="7">
        <v>1</v>
      </c>
      <c r="N11" s="645"/>
      <c r="O11" s="7">
        <v>1</v>
      </c>
    </row>
    <row r="12" spans="1:15">
      <c r="A12" s="7" t="s">
        <v>2153</v>
      </c>
      <c r="B12" s="645"/>
      <c r="C12" s="7">
        <v>1</v>
      </c>
      <c r="D12" s="7">
        <v>1</v>
      </c>
      <c r="E12" s="7">
        <v>1</v>
      </c>
      <c r="F12" s="7">
        <v>1</v>
      </c>
      <c r="G12" s="645"/>
      <c r="H12" s="645"/>
      <c r="I12" s="645"/>
      <c r="J12" s="645"/>
      <c r="K12" s="645"/>
      <c r="L12" s="645"/>
      <c r="M12" s="645"/>
      <c r="N12" s="645"/>
      <c r="O12" s="645"/>
    </row>
    <row r="13" spans="1:15">
      <c r="A13" s="7" t="s">
        <v>1706</v>
      </c>
      <c r="B13" s="645"/>
      <c r="C13" s="645"/>
      <c r="D13" s="645"/>
      <c r="E13" s="7">
        <v>1</v>
      </c>
      <c r="F13" s="645"/>
      <c r="G13" s="645"/>
      <c r="H13" s="645"/>
      <c r="I13" s="7">
        <v>1</v>
      </c>
      <c r="J13" s="645"/>
      <c r="K13" s="645"/>
      <c r="L13" s="645"/>
      <c r="M13" s="7">
        <v>1</v>
      </c>
      <c r="N13" s="645"/>
      <c r="O13" s="645"/>
    </row>
    <row r="14" spans="1:15">
      <c r="A14" s="7" t="s">
        <v>1989</v>
      </c>
      <c r="B14" s="645"/>
      <c r="C14" s="7">
        <v>1</v>
      </c>
      <c r="D14" s="7">
        <v>1</v>
      </c>
      <c r="E14" s="7">
        <v>1</v>
      </c>
      <c r="F14" s="645"/>
      <c r="G14" s="645"/>
      <c r="H14" s="645"/>
      <c r="I14" s="7">
        <v>1</v>
      </c>
      <c r="J14" s="645"/>
      <c r="K14" s="645"/>
      <c r="L14" s="645"/>
      <c r="M14" s="7">
        <v>1</v>
      </c>
      <c r="N14" s="645"/>
      <c r="O14" s="645"/>
    </row>
    <row r="15" spans="1:15">
      <c r="A15" s="7" t="s">
        <v>163</v>
      </c>
      <c r="B15" s="645"/>
      <c r="C15" s="7">
        <v>1</v>
      </c>
      <c r="D15" s="7">
        <v>1</v>
      </c>
      <c r="E15" s="7">
        <v>1</v>
      </c>
      <c r="F15" s="645"/>
      <c r="G15" s="645"/>
      <c r="H15" s="645"/>
      <c r="I15" s="645"/>
      <c r="J15" s="645"/>
      <c r="K15" s="645"/>
      <c r="L15" s="7">
        <v>1</v>
      </c>
      <c r="M15" s="7">
        <v>1</v>
      </c>
      <c r="N15" s="645"/>
      <c r="O15" s="645"/>
    </row>
    <row r="16" spans="1:15">
      <c r="A16" s="7" t="s">
        <v>165</v>
      </c>
      <c r="B16" s="645"/>
      <c r="C16" s="7">
        <v>1</v>
      </c>
      <c r="D16" s="7">
        <v>1</v>
      </c>
      <c r="E16" s="7">
        <v>1</v>
      </c>
      <c r="F16" s="645"/>
      <c r="G16" s="645"/>
      <c r="H16" s="645"/>
      <c r="I16" s="7">
        <v>1</v>
      </c>
      <c r="J16" s="645"/>
      <c r="K16" s="645"/>
      <c r="L16" s="7">
        <v>1</v>
      </c>
      <c r="M16" s="7">
        <v>1</v>
      </c>
      <c r="N16" s="645"/>
      <c r="O16" s="645"/>
    </row>
    <row r="17" spans="1:15">
      <c r="A17" s="7" t="s">
        <v>172</v>
      </c>
      <c r="B17" s="645"/>
      <c r="C17" s="7">
        <v>1</v>
      </c>
      <c r="D17" s="645"/>
      <c r="E17" s="7">
        <v>1</v>
      </c>
      <c r="F17" s="645"/>
      <c r="G17" s="645"/>
      <c r="H17" s="645"/>
      <c r="I17" s="645"/>
      <c r="J17" s="645"/>
      <c r="K17" s="645"/>
      <c r="L17" s="7">
        <v>1</v>
      </c>
      <c r="M17" s="645"/>
      <c r="N17" s="645"/>
      <c r="O17" s="7">
        <v>1</v>
      </c>
    </row>
    <row r="18" spans="1:15" ht="25.5" customHeight="1">
      <c r="A18" s="7" t="s">
        <v>312</v>
      </c>
      <c r="B18" s="645"/>
      <c r="C18" s="645"/>
      <c r="D18" s="7">
        <v>1</v>
      </c>
      <c r="E18" s="7">
        <v>1</v>
      </c>
      <c r="F18" s="7">
        <v>1</v>
      </c>
      <c r="G18" s="645"/>
      <c r="H18" s="645"/>
      <c r="I18" s="645"/>
      <c r="J18" s="7">
        <v>1</v>
      </c>
      <c r="K18" s="645"/>
      <c r="L18" s="645"/>
      <c r="M18" s="7">
        <v>1</v>
      </c>
      <c r="N18" s="645"/>
      <c r="O18" s="645"/>
    </row>
    <row r="19" spans="1:15">
      <c r="A19" s="7" t="s">
        <v>2154</v>
      </c>
      <c r="B19" s="645"/>
      <c r="C19" s="7">
        <v>1</v>
      </c>
      <c r="D19" s="7">
        <v>1</v>
      </c>
      <c r="E19" s="7">
        <v>1</v>
      </c>
      <c r="F19" s="7">
        <v>1</v>
      </c>
      <c r="G19" s="645"/>
      <c r="H19" s="645"/>
      <c r="I19" s="7">
        <v>1</v>
      </c>
      <c r="J19" s="645"/>
      <c r="K19" s="645"/>
      <c r="L19" s="645"/>
      <c r="M19" s="7">
        <v>1</v>
      </c>
      <c r="N19" s="7">
        <v>1</v>
      </c>
      <c r="O19" s="645"/>
    </row>
    <row r="20" spans="1:15">
      <c r="A20" s="7" t="s">
        <v>195</v>
      </c>
      <c r="B20" s="645"/>
      <c r="C20" s="7">
        <v>1</v>
      </c>
      <c r="D20" s="645"/>
      <c r="E20" s="7">
        <v>1</v>
      </c>
      <c r="F20" s="7">
        <v>1</v>
      </c>
      <c r="G20" s="645"/>
      <c r="H20" s="645"/>
      <c r="I20" s="645"/>
      <c r="J20" s="7">
        <v>1</v>
      </c>
      <c r="K20" s="645"/>
      <c r="L20" s="645"/>
      <c r="M20" s="7">
        <v>1</v>
      </c>
      <c r="N20" s="7">
        <v>1</v>
      </c>
      <c r="O20" s="645"/>
    </row>
    <row r="21" spans="1:15">
      <c r="A21" s="7" t="s">
        <v>196</v>
      </c>
      <c r="B21" s="645"/>
      <c r="C21" s="7">
        <v>1</v>
      </c>
      <c r="D21" s="645"/>
      <c r="E21" s="7">
        <v>1</v>
      </c>
      <c r="F21" s="645"/>
      <c r="G21" s="645"/>
      <c r="H21" s="645"/>
      <c r="I21" s="7">
        <v>1</v>
      </c>
      <c r="J21" s="645"/>
      <c r="K21" s="645"/>
      <c r="L21" s="7">
        <v>1</v>
      </c>
      <c r="M21" s="7">
        <v>1</v>
      </c>
      <c r="N21" s="645"/>
      <c r="O21" s="7">
        <v>1</v>
      </c>
    </row>
    <row r="22" spans="1:15">
      <c r="A22" s="7" t="s">
        <v>203</v>
      </c>
      <c r="B22" s="645"/>
      <c r="C22" s="645"/>
      <c r="D22" s="7">
        <v>1</v>
      </c>
      <c r="E22" s="7">
        <v>1</v>
      </c>
      <c r="F22" s="645"/>
      <c r="G22" s="645"/>
      <c r="H22" s="645"/>
      <c r="I22" s="645"/>
      <c r="J22" s="645"/>
      <c r="K22" s="7">
        <v>1</v>
      </c>
      <c r="L22" s="645"/>
      <c r="M22" s="7">
        <v>1</v>
      </c>
      <c r="N22" s="7">
        <v>1</v>
      </c>
      <c r="O22" s="7">
        <v>1</v>
      </c>
    </row>
    <row r="23" spans="1:15">
      <c r="A23" s="7" t="s">
        <v>2155</v>
      </c>
      <c r="B23" s="645"/>
      <c r="C23" s="645"/>
      <c r="D23" s="7">
        <v>1</v>
      </c>
      <c r="E23" s="7">
        <v>1</v>
      </c>
      <c r="F23" s="645"/>
      <c r="G23" s="645"/>
      <c r="H23" s="645"/>
      <c r="I23" s="7">
        <v>1</v>
      </c>
      <c r="J23" s="645"/>
      <c r="K23" s="645"/>
      <c r="L23" s="7">
        <v>1</v>
      </c>
      <c r="M23" s="7">
        <v>1</v>
      </c>
      <c r="N23" s="645"/>
      <c r="O23" s="645"/>
    </row>
    <row r="24" spans="1:15">
      <c r="A24" s="7" t="s">
        <v>204</v>
      </c>
      <c r="B24" s="645"/>
      <c r="C24" s="7">
        <v>1</v>
      </c>
      <c r="D24" s="645"/>
      <c r="E24" s="7">
        <v>1</v>
      </c>
      <c r="F24" s="645"/>
      <c r="G24" s="645"/>
      <c r="H24" s="645"/>
      <c r="I24" s="645"/>
      <c r="J24" s="645"/>
      <c r="K24" s="645"/>
      <c r="L24" s="645"/>
      <c r="M24" s="7">
        <v>1</v>
      </c>
      <c r="N24" s="645"/>
      <c r="O24" s="645"/>
    </row>
    <row r="25" spans="1:15">
      <c r="A25" s="7" t="s">
        <v>211</v>
      </c>
      <c r="B25" s="645"/>
      <c r="C25" s="7">
        <v>1</v>
      </c>
      <c r="D25" s="645"/>
      <c r="E25" s="7">
        <v>1</v>
      </c>
      <c r="F25" s="645"/>
      <c r="G25" s="645"/>
      <c r="H25" s="645"/>
      <c r="I25" s="7">
        <v>1</v>
      </c>
      <c r="J25" s="645"/>
      <c r="K25" s="645"/>
      <c r="L25" s="7">
        <v>1</v>
      </c>
      <c r="M25" s="645"/>
      <c r="N25" s="645"/>
      <c r="O25" s="645"/>
    </row>
    <row r="26" spans="1:15">
      <c r="A26" s="7" t="s">
        <v>1153</v>
      </c>
      <c r="B26" s="645"/>
      <c r="C26" s="7">
        <v>1</v>
      </c>
      <c r="D26" s="7">
        <v>1</v>
      </c>
      <c r="E26" s="7">
        <v>1</v>
      </c>
      <c r="F26" s="645"/>
      <c r="G26" s="7">
        <v>1</v>
      </c>
      <c r="H26" s="645"/>
      <c r="I26" s="645"/>
      <c r="J26" s="645"/>
      <c r="K26" s="645"/>
      <c r="L26" s="645"/>
      <c r="M26" s="7">
        <v>1</v>
      </c>
      <c r="N26" s="7">
        <v>1</v>
      </c>
      <c r="O26" s="645"/>
    </row>
    <row r="27" spans="1:15">
      <c r="A27" s="7" t="s">
        <v>2156</v>
      </c>
      <c r="B27" s="645"/>
      <c r="C27" s="7">
        <v>1</v>
      </c>
      <c r="D27" s="7">
        <v>1</v>
      </c>
      <c r="E27" s="7">
        <v>1</v>
      </c>
      <c r="F27" s="645"/>
      <c r="G27" s="645"/>
      <c r="H27" s="645"/>
      <c r="I27" s="645"/>
      <c r="J27" s="645"/>
      <c r="K27" s="645"/>
      <c r="L27" s="645"/>
      <c r="M27" s="7">
        <v>1</v>
      </c>
      <c r="N27" s="645"/>
      <c r="O27" s="645"/>
    </row>
    <row r="28" spans="1:15">
      <c r="A28" s="7" t="s">
        <v>231</v>
      </c>
      <c r="B28" s="645"/>
      <c r="C28" s="7">
        <v>1</v>
      </c>
      <c r="D28" s="7">
        <v>1</v>
      </c>
      <c r="E28" s="7">
        <v>1</v>
      </c>
      <c r="F28" s="7">
        <v>1</v>
      </c>
      <c r="G28" s="645"/>
      <c r="H28" s="645"/>
      <c r="I28" s="7">
        <v>1</v>
      </c>
      <c r="J28" s="645"/>
      <c r="K28" s="645"/>
      <c r="L28" s="7">
        <v>1</v>
      </c>
      <c r="M28" s="7">
        <v>1</v>
      </c>
      <c r="N28" s="7">
        <v>1</v>
      </c>
      <c r="O28" s="645"/>
    </row>
    <row r="29" spans="1:15">
      <c r="A29" s="7" t="s">
        <v>1165</v>
      </c>
      <c r="B29" s="645"/>
      <c r="C29" s="645"/>
      <c r="D29" s="7">
        <v>1</v>
      </c>
      <c r="E29" s="7">
        <v>1</v>
      </c>
      <c r="F29" s="645"/>
      <c r="G29" s="7">
        <v>1</v>
      </c>
      <c r="H29" s="645"/>
      <c r="I29" s="645"/>
      <c r="J29" s="645"/>
      <c r="K29" s="645"/>
      <c r="L29" s="645"/>
      <c r="M29" s="7">
        <v>1</v>
      </c>
      <c r="N29" s="7">
        <v>1</v>
      </c>
      <c r="O29" s="7">
        <v>1</v>
      </c>
    </row>
    <row r="30" spans="1:15">
      <c r="A30" s="7" t="s">
        <v>2157</v>
      </c>
      <c r="B30" s="645"/>
      <c r="C30" s="645"/>
      <c r="D30" s="7">
        <v>1</v>
      </c>
      <c r="E30" s="7">
        <v>1</v>
      </c>
      <c r="F30" s="645"/>
      <c r="G30" s="645"/>
      <c r="H30" s="645"/>
      <c r="I30" s="645"/>
      <c r="J30" s="645"/>
      <c r="K30" s="645"/>
      <c r="L30" s="645"/>
      <c r="M30" s="7">
        <v>1</v>
      </c>
      <c r="N30" s="7">
        <v>1</v>
      </c>
      <c r="O30" s="7">
        <v>1</v>
      </c>
    </row>
    <row r="31" spans="1:15">
      <c r="A31" s="7" t="s">
        <v>2158</v>
      </c>
      <c r="B31" s="645"/>
      <c r="C31" s="7">
        <v>1</v>
      </c>
      <c r="D31" s="7">
        <v>1</v>
      </c>
      <c r="E31" s="7">
        <v>1</v>
      </c>
      <c r="F31" s="645"/>
      <c r="G31" s="645"/>
      <c r="H31" s="645"/>
      <c r="I31" s="645"/>
      <c r="J31" s="645"/>
      <c r="K31" s="645"/>
      <c r="L31" s="645"/>
      <c r="M31" s="7">
        <v>1</v>
      </c>
      <c r="N31" s="645"/>
      <c r="O31" s="645"/>
    </row>
    <row r="32" spans="1:15">
      <c r="A32" s="7" t="s">
        <v>242</v>
      </c>
      <c r="B32" s="645"/>
      <c r="C32" s="7">
        <v>1</v>
      </c>
      <c r="D32" s="645"/>
      <c r="E32" s="7">
        <v>1</v>
      </c>
      <c r="F32" s="645"/>
      <c r="G32" s="645"/>
      <c r="H32" s="645"/>
      <c r="I32" s="645"/>
      <c r="J32" s="645"/>
      <c r="K32" s="645"/>
      <c r="L32" s="645"/>
      <c r="M32" s="7">
        <v>1</v>
      </c>
      <c r="N32" s="645"/>
      <c r="O32" s="645"/>
    </row>
    <row r="33" spans="1:15">
      <c r="A33" s="7" t="s">
        <v>243</v>
      </c>
      <c r="B33" s="645"/>
      <c r="C33" s="645"/>
      <c r="D33" s="645"/>
      <c r="E33" s="7">
        <v>1</v>
      </c>
      <c r="F33" s="645"/>
      <c r="G33" s="7">
        <v>1</v>
      </c>
      <c r="H33" s="7">
        <v>1</v>
      </c>
      <c r="I33" s="7">
        <v>1</v>
      </c>
      <c r="J33" s="645"/>
      <c r="K33" s="645"/>
      <c r="L33" s="645"/>
      <c r="M33" s="7">
        <v>1</v>
      </c>
      <c r="N33" s="645"/>
      <c r="O33" s="645"/>
    </row>
    <row r="34" spans="1:15">
      <c r="A34" s="7" t="s">
        <v>2159</v>
      </c>
      <c r="B34" s="645"/>
      <c r="C34" s="645"/>
      <c r="D34" s="7">
        <v>1</v>
      </c>
      <c r="E34" s="7">
        <v>1</v>
      </c>
      <c r="F34" s="645"/>
      <c r="G34" s="645"/>
      <c r="H34" s="7">
        <v>1</v>
      </c>
      <c r="I34" s="645"/>
      <c r="J34" s="7">
        <v>1</v>
      </c>
      <c r="K34" s="645"/>
      <c r="L34" s="645"/>
      <c r="M34" s="7">
        <v>1</v>
      </c>
      <c r="N34" s="7">
        <v>1</v>
      </c>
      <c r="O34" s="645"/>
    </row>
    <row r="35" spans="1:15">
      <c r="A35" s="7" t="s">
        <v>255</v>
      </c>
      <c r="B35" s="645"/>
      <c r="C35" s="645"/>
      <c r="D35" s="645"/>
      <c r="E35" s="7">
        <v>1</v>
      </c>
      <c r="F35" s="645"/>
      <c r="G35" s="645"/>
      <c r="H35" s="645"/>
      <c r="I35" s="645"/>
      <c r="J35" s="645"/>
      <c r="K35" s="645"/>
      <c r="L35" s="645"/>
      <c r="M35" s="645"/>
      <c r="N35" s="7">
        <v>1</v>
      </c>
      <c r="O35" s="645"/>
    </row>
    <row r="36" spans="1:15">
      <c r="A36" s="7" t="s">
        <v>1743</v>
      </c>
      <c r="B36" s="645"/>
      <c r="C36" s="7">
        <v>1</v>
      </c>
      <c r="D36" s="7">
        <v>1</v>
      </c>
      <c r="E36" s="7">
        <v>1</v>
      </c>
      <c r="F36" s="645"/>
      <c r="G36" s="645"/>
      <c r="H36" s="7">
        <v>1</v>
      </c>
      <c r="I36" s="7">
        <v>1</v>
      </c>
      <c r="J36" s="645"/>
      <c r="K36" s="645"/>
      <c r="L36" s="7">
        <v>1</v>
      </c>
      <c r="M36" s="7">
        <v>1</v>
      </c>
      <c r="N36" s="7">
        <v>1</v>
      </c>
      <c r="O36" s="7">
        <v>1</v>
      </c>
    </row>
    <row r="37" spans="1:15">
      <c r="A37" s="7" t="s">
        <v>1808</v>
      </c>
      <c r="B37" s="645"/>
      <c r="C37" s="7">
        <v>1</v>
      </c>
      <c r="D37" s="7">
        <v>1</v>
      </c>
      <c r="E37" s="7">
        <v>1</v>
      </c>
      <c r="F37" s="645"/>
      <c r="G37" s="645"/>
      <c r="H37" s="645"/>
      <c r="I37" s="645"/>
      <c r="J37" s="645"/>
      <c r="K37" s="645"/>
      <c r="L37" s="7">
        <v>1</v>
      </c>
      <c r="M37" s="7">
        <v>1</v>
      </c>
      <c r="N37" s="7">
        <v>1</v>
      </c>
      <c r="O37" s="645"/>
    </row>
    <row r="38" spans="1:15">
      <c r="A38" s="7" t="s">
        <v>281</v>
      </c>
      <c r="B38" s="645"/>
      <c r="C38" s="7">
        <v>1</v>
      </c>
      <c r="D38" s="7">
        <v>1</v>
      </c>
      <c r="E38" s="7">
        <v>1</v>
      </c>
      <c r="F38" s="7">
        <v>1</v>
      </c>
      <c r="G38" s="645"/>
      <c r="H38" s="7">
        <v>1</v>
      </c>
      <c r="I38" s="7">
        <v>1</v>
      </c>
      <c r="J38" s="645"/>
      <c r="K38" s="645"/>
      <c r="L38" s="645"/>
      <c r="M38" s="7">
        <v>1</v>
      </c>
      <c r="N38" s="7">
        <v>1</v>
      </c>
      <c r="O38" s="645"/>
    </row>
    <row r="39" spans="1:15">
      <c r="A39" s="7" t="s">
        <v>1520</v>
      </c>
      <c r="B39" s="645"/>
      <c r="C39" s="7">
        <v>1</v>
      </c>
      <c r="D39" s="7">
        <v>1</v>
      </c>
      <c r="E39" s="7">
        <v>1</v>
      </c>
      <c r="F39" s="645"/>
      <c r="G39" s="645"/>
      <c r="H39" s="645"/>
      <c r="I39" s="7">
        <v>1</v>
      </c>
      <c r="J39" s="645"/>
      <c r="K39" s="645"/>
      <c r="L39" s="645"/>
      <c r="M39" s="7">
        <v>1</v>
      </c>
      <c r="N39" s="645"/>
      <c r="O39" s="645"/>
    </row>
    <row r="40" spans="1:15">
      <c r="A40" s="7" t="s">
        <v>452</v>
      </c>
      <c r="B40" s="645"/>
      <c r="C40" s="7">
        <v>1</v>
      </c>
      <c r="D40" s="7">
        <v>1</v>
      </c>
      <c r="E40" s="7">
        <v>1</v>
      </c>
      <c r="F40" s="645"/>
      <c r="G40" s="645"/>
      <c r="H40" s="645"/>
      <c r="I40" s="645"/>
      <c r="J40" s="645"/>
      <c r="K40" s="645"/>
      <c r="L40" s="7">
        <v>1</v>
      </c>
      <c r="M40" s="7">
        <v>1</v>
      </c>
      <c r="N40" s="645"/>
      <c r="O40" s="645"/>
    </row>
    <row r="41" spans="1:15">
      <c r="A41" s="7" t="s">
        <v>293</v>
      </c>
      <c r="B41" s="645"/>
      <c r="C41" s="7">
        <v>1</v>
      </c>
      <c r="D41" s="7">
        <v>1</v>
      </c>
      <c r="E41" s="7">
        <v>1</v>
      </c>
      <c r="F41" s="645"/>
      <c r="G41" s="645"/>
      <c r="H41" s="645"/>
      <c r="I41" s="7">
        <v>1</v>
      </c>
      <c r="J41" s="645"/>
      <c r="K41" s="645"/>
      <c r="L41" s="7">
        <v>1</v>
      </c>
      <c r="M41" s="7">
        <v>1</v>
      </c>
      <c r="N41" s="645"/>
      <c r="O41" s="7">
        <v>1</v>
      </c>
    </row>
    <row r="42" spans="1:15">
      <c r="A42" s="7" t="s">
        <v>456</v>
      </c>
      <c r="B42" s="645"/>
      <c r="C42" s="7">
        <v>1</v>
      </c>
      <c r="D42" s="7">
        <v>1</v>
      </c>
      <c r="E42" s="7">
        <v>1</v>
      </c>
      <c r="F42" s="7">
        <v>1</v>
      </c>
      <c r="G42" s="645"/>
      <c r="H42" s="645"/>
      <c r="I42" s="7">
        <v>1</v>
      </c>
      <c r="J42" s="645"/>
      <c r="K42" s="645"/>
      <c r="L42" s="7">
        <v>1</v>
      </c>
      <c r="M42" s="7">
        <v>1</v>
      </c>
      <c r="N42" s="7">
        <v>1</v>
      </c>
      <c r="O42" s="645"/>
    </row>
    <row r="43" spans="1:15">
      <c r="A43" s="7" t="s">
        <v>303</v>
      </c>
      <c r="B43" s="645"/>
      <c r="C43" s="645"/>
      <c r="D43" s="7">
        <v>1</v>
      </c>
      <c r="E43" s="7">
        <v>1</v>
      </c>
      <c r="F43" s="645"/>
      <c r="G43" s="645"/>
      <c r="H43" s="645"/>
      <c r="I43" s="7">
        <v>1</v>
      </c>
      <c r="J43" s="645"/>
      <c r="K43" s="645"/>
      <c r="L43" s="645"/>
      <c r="M43" s="7">
        <v>1</v>
      </c>
      <c r="N43" s="645"/>
      <c r="O43" s="645"/>
    </row>
    <row r="44" spans="1:15">
      <c r="A44" s="7" t="s">
        <v>1531</v>
      </c>
      <c r="B44" s="645"/>
      <c r="C44" s="645"/>
      <c r="D44" s="7">
        <v>1</v>
      </c>
      <c r="E44" s="7">
        <v>1</v>
      </c>
      <c r="F44" s="645"/>
      <c r="G44" s="645"/>
      <c r="H44" s="7">
        <v>1</v>
      </c>
      <c r="I44" s="7">
        <v>1</v>
      </c>
      <c r="J44" s="645"/>
      <c r="K44" s="645"/>
      <c r="L44" s="645"/>
      <c r="M44" s="7">
        <v>1</v>
      </c>
      <c r="N44" s="645"/>
      <c r="O44" s="645"/>
    </row>
    <row r="45" spans="1:15">
      <c r="A45" s="7" t="s">
        <v>2160</v>
      </c>
      <c r="B45" s="645"/>
      <c r="C45" s="7">
        <v>1</v>
      </c>
      <c r="D45" s="645"/>
      <c r="E45" s="7">
        <v>1</v>
      </c>
      <c r="F45" s="645"/>
      <c r="G45" s="645"/>
      <c r="H45" s="645"/>
      <c r="I45" s="645"/>
      <c r="J45" s="645"/>
      <c r="K45" s="645"/>
      <c r="L45" s="645"/>
      <c r="M45" s="7">
        <v>1</v>
      </c>
      <c r="N45" s="645"/>
      <c r="O45" s="645"/>
    </row>
    <row r="46" spans="1:15">
      <c r="A46" s="7" t="s">
        <v>316</v>
      </c>
      <c r="B46" s="7">
        <v>1</v>
      </c>
      <c r="C46" s="7">
        <v>1</v>
      </c>
      <c r="D46" s="7">
        <v>1</v>
      </c>
      <c r="E46" s="7">
        <v>1</v>
      </c>
      <c r="F46" s="645"/>
      <c r="G46" s="645"/>
      <c r="H46" s="645"/>
      <c r="I46" s="645"/>
      <c r="J46" s="645"/>
      <c r="K46" s="7">
        <v>1</v>
      </c>
      <c r="L46" s="7">
        <v>1</v>
      </c>
      <c r="M46" s="645"/>
      <c r="N46" s="645"/>
      <c r="O46" s="645"/>
    </row>
    <row r="47" spans="1:15">
      <c r="A47" s="7" t="s">
        <v>326</v>
      </c>
      <c r="B47" s="645"/>
      <c r="C47" s="7">
        <v>1</v>
      </c>
      <c r="D47" s="645"/>
      <c r="E47" s="7">
        <v>1</v>
      </c>
      <c r="F47" s="7">
        <v>1</v>
      </c>
      <c r="G47" s="645"/>
      <c r="H47" s="7">
        <v>1</v>
      </c>
      <c r="I47" s="645"/>
      <c r="J47" s="7">
        <v>1</v>
      </c>
      <c r="K47" s="645"/>
      <c r="L47" s="7">
        <v>1</v>
      </c>
      <c r="M47" s="645"/>
      <c r="N47" s="645"/>
      <c r="O47" s="7">
        <v>1</v>
      </c>
    </row>
    <row r="48" spans="1:15">
      <c r="A48" s="7" t="s">
        <v>2161</v>
      </c>
      <c r="B48" s="645"/>
      <c r="C48" s="7">
        <v>1</v>
      </c>
      <c r="D48" s="7">
        <v>1</v>
      </c>
      <c r="E48" s="7">
        <v>1</v>
      </c>
      <c r="F48" s="645"/>
      <c r="G48" s="645"/>
      <c r="H48" s="645"/>
      <c r="I48" s="7">
        <v>1</v>
      </c>
      <c r="J48" s="7">
        <v>1</v>
      </c>
      <c r="K48" s="645"/>
      <c r="L48" s="7">
        <v>1</v>
      </c>
      <c r="M48" s="7">
        <v>1</v>
      </c>
      <c r="N48" s="645"/>
      <c r="O48" s="645"/>
    </row>
    <row r="49" spans="1:15">
      <c r="A49" s="7" t="s">
        <v>341</v>
      </c>
      <c r="B49" s="645"/>
      <c r="C49" s="7">
        <v>1</v>
      </c>
      <c r="D49" s="645"/>
      <c r="E49" s="7">
        <v>1</v>
      </c>
      <c r="F49" s="645"/>
      <c r="G49" s="645"/>
      <c r="H49" s="645"/>
      <c r="I49" s="7">
        <v>1</v>
      </c>
      <c r="J49" s="645"/>
      <c r="K49" s="645"/>
      <c r="L49" s="645"/>
      <c r="M49" s="645"/>
      <c r="N49" s="7">
        <v>1</v>
      </c>
      <c r="O49" s="7">
        <v>1</v>
      </c>
    </row>
    <row r="50" spans="1:15">
      <c r="A50" s="7" t="s">
        <v>633</v>
      </c>
      <c r="B50" s="645"/>
      <c r="C50" s="7">
        <v>1</v>
      </c>
      <c r="D50" s="645"/>
      <c r="E50" s="7">
        <v>1</v>
      </c>
      <c r="F50" s="645"/>
      <c r="G50" s="645"/>
      <c r="H50" s="7">
        <v>1</v>
      </c>
      <c r="I50" s="645"/>
      <c r="J50" s="645"/>
      <c r="K50" s="645"/>
      <c r="L50" s="7">
        <v>1</v>
      </c>
      <c r="M50" s="645"/>
      <c r="N50" s="7">
        <v>1</v>
      </c>
      <c r="O50" s="645"/>
    </row>
    <row r="51" spans="1:15">
      <c r="A51" s="7" t="s">
        <v>346</v>
      </c>
      <c r="B51" s="645"/>
      <c r="C51" s="7">
        <v>1</v>
      </c>
      <c r="D51" s="7">
        <v>1</v>
      </c>
      <c r="E51" s="7">
        <v>1</v>
      </c>
      <c r="F51" s="645"/>
      <c r="G51" s="645"/>
      <c r="H51" s="645"/>
      <c r="I51" s="645"/>
      <c r="J51" s="645"/>
      <c r="K51" s="645"/>
      <c r="L51" s="7">
        <v>1</v>
      </c>
      <c r="M51" s="7">
        <v>1</v>
      </c>
      <c r="N51" s="7">
        <v>1</v>
      </c>
      <c r="O51" s="7">
        <v>1</v>
      </c>
    </row>
    <row r="52" spans="1:15">
      <c r="A52" s="7" t="s">
        <v>342</v>
      </c>
      <c r="B52" s="7">
        <v>1</v>
      </c>
      <c r="C52" s="7">
        <v>1</v>
      </c>
      <c r="D52" s="7">
        <v>1</v>
      </c>
      <c r="E52" s="7">
        <v>1</v>
      </c>
      <c r="F52" s="645"/>
      <c r="G52" s="645"/>
      <c r="H52" s="645"/>
      <c r="I52" s="7">
        <v>1</v>
      </c>
      <c r="J52" s="645"/>
      <c r="K52" s="645"/>
      <c r="L52" s="7">
        <v>1</v>
      </c>
      <c r="M52" s="7">
        <v>1</v>
      </c>
      <c r="N52" s="645"/>
      <c r="O52" s="7">
        <v>1</v>
      </c>
    </row>
    <row r="53" spans="1:15">
      <c r="A53" s="7" t="s">
        <v>352</v>
      </c>
      <c r="B53" s="645"/>
      <c r="C53" s="7">
        <v>1</v>
      </c>
      <c r="D53" s="7">
        <v>1</v>
      </c>
      <c r="E53" s="7">
        <v>1</v>
      </c>
      <c r="F53" s="645"/>
      <c r="G53" s="645"/>
      <c r="H53" s="645"/>
      <c r="I53" s="7">
        <v>1</v>
      </c>
      <c r="J53" s="645"/>
      <c r="K53" s="645"/>
      <c r="L53" s="645"/>
      <c r="M53" s="7">
        <v>1</v>
      </c>
      <c r="N53" s="645"/>
      <c r="O53" s="645"/>
    </row>
    <row r="54" spans="1:15">
      <c r="A54" s="7" t="s">
        <v>2162</v>
      </c>
      <c r="B54" s="645"/>
      <c r="C54" s="7">
        <v>1</v>
      </c>
      <c r="D54" s="7">
        <v>1</v>
      </c>
      <c r="E54" s="7">
        <v>1</v>
      </c>
      <c r="F54" s="645"/>
      <c r="G54" s="645"/>
      <c r="H54" s="645"/>
      <c r="I54" s="7">
        <v>1</v>
      </c>
      <c r="J54" s="645"/>
      <c r="K54" s="645"/>
      <c r="L54" s="7">
        <v>1</v>
      </c>
      <c r="M54" s="7">
        <v>1</v>
      </c>
      <c r="N54" s="7">
        <v>1</v>
      </c>
      <c r="O54" s="645"/>
    </row>
    <row r="55" spans="1:15">
      <c r="A55" s="7" t="s">
        <v>2163</v>
      </c>
      <c r="B55" s="645"/>
      <c r="C55" s="7">
        <v>1</v>
      </c>
      <c r="D55" s="7">
        <v>1</v>
      </c>
      <c r="E55" s="645"/>
      <c r="F55" s="7">
        <v>1</v>
      </c>
      <c r="G55" s="7">
        <v>1</v>
      </c>
      <c r="H55" s="645"/>
      <c r="I55" s="645"/>
      <c r="J55" s="645"/>
      <c r="K55" s="645"/>
      <c r="L55" s="645"/>
      <c r="M55" s="645"/>
      <c r="N55" s="645"/>
      <c r="O55" s="645"/>
    </row>
    <row r="56" spans="1:15">
      <c r="A56" s="7" t="s">
        <v>373</v>
      </c>
      <c r="B56" s="645"/>
      <c r="C56" s="7">
        <v>1</v>
      </c>
      <c r="D56" s="7">
        <v>1</v>
      </c>
      <c r="E56" s="7">
        <v>1</v>
      </c>
      <c r="F56" s="645"/>
      <c r="G56" s="645"/>
      <c r="H56" s="7">
        <v>1</v>
      </c>
      <c r="I56" s="7">
        <v>1</v>
      </c>
      <c r="J56" s="7">
        <v>1</v>
      </c>
      <c r="K56" s="645"/>
      <c r="L56" s="7">
        <v>1</v>
      </c>
      <c r="M56" s="7">
        <v>1</v>
      </c>
      <c r="N56" s="645"/>
      <c r="O56" s="645"/>
    </row>
    <row r="57" spans="1:15">
      <c r="A57" s="7" t="s">
        <v>376</v>
      </c>
      <c r="B57" s="645"/>
      <c r="C57" s="7">
        <v>1</v>
      </c>
      <c r="D57" s="7">
        <v>1</v>
      </c>
      <c r="E57" s="7">
        <v>1</v>
      </c>
      <c r="F57" s="645"/>
      <c r="G57" s="645"/>
      <c r="H57" s="7">
        <v>1</v>
      </c>
      <c r="I57" s="7">
        <v>1</v>
      </c>
      <c r="J57" s="645"/>
      <c r="K57" s="645"/>
      <c r="L57" s="7">
        <v>1</v>
      </c>
      <c r="M57" s="645"/>
      <c r="N57" s="645"/>
      <c r="O57" s="645"/>
    </row>
    <row r="58" spans="1:15">
      <c r="A58" s="7" t="s">
        <v>381</v>
      </c>
      <c r="B58" s="7">
        <v>1</v>
      </c>
      <c r="C58" s="645"/>
      <c r="D58" s="7">
        <v>1</v>
      </c>
      <c r="E58" s="7">
        <v>1</v>
      </c>
      <c r="F58" s="645"/>
      <c r="G58" s="645"/>
      <c r="H58" s="645"/>
      <c r="I58" s="645"/>
      <c r="J58" s="645"/>
      <c r="K58" s="645"/>
      <c r="L58" s="7">
        <v>1</v>
      </c>
      <c r="M58" s="645"/>
      <c r="N58" s="7">
        <v>1</v>
      </c>
      <c r="O58" s="645"/>
    </row>
    <row r="59" spans="1:15">
      <c r="A59" s="7" t="s">
        <v>382</v>
      </c>
      <c r="B59" s="645"/>
      <c r="C59" s="7" t="s">
        <v>2164</v>
      </c>
      <c r="D59" s="7">
        <v>1</v>
      </c>
      <c r="E59" s="7">
        <v>1</v>
      </c>
      <c r="F59" s="645"/>
      <c r="G59" s="645"/>
      <c r="H59" s="7">
        <v>1</v>
      </c>
      <c r="I59" s="7">
        <v>1</v>
      </c>
      <c r="J59" s="645"/>
      <c r="K59" s="645"/>
      <c r="L59" s="7">
        <v>1</v>
      </c>
      <c r="M59" s="7">
        <v>1</v>
      </c>
      <c r="N59" s="645"/>
      <c r="O59" s="645"/>
    </row>
    <row r="60" spans="1:15">
      <c r="A60" s="7" t="s">
        <v>385</v>
      </c>
      <c r="B60" s="645"/>
      <c r="C60" s="645"/>
      <c r="D60" s="7">
        <v>1</v>
      </c>
      <c r="E60" s="7">
        <v>1</v>
      </c>
      <c r="F60" s="7">
        <v>1</v>
      </c>
      <c r="G60" s="645"/>
      <c r="H60" s="645"/>
      <c r="I60" s="645"/>
      <c r="J60" s="645"/>
      <c r="K60" s="645"/>
      <c r="L60" s="645"/>
      <c r="M60" s="7">
        <v>1</v>
      </c>
      <c r="N60" s="7">
        <v>1</v>
      </c>
      <c r="O60" s="645"/>
    </row>
    <row r="61" spans="1:15">
      <c r="A61" s="7" t="s">
        <v>387</v>
      </c>
      <c r="B61" s="645"/>
      <c r="C61" s="645"/>
      <c r="D61" s="7">
        <v>1</v>
      </c>
      <c r="E61" s="7">
        <v>1</v>
      </c>
      <c r="F61" s="645"/>
      <c r="G61" s="645"/>
      <c r="H61" s="7">
        <v>1</v>
      </c>
      <c r="I61" s="645"/>
      <c r="J61" s="645"/>
      <c r="K61" s="645"/>
      <c r="L61" s="7">
        <v>1</v>
      </c>
      <c r="M61" s="7">
        <v>1</v>
      </c>
      <c r="N61" s="645"/>
      <c r="O61" s="645"/>
    </row>
    <row r="62" spans="1:15">
      <c r="A62" s="7" t="s">
        <v>2165</v>
      </c>
      <c r="B62" s="645"/>
      <c r="C62" s="645"/>
      <c r="D62" s="7">
        <v>1</v>
      </c>
      <c r="E62" s="7">
        <v>1</v>
      </c>
      <c r="F62" s="645"/>
      <c r="G62" s="645"/>
      <c r="H62" s="645"/>
      <c r="I62" s="645"/>
      <c r="J62" s="645"/>
      <c r="K62" s="645"/>
      <c r="L62" s="645"/>
      <c r="M62" s="7">
        <v>1</v>
      </c>
      <c r="N62" s="645"/>
      <c r="O62" s="645"/>
    </row>
    <row r="63" spans="1:15">
      <c r="A63" s="7" t="s">
        <v>2066</v>
      </c>
      <c r="B63" s="645"/>
      <c r="C63" s="645"/>
      <c r="D63" s="7">
        <v>1</v>
      </c>
      <c r="E63" s="7">
        <v>1</v>
      </c>
      <c r="F63" s="7">
        <v>1</v>
      </c>
      <c r="G63" s="645"/>
      <c r="H63" s="645"/>
      <c r="I63" s="645"/>
      <c r="J63" s="645"/>
      <c r="K63" s="645"/>
      <c r="L63" s="645"/>
      <c r="M63" s="645"/>
      <c r="N63" s="7">
        <v>1</v>
      </c>
      <c r="O63" s="645"/>
    </row>
    <row r="64" spans="1:15">
      <c r="A64" s="7" t="s">
        <v>2166</v>
      </c>
      <c r="B64" s="645"/>
      <c r="C64" s="7">
        <v>1</v>
      </c>
      <c r="D64" s="7">
        <v>1</v>
      </c>
      <c r="E64" s="7">
        <v>1</v>
      </c>
      <c r="F64" s="645"/>
      <c r="G64" s="645"/>
      <c r="H64" s="645"/>
      <c r="I64" s="7">
        <v>1</v>
      </c>
      <c r="J64" s="645"/>
      <c r="K64" s="645"/>
      <c r="L64" s="645"/>
      <c r="M64" s="7">
        <v>1</v>
      </c>
      <c r="N64" s="7">
        <v>1</v>
      </c>
      <c r="O64" s="645"/>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E222"/>
  <sheetViews>
    <sheetView workbookViewId="0" xr3:uid="{65FA3815-DCC1-5481-872F-D2879ED395ED}">
      <pane xSplit="1" ySplit="1" topLeftCell="B122" activePane="bottomRight" state="frozen"/>
      <selection pane="bottomRight" activeCell="A140" sqref="A140"/>
      <selection pane="bottomLeft" activeCell="A2" sqref="A2"/>
      <selection pane="topRight" activeCell="B1" sqref="B1"/>
    </sheetView>
  </sheetViews>
  <sheetFormatPr defaultColWidth="14.42578125" defaultRowHeight="12.75" customHeight="1"/>
  <cols>
    <col min="1" max="1" width="25.42578125" customWidth="1"/>
    <col min="2" max="2" width="25.7109375" hidden="1" customWidth="1"/>
    <col min="3" max="3" width="29.42578125" customWidth="1"/>
    <col min="4" max="4" width="29.85546875" customWidth="1"/>
    <col min="5" max="5" width="70.7109375" customWidth="1"/>
  </cols>
  <sheetData>
    <row r="1" spans="1:5" ht="46.5" customHeight="1">
      <c r="A1" s="1" t="s">
        <v>2167</v>
      </c>
      <c r="B1" s="1" t="s">
        <v>2168</v>
      </c>
      <c r="C1" s="1" t="s">
        <v>2169</v>
      </c>
      <c r="D1" s="2" t="s">
        <v>2170</v>
      </c>
      <c r="E1" s="1" t="s">
        <v>2171</v>
      </c>
    </row>
    <row r="2" spans="1:5" ht="15" customHeight="1">
      <c r="A2" s="10" t="s">
        <v>2172</v>
      </c>
      <c r="B2" s="10"/>
      <c r="C2" s="12"/>
      <c r="D2" s="30"/>
      <c r="E2" s="12" t="s">
        <v>2173</v>
      </c>
    </row>
    <row r="3" spans="1:5" ht="15" customHeight="1">
      <c r="A3" s="10" t="s">
        <v>2174</v>
      </c>
      <c r="B3" s="31" t="s">
        <v>2175</v>
      </c>
      <c r="C3" s="13" t="str">
        <f t="shared" ref="C3:C5" si="0">HYPERLINK("http://www.twitter.com/" &amp; B3,"Follow @"&amp;B3)</f>
        <v>Follow @grumpyadamek</v>
      </c>
      <c r="D3" s="30"/>
      <c r="E3" s="12" t="s">
        <v>2176</v>
      </c>
    </row>
    <row r="4" spans="1:5" ht="15" customHeight="1">
      <c r="A4" s="10" t="s">
        <v>2177</v>
      </c>
      <c r="B4" s="10" t="s">
        <v>2178</v>
      </c>
      <c r="C4" s="13" t="str">
        <f t="shared" si="0"/>
        <v>Follow @BuckysBunker</v>
      </c>
      <c r="D4" s="30"/>
      <c r="E4" s="12" t="s">
        <v>2179</v>
      </c>
    </row>
    <row r="5" spans="1:5" ht="15" customHeight="1">
      <c r="A5" s="10" t="s">
        <v>2180</v>
      </c>
      <c r="B5" s="31" t="s">
        <v>2181</v>
      </c>
      <c r="C5" s="13" t="str">
        <f t="shared" si="0"/>
        <v>Follow @jim_armstrong</v>
      </c>
      <c r="D5" s="30"/>
      <c r="E5" s="12" t="s">
        <v>2182</v>
      </c>
    </row>
    <row r="6" spans="1:5" ht="15" customHeight="1">
      <c r="A6" s="10" t="s">
        <v>2183</v>
      </c>
      <c r="B6" s="10"/>
      <c r="C6" s="27"/>
      <c r="D6" s="30"/>
      <c r="E6" s="12" t="s">
        <v>2184</v>
      </c>
    </row>
    <row r="7" spans="1:5" ht="15" customHeight="1">
      <c r="A7" s="10" t="s">
        <v>2185</v>
      </c>
      <c r="B7" s="10"/>
      <c r="C7" s="12"/>
      <c r="D7" s="30"/>
      <c r="E7" s="12" t="s">
        <v>2186</v>
      </c>
    </row>
    <row r="8" spans="1:5" ht="15" customHeight="1">
      <c r="A8" s="10" t="s">
        <v>2187</v>
      </c>
      <c r="B8" s="10"/>
      <c r="C8" s="12"/>
      <c r="D8" s="30"/>
      <c r="E8" s="12" t="s">
        <v>2176</v>
      </c>
    </row>
    <row r="9" spans="1:5" ht="15" customHeight="1">
      <c r="A9" s="10" t="s">
        <v>2188</v>
      </c>
      <c r="B9" s="10"/>
      <c r="C9" s="12"/>
      <c r="D9" s="30"/>
      <c r="E9" s="12"/>
    </row>
    <row r="10" spans="1:5" ht="15" customHeight="1">
      <c r="A10" s="10" t="s">
        <v>2189</v>
      </c>
      <c r="B10" s="10" t="s">
        <v>2190</v>
      </c>
      <c r="C10" s="13" t="str">
        <f t="shared" ref="C10:C12" si="1">HYPERLINK("http://www.twitter.com/" &amp; B10,"Follow @"&amp;B10)</f>
        <v>Follow @hbalzer721</v>
      </c>
      <c r="D10" s="30"/>
      <c r="E10" s="12" t="s">
        <v>2176</v>
      </c>
    </row>
    <row r="11" spans="1:5" ht="15" customHeight="1">
      <c r="A11" s="10" t="s">
        <v>2191</v>
      </c>
      <c r="B11" s="31" t="s">
        <v>2192</v>
      </c>
      <c r="C11" s="13" t="str">
        <f t="shared" si="1"/>
        <v>Follow @BarnesBurner</v>
      </c>
      <c r="D11" s="30"/>
      <c r="E11" s="12" t="s">
        <v>2193</v>
      </c>
    </row>
    <row r="12" spans="1:5" ht="15" customHeight="1">
      <c r="A12" s="10" t="s">
        <v>2194</v>
      </c>
      <c r="B12" s="31" t="s">
        <v>2195</v>
      </c>
      <c r="C12" s="13" t="str">
        <f t="shared" si="1"/>
        <v xml:space="preserve">Follow @gregbeacham </v>
      </c>
      <c r="D12" s="30" t="s">
        <v>2196</v>
      </c>
      <c r="E12" s="12" t="s">
        <v>2176</v>
      </c>
    </row>
    <row r="13" spans="1:5" ht="15" customHeight="1">
      <c r="A13" s="10" t="s">
        <v>2197</v>
      </c>
      <c r="B13" s="10"/>
      <c r="C13" s="12"/>
      <c r="D13" s="30"/>
      <c r="E13" s="12" t="s">
        <v>2198</v>
      </c>
    </row>
    <row r="14" spans="1:5" ht="15" customHeight="1">
      <c r="A14" s="10" t="s">
        <v>2199</v>
      </c>
      <c r="B14" s="31"/>
      <c r="C14" s="32"/>
      <c r="D14" s="30"/>
      <c r="E14" s="12" t="s">
        <v>2200</v>
      </c>
    </row>
    <row r="15" spans="1:5" ht="15" customHeight="1">
      <c r="A15" s="37" t="s">
        <v>2201</v>
      </c>
      <c r="B15" s="37"/>
      <c r="C15" s="42"/>
      <c r="D15" s="54"/>
      <c r="E15" s="47" t="s">
        <v>2202</v>
      </c>
    </row>
    <row r="16" spans="1:5" ht="15" customHeight="1">
      <c r="A16" s="10" t="s">
        <v>2203</v>
      </c>
      <c r="B16" s="10"/>
      <c r="C16" s="27"/>
      <c r="D16" s="30"/>
      <c r="E16" s="12" t="s">
        <v>2204</v>
      </c>
    </row>
    <row r="17" spans="1:5" ht="15" customHeight="1">
      <c r="A17" s="10" t="s">
        <v>2205</v>
      </c>
      <c r="B17" s="31" t="s">
        <v>2206</v>
      </c>
      <c r="C17" s="13" t="str">
        <f t="shared" ref="C17:C18" si="2">HYPERLINK("http://www.twitter.com/" &amp; B17,"Follow @"&amp;B17)</f>
        <v>Follow @franblinebury</v>
      </c>
      <c r="D17" s="30"/>
      <c r="E17" s="12" t="s">
        <v>2207</v>
      </c>
    </row>
    <row r="18" spans="1:5" ht="15" customHeight="1">
      <c r="A18" s="10" t="s">
        <v>2208</v>
      </c>
      <c r="B18" s="10" t="s">
        <v>2209</v>
      </c>
      <c r="C18" s="13" t="str">
        <f t="shared" si="2"/>
        <v>Follow @earl_bloom_spts</v>
      </c>
      <c r="D18" s="30"/>
      <c r="E18" s="12" t="s">
        <v>2210</v>
      </c>
    </row>
    <row r="19" spans="1:5" ht="15" customHeight="1">
      <c r="A19" s="10" t="s">
        <v>2211</v>
      </c>
      <c r="B19" s="10"/>
      <c r="C19" s="12"/>
      <c r="D19" s="30" t="s">
        <v>2212</v>
      </c>
      <c r="E19" s="12" t="s">
        <v>2176</v>
      </c>
    </row>
    <row r="20" spans="1:5" ht="15" customHeight="1">
      <c r="A20" s="10" t="s">
        <v>2213</v>
      </c>
      <c r="B20" s="10"/>
      <c r="C20" s="12"/>
      <c r="D20" s="30"/>
      <c r="E20" s="12" t="s">
        <v>2214</v>
      </c>
    </row>
    <row r="21" spans="1:5" ht="15" customHeight="1">
      <c r="A21" s="10" t="s">
        <v>2215</v>
      </c>
      <c r="B21" s="31"/>
      <c r="C21" s="32"/>
      <c r="D21" s="30"/>
      <c r="E21" s="12" t="s">
        <v>2176</v>
      </c>
    </row>
    <row r="22" spans="1:5" ht="15" customHeight="1">
      <c r="A22" s="10" t="s">
        <v>2216</v>
      </c>
      <c r="B22" s="31" t="s">
        <v>2217</v>
      </c>
      <c r="C22" s="13" t="str">
        <f>HYPERLINK("http://www.twitter.com/" &amp; B22,"Follow @"&amp;B22)</f>
        <v>Follow @MarkBradleyAJC</v>
      </c>
      <c r="D22" s="30"/>
      <c r="E22" s="12"/>
    </row>
    <row r="23" spans="1:5" ht="15" customHeight="1">
      <c r="A23" s="10" t="s">
        <v>2218</v>
      </c>
      <c r="B23" s="31"/>
      <c r="C23" s="32"/>
      <c r="D23" s="30"/>
      <c r="E23" s="12" t="s">
        <v>2219</v>
      </c>
    </row>
    <row r="24" spans="1:5" ht="15" customHeight="1">
      <c r="A24" s="10" t="s">
        <v>2220</v>
      </c>
      <c r="B24" s="31"/>
      <c r="C24" s="32"/>
      <c r="D24" s="30"/>
      <c r="E24" s="12"/>
    </row>
    <row r="25" spans="1:5" ht="15" customHeight="1">
      <c r="A25" s="10" t="s">
        <v>2221</v>
      </c>
      <c r="B25" s="10"/>
      <c r="C25" s="12"/>
      <c r="D25" s="30"/>
      <c r="E25" s="12"/>
    </row>
    <row r="26" spans="1:5" ht="15" customHeight="1">
      <c r="A26" s="37" t="s">
        <v>2222</v>
      </c>
      <c r="B26" s="37"/>
      <c r="C26" s="47"/>
      <c r="D26" s="54"/>
      <c r="E26" s="47" t="s">
        <v>2223</v>
      </c>
    </row>
    <row r="27" spans="1:5" ht="15" customHeight="1">
      <c r="A27" s="10" t="s">
        <v>2224</v>
      </c>
      <c r="B27" s="31" t="s">
        <v>2225</v>
      </c>
      <c r="C27" s="13" t="str">
        <f>HYPERLINK("http://www.twitter.com/" &amp; B27,"Follow @"&amp;B27)</f>
        <v>Follow @DaveBuscema</v>
      </c>
      <c r="D27" s="30"/>
      <c r="E27" s="12" t="s">
        <v>2226</v>
      </c>
    </row>
    <row r="28" spans="1:5" ht="15" customHeight="1">
      <c r="A28" s="10" t="s">
        <v>2227</v>
      </c>
      <c r="B28" s="31"/>
      <c r="C28" s="32"/>
      <c r="D28" s="30"/>
      <c r="E28" s="12" t="s">
        <v>2228</v>
      </c>
    </row>
    <row r="29" spans="1:5" ht="15" customHeight="1">
      <c r="A29" s="10" t="s">
        <v>2229</v>
      </c>
      <c r="B29" s="31"/>
      <c r="C29" s="32"/>
      <c r="D29" s="30"/>
      <c r="E29" s="12" t="s">
        <v>2230</v>
      </c>
    </row>
    <row r="30" spans="1:5" ht="15" customHeight="1">
      <c r="A30" s="10" t="s">
        <v>2231</v>
      </c>
      <c r="B30" s="31" t="s">
        <v>2232</v>
      </c>
      <c r="C30" s="13" t="str">
        <f t="shared" ref="C30:C31" si="3">HYPERLINK("http://www.twitter.com/" &amp; B30,"Follow @"&amp;B30)</f>
        <v>Follow @joecapMARLINS</v>
      </c>
      <c r="D30" s="30"/>
      <c r="E30" s="12" t="s">
        <v>2226</v>
      </c>
    </row>
    <row r="31" spans="1:5" ht="15" customHeight="1">
      <c r="A31" s="10" t="s">
        <v>2233</v>
      </c>
      <c r="B31" s="31" t="s">
        <v>2234</v>
      </c>
      <c r="C31" s="13" t="str">
        <f t="shared" si="3"/>
        <v>Follow @Lescarpenter</v>
      </c>
      <c r="D31" s="30"/>
      <c r="E31" s="12" t="s">
        <v>2235</v>
      </c>
    </row>
    <row r="32" spans="1:5" ht="15" customHeight="1">
      <c r="A32" s="10" t="s">
        <v>2236</v>
      </c>
      <c r="B32" s="10"/>
      <c r="C32" s="12"/>
      <c r="D32" s="30"/>
      <c r="E32" s="12" t="s">
        <v>2237</v>
      </c>
    </row>
    <row r="33" spans="1:5" ht="15" customHeight="1">
      <c r="A33" s="10" t="s">
        <v>2238</v>
      </c>
      <c r="B33" s="10"/>
      <c r="C33" s="12"/>
      <c r="D33" s="30"/>
      <c r="E33" s="12" t="s">
        <v>2239</v>
      </c>
    </row>
    <row r="34" spans="1:5" ht="15" customHeight="1">
      <c r="A34" s="10" t="s">
        <v>2240</v>
      </c>
      <c r="B34" s="10"/>
      <c r="C34" s="27"/>
      <c r="D34" s="30"/>
      <c r="E34" s="12" t="s">
        <v>2241</v>
      </c>
    </row>
    <row r="35" spans="1:5" ht="15" customHeight="1">
      <c r="A35" s="10" t="s">
        <v>2242</v>
      </c>
      <c r="B35" s="31" t="s">
        <v>2243</v>
      </c>
      <c r="C35" s="13" t="str">
        <f t="shared" ref="C35:C36" si="4">HYPERLINK("http://www.twitter.com/" &amp; B35,"Follow @"&amp;B35)</f>
        <v>Follow @LowellCohn</v>
      </c>
      <c r="D35" s="30"/>
      <c r="E35" s="12" t="s">
        <v>2176</v>
      </c>
    </row>
    <row r="36" spans="1:5" ht="15" customHeight="1">
      <c r="A36" s="37" t="s">
        <v>2244</v>
      </c>
      <c r="B36" s="70" t="s">
        <v>2245</v>
      </c>
      <c r="C36" s="52" t="str">
        <f t="shared" si="4"/>
        <v>Follow @genecollier</v>
      </c>
      <c r="D36" s="54" t="s">
        <v>2246</v>
      </c>
      <c r="E36" s="47" t="s">
        <v>2247</v>
      </c>
    </row>
    <row r="37" spans="1:5" ht="15" customHeight="1">
      <c r="A37" s="10" t="s">
        <v>2248</v>
      </c>
      <c r="B37" s="10"/>
      <c r="C37" s="12"/>
      <c r="D37" s="30"/>
      <c r="E37" s="12" t="s">
        <v>2249</v>
      </c>
    </row>
    <row r="38" spans="1:5" ht="15" customHeight="1">
      <c r="A38" s="10" t="s">
        <v>2250</v>
      </c>
      <c r="B38" s="31" t="s">
        <v>2251</v>
      </c>
      <c r="C38" s="13" t="str">
        <f>HYPERLINK("http://www.twitter.com/" &amp; B38,"Follow @"&amp;B38)</f>
        <v>Follow @cst_Cowley</v>
      </c>
      <c r="D38" s="30"/>
      <c r="E38" s="12" t="s">
        <v>2252</v>
      </c>
    </row>
    <row r="39" spans="1:5" ht="15" customHeight="1">
      <c r="A39" s="10" t="s">
        <v>2253</v>
      </c>
      <c r="B39" s="10"/>
      <c r="C39" s="12"/>
      <c r="D39" s="30"/>
      <c r="E39" s="12"/>
    </row>
    <row r="40" spans="1:5" ht="15" customHeight="1">
      <c r="A40" s="10" t="s">
        <v>2254</v>
      </c>
      <c r="B40" s="10"/>
      <c r="C40" s="27"/>
      <c r="D40" s="30"/>
      <c r="E40" s="12" t="s">
        <v>2255</v>
      </c>
    </row>
    <row r="41" spans="1:5" ht="15" customHeight="1">
      <c r="A41" s="10" t="s">
        <v>2256</v>
      </c>
      <c r="B41" s="10"/>
      <c r="C41" s="27"/>
      <c r="D41" s="30"/>
      <c r="E41" s="12" t="s">
        <v>2207</v>
      </c>
    </row>
    <row r="42" spans="1:5" ht="15" customHeight="1">
      <c r="A42" s="10" t="s">
        <v>2257</v>
      </c>
      <c r="B42" s="31"/>
      <c r="C42" s="32"/>
      <c r="D42" s="30"/>
      <c r="E42" s="12" t="s">
        <v>2258</v>
      </c>
    </row>
    <row r="43" spans="1:5" ht="15" customHeight="1">
      <c r="A43" s="56" t="s">
        <v>2259</v>
      </c>
      <c r="B43" s="56"/>
      <c r="C43" s="57"/>
      <c r="D43" s="309" t="s">
        <v>2260</v>
      </c>
      <c r="E43" s="57"/>
    </row>
    <row r="44" spans="1:5" ht="15" customHeight="1">
      <c r="A44" s="10" t="s">
        <v>2261</v>
      </c>
      <c r="B44" s="10"/>
      <c r="C44" s="27"/>
      <c r="D44" s="30"/>
      <c r="E44" s="12" t="s">
        <v>2262</v>
      </c>
    </row>
    <row r="45" spans="1:5" ht="15" customHeight="1">
      <c r="A45" s="37" t="s">
        <v>2263</v>
      </c>
      <c r="B45" s="37"/>
      <c r="C45" s="47"/>
      <c r="D45" s="310" t="s">
        <v>2260</v>
      </c>
      <c r="E45" s="47" t="s">
        <v>2264</v>
      </c>
    </row>
    <row r="46" spans="1:5" ht="15" customHeight="1">
      <c r="A46" s="10" t="s">
        <v>2265</v>
      </c>
      <c r="B46" s="31"/>
      <c r="C46" s="32"/>
      <c r="D46" s="30"/>
      <c r="E46" s="12"/>
    </row>
    <row r="47" spans="1:5" ht="15" customHeight="1">
      <c r="A47" s="10" t="s">
        <v>2266</v>
      </c>
      <c r="B47" s="31" t="s">
        <v>2267</v>
      </c>
      <c r="C47" s="13" t="str">
        <f>HYPERLINK("http://www.twitter.com/" &amp; B47,"Follow @"&amp;B47)</f>
        <v>Follow @TNT_Mariners</v>
      </c>
      <c r="D47" s="30"/>
      <c r="E47" s="12" t="s">
        <v>2268</v>
      </c>
    </row>
    <row r="48" spans="1:5" ht="15" customHeight="1">
      <c r="A48" s="10" t="s">
        <v>2269</v>
      </c>
      <c r="B48" s="10"/>
      <c r="C48" s="12"/>
      <c r="D48" s="30"/>
      <c r="E48" s="12" t="s">
        <v>2270</v>
      </c>
    </row>
    <row r="49" spans="1:5" ht="15" customHeight="1">
      <c r="A49" s="10" t="s">
        <v>2271</v>
      </c>
      <c r="B49" s="10"/>
      <c r="C49" s="12"/>
      <c r="D49" s="30"/>
      <c r="E49" s="12" t="s">
        <v>2272</v>
      </c>
    </row>
    <row r="50" spans="1:5" ht="15" customHeight="1">
      <c r="A50" s="10" t="s">
        <v>2273</v>
      </c>
      <c r="B50" s="10"/>
      <c r="C50" s="12"/>
      <c r="D50" s="30"/>
      <c r="E50" s="12" t="s">
        <v>2274</v>
      </c>
    </row>
    <row r="51" spans="1:5" ht="15" customHeight="1">
      <c r="A51" s="10" t="s">
        <v>2275</v>
      </c>
      <c r="B51" s="10"/>
      <c r="C51" s="27"/>
      <c r="D51" s="30"/>
      <c r="E51" s="12" t="s">
        <v>2276</v>
      </c>
    </row>
    <row r="52" spans="1:5" ht="15" customHeight="1">
      <c r="A52" s="10" t="s">
        <v>2277</v>
      </c>
      <c r="B52" s="31" t="s">
        <v>2278</v>
      </c>
      <c r="C52" s="13" t="str">
        <f>HYPERLINK("http://www.twitter.com/" &amp; B52,"Follow @"&amp;B52)</f>
        <v>Follow @johnerardi</v>
      </c>
      <c r="D52" s="30" t="s">
        <v>2279</v>
      </c>
      <c r="E52" s="12" t="s">
        <v>2280</v>
      </c>
    </row>
    <row r="53" spans="1:5" ht="15" customHeight="1">
      <c r="A53" s="10" t="s">
        <v>2281</v>
      </c>
      <c r="B53" s="10"/>
      <c r="C53" s="12"/>
      <c r="D53" s="30"/>
      <c r="E53" s="12"/>
    </row>
    <row r="54" spans="1:5" ht="15" customHeight="1">
      <c r="A54" s="10" t="s">
        <v>2282</v>
      </c>
      <c r="B54" s="10"/>
      <c r="C54" s="12"/>
      <c r="D54" s="30"/>
      <c r="E54" s="12" t="s">
        <v>2283</v>
      </c>
    </row>
    <row r="55" spans="1:5" ht="15" customHeight="1">
      <c r="A55" s="10" t="s">
        <v>2284</v>
      </c>
      <c r="B55" s="10"/>
      <c r="C55" s="12"/>
      <c r="D55" s="30"/>
      <c r="E55" s="12"/>
    </row>
    <row r="56" spans="1:5" ht="15" customHeight="1">
      <c r="A56" s="10" t="s">
        <v>2285</v>
      </c>
      <c r="B56" s="10"/>
      <c r="C56" s="27"/>
      <c r="D56" s="30"/>
      <c r="E56" s="12"/>
    </row>
    <row r="57" spans="1:5" ht="15" customHeight="1">
      <c r="A57" s="10" t="s">
        <v>2286</v>
      </c>
      <c r="B57" s="10"/>
      <c r="C57" s="12"/>
      <c r="D57" s="30"/>
      <c r="E57" s="30" t="s">
        <v>2287</v>
      </c>
    </row>
    <row r="58" spans="1:5" ht="15" customHeight="1">
      <c r="A58" s="10" t="s">
        <v>2288</v>
      </c>
      <c r="B58" s="10"/>
      <c r="C58" s="12"/>
      <c r="D58" s="30"/>
      <c r="E58" s="12"/>
    </row>
    <row r="59" spans="1:5" ht="15" customHeight="1">
      <c r="A59" s="10" t="s">
        <v>2289</v>
      </c>
      <c r="B59" s="10"/>
      <c r="C59" s="27"/>
      <c r="D59" s="30"/>
      <c r="E59" s="12" t="s">
        <v>2176</v>
      </c>
    </row>
    <row r="60" spans="1:5" ht="15" customHeight="1">
      <c r="A60" s="10" t="s">
        <v>2290</v>
      </c>
      <c r="B60" s="10"/>
      <c r="C60" s="27"/>
      <c r="D60" s="30"/>
      <c r="E60" s="12"/>
    </row>
    <row r="61" spans="1:5" ht="15" customHeight="1">
      <c r="A61" s="10" t="s">
        <v>2291</v>
      </c>
      <c r="B61" s="10"/>
      <c r="C61" s="12"/>
      <c r="D61" s="30" t="s">
        <v>2292</v>
      </c>
      <c r="E61" s="12" t="s">
        <v>2176</v>
      </c>
    </row>
    <row r="62" spans="1:5" ht="15" customHeight="1">
      <c r="A62" s="10" t="s">
        <v>2293</v>
      </c>
      <c r="B62" s="10"/>
      <c r="C62" s="12"/>
      <c r="D62" s="30"/>
      <c r="E62" s="12" t="s">
        <v>2294</v>
      </c>
    </row>
    <row r="63" spans="1:5" ht="15" customHeight="1">
      <c r="A63" s="10" t="s">
        <v>2295</v>
      </c>
      <c r="B63" s="10"/>
      <c r="C63" s="12"/>
      <c r="D63" s="30"/>
      <c r="E63" s="12" t="s">
        <v>2176</v>
      </c>
    </row>
    <row r="64" spans="1:5" ht="15" customHeight="1">
      <c r="A64" s="10" t="s">
        <v>2296</v>
      </c>
      <c r="B64" s="10"/>
      <c r="C64" s="12"/>
      <c r="D64" s="30"/>
      <c r="E64" s="12"/>
    </row>
    <row r="65" spans="1:5" ht="15" customHeight="1">
      <c r="A65" s="10" t="s">
        <v>2297</v>
      </c>
      <c r="B65" s="31" t="s">
        <v>2298</v>
      </c>
      <c r="C65" s="32"/>
      <c r="D65" s="30"/>
      <c r="E65" s="12" t="s">
        <v>2299</v>
      </c>
    </row>
    <row r="66" spans="1:5" ht="15" customHeight="1">
      <c r="A66" s="10" t="s">
        <v>2300</v>
      </c>
      <c r="B66" s="31" t="s">
        <v>2301</v>
      </c>
      <c r="C66" s="13" t="str">
        <f>HYPERLINK("http://www.twitter.com/" &amp; B66,"Follow @"&amp;B66)</f>
        <v xml:space="preserve">Follow @WakeOfWeek </v>
      </c>
      <c r="D66" s="30"/>
      <c r="E66" s="12" t="s">
        <v>2302</v>
      </c>
    </row>
    <row r="67" spans="1:5" ht="15" customHeight="1">
      <c r="A67" s="10" t="s">
        <v>2303</v>
      </c>
      <c r="B67" s="10"/>
      <c r="C67" s="12"/>
      <c r="D67" s="30"/>
      <c r="E67" s="12"/>
    </row>
    <row r="68" spans="1:5" ht="15" customHeight="1">
      <c r="A68" s="10" t="s">
        <v>2304</v>
      </c>
      <c r="B68" s="10"/>
      <c r="C68" s="12"/>
      <c r="D68" s="30"/>
      <c r="E68" s="12" t="s">
        <v>2305</v>
      </c>
    </row>
    <row r="69" spans="1:5" ht="15" customHeight="1">
      <c r="A69" s="10" t="s">
        <v>2306</v>
      </c>
      <c r="B69" s="10"/>
      <c r="C69" s="12"/>
      <c r="D69" s="30"/>
      <c r="E69" s="12"/>
    </row>
    <row r="70" spans="1:5" ht="15" customHeight="1">
      <c r="A70" s="10" t="s">
        <v>2307</v>
      </c>
      <c r="B70" s="31" t="s">
        <v>2308</v>
      </c>
      <c r="C70" s="13" t="str">
        <f t="shared" ref="C70:C71" si="5">HYPERLINK("http://www.twitter.com/" &amp; B70,"Follow @"&amp;B70)</f>
        <v>Follow @rgilliescanada</v>
      </c>
      <c r="D70" s="30"/>
      <c r="E70" s="12" t="s">
        <v>2176</v>
      </c>
    </row>
    <row r="71" spans="1:5" ht="15" customHeight="1">
      <c r="A71" s="10" t="s">
        <v>2309</v>
      </c>
      <c r="B71" s="31" t="s">
        <v>2310</v>
      </c>
      <c r="C71" s="13" t="str">
        <f t="shared" si="5"/>
        <v>Follow @toniginnetti</v>
      </c>
      <c r="D71" s="30"/>
      <c r="E71" s="12" t="s">
        <v>2311</v>
      </c>
    </row>
    <row r="72" spans="1:5" ht="15" customHeight="1">
      <c r="A72" s="10" t="s">
        <v>2312</v>
      </c>
      <c r="B72" s="10"/>
      <c r="C72" s="12"/>
      <c r="D72" s="30" t="s">
        <v>2313</v>
      </c>
      <c r="E72" s="12" t="s">
        <v>2176</v>
      </c>
    </row>
    <row r="73" spans="1:5" ht="15" customHeight="1">
      <c r="A73" s="10" t="s">
        <v>2314</v>
      </c>
      <c r="B73" s="31"/>
      <c r="C73" s="32"/>
      <c r="D73" s="30"/>
      <c r="E73" s="12"/>
    </row>
    <row r="74" spans="1:5" ht="15" customHeight="1">
      <c r="A74" s="10" t="s">
        <v>2315</v>
      </c>
      <c r="B74" s="10"/>
      <c r="C74" s="12"/>
      <c r="D74" s="30"/>
      <c r="E74" s="12" t="s">
        <v>2316</v>
      </c>
    </row>
    <row r="75" spans="1:5" ht="15" customHeight="1">
      <c r="A75" s="10" t="s">
        <v>2317</v>
      </c>
      <c r="B75" s="10"/>
      <c r="C75" s="32"/>
      <c r="D75" s="30"/>
      <c r="E75" s="12"/>
    </row>
    <row r="76" spans="1:5" ht="15" customHeight="1">
      <c r="A76" s="10" t="s">
        <v>2318</v>
      </c>
      <c r="B76" s="10"/>
      <c r="C76" s="32"/>
      <c r="D76" s="30"/>
      <c r="E76" s="12" t="s">
        <v>2319</v>
      </c>
    </row>
    <row r="77" spans="1:5" ht="15" customHeight="1">
      <c r="A77" s="10" t="s">
        <v>2320</v>
      </c>
      <c r="B77" s="31" t="s">
        <v>2321</v>
      </c>
      <c r="C77" s="13" t="str">
        <f t="shared" ref="C77:C78" si="6">HYPERLINK("http://www.twitter.com/" &amp; B77,"Follow @"&amp;B77)</f>
        <v>Follow @kguregian</v>
      </c>
      <c r="D77" s="30"/>
      <c r="E77" s="12" t="s">
        <v>2322</v>
      </c>
    </row>
    <row r="78" spans="1:5" ht="15" customHeight="1">
      <c r="A78" s="10" t="s">
        <v>2323</v>
      </c>
      <c r="B78" s="31" t="s">
        <v>2324</v>
      </c>
      <c r="C78" s="13" t="str">
        <f t="shared" si="6"/>
        <v>Follow @hagenp</v>
      </c>
      <c r="D78" s="30" t="s">
        <v>2325</v>
      </c>
      <c r="E78" s="12"/>
    </row>
    <row r="79" spans="1:5" ht="15" customHeight="1">
      <c r="A79" s="10" t="s">
        <v>2326</v>
      </c>
      <c r="B79" s="31"/>
      <c r="C79" s="32"/>
      <c r="D79" s="30"/>
      <c r="E79" s="12" t="s">
        <v>2327</v>
      </c>
    </row>
    <row r="80" spans="1:5" ht="15" customHeight="1">
      <c r="A80" s="10" t="s">
        <v>2328</v>
      </c>
      <c r="B80" s="31"/>
      <c r="C80" s="32"/>
      <c r="D80" s="30"/>
      <c r="E80" s="12" t="s">
        <v>2329</v>
      </c>
    </row>
    <row r="81" spans="1:5" ht="15" customHeight="1">
      <c r="A81" s="37" t="s">
        <v>2330</v>
      </c>
      <c r="B81" s="70" t="s">
        <v>2331</v>
      </c>
      <c r="C81" s="52" t="str">
        <f t="shared" ref="C81:C82" si="7">HYPERLINK("http://www.twitter.com/" &amp; B81,"Follow @"&amp;B81)</f>
        <v>Follow @bethharrisap</v>
      </c>
      <c r="D81" s="54"/>
      <c r="E81" s="47" t="s">
        <v>2332</v>
      </c>
    </row>
    <row r="82" spans="1:5" ht="15" customHeight="1">
      <c r="A82" s="10" t="s">
        <v>2333</v>
      </c>
      <c r="B82" s="31" t="s">
        <v>2334</v>
      </c>
      <c r="C82" s="13" t="str">
        <f t="shared" si="7"/>
        <v>Follow @HartAttakSports</v>
      </c>
      <c r="D82" s="30" t="s">
        <v>2335</v>
      </c>
      <c r="E82" s="12" t="s">
        <v>2336</v>
      </c>
    </row>
    <row r="83" spans="1:5" ht="15" customHeight="1">
      <c r="A83" s="10" t="s">
        <v>2337</v>
      </c>
      <c r="B83" s="10"/>
      <c r="C83" s="12"/>
      <c r="D83" s="30"/>
      <c r="E83" s="12"/>
    </row>
    <row r="84" spans="1:5" ht="15" customHeight="1">
      <c r="A84" s="10" t="s">
        <v>2338</v>
      </c>
      <c r="B84" s="31" t="s">
        <v>2339</v>
      </c>
      <c r="C84" s="13" t="str">
        <f t="shared" ref="C84:C86" si="8">HYPERLINK("http://www.twitter.com/" &amp; B84,"Follow @"&amp;B84)</f>
        <v>Follow @SidHartman</v>
      </c>
      <c r="D84" s="30"/>
      <c r="E84" s="12" t="s">
        <v>2207</v>
      </c>
    </row>
    <row r="85" spans="1:5" ht="15" customHeight="1">
      <c r="A85" s="10" t="s">
        <v>2340</v>
      </c>
      <c r="B85" s="31" t="s">
        <v>2341</v>
      </c>
      <c r="C85" s="13" t="str">
        <f t="shared" si="8"/>
        <v>Follow @hawkaptexas</v>
      </c>
      <c r="D85" s="30"/>
      <c r="E85" s="12" t="s">
        <v>2207</v>
      </c>
    </row>
    <row r="86" spans="1:5" ht="15" customHeight="1">
      <c r="A86" s="10" t="s">
        <v>2342</v>
      </c>
      <c r="B86" s="31" t="s">
        <v>2343</v>
      </c>
      <c r="C86" s="13" t="str">
        <f t="shared" si="8"/>
        <v xml:space="preserve">Follow @chenkel </v>
      </c>
      <c r="D86" s="30"/>
      <c r="E86" s="12" t="s">
        <v>2344</v>
      </c>
    </row>
    <row r="87" spans="1:5" ht="15" customHeight="1">
      <c r="A87" s="10" t="s">
        <v>2345</v>
      </c>
      <c r="B87" s="31"/>
      <c r="C87" s="32"/>
      <c r="D87" s="30"/>
      <c r="E87" s="12" t="s">
        <v>2346</v>
      </c>
    </row>
    <row r="88" spans="1:5" ht="15" customHeight="1">
      <c r="A88" s="10" t="s">
        <v>2347</v>
      </c>
      <c r="B88" s="31" t="s">
        <v>2348</v>
      </c>
      <c r="C88" s="13" t="str">
        <f>HYPERLINK("http://www.twitter.com/" &amp; B88,"Follow @"&amp;B88)</f>
        <v>Follow @beisbolporgotas</v>
      </c>
      <c r="D88" s="30"/>
      <c r="E88" s="12"/>
    </row>
    <row r="89" spans="1:5" ht="15" customHeight="1">
      <c r="A89" s="10" t="s">
        <v>2349</v>
      </c>
      <c r="B89" s="31"/>
      <c r="C89" s="32"/>
      <c r="D89" s="30"/>
      <c r="E89" s="12" t="s">
        <v>2350</v>
      </c>
    </row>
    <row r="90" spans="1:5" ht="15" customHeight="1">
      <c r="A90" s="10" t="s">
        <v>2351</v>
      </c>
      <c r="B90" s="10"/>
      <c r="C90" s="12"/>
      <c r="D90" s="30"/>
      <c r="E90" s="12" t="s">
        <v>2352</v>
      </c>
    </row>
    <row r="91" spans="1:5" ht="15" customHeight="1">
      <c r="A91" s="10" t="s">
        <v>2353</v>
      </c>
      <c r="B91" s="31" t="s">
        <v>2354</v>
      </c>
      <c r="C91" s="13" t="str">
        <f>HYPERLINK("http://www.twitter.com/" &amp; B91,"Follow @"&amp;B91)</f>
        <v>Follow @JHickey3</v>
      </c>
      <c r="D91" s="30" t="s">
        <v>2355</v>
      </c>
      <c r="E91" s="12" t="s">
        <v>2356</v>
      </c>
    </row>
    <row r="92" spans="1:5" ht="15" customHeight="1">
      <c r="A92" s="10" t="s">
        <v>2357</v>
      </c>
      <c r="B92" s="10"/>
      <c r="C92" s="27"/>
      <c r="D92" s="30"/>
      <c r="E92" s="12" t="s">
        <v>2358</v>
      </c>
    </row>
    <row r="93" spans="1:5" ht="15" customHeight="1">
      <c r="A93" s="10" t="s">
        <v>2359</v>
      </c>
      <c r="B93" s="31" t="s">
        <v>2360</v>
      </c>
      <c r="C93" s="13" t="str">
        <f t="shared" ref="C93:C95" si="9">HYPERLINK("http://www.twitter.com/" &amp; B93,"Follow @"&amp;B93)</f>
        <v>Follow @oldbiscuitpants</v>
      </c>
      <c r="D93" s="30"/>
      <c r="E93" s="12" t="s">
        <v>2361</v>
      </c>
    </row>
    <row r="94" spans="1:5" ht="15" customHeight="1">
      <c r="A94" s="10" t="s">
        <v>2362</v>
      </c>
      <c r="B94" s="31" t="s">
        <v>2363</v>
      </c>
      <c r="C94" s="13" t="str">
        <f t="shared" si="9"/>
        <v>Follow @PeterHirdt</v>
      </c>
      <c r="D94" s="30"/>
      <c r="E94" s="12" t="s">
        <v>2364</v>
      </c>
    </row>
    <row r="95" spans="1:5" ht="15" customHeight="1">
      <c r="A95" s="10" t="s">
        <v>2365</v>
      </c>
      <c r="B95" s="10" t="s">
        <v>2366</v>
      </c>
      <c r="C95" s="13" t="str">
        <f t="shared" si="9"/>
        <v>Follow @SteveHirdt</v>
      </c>
      <c r="D95" s="30"/>
      <c r="E95" s="12" t="s">
        <v>2364</v>
      </c>
    </row>
    <row r="96" spans="1:5" ht="15" customHeight="1">
      <c r="A96" s="10" t="s">
        <v>2367</v>
      </c>
      <c r="B96" s="10"/>
      <c r="C96" s="12"/>
      <c r="D96" s="30"/>
      <c r="E96" s="12" t="s">
        <v>2364</v>
      </c>
    </row>
    <row r="97" spans="1:5" ht="15" customHeight="1">
      <c r="A97" s="10" t="s">
        <v>2368</v>
      </c>
      <c r="B97" s="10"/>
      <c r="C97" s="12"/>
      <c r="D97" s="30"/>
      <c r="E97" s="12" t="s">
        <v>2369</v>
      </c>
    </row>
    <row r="98" spans="1:5" ht="15" customHeight="1">
      <c r="A98" s="10" t="s">
        <v>2370</v>
      </c>
      <c r="B98" s="31"/>
      <c r="C98" s="32"/>
      <c r="D98" s="30"/>
      <c r="E98" s="12" t="s">
        <v>2184</v>
      </c>
    </row>
    <row r="99" spans="1:5" ht="15" customHeight="1">
      <c r="A99" s="10" t="s">
        <v>2371</v>
      </c>
      <c r="B99" s="10"/>
      <c r="C99" s="12"/>
      <c r="D99" s="30"/>
      <c r="E99" s="12" t="s">
        <v>2207</v>
      </c>
    </row>
    <row r="100" spans="1:5" ht="15" customHeight="1">
      <c r="A100" s="10" t="s">
        <v>2372</v>
      </c>
      <c r="B100" s="10"/>
      <c r="C100" s="12"/>
      <c r="D100" s="30"/>
      <c r="E100" s="12" t="s">
        <v>2207</v>
      </c>
    </row>
    <row r="101" spans="1:5" ht="15" customHeight="1">
      <c r="A101" s="37" t="s">
        <v>2373</v>
      </c>
      <c r="B101" s="70" t="s">
        <v>2374</v>
      </c>
      <c r="C101" s="52" t="str">
        <f t="shared" ref="C101:C102" si="10">HYPERLINK("http://www.twitter.com/" &amp; B101,"Follow @"&amp;B101)</f>
        <v>Follow @MichaelHuntMJS</v>
      </c>
      <c r="D101" s="54" t="s">
        <v>2335</v>
      </c>
      <c r="E101" s="47" t="s">
        <v>2375</v>
      </c>
    </row>
    <row r="102" spans="1:5" ht="15" customHeight="1">
      <c r="A102" s="10" t="s">
        <v>2376</v>
      </c>
      <c r="B102" s="31" t="s">
        <v>2377</v>
      </c>
      <c r="C102" s="13" t="str">
        <f t="shared" si="10"/>
        <v>Follow @dailyhunter</v>
      </c>
      <c r="D102" s="30"/>
      <c r="E102" s="12" t="s">
        <v>2207</v>
      </c>
    </row>
    <row r="103" spans="1:5" ht="15" customHeight="1">
      <c r="A103" s="10" t="s">
        <v>2378</v>
      </c>
      <c r="B103" s="10"/>
      <c r="C103" s="27"/>
      <c r="D103" s="30"/>
      <c r="E103" s="12"/>
    </row>
    <row r="104" spans="1:5" ht="15" customHeight="1">
      <c r="A104" s="10" t="s">
        <v>2379</v>
      </c>
      <c r="B104" s="10"/>
      <c r="C104" s="12"/>
      <c r="D104" s="30"/>
      <c r="E104" s="12" t="s">
        <v>2380</v>
      </c>
    </row>
    <row r="105" spans="1:5" ht="15" customHeight="1">
      <c r="A105" s="10" t="s">
        <v>2381</v>
      </c>
      <c r="B105" s="31" t="s">
        <v>2382</v>
      </c>
      <c r="C105" s="13" t="str">
        <f t="shared" ref="C105:C107" si="11">HYPERLINK("http://www.twitter.com/" &amp; B105,"Follow @"&amp;B105)</f>
        <v>Follow @chuckjohnsonINK</v>
      </c>
      <c r="D105" s="30"/>
      <c r="E105" s="12" t="s">
        <v>2207</v>
      </c>
    </row>
    <row r="106" spans="1:5" ht="15" customHeight="1">
      <c r="A106" s="10" t="s">
        <v>2383</v>
      </c>
      <c r="B106" s="31" t="s">
        <v>2384</v>
      </c>
      <c r="C106" s="13" t="str">
        <f t="shared" si="11"/>
        <v>Follow @KCKaegel</v>
      </c>
      <c r="D106" s="30" t="s">
        <v>2385</v>
      </c>
      <c r="E106" s="12"/>
    </row>
    <row r="107" spans="1:5" ht="15" customHeight="1">
      <c r="A107" s="10" t="s">
        <v>2386</v>
      </c>
      <c r="B107" s="31" t="s">
        <v>2387</v>
      </c>
      <c r="C107" s="13" t="str">
        <f t="shared" si="11"/>
        <v>Follow @apjoekay</v>
      </c>
      <c r="D107" s="30"/>
      <c r="E107" s="12" t="s">
        <v>2176</v>
      </c>
    </row>
    <row r="108" spans="1:5" ht="15" customHeight="1">
      <c r="A108" s="10" t="s">
        <v>2388</v>
      </c>
      <c r="B108" s="10"/>
      <c r="C108" s="27"/>
      <c r="D108" s="30"/>
      <c r="E108" s="12" t="s">
        <v>2389</v>
      </c>
    </row>
    <row r="109" spans="1:5" ht="15" customHeight="1">
      <c r="A109" s="10" t="s">
        <v>2390</v>
      </c>
      <c r="B109" s="10"/>
      <c r="C109" s="27"/>
      <c r="D109" s="30"/>
      <c r="E109" s="12" t="s">
        <v>2391</v>
      </c>
    </row>
    <row r="110" spans="1:5" ht="15" customHeight="1">
      <c r="A110" s="10" t="s">
        <v>2392</v>
      </c>
      <c r="B110" s="10"/>
      <c r="C110" s="27"/>
      <c r="D110" s="30"/>
      <c r="E110" s="12" t="s">
        <v>2393</v>
      </c>
    </row>
    <row r="111" spans="1:5" ht="15" customHeight="1">
      <c r="A111" s="10" t="s">
        <v>2394</v>
      </c>
      <c r="B111" s="10"/>
      <c r="C111" s="12"/>
      <c r="D111" s="30"/>
      <c r="E111" s="12" t="s">
        <v>2395</v>
      </c>
    </row>
    <row r="112" spans="1:5" ht="15" customHeight="1">
      <c r="A112" s="10" t="s">
        <v>2396</v>
      </c>
      <c r="B112" s="10" t="s">
        <v>2397</v>
      </c>
      <c r="C112" s="13" t="str">
        <f>HYPERLINK("http://www.twitter.com/" &amp; B112,"Follow @"&amp;B112)</f>
        <v>Follow @bkoch</v>
      </c>
      <c r="D112" s="30"/>
      <c r="E112" s="12" t="s">
        <v>2398</v>
      </c>
    </row>
    <row r="113" spans="1:5" ht="15" customHeight="1">
      <c r="A113" s="10" t="s">
        <v>2399</v>
      </c>
      <c r="B113" s="10"/>
      <c r="C113" s="12"/>
      <c r="D113" s="30"/>
      <c r="E113" s="12"/>
    </row>
    <row r="114" spans="1:5" ht="15" customHeight="1">
      <c r="A114" s="10" t="s">
        <v>2400</v>
      </c>
      <c r="B114" s="31"/>
      <c r="C114" s="32"/>
      <c r="D114" s="30"/>
      <c r="E114" s="12" t="s">
        <v>2401</v>
      </c>
    </row>
    <row r="115" spans="1:5" ht="15" customHeight="1">
      <c r="A115" s="10" t="s">
        <v>2402</v>
      </c>
      <c r="B115" s="31" t="s">
        <v>2403</v>
      </c>
      <c r="C115" s="13" t="str">
        <f t="shared" ref="C115:C117" si="12">HYPERLINK("http://www.twitter.com/" &amp; B115,"Follow @"&amp;B115)</f>
        <v xml:space="preserve">Follow @stkras1 </v>
      </c>
      <c r="D115" s="30"/>
      <c r="E115" s="12" t="s">
        <v>2404</v>
      </c>
    </row>
    <row r="116" spans="1:5" ht="15" customHeight="1">
      <c r="A116" s="10" t="s">
        <v>2405</v>
      </c>
      <c r="B116" s="10" t="s">
        <v>2406</v>
      </c>
      <c r="C116" s="13" t="str">
        <f t="shared" si="12"/>
        <v>Follow @rkuwada</v>
      </c>
      <c r="D116" s="30"/>
      <c r="E116" s="12" t="s">
        <v>2407</v>
      </c>
    </row>
    <row r="117" spans="1:5" ht="15" customHeight="1">
      <c r="A117" s="10" t="s">
        <v>2408</v>
      </c>
      <c r="B117" s="31" t="s">
        <v>2409</v>
      </c>
      <c r="C117" s="13" t="str">
        <f t="shared" si="12"/>
        <v>Follow @johnlabo</v>
      </c>
      <c r="D117" s="30"/>
      <c r="E117" s="12" t="s">
        <v>2364</v>
      </c>
    </row>
    <row r="118" spans="1:5" ht="15" customHeight="1">
      <c r="A118" s="10" t="s">
        <v>2410</v>
      </c>
      <c r="B118" s="10"/>
      <c r="C118" s="12"/>
      <c r="D118" s="30"/>
      <c r="E118" s="12" t="s">
        <v>2364</v>
      </c>
    </row>
    <row r="119" spans="1:5" ht="15" customHeight="1">
      <c r="A119" s="10" t="s">
        <v>2411</v>
      </c>
      <c r="B119" s="10"/>
      <c r="C119" s="12"/>
      <c r="D119" s="30"/>
      <c r="E119" s="12" t="s">
        <v>2176</v>
      </c>
    </row>
    <row r="120" spans="1:5" ht="15" customHeight="1">
      <c r="A120" s="10" t="s">
        <v>2412</v>
      </c>
      <c r="B120" s="10"/>
      <c r="C120" s="12"/>
      <c r="D120" s="30"/>
      <c r="E120" s="12"/>
    </row>
    <row r="121" spans="1:5" ht="15" customHeight="1">
      <c r="A121" s="10" t="s">
        <v>2413</v>
      </c>
      <c r="B121" s="31" t="s">
        <v>2414</v>
      </c>
      <c r="C121" s="13" t="str">
        <f t="shared" ref="C121:C122" si="13">HYPERLINK("http://www.twitter.com/" &amp; B121,"Follow @"&amp;B121)</f>
        <v>Follow @LarryLage</v>
      </c>
      <c r="D121" s="30"/>
      <c r="E121" s="12" t="s">
        <v>2176</v>
      </c>
    </row>
    <row r="122" spans="1:5" ht="15" customHeight="1">
      <c r="A122" s="10" t="s">
        <v>2415</v>
      </c>
      <c r="B122" s="31" t="s">
        <v>2416</v>
      </c>
      <c r="C122" s="13" t="str">
        <f t="shared" si="13"/>
        <v>Follow @KeithLLair</v>
      </c>
      <c r="D122" s="30"/>
      <c r="E122" s="12" t="s">
        <v>2226</v>
      </c>
    </row>
    <row r="123" spans="1:5" ht="15" customHeight="1">
      <c r="A123" s="10" t="s">
        <v>2417</v>
      </c>
      <c r="B123" s="10"/>
      <c r="C123" s="12"/>
      <c r="D123" s="30" t="s">
        <v>1137</v>
      </c>
      <c r="E123" s="12" t="s">
        <v>2176</v>
      </c>
    </row>
    <row r="124" spans="1:5" ht="15" customHeight="1">
      <c r="A124" s="10" t="s">
        <v>2418</v>
      </c>
      <c r="B124" s="10"/>
      <c r="C124" s="12"/>
      <c r="D124" s="30"/>
      <c r="E124" s="12" t="s">
        <v>2419</v>
      </c>
    </row>
    <row r="125" spans="1:5" ht="15" customHeight="1">
      <c r="A125" s="10" t="s">
        <v>2420</v>
      </c>
      <c r="B125" s="31" t="s">
        <v>2421</v>
      </c>
      <c r="C125" s="13" t="str">
        <f t="shared" ref="C125:C126" si="14">HYPERLINK("http://www.twitter.com/" &amp; B125,"Follow @"&amp;B125)</f>
        <v>Follow @Blincicome</v>
      </c>
      <c r="D125" s="30"/>
      <c r="E125" s="12" t="s">
        <v>2422</v>
      </c>
    </row>
    <row r="126" spans="1:5" ht="15" customHeight="1">
      <c r="A126" s="10" t="s">
        <v>2423</v>
      </c>
      <c r="B126" s="10" t="s">
        <v>2424</v>
      </c>
      <c r="C126" s="13" t="str">
        <f t="shared" si="14"/>
        <v>Follow @LoprestiSports</v>
      </c>
      <c r="D126" s="30"/>
      <c r="E126" s="12" t="s">
        <v>2425</v>
      </c>
    </row>
    <row r="127" spans="1:5" ht="15" customHeight="1">
      <c r="A127" s="10" t="s">
        <v>2426</v>
      </c>
      <c r="B127" s="31"/>
      <c r="C127" s="32"/>
      <c r="D127" s="30"/>
      <c r="E127" s="12" t="s">
        <v>2427</v>
      </c>
    </row>
    <row r="128" spans="1:5" ht="15" customHeight="1">
      <c r="A128" s="10" t="s">
        <v>2428</v>
      </c>
      <c r="B128" s="10"/>
      <c r="C128" s="32"/>
      <c r="D128" s="30"/>
      <c r="E128" s="12" t="s">
        <v>2429</v>
      </c>
    </row>
    <row r="129" spans="1:5" ht="15" customHeight="1">
      <c r="A129" s="10" t="s">
        <v>2430</v>
      </c>
      <c r="B129" s="10"/>
      <c r="C129" s="12"/>
      <c r="D129" s="30"/>
      <c r="E129" s="12"/>
    </row>
    <row r="130" spans="1:5" ht="15" customHeight="1">
      <c r="A130" s="10" t="s">
        <v>2431</v>
      </c>
      <c r="B130" s="10"/>
      <c r="C130" s="27"/>
      <c r="D130" s="30"/>
      <c r="E130" s="12" t="s">
        <v>2230</v>
      </c>
    </row>
    <row r="131" spans="1:5" ht="15" customHeight="1">
      <c r="A131" s="10" t="s">
        <v>2432</v>
      </c>
      <c r="B131" s="10"/>
      <c r="C131" s="12"/>
      <c r="D131" s="30"/>
      <c r="E131" s="12" t="s">
        <v>2433</v>
      </c>
    </row>
    <row r="132" spans="1:5" ht="15" customHeight="1">
      <c r="A132" s="10" t="s">
        <v>2434</v>
      </c>
      <c r="B132" s="10"/>
      <c r="C132" s="12"/>
      <c r="D132" s="30"/>
      <c r="E132" s="12" t="s">
        <v>2435</v>
      </c>
    </row>
    <row r="133" spans="1:5" ht="15" customHeight="1">
      <c r="A133" s="10" t="s">
        <v>2436</v>
      </c>
      <c r="B133" s="10"/>
      <c r="C133" s="12"/>
      <c r="D133" s="30"/>
      <c r="E133" s="12" t="s">
        <v>2176</v>
      </c>
    </row>
    <row r="134" spans="1:5" ht="15" customHeight="1">
      <c r="A134" s="10" t="s">
        <v>2437</v>
      </c>
      <c r="B134" s="31" t="s">
        <v>2438</v>
      </c>
      <c r="C134" s="13" t="str">
        <f>HYPERLINK("http://www.twitter.com/" &amp; B134,"Follow @"&amp;B134)</f>
        <v>Follow @toallfields</v>
      </c>
      <c r="D134" s="30"/>
      <c r="E134" s="12" t="s">
        <v>2439</v>
      </c>
    </row>
    <row r="135" spans="1:5" ht="15" customHeight="1">
      <c r="A135" s="10" t="s">
        <v>2440</v>
      </c>
      <c r="B135" s="10"/>
      <c r="C135" s="12"/>
      <c r="D135" s="30" t="s">
        <v>2441</v>
      </c>
      <c r="E135" s="12" t="s">
        <v>2207</v>
      </c>
    </row>
    <row r="136" spans="1:5" ht="15" customHeight="1">
      <c r="A136" s="10" t="s">
        <v>2442</v>
      </c>
      <c r="B136" s="10"/>
      <c r="C136" s="27"/>
      <c r="D136" s="30"/>
      <c r="E136" s="12"/>
    </row>
    <row r="137" spans="1:5" ht="15" customHeight="1">
      <c r="A137" s="10" t="s">
        <v>2443</v>
      </c>
      <c r="B137" s="10"/>
      <c r="C137" s="12"/>
      <c r="D137" s="30" t="s">
        <v>2444</v>
      </c>
      <c r="E137" s="12" t="s">
        <v>2176</v>
      </c>
    </row>
    <row r="138" spans="1:5" ht="15" customHeight="1">
      <c r="A138" s="10" t="s">
        <v>2445</v>
      </c>
      <c r="B138" s="10"/>
      <c r="C138" s="27"/>
      <c r="D138" s="30"/>
      <c r="E138" s="12"/>
    </row>
    <row r="139" spans="1:5" ht="15" customHeight="1">
      <c r="A139" s="10" t="s">
        <v>2446</v>
      </c>
      <c r="B139" s="31" t="s">
        <v>2447</v>
      </c>
      <c r="C139" s="13" t="str">
        <f>HYPERLINK("http://www.twitter.com/" &amp; B139,"Follow @"&amp;B139)</f>
        <v xml:space="preserve">Follow @JanieMcCAP </v>
      </c>
      <c r="D139" s="30"/>
      <c r="E139" s="12" t="s">
        <v>2448</v>
      </c>
    </row>
    <row r="140" spans="1:5" ht="15" customHeight="1">
      <c r="A140" s="10" t="s">
        <v>2449</v>
      </c>
      <c r="B140" s="10"/>
      <c r="C140" s="12"/>
      <c r="D140" s="30"/>
      <c r="E140" s="12" t="s">
        <v>2450</v>
      </c>
    </row>
    <row r="141" spans="1:5" ht="15" customHeight="1">
      <c r="A141" s="10" t="s">
        <v>2451</v>
      </c>
      <c r="B141" s="10" t="s">
        <v>2452</v>
      </c>
      <c r="C141" s="13" t="str">
        <f>HYPERLINK("http://www.twitter.com/" &amp; B141,"Follow @"&amp;B141)</f>
        <v>Follow @lennymegs</v>
      </c>
      <c r="D141" s="30"/>
      <c r="E141" s="12" t="s">
        <v>2226</v>
      </c>
    </row>
    <row r="142" spans="1:5" ht="15" customHeight="1">
      <c r="A142" s="10" t="s">
        <v>2453</v>
      </c>
      <c r="B142" s="10"/>
      <c r="C142" s="12"/>
      <c r="D142" s="30"/>
      <c r="E142" s="12"/>
    </row>
    <row r="143" spans="1:5" ht="15" customHeight="1">
      <c r="A143" s="10" t="s">
        <v>2454</v>
      </c>
      <c r="B143" s="10"/>
      <c r="C143" s="12"/>
      <c r="D143" s="30"/>
      <c r="E143" s="13" t="s">
        <v>2455</v>
      </c>
    </row>
    <row r="144" spans="1:5" ht="15" customHeight="1">
      <c r="A144" s="10" t="s">
        <v>2456</v>
      </c>
      <c r="B144" s="10" t="s">
        <v>2457</v>
      </c>
      <c r="C144" s="13" t="str">
        <f t="shared" ref="C144:C147" si="15">HYPERLINK("http://www.twitter.com/" &amp; B144,"Follow @"&amp;B144)</f>
        <v>Follow @stevemeyerhoff</v>
      </c>
      <c r="D144" s="30"/>
      <c r="E144" s="12" t="s">
        <v>2404</v>
      </c>
    </row>
    <row r="145" spans="1:5" ht="15" customHeight="1">
      <c r="A145" s="10" t="s">
        <v>2458</v>
      </c>
      <c r="B145" s="31" t="s">
        <v>2459</v>
      </c>
      <c r="C145" s="13" t="str">
        <f t="shared" si="15"/>
        <v>Follow @malcolm_moran</v>
      </c>
      <c r="D145" s="30"/>
      <c r="E145" s="12" t="s">
        <v>2226</v>
      </c>
    </row>
    <row r="146" spans="1:5" ht="15" customHeight="1">
      <c r="A146" s="10" t="s">
        <v>2460</v>
      </c>
      <c r="B146" s="10" t="s">
        <v>2461</v>
      </c>
      <c r="C146" s="13" t="str">
        <f t="shared" si="15"/>
        <v>Follow @SportsOfAllSort</v>
      </c>
      <c r="D146" s="30"/>
      <c r="E146" s="12" t="s">
        <v>2176</v>
      </c>
    </row>
    <row r="147" spans="1:5" ht="15" customHeight="1">
      <c r="A147" s="10" t="s">
        <v>2462</v>
      </c>
      <c r="B147" s="10" t="s">
        <v>2463</v>
      </c>
      <c r="C147" s="13" t="str">
        <f t="shared" si="15"/>
        <v>Follow @irvmoss</v>
      </c>
      <c r="D147" s="30"/>
      <c r="E147" s="12" t="s">
        <v>2176</v>
      </c>
    </row>
    <row r="148" spans="1:5" ht="15" customHeight="1">
      <c r="A148" s="10" t="s">
        <v>2464</v>
      </c>
      <c r="B148" s="10"/>
      <c r="C148" s="27"/>
      <c r="D148" s="30"/>
      <c r="E148" s="12" t="s">
        <v>2176</v>
      </c>
    </row>
    <row r="149" spans="1:5" ht="15" customHeight="1">
      <c r="A149" s="10" t="s">
        <v>2465</v>
      </c>
      <c r="B149" s="10"/>
      <c r="C149" s="12"/>
      <c r="D149" s="30"/>
      <c r="E149" s="12" t="s">
        <v>2466</v>
      </c>
    </row>
    <row r="150" spans="1:5" ht="15" customHeight="1">
      <c r="A150" s="10" t="s">
        <v>2467</v>
      </c>
      <c r="B150" s="31"/>
      <c r="C150" s="32"/>
      <c r="D150" s="30"/>
      <c r="E150" s="12" t="s">
        <v>2468</v>
      </c>
    </row>
    <row r="151" spans="1:5" ht="15" customHeight="1">
      <c r="A151" s="10" t="s">
        <v>2469</v>
      </c>
      <c r="B151" s="31"/>
      <c r="C151" s="32"/>
      <c r="D151" s="30"/>
      <c r="E151" s="12" t="s">
        <v>2470</v>
      </c>
    </row>
    <row r="152" spans="1:5" ht="15" customHeight="1">
      <c r="A152" s="10" t="s">
        <v>2471</v>
      </c>
      <c r="B152" s="10"/>
      <c r="C152" s="27"/>
      <c r="D152" s="30"/>
      <c r="E152" s="12" t="s">
        <v>2472</v>
      </c>
    </row>
    <row r="153" spans="1:5" ht="15" customHeight="1">
      <c r="A153" s="10" t="s">
        <v>2473</v>
      </c>
      <c r="B153" s="31"/>
      <c r="C153" s="32"/>
      <c r="D153" s="30"/>
      <c r="E153" s="12"/>
    </row>
    <row r="154" spans="1:5" ht="15" customHeight="1">
      <c r="A154" s="10" t="s">
        <v>2474</v>
      </c>
      <c r="B154" s="10"/>
      <c r="C154" s="12"/>
      <c r="D154" s="30"/>
      <c r="E154" s="12" t="s">
        <v>2475</v>
      </c>
    </row>
    <row r="155" spans="1:5" ht="15" customHeight="1">
      <c r="A155" s="10" t="s">
        <v>2476</v>
      </c>
      <c r="B155" s="10" t="s">
        <v>2477</v>
      </c>
      <c r="C155" s="13" t="str">
        <f t="shared" ref="C155:C158" si="16">HYPERLINK("http://www.twitter.com/" &amp; B155,"Follow @"&amp;B155)</f>
        <v>Follow @oapostrophesd</v>
      </c>
      <c r="D155" s="30"/>
      <c r="E155" s="12" t="s">
        <v>2478</v>
      </c>
    </row>
    <row r="156" spans="1:5" ht="15" customHeight="1">
      <c r="A156" s="10" t="s">
        <v>2479</v>
      </c>
      <c r="B156" s="31" t="s">
        <v>2480</v>
      </c>
      <c r="C156" s="13" t="str">
        <f t="shared" si="16"/>
        <v>Follow @SheldonOckerABJ</v>
      </c>
      <c r="D156" s="30"/>
      <c r="E156" s="12" t="s">
        <v>2481</v>
      </c>
    </row>
    <row r="157" spans="1:5" ht="15" customHeight="1">
      <c r="A157" s="10" t="s">
        <v>2482</v>
      </c>
      <c r="B157" s="31" t="s">
        <v>2483</v>
      </c>
      <c r="C157" s="13" t="str">
        <f t="shared" si="16"/>
        <v>Follow @hidekiokuda48</v>
      </c>
      <c r="D157" s="30"/>
      <c r="E157" s="12" t="s">
        <v>2478</v>
      </c>
    </row>
    <row r="158" spans="1:5" ht="15" customHeight="1">
      <c r="A158" s="10" t="s">
        <v>2484</v>
      </c>
      <c r="B158" s="31" t="s">
        <v>2485</v>
      </c>
      <c r="C158" s="13" t="str">
        <f t="shared" si="16"/>
        <v>Follow @joeostermeier</v>
      </c>
      <c r="D158" s="30" t="s">
        <v>2444</v>
      </c>
      <c r="E158" s="12" t="s">
        <v>2176</v>
      </c>
    </row>
    <row r="159" spans="1:5" ht="15" customHeight="1">
      <c r="A159" s="10" t="s">
        <v>2486</v>
      </c>
      <c r="B159" s="10"/>
      <c r="C159" s="12"/>
      <c r="D159" s="30"/>
      <c r="E159" s="12" t="s">
        <v>2207</v>
      </c>
    </row>
    <row r="160" spans="1:5" ht="15" customHeight="1">
      <c r="A160" s="10" t="s">
        <v>2487</v>
      </c>
      <c r="B160" s="10" t="s">
        <v>2488</v>
      </c>
      <c r="C160" s="13" t="str">
        <f>HYPERLINK("http://www.twitter.com/" &amp; B160,"Follow @"&amp;B160)</f>
        <v>Follow @ESPNChiSox</v>
      </c>
      <c r="D160" s="30"/>
      <c r="E160" s="12" t="s">
        <v>2404</v>
      </c>
    </row>
    <row r="161" spans="1:5" ht="15" customHeight="1">
      <c r="A161" s="10" t="s">
        <v>2489</v>
      </c>
      <c r="B161" s="31"/>
      <c r="C161" s="32"/>
      <c r="D161" s="30"/>
      <c r="E161" s="12" t="s">
        <v>2490</v>
      </c>
    </row>
    <row r="162" spans="1:5" ht="15" customHeight="1">
      <c r="A162" s="10" t="s">
        <v>2491</v>
      </c>
      <c r="B162" s="10"/>
      <c r="C162" s="12"/>
      <c r="D162" s="30"/>
      <c r="E162" s="12" t="s">
        <v>2472</v>
      </c>
    </row>
    <row r="163" spans="1:5" ht="15" customHeight="1">
      <c r="A163" s="10" t="s">
        <v>2492</v>
      </c>
      <c r="B163" s="10"/>
      <c r="C163" s="27"/>
      <c r="D163" s="30"/>
      <c r="E163" s="12" t="s">
        <v>2493</v>
      </c>
    </row>
    <row r="164" spans="1:5" ht="15" customHeight="1">
      <c r="A164" s="10" t="s">
        <v>2494</v>
      </c>
      <c r="B164" s="10"/>
      <c r="C164" s="27"/>
      <c r="D164" s="30"/>
      <c r="E164" s="12" t="s">
        <v>2207</v>
      </c>
    </row>
    <row r="165" spans="1:5" ht="15" customHeight="1">
      <c r="A165" s="10" t="s">
        <v>2495</v>
      </c>
      <c r="B165" s="10"/>
      <c r="C165" s="12"/>
      <c r="D165" s="30"/>
      <c r="E165" s="12" t="s">
        <v>2496</v>
      </c>
    </row>
    <row r="166" spans="1:5" ht="15" customHeight="1">
      <c r="A166" s="10" t="s">
        <v>2497</v>
      </c>
      <c r="B166" s="10"/>
      <c r="C166" s="12"/>
      <c r="D166" s="30"/>
      <c r="E166" s="12"/>
    </row>
    <row r="167" spans="1:5" ht="15" customHeight="1">
      <c r="A167" s="10" t="s">
        <v>2498</v>
      </c>
      <c r="B167" s="10"/>
      <c r="C167" s="12"/>
      <c r="D167" s="30" t="s">
        <v>2499</v>
      </c>
      <c r="E167" s="12" t="s">
        <v>2500</v>
      </c>
    </row>
    <row r="168" spans="1:5" ht="15" customHeight="1">
      <c r="A168" s="10" t="s">
        <v>2501</v>
      </c>
      <c r="B168" s="10"/>
      <c r="C168" s="12" t="s">
        <v>2502</v>
      </c>
      <c r="D168" s="30"/>
      <c r="E168" s="12" t="s">
        <v>2503</v>
      </c>
    </row>
    <row r="169" spans="1:5" ht="15" customHeight="1">
      <c r="A169" s="10" t="s">
        <v>2504</v>
      </c>
      <c r="B169" s="10"/>
      <c r="C169" s="12"/>
      <c r="D169" s="30"/>
      <c r="E169" s="12" t="s">
        <v>2207</v>
      </c>
    </row>
    <row r="170" spans="1:5" ht="15" customHeight="1">
      <c r="A170" s="10" t="s">
        <v>2505</v>
      </c>
      <c r="B170" s="31" t="s">
        <v>2506</v>
      </c>
      <c r="C170" s="13" t="str">
        <f t="shared" ref="C170:C173" si="17">HYPERLINK("http://www.twitter.com/" &amp; B170,"Follow @"&amp;B170)</f>
        <v>Follow @terrypluto</v>
      </c>
      <c r="D170" s="30"/>
      <c r="E170" s="12" t="s">
        <v>2207</v>
      </c>
    </row>
    <row r="171" spans="1:5" ht="15" customHeight="1">
      <c r="A171" s="10" t="s">
        <v>2507</v>
      </c>
      <c r="B171" s="31" t="s">
        <v>2508</v>
      </c>
      <c r="C171" s="13" t="str">
        <f t="shared" si="17"/>
        <v xml:space="preserve">Follow @MontePooleCSN </v>
      </c>
      <c r="D171" s="30" t="s">
        <v>2509</v>
      </c>
      <c r="E171" s="12" t="s">
        <v>2207</v>
      </c>
    </row>
    <row r="172" spans="1:5" ht="15" customHeight="1">
      <c r="A172" s="10" t="s">
        <v>2510</v>
      </c>
      <c r="B172" s="31" t="s">
        <v>2511</v>
      </c>
      <c r="C172" s="13" t="str">
        <f t="shared" si="17"/>
        <v xml:space="preserve">Follow @Powell2daPeople </v>
      </c>
      <c r="D172" s="30"/>
      <c r="E172" s="12" t="s">
        <v>2207</v>
      </c>
    </row>
    <row r="173" spans="1:5" ht="15" customHeight="1">
      <c r="A173" s="10" t="s">
        <v>2512</v>
      </c>
      <c r="B173" s="31" t="s">
        <v>2513</v>
      </c>
      <c r="C173" s="13" t="str">
        <f t="shared" si="17"/>
        <v>Follow @TomPowersPP</v>
      </c>
      <c r="D173" s="30" t="s">
        <v>2514</v>
      </c>
      <c r="E173" s="12" t="s">
        <v>2207</v>
      </c>
    </row>
    <row r="174" spans="1:5" ht="15" customHeight="1">
      <c r="A174" s="10" t="s">
        <v>2515</v>
      </c>
      <c r="B174" s="10"/>
      <c r="C174" s="27"/>
      <c r="D174" s="30"/>
      <c r="E174" s="12" t="s">
        <v>2516</v>
      </c>
    </row>
    <row r="175" spans="1:5" ht="15" customHeight="1">
      <c r="A175" s="10" t="s">
        <v>2517</v>
      </c>
      <c r="B175" s="10"/>
      <c r="C175" s="12"/>
      <c r="D175" s="30"/>
      <c r="E175" s="12"/>
    </row>
    <row r="176" spans="1:5" ht="15" customHeight="1">
      <c r="A176" s="47" t="s">
        <v>2518</v>
      </c>
      <c r="B176" s="37" t="s">
        <v>2519</v>
      </c>
      <c r="C176" s="52" t="str">
        <f t="shared" ref="C176:C178" si="18">HYPERLINK("http://www.twitter.com/" &amp; B176,"Follow @"&amp;B176)</f>
        <v>Follow @1500ESPN_Reusse</v>
      </c>
      <c r="D176" s="54" t="s">
        <v>2520</v>
      </c>
      <c r="E176" s="54" t="s">
        <v>2521</v>
      </c>
    </row>
    <row r="177" spans="1:5" ht="15" customHeight="1">
      <c r="A177" s="10" t="s">
        <v>2522</v>
      </c>
      <c r="B177" s="31" t="s">
        <v>2523</v>
      </c>
      <c r="C177" s="13" t="str">
        <f t="shared" si="18"/>
        <v>Follow @DaveReynolds2</v>
      </c>
      <c r="D177" s="30"/>
      <c r="E177" s="12" t="s">
        <v>2207</v>
      </c>
    </row>
    <row r="178" spans="1:5" ht="15" customHeight="1">
      <c r="A178" s="10" t="s">
        <v>2524</v>
      </c>
      <c r="B178" s="31" t="s">
        <v>2525</v>
      </c>
      <c r="C178" s="13" t="str">
        <f t="shared" si="18"/>
        <v>Follow @ByTimReynolds</v>
      </c>
      <c r="D178" s="30"/>
      <c r="E178" s="12" t="s">
        <v>2207</v>
      </c>
    </row>
    <row r="179" spans="1:5" ht="15" customHeight="1">
      <c r="A179" s="10" t="s">
        <v>2526</v>
      </c>
      <c r="B179" s="31"/>
      <c r="C179" s="32"/>
      <c r="D179" s="30"/>
      <c r="E179" s="12" t="s">
        <v>2527</v>
      </c>
    </row>
    <row r="180" spans="1:5" ht="15" customHeight="1">
      <c r="A180" s="10" t="s">
        <v>2528</v>
      </c>
      <c r="B180" s="31"/>
      <c r="C180" s="32"/>
      <c r="D180" s="30"/>
      <c r="E180" s="12" t="s">
        <v>2529</v>
      </c>
    </row>
    <row r="181" spans="1:5" ht="15" customHeight="1">
      <c r="A181" s="10" t="s">
        <v>2530</v>
      </c>
      <c r="B181" s="31" t="s">
        <v>2531</v>
      </c>
      <c r="C181" s="13" t="str">
        <f>HYPERLINK("http://www.twitter.com/" &amp; B181,"Follow @"&amp;B181)</f>
        <v>Follow @CarrollRogers</v>
      </c>
      <c r="D181" s="30"/>
      <c r="E181" s="12" t="s">
        <v>2532</v>
      </c>
    </row>
    <row r="182" spans="1:5" ht="15" customHeight="1">
      <c r="A182" s="10" t="s">
        <v>2533</v>
      </c>
      <c r="B182" s="10"/>
      <c r="C182" s="12"/>
      <c r="D182" s="30"/>
      <c r="E182" s="12" t="s">
        <v>2364</v>
      </c>
    </row>
    <row r="183" spans="1:5" ht="15" customHeight="1">
      <c r="A183" s="10" t="s">
        <v>2534</v>
      </c>
      <c r="B183" s="10"/>
      <c r="C183" s="12"/>
      <c r="D183" s="30"/>
      <c r="E183" s="12"/>
    </row>
    <row r="184" spans="1:5" ht="15" customHeight="1">
      <c r="A184" s="10" t="s">
        <v>2535</v>
      </c>
      <c r="B184" s="10"/>
      <c r="C184" s="27"/>
      <c r="D184" s="30"/>
      <c r="E184" s="12" t="s">
        <v>2536</v>
      </c>
    </row>
    <row r="185" spans="1:5" ht="15" customHeight="1">
      <c r="A185" s="10" t="s">
        <v>2537</v>
      </c>
      <c r="B185" s="10"/>
      <c r="C185" s="12"/>
      <c r="D185" s="30"/>
      <c r="E185" s="12" t="s">
        <v>2538</v>
      </c>
    </row>
    <row r="186" spans="1:5" ht="15" customHeight="1">
      <c r="A186" s="10" t="s">
        <v>2539</v>
      </c>
      <c r="B186" s="31"/>
      <c r="C186" s="32"/>
      <c r="D186" s="30"/>
      <c r="E186" s="12" t="s">
        <v>754</v>
      </c>
    </row>
    <row r="187" spans="1:5" ht="15" customHeight="1">
      <c r="A187" s="10" t="s">
        <v>2540</v>
      </c>
      <c r="B187" s="31" t="s">
        <v>2541</v>
      </c>
      <c r="C187" s="13" t="str">
        <f>HYPERLINK("http://www.twitter.com/" &amp; B187,"Follow @"&amp;B187)</f>
        <v>Follow @markschmetzer</v>
      </c>
      <c r="D187" s="30"/>
      <c r="E187" s="12" t="s">
        <v>2542</v>
      </c>
    </row>
    <row r="188" spans="1:5" ht="15" customHeight="1">
      <c r="A188" s="10" t="s">
        <v>2543</v>
      </c>
      <c r="B188" s="10"/>
      <c r="C188" s="27"/>
      <c r="D188" s="30"/>
      <c r="E188" s="12" t="s">
        <v>750</v>
      </c>
    </row>
    <row r="189" spans="1:5" ht="15" customHeight="1">
      <c r="A189" s="10" t="s">
        <v>2544</v>
      </c>
      <c r="B189" s="31" t="s">
        <v>2545</v>
      </c>
      <c r="C189" s="13" t="str">
        <f>HYPERLINK("http://www.twitter.com/" &amp; B189,"Follow @"&amp;B189)</f>
        <v>Follow @drewsharp</v>
      </c>
      <c r="D189" s="30" t="s">
        <v>2546</v>
      </c>
      <c r="E189" s="12" t="s">
        <v>2207</v>
      </c>
    </row>
    <row r="190" spans="1:5" ht="15" customHeight="1">
      <c r="A190" s="10" t="s">
        <v>2547</v>
      </c>
      <c r="B190" s="31"/>
      <c r="C190" s="32"/>
      <c r="D190" s="30"/>
      <c r="E190" s="12" t="s">
        <v>2548</v>
      </c>
    </row>
    <row r="191" spans="1:5" ht="15" customHeight="1">
      <c r="A191" s="10" t="s">
        <v>2549</v>
      </c>
      <c r="B191" s="10"/>
      <c r="C191" s="12"/>
      <c r="D191" s="30"/>
      <c r="E191" s="12" t="s">
        <v>2472</v>
      </c>
    </row>
    <row r="192" spans="1:5" ht="15" customHeight="1">
      <c r="A192" s="10" t="s">
        <v>2550</v>
      </c>
      <c r="B192" s="31"/>
      <c r="C192" s="32"/>
      <c r="D192" s="30" t="s">
        <v>2551</v>
      </c>
      <c r="E192" s="12" t="s">
        <v>2552</v>
      </c>
    </row>
    <row r="193" spans="1:5" ht="15" customHeight="1">
      <c r="A193" s="10" t="s">
        <v>2553</v>
      </c>
      <c r="B193" s="10"/>
      <c r="C193" s="12"/>
      <c r="D193" s="30"/>
      <c r="E193" s="12" t="s">
        <v>2176</v>
      </c>
    </row>
    <row r="194" spans="1:5" ht="15" customHeight="1">
      <c r="A194" s="10" t="s">
        <v>2554</v>
      </c>
      <c r="B194" s="10"/>
      <c r="C194" s="12"/>
      <c r="D194" s="30"/>
      <c r="E194" s="12" t="s">
        <v>2555</v>
      </c>
    </row>
    <row r="195" spans="1:5" ht="15" customHeight="1">
      <c r="A195" s="10" t="s">
        <v>2556</v>
      </c>
      <c r="B195" s="10"/>
      <c r="C195" s="27"/>
      <c r="D195" s="30"/>
      <c r="E195" s="12" t="s">
        <v>2557</v>
      </c>
    </row>
    <row r="196" spans="1:5" ht="15" customHeight="1">
      <c r="A196" s="37" t="s">
        <v>2558</v>
      </c>
      <c r="B196" s="70"/>
      <c r="C196" s="71"/>
      <c r="D196" s="54" t="s">
        <v>2559</v>
      </c>
      <c r="E196" s="47" t="s">
        <v>2560</v>
      </c>
    </row>
    <row r="197" spans="1:5" ht="15" customHeight="1">
      <c r="A197" s="10" t="s">
        <v>2561</v>
      </c>
      <c r="B197" s="31" t="s">
        <v>2562</v>
      </c>
      <c r="C197" s="13" t="str">
        <f t="shared" ref="C197:C199" si="19">HYPERLINK("http://www.twitter.com/" &amp; B197,"Follow @"&amp;B197)</f>
        <v>Follow @clarkspencer</v>
      </c>
      <c r="D197" s="311" t="s">
        <v>2260</v>
      </c>
      <c r="E197" s="12" t="s">
        <v>2176</v>
      </c>
    </row>
    <row r="198" spans="1:5" ht="15" customHeight="1">
      <c r="A198" s="10" t="s">
        <v>2563</v>
      </c>
      <c r="B198" s="31" t="s">
        <v>2564</v>
      </c>
      <c r="C198" s="13" t="str">
        <f t="shared" si="19"/>
        <v>Follow @arniestapleton</v>
      </c>
      <c r="D198" s="30"/>
      <c r="E198" s="12" t="s">
        <v>2207</v>
      </c>
    </row>
    <row r="199" spans="1:5" ht="15" customHeight="1">
      <c r="A199" s="37" t="s">
        <v>2565</v>
      </c>
      <c r="B199" s="37" t="s">
        <v>2566</v>
      </c>
      <c r="C199" s="52" t="str">
        <f t="shared" si="19"/>
        <v>Follow @vitostellino</v>
      </c>
      <c r="D199" s="54"/>
      <c r="E199" s="47" t="s">
        <v>2567</v>
      </c>
    </row>
    <row r="200" spans="1:5" ht="15" customHeight="1">
      <c r="A200" s="10" t="s">
        <v>2568</v>
      </c>
      <c r="B200" s="10"/>
      <c r="C200" s="12"/>
      <c r="D200" s="30"/>
      <c r="E200" s="12" t="s">
        <v>2555</v>
      </c>
    </row>
    <row r="201" spans="1:5" ht="15" customHeight="1">
      <c r="A201" s="10" t="s">
        <v>2569</v>
      </c>
      <c r="B201" s="10"/>
      <c r="C201" s="12"/>
      <c r="D201" s="30"/>
      <c r="E201" s="12"/>
    </row>
    <row r="202" spans="1:5" ht="15" customHeight="1">
      <c r="A202" s="10" t="s">
        <v>2570</v>
      </c>
      <c r="B202" s="31" t="s">
        <v>2571</v>
      </c>
      <c r="C202" s="13" t="str">
        <f>HYPERLINK("http://www.twitter.com/" &amp; B202,"Follow @"&amp;B202)</f>
        <v>Follow @JohnStrege</v>
      </c>
      <c r="D202" s="30"/>
      <c r="E202" s="12" t="s">
        <v>2478</v>
      </c>
    </row>
    <row r="203" spans="1:5" ht="15" customHeight="1">
      <c r="A203" s="10" t="s">
        <v>2572</v>
      </c>
      <c r="B203" s="31"/>
      <c r="C203" s="32"/>
      <c r="D203" s="30"/>
      <c r="E203" s="12"/>
    </row>
    <row r="204" spans="1:5" ht="15" customHeight="1">
      <c r="A204" s="10" t="s">
        <v>2573</v>
      </c>
      <c r="B204" s="10"/>
      <c r="C204" s="12"/>
      <c r="D204" s="30"/>
      <c r="E204" s="12" t="s">
        <v>2574</v>
      </c>
    </row>
    <row r="205" spans="1:5" ht="15" customHeight="1">
      <c r="A205" s="10" t="s">
        <v>2575</v>
      </c>
      <c r="B205" s="10"/>
      <c r="C205" s="27"/>
      <c r="D205" s="30"/>
      <c r="E205" s="12" t="s">
        <v>2576</v>
      </c>
    </row>
    <row r="206" spans="1:5" ht="15" customHeight="1">
      <c r="A206" s="10" t="s">
        <v>2577</v>
      </c>
      <c r="B206" s="10"/>
      <c r="C206" s="12"/>
      <c r="D206" s="30"/>
      <c r="E206" s="12" t="s">
        <v>2364</v>
      </c>
    </row>
    <row r="207" spans="1:5" ht="15" customHeight="1">
      <c r="A207" s="10" t="s">
        <v>2578</v>
      </c>
      <c r="B207" s="10" t="s">
        <v>2579</v>
      </c>
      <c r="C207" s="13" t="str">
        <f t="shared" ref="C207:C210" si="20">HYPERLINK("http://www.twitter.com/" &amp; B207,"Follow @"&amp;B207)</f>
        <v>Follow @ByEvanWest</v>
      </c>
      <c r="D207" s="30"/>
      <c r="E207" s="12" t="s">
        <v>2580</v>
      </c>
    </row>
    <row r="208" spans="1:5" ht="15" customHeight="1">
      <c r="A208" s="10" t="s">
        <v>2581</v>
      </c>
      <c r="B208" s="31" t="s">
        <v>2582</v>
      </c>
      <c r="C208" s="13" t="str">
        <f t="shared" si="20"/>
        <v>Follow @TotalGamePlan</v>
      </c>
      <c r="D208" s="30"/>
      <c r="E208" s="12" t="s">
        <v>2583</v>
      </c>
    </row>
    <row r="209" spans="1:5" ht="15" customHeight="1">
      <c r="A209" s="10" t="s">
        <v>2584</v>
      </c>
      <c r="B209" s="31" t="s">
        <v>2585</v>
      </c>
      <c r="C209" s="13" t="str">
        <f t="shared" si="20"/>
        <v>Follow @hbulman</v>
      </c>
      <c r="D209" s="30"/>
      <c r="E209" s="12" t="s">
        <v>2226</v>
      </c>
    </row>
    <row r="210" spans="1:5" ht="15" customHeight="1">
      <c r="A210" s="10" t="s">
        <v>2586</v>
      </c>
      <c r="B210" s="31" t="s">
        <v>2587</v>
      </c>
      <c r="C210" s="13" t="str">
        <f t="shared" si="20"/>
        <v>Follow @davandyck</v>
      </c>
      <c r="D210" s="30"/>
      <c r="E210" s="12" t="s">
        <v>2588</v>
      </c>
    </row>
    <row r="211" spans="1:5" ht="15" customHeight="1">
      <c r="A211" s="10" t="s">
        <v>2589</v>
      </c>
      <c r="B211" s="10"/>
      <c r="C211" s="12"/>
      <c r="D211" s="30"/>
      <c r="E211" s="12" t="s">
        <v>2590</v>
      </c>
    </row>
    <row r="212" spans="1:5" ht="15" customHeight="1">
      <c r="A212" s="10" t="s">
        <v>2591</v>
      </c>
      <c r="B212" s="10"/>
      <c r="C212" s="27"/>
      <c r="D212" s="30"/>
      <c r="E212" s="12"/>
    </row>
    <row r="213" spans="1:5" ht="15" customHeight="1">
      <c r="A213" s="10" t="s">
        <v>2592</v>
      </c>
      <c r="B213" s="10"/>
      <c r="C213" s="27"/>
      <c r="D213" s="30"/>
      <c r="E213" s="12" t="s">
        <v>2593</v>
      </c>
    </row>
    <row r="214" spans="1:5" ht="15" customHeight="1">
      <c r="A214" s="10" t="s">
        <v>2594</v>
      </c>
      <c r="B214" s="10"/>
      <c r="C214" s="27"/>
      <c r="D214" s="30"/>
      <c r="E214" s="12" t="s">
        <v>2595</v>
      </c>
    </row>
    <row r="215" spans="1:5" ht="15" customHeight="1">
      <c r="A215" s="10" t="s">
        <v>2596</v>
      </c>
      <c r="B215" s="10" t="s">
        <v>2597</v>
      </c>
      <c r="C215" s="13" t="str">
        <f>HYPERLINK("http://www.twitter.com/" &amp; B215,"Follow @"&amp;B215)</f>
        <v>Follow @viloriac</v>
      </c>
      <c r="D215" s="30"/>
      <c r="E215" s="12" t="s">
        <v>2598</v>
      </c>
    </row>
    <row r="216" spans="1:5" ht="15" customHeight="1">
      <c r="A216" s="10" t="s">
        <v>2599</v>
      </c>
      <c r="B216" s="10"/>
      <c r="C216" s="27"/>
      <c r="D216" s="30"/>
      <c r="E216" s="12" t="s">
        <v>2600</v>
      </c>
    </row>
    <row r="217" spans="1:5" ht="15" customHeight="1">
      <c r="A217" s="10" t="s">
        <v>2601</v>
      </c>
      <c r="B217" s="31" t="s">
        <v>2602</v>
      </c>
      <c r="C217" s="13" t="str">
        <f t="shared" ref="C217:C219" si="21">HYPERLINK("http://www.twitter.com/" &amp; B217,"Follow @"&amp;B217)</f>
        <v>Follow @Charley_Walters</v>
      </c>
      <c r="D217" s="30" t="s">
        <v>2514</v>
      </c>
      <c r="E217" s="12" t="s">
        <v>2176</v>
      </c>
    </row>
    <row r="218" spans="1:5" ht="15" customHeight="1">
      <c r="A218" s="10" t="s">
        <v>2603</v>
      </c>
      <c r="B218" s="31" t="s">
        <v>2604</v>
      </c>
      <c r="C218" s="13" t="str">
        <f t="shared" si="21"/>
        <v>Follow @esbbob</v>
      </c>
      <c r="D218" s="30"/>
      <c r="E218" s="12" t="s">
        <v>2364</v>
      </c>
    </row>
    <row r="219" spans="1:5" ht="15" customHeight="1">
      <c r="A219" s="37" t="s">
        <v>2605</v>
      </c>
      <c r="B219" s="70" t="s">
        <v>2606</v>
      </c>
      <c r="C219" s="52" t="str">
        <f t="shared" si="21"/>
        <v>Follow @MWhicker03LANG</v>
      </c>
      <c r="D219" s="54"/>
      <c r="E219" s="47" t="s">
        <v>2302</v>
      </c>
    </row>
    <row r="220" spans="1:5" ht="15" customHeight="1">
      <c r="A220" s="37" t="s">
        <v>2607</v>
      </c>
      <c r="B220" s="70"/>
      <c r="C220" s="71"/>
      <c r="D220" s="54"/>
      <c r="E220" s="47" t="s">
        <v>2608</v>
      </c>
    </row>
    <row r="221" spans="1:5" ht="15" customHeight="1">
      <c r="A221" s="10" t="s">
        <v>2609</v>
      </c>
      <c r="B221" s="10"/>
      <c r="C221" s="27"/>
      <c r="D221" s="30"/>
      <c r="E221" s="12" t="s">
        <v>2610</v>
      </c>
    </row>
    <row r="222" spans="1:5" ht="15" customHeight="1">
      <c r="A222" s="80">
        <f t="shared" ref="A222:C222" si="22">COUNTA(A2:A221)</f>
        <v>220</v>
      </c>
      <c r="B222" s="80">
        <f t="shared" si="22"/>
        <v>80</v>
      </c>
      <c r="C222" s="80">
        <f t="shared" si="22"/>
        <v>80</v>
      </c>
      <c r="D222" s="82"/>
      <c r="E222" s="10"/>
    </row>
  </sheetData>
  <hyperlinks>
    <hyperlink ref="C3" r:id="rId1" display="http://www.twitter.com/grumpyadamek" xr:uid="{00000000-0004-0000-0A00-000000000000}"/>
    <hyperlink ref="C4" r:id="rId2" display="http://www.twitter.com/BuckysBunker" xr:uid="{00000000-0004-0000-0A00-000001000000}"/>
    <hyperlink ref="C5" r:id="rId3" display="http://www.twitter.com/jim_armstrong" xr:uid="{00000000-0004-0000-0A00-000002000000}"/>
    <hyperlink ref="C10" r:id="rId4" display="http://www.twitter.com/hbalzer721" xr:uid="{00000000-0004-0000-0A00-000003000000}"/>
    <hyperlink ref="C11" r:id="rId5" display="http://www.twitter.com/BarnesBurner" xr:uid="{00000000-0004-0000-0A00-000004000000}"/>
    <hyperlink ref="C17" r:id="rId6" display="http://www.twitter.com/franblinebury" xr:uid="{00000000-0004-0000-0A00-000005000000}"/>
    <hyperlink ref="C18" r:id="rId7" display="http://www.twitter.com/earl_bloom_spts" xr:uid="{00000000-0004-0000-0A00-000006000000}"/>
    <hyperlink ref="C22" r:id="rId8" display="http://www.twitter.com/MarkBradleyAJC" xr:uid="{00000000-0004-0000-0A00-000007000000}"/>
    <hyperlink ref="C27" r:id="rId9" display="http://www.twitter.com/DaveBuscema" xr:uid="{00000000-0004-0000-0A00-000008000000}"/>
    <hyperlink ref="C30" r:id="rId10" display="http://www.twitter.com/joecapMARLINS" xr:uid="{00000000-0004-0000-0A00-000009000000}"/>
    <hyperlink ref="C31" r:id="rId11" display="http://www.twitter.com/Lescarpenter" xr:uid="{00000000-0004-0000-0A00-00000A000000}"/>
    <hyperlink ref="C35" r:id="rId12" display="http://www.twitter.com/LowellCohn" xr:uid="{00000000-0004-0000-0A00-00000B000000}"/>
    <hyperlink ref="C36" r:id="rId13" display="http://www.twitter.com/genecollier" xr:uid="{00000000-0004-0000-0A00-00000C000000}"/>
    <hyperlink ref="C38" r:id="rId14" display="http://www.twitter.com/cst_Cowley" xr:uid="{00000000-0004-0000-0A00-00000D000000}"/>
    <hyperlink ref="D43" r:id="rId15" xr:uid="{00000000-0004-0000-0A00-00000E000000}"/>
    <hyperlink ref="D45" r:id="rId16" xr:uid="{00000000-0004-0000-0A00-00000F000000}"/>
    <hyperlink ref="C47" r:id="rId17" display="http://www.twitter.com/TNT_Mariners" xr:uid="{00000000-0004-0000-0A00-000010000000}"/>
    <hyperlink ref="C52" r:id="rId18" display="http://www.twitter.com/johnerardi" xr:uid="{00000000-0004-0000-0A00-000011000000}"/>
    <hyperlink ref="C70" r:id="rId19" display="http://www.twitter.com/rgilliescanada" xr:uid="{00000000-0004-0000-0A00-000012000000}"/>
    <hyperlink ref="C71" r:id="rId20" display="http://www.twitter.com/toniginnetti" xr:uid="{00000000-0004-0000-0A00-000013000000}"/>
    <hyperlink ref="C77" r:id="rId21" display="http://www.twitter.com/kguregian" xr:uid="{00000000-0004-0000-0A00-000014000000}"/>
    <hyperlink ref="C78" r:id="rId22" display="http://www.twitter.com/hagenp" xr:uid="{00000000-0004-0000-0A00-000015000000}"/>
    <hyperlink ref="C81" r:id="rId23" display="http://www.twitter.com/bethharrisap" xr:uid="{00000000-0004-0000-0A00-000016000000}"/>
    <hyperlink ref="C82" r:id="rId24" display="http://www.twitter.com/HartAttakSports" xr:uid="{00000000-0004-0000-0A00-000017000000}"/>
    <hyperlink ref="C84" r:id="rId25" display="http://www.twitter.com/SidHartman" xr:uid="{00000000-0004-0000-0A00-000018000000}"/>
    <hyperlink ref="C85" r:id="rId26" display="http://www.twitter.com/hawkaptexas" xr:uid="{00000000-0004-0000-0A00-000019000000}"/>
    <hyperlink ref="C88" r:id="rId27" display="http://www.twitter.com/beisbolporgotas" xr:uid="{00000000-0004-0000-0A00-00001A000000}"/>
    <hyperlink ref="C91" r:id="rId28" display="http://www.twitter.com/JHickey3" xr:uid="{00000000-0004-0000-0A00-00001B000000}"/>
    <hyperlink ref="C93" r:id="rId29" display="http://www.twitter.com/oldbiscuitpants" xr:uid="{00000000-0004-0000-0A00-00001C000000}"/>
    <hyperlink ref="C94" r:id="rId30" display="http://www.twitter.com/PeterHirdt" xr:uid="{00000000-0004-0000-0A00-00001D000000}"/>
    <hyperlink ref="C95" r:id="rId31" display="http://www.twitter.com/SteveHirdt" xr:uid="{00000000-0004-0000-0A00-00001E000000}"/>
    <hyperlink ref="C101" r:id="rId32" display="http://www.twitter.com/MichaelHuntMJS" xr:uid="{00000000-0004-0000-0A00-00001F000000}"/>
    <hyperlink ref="C102" r:id="rId33" display="http://www.twitter.com/dailyhunter" xr:uid="{00000000-0004-0000-0A00-000020000000}"/>
    <hyperlink ref="C105" r:id="rId34" display="http://www.twitter.com/chuckjohnsonINK" xr:uid="{00000000-0004-0000-0A00-000021000000}"/>
    <hyperlink ref="C106" r:id="rId35" display="http://www.twitter.com/KCKaegel" xr:uid="{00000000-0004-0000-0A00-000022000000}"/>
    <hyperlink ref="C107" r:id="rId36" display="http://www.twitter.com/apjoekay" xr:uid="{00000000-0004-0000-0A00-000023000000}"/>
    <hyperlink ref="C112" r:id="rId37" display="http://www.twitter.com/bkoch" xr:uid="{00000000-0004-0000-0A00-000024000000}"/>
    <hyperlink ref="C116" r:id="rId38" display="http://www.twitter.com/rkuwada" xr:uid="{00000000-0004-0000-0A00-000025000000}"/>
    <hyperlink ref="C117" r:id="rId39" display="http://www.twitter.com/johnlabo" xr:uid="{00000000-0004-0000-0A00-000026000000}"/>
    <hyperlink ref="C121" r:id="rId40" display="http://www.twitter.com/LarryLage" xr:uid="{00000000-0004-0000-0A00-000027000000}"/>
    <hyperlink ref="C122" r:id="rId41" display="http://www.twitter.com/KeithLLair" xr:uid="{00000000-0004-0000-0A00-000028000000}"/>
    <hyperlink ref="C125" r:id="rId42" display="http://www.twitter.com/Blincicome" xr:uid="{00000000-0004-0000-0A00-000029000000}"/>
    <hyperlink ref="C126" r:id="rId43" display="http://www.twitter.com/LoprestiSports" xr:uid="{00000000-0004-0000-0A00-00002A000000}"/>
    <hyperlink ref="C134" r:id="rId44" display="http://www.twitter.com/toallfields" xr:uid="{00000000-0004-0000-0A00-00002B000000}"/>
    <hyperlink ref="C141" r:id="rId45" display="http://www.twitter.com/lennymegs" xr:uid="{00000000-0004-0000-0A00-00002C000000}"/>
    <hyperlink ref="E143" r:id="rId46" xr:uid="{00000000-0004-0000-0A00-00002D000000}"/>
    <hyperlink ref="C144" r:id="rId47" display="http://www.twitter.com/stevemeyerhoff" xr:uid="{00000000-0004-0000-0A00-00002E000000}"/>
    <hyperlink ref="C145" r:id="rId48" display="http://www.twitter.com/malcolm_moran" xr:uid="{00000000-0004-0000-0A00-00002F000000}"/>
    <hyperlink ref="C146" r:id="rId49" display="http://www.twitter.com/SportsOfAllSort" xr:uid="{00000000-0004-0000-0A00-000030000000}"/>
    <hyperlink ref="C147" r:id="rId50" display="http://www.twitter.com/irvmoss" xr:uid="{00000000-0004-0000-0A00-000031000000}"/>
    <hyperlink ref="C155" r:id="rId51" display="http://www.twitter.com/oapostrophesd" xr:uid="{00000000-0004-0000-0A00-000032000000}"/>
    <hyperlink ref="C156" r:id="rId52" display="http://www.twitter.com/SheldonOckerABJ" xr:uid="{00000000-0004-0000-0A00-000033000000}"/>
    <hyperlink ref="C157" r:id="rId53" display="http://www.twitter.com/hidekiokuda48" xr:uid="{00000000-0004-0000-0A00-000034000000}"/>
    <hyperlink ref="C158" r:id="rId54" display="http://www.twitter.com/joeostermeier" xr:uid="{00000000-0004-0000-0A00-000035000000}"/>
    <hyperlink ref="C160" r:id="rId55" display="http://www.twitter.com/ESPNChiSox" xr:uid="{00000000-0004-0000-0A00-000036000000}"/>
    <hyperlink ref="C170" r:id="rId56" display="http://www.twitter.com/terrypluto" xr:uid="{00000000-0004-0000-0A00-000037000000}"/>
    <hyperlink ref="C173" r:id="rId57" display="http://www.twitter.com/TomPowersPP" xr:uid="{00000000-0004-0000-0A00-000038000000}"/>
    <hyperlink ref="C176" r:id="rId58" display="http://www.twitter.com/1500ESPN_Reusse" xr:uid="{00000000-0004-0000-0A00-000039000000}"/>
    <hyperlink ref="C177" r:id="rId59" display="http://www.twitter.com/DaveReynolds2" xr:uid="{00000000-0004-0000-0A00-00003A000000}"/>
    <hyperlink ref="C178" r:id="rId60" display="http://www.twitter.com/ByTimReynolds" xr:uid="{00000000-0004-0000-0A00-00003B000000}"/>
    <hyperlink ref="C181" r:id="rId61" display="http://www.twitter.com/CarrollRogers" xr:uid="{00000000-0004-0000-0A00-00003C000000}"/>
    <hyperlink ref="C187" r:id="rId62" display="http://www.twitter.com/markschmetzer" xr:uid="{00000000-0004-0000-0A00-00003D000000}"/>
    <hyperlink ref="C189" r:id="rId63" display="http://www.twitter.com/drewsharp" xr:uid="{00000000-0004-0000-0A00-00003E000000}"/>
    <hyperlink ref="C197" r:id="rId64" display="http://www.twitter.com/clarkspencer" xr:uid="{00000000-0004-0000-0A00-00003F000000}"/>
    <hyperlink ref="D197" r:id="rId65" xr:uid="{00000000-0004-0000-0A00-000040000000}"/>
    <hyperlink ref="C198" r:id="rId66" display="http://www.twitter.com/arniestapleton" xr:uid="{00000000-0004-0000-0A00-000041000000}"/>
    <hyperlink ref="C199" r:id="rId67" display="http://www.twitter.com/vitostellino" xr:uid="{00000000-0004-0000-0A00-000042000000}"/>
    <hyperlink ref="C202" r:id="rId68" display="http://www.twitter.com/JohnStrege" xr:uid="{00000000-0004-0000-0A00-000043000000}"/>
    <hyperlink ref="C207" r:id="rId69" display="http://www.twitter.com/ByEvanWest" xr:uid="{00000000-0004-0000-0A00-000044000000}"/>
    <hyperlink ref="C208" r:id="rId70" display="http://www.twitter.com/TotalGamePlan" xr:uid="{00000000-0004-0000-0A00-000045000000}"/>
    <hyperlink ref="C209" r:id="rId71" display="http://www.twitter.com/hbulman" xr:uid="{00000000-0004-0000-0A00-000046000000}"/>
    <hyperlink ref="C210" r:id="rId72" display="http://www.twitter.com/davandyck" xr:uid="{00000000-0004-0000-0A00-000047000000}"/>
    <hyperlink ref="C215" r:id="rId73" display="http://www.twitter.com/viloriac" xr:uid="{00000000-0004-0000-0A00-000048000000}"/>
    <hyperlink ref="C217" r:id="rId74" display="http://www.twitter.com/Charley_Walters" xr:uid="{00000000-0004-0000-0A00-000049000000}"/>
    <hyperlink ref="C218" r:id="rId75" display="http://www.twitter.com/esbbob" xr:uid="{00000000-0004-0000-0A00-00004A000000}"/>
    <hyperlink ref="C219" r:id="rId76" display="http://www.twitter.com/MWhicker03LANG" xr:uid="{00000000-0004-0000-0A00-00004B000000}"/>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F1:M23"/>
  <sheetViews>
    <sheetView workbookViewId="0" xr3:uid="{FF0BDA26-1AD6-5648-BD9A-E01AA4DDCA7C}">
      <selection activeCell="C24" sqref="C24"/>
    </sheetView>
  </sheetViews>
  <sheetFormatPr defaultColWidth="8.85546875" defaultRowHeight="12.75"/>
  <cols>
    <col min="7" max="12" width="7.42578125" customWidth="1"/>
  </cols>
  <sheetData>
    <row r="1" spans="6:13" ht="26.25" customHeight="1">
      <c r="F1" s="645"/>
      <c r="G1" s="645"/>
      <c r="H1" s="645"/>
      <c r="I1" s="645"/>
      <c r="J1" s="645"/>
      <c r="K1" s="645"/>
      <c r="L1" s="645"/>
      <c r="M1" s="645"/>
    </row>
    <row r="2" spans="6:13" ht="16.5" customHeight="1">
      <c r="F2" s="645"/>
      <c r="G2" s="645"/>
      <c r="H2" s="645"/>
      <c r="I2" s="645"/>
      <c r="J2" s="645"/>
      <c r="K2" s="645"/>
      <c r="L2" s="645"/>
      <c r="M2" s="645"/>
    </row>
    <row r="3" spans="6:13" ht="13.5" customHeight="1">
      <c r="F3" s="645"/>
      <c r="G3" s="645"/>
      <c r="H3" s="645"/>
      <c r="I3" s="645"/>
      <c r="J3" s="645"/>
      <c r="K3" s="645"/>
      <c r="L3" s="645"/>
      <c r="M3" s="645"/>
    </row>
    <row r="4" spans="6:13" ht="12.75" customHeight="1">
      <c r="F4" s="645"/>
      <c r="G4" s="645"/>
      <c r="H4" s="645"/>
      <c r="I4" s="645"/>
      <c r="J4" s="645"/>
      <c r="K4" s="645"/>
      <c r="L4" s="645"/>
      <c r="M4" s="645"/>
    </row>
    <row r="7" spans="6:13" ht="12.75" customHeight="1">
      <c r="F7" s="861"/>
      <c r="G7" s="861"/>
      <c r="H7" s="861"/>
      <c r="I7" s="861"/>
      <c r="J7" s="861"/>
      <c r="K7" s="861"/>
      <c r="L7" s="861"/>
      <c r="M7" s="645"/>
    </row>
    <row r="8" spans="6:13" ht="12.75" customHeight="1">
      <c r="F8" s="861"/>
      <c r="G8" s="861"/>
      <c r="H8" s="861"/>
      <c r="I8" s="861"/>
      <c r="J8" s="861"/>
      <c r="K8" s="861"/>
      <c r="L8" s="861"/>
      <c r="M8" s="861"/>
    </row>
    <row r="9" spans="6:13">
      <c r="F9" s="861"/>
      <c r="G9" s="861"/>
      <c r="H9" s="861"/>
      <c r="I9" s="861"/>
      <c r="J9" s="861"/>
      <c r="K9" s="861"/>
      <c r="L9" s="861"/>
      <c r="M9" s="861"/>
    </row>
    <row r="10" spans="6:13" ht="13.5" thickBot="1">
      <c r="F10" s="861"/>
      <c r="G10" s="862"/>
      <c r="H10" s="862"/>
      <c r="I10" s="862"/>
      <c r="J10" s="862"/>
      <c r="K10" s="862"/>
      <c r="L10" s="862"/>
      <c r="M10" s="861"/>
    </row>
    <row r="11" spans="6:13" ht="20.100000000000001" customHeight="1" thickTop="1" thickBot="1">
      <c r="F11" s="861"/>
      <c r="G11" s="869" t="s">
        <v>5</v>
      </c>
      <c r="H11" s="870"/>
      <c r="I11" s="870"/>
      <c r="J11" s="870"/>
      <c r="K11" s="870"/>
      <c r="L11" s="871"/>
      <c r="M11" s="861"/>
    </row>
    <row r="12" spans="6:13" ht="16.5" thickTop="1">
      <c r="F12" s="861"/>
      <c r="G12" s="872" t="s">
        <v>2611</v>
      </c>
      <c r="H12" s="873"/>
      <c r="I12" s="873"/>
      <c r="J12" s="872" t="s">
        <v>2612</v>
      </c>
      <c r="K12" s="873"/>
      <c r="L12" s="878"/>
      <c r="M12" s="861"/>
    </row>
    <row r="13" spans="6:13">
      <c r="F13" s="861"/>
      <c r="G13" s="885" t="s">
        <v>9</v>
      </c>
      <c r="H13" s="886"/>
      <c r="I13" s="886"/>
      <c r="J13" s="879" t="s">
        <v>2613</v>
      </c>
      <c r="K13" s="880"/>
      <c r="L13" s="881"/>
      <c r="M13" s="861"/>
    </row>
    <row r="14" spans="6:13" ht="13.5" thickBot="1">
      <c r="F14" s="861"/>
      <c r="G14" s="887" t="s">
        <v>2614</v>
      </c>
      <c r="H14" s="888"/>
      <c r="I14" s="888"/>
      <c r="J14" s="879"/>
      <c r="K14" s="880"/>
      <c r="L14" s="881"/>
      <c r="M14" s="861"/>
    </row>
    <row r="15" spans="6:13" ht="16.5" thickTop="1">
      <c r="F15" s="861"/>
      <c r="G15" s="872" t="s">
        <v>2615</v>
      </c>
      <c r="H15" s="873"/>
      <c r="I15" s="873"/>
      <c r="J15" s="882" t="s">
        <v>2616</v>
      </c>
      <c r="K15" s="883"/>
      <c r="L15" s="884"/>
      <c r="M15" s="861"/>
    </row>
    <row r="16" spans="6:13">
      <c r="F16" s="861"/>
      <c r="G16" s="874" t="s">
        <v>48</v>
      </c>
      <c r="H16" s="875"/>
      <c r="I16" s="875"/>
      <c r="J16" s="882"/>
      <c r="K16" s="883"/>
      <c r="L16" s="884"/>
      <c r="M16" s="861"/>
    </row>
    <row r="17" spans="6:13" ht="13.5" thickBot="1">
      <c r="F17" s="861"/>
      <c r="G17" s="876" t="s">
        <v>51</v>
      </c>
      <c r="H17" s="877"/>
      <c r="I17" s="877"/>
      <c r="J17" s="863" t="s">
        <v>2617</v>
      </c>
      <c r="K17" s="864"/>
      <c r="L17" s="865"/>
      <c r="M17" s="861"/>
    </row>
    <row r="18" spans="6:13" ht="13.5" thickTop="1">
      <c r="F18" s="861"/>
      <c r="G18" s="728" t="s">
        <v>2618</v>
      </c>
      <c r="H18" s="729"/>
      <c r="I18" s="730"/>
      <c r="J18" s="863"/>
      <c r="K18" s="864"/>
      <c r="L18" s="865"/>
      <c r="M18" s="861"/>
    </row>
    <row r="19" spans="6:13" ht="13.5" thickBot="1">
      <c r="F19" s="861"/>
      <c r="G19" s="731"/>
      <c r="H19" s="732"/>
      <c r="I19" s="733"/>
      <c r="J19" s="866"/>
      <c r="K19" s="867"/>
      <c r="L19" s="868"/>
      <c r="M19" s="861"/>
    </row>
    <row r="20" spans="6:13" ht="13.5" thickTop="1">
      <c r="F20" s="861"/>
      <c r="G20" s="889"/>
      <c r="H20" s="889"/>
      <c r="I20" s="889"/>
      <c r="J20" s="889"/>
      <c r="K20" s="889"/>
      <c r="L20" s="889"/>
      <c r="M20" s="861"/>
    </row>
    <row r="21" spans="6:13">
      <c r="F21" s="861"/>
      <c r="G21" s="890"/>
      <c r="H21" s="890"/>
      <c r="I21" s="890"/>
      <c r="J21" s="890"/>
      <c r="K21" s="890"/>
      <c r="L21" s="890"/>
      <c r="M21" s="861"/>
    </row>
    <row r="22" spans="6:13">
      <c r="F22" s="861"/>
      <c r="G22" s="890"/>
      <c r="H22" s="890"/>
      <c r="I22" s="890"/>
      <c r="J22" s="890"/>
      <c r="K22" s="890"/>
      <c r="L22" s="890"/>
      <c r="M22" s="861"/>
    </row>
    <row r="23" spans="6:13">
      <c r="F23" s="861"/>
      <c r="G23" s="890"/>
      <c r="H23" s="890"/>
      <c r="I23" s="890"/>
      <c r="J23" s="890"/>
      <c r="K23" s="890"/>
      <c r="L23" s="890"/>
      <c r="M23" s="861"/>
    </row>
  </sheetData>
  <mergeCells count="16">
    <mergeCell ref="F7:F23"/>
    <mergeCell ref="M8:M23"/>
    <mergeCell ref="G7:L10"/>
    <mergeCell ref="J17:L19"/>
    <mergeCell ref="G11:L11"/>
    <mergeCell ref="G15:I15"/>
    <mergeCell ref="G16:I16"/>
    <mergeCell ref="G17:I17"/>
    <mergeCell ref="J12:L12"/>
    <mergeCell ref="J13:L14"/>
    <mergeCell ref="J15:L16"/>
    <mergeCell ref="G13:I13"/>
    <mergeCell ref="G14:I14"/>
    <mergeCell ref="G12:I12"/>
    <mergeCell ref="G18:I19"/>
    <mergeCell ref="G20:L2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RPDeskie</dc:creator>
  <cp:keywords/>
  <dc:description/>
  <cp:lastModifiedBy>Sam A</cp:lastModifiedBy>
  <cp:revision/>
  <dcterms:created xsi:type="dcterms:W3CDTF">2019-01-28T23:36:18Z</dcterms:created>
  <dcterms:modified xsi:type="dcterms:W3CDTF">2019-01-28T23:36:52Z</dcterms:modified>
  <cp:category/>
  <cp:contentStatus/>
</cp:coreProperties>
</file>